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ti\Documents\--- 3rd YEAR UNI ---\-- WORK --\AVD\ASSIGNMENT 2\"/>
    </mc:Choice>
  </mc:AlternateContent>
  <xr:revisionPtr revIDLastSave="0" documentId="13_ncr:1_{DA5CDE76-30C0-4BEF-A251-F7D0DDCB9453}" xr6:coauthVersionLast="45" xr6:coauthVersionMax="45" xr10:uidLastSave="{00000000-0000-0000-0000-000000000000}"/>
  <bookViews>
    <workbookView xWindow="-108" yWindow="-108" windowWidth="23256" windowHeight="12576" xr2:uid="{608D6149-3355-4F8A-BFC4-683FD4FAF419}"/>
  </bookViews>
  <sheets>
    <sheet name="Q11" sheetId="2" r:id="rId1"/>
    <sheet name="Q12" sheetId="1" r:id="rId2"/>
    <sheet name="Q13 1st GEAR" sheetId="3" r:id="rId3"/>
    <sheet name="Q13 3rd GEAR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1" l="1"/>
  <c r="P4" i="2"/>
  <c r="P5" i="2"/>
  <c r="P6" i="2"/>
  <c r="P7" i="2"/>
  <c r="O5" i="2"/>
  <c r="O6" i="2"/>
  <c r="O7" i="2"/>
  <c r="O4" i="2"/>
  <c r="E65" i="4" l="1"/>
  <c r="D65" i="4"/>
  <c r="E64" i="4"/>
  <c r="D64" i="4"/>
  <c r="E63" i="4"/>
  <c r="D63" i="4"/>
  <c r="E62" i="4"/>
  <c r="D62" i="4"/>
  <c r="E61" i="4"/>
  <c r="D61" i="4"/>
  <c r="E56" i="4"/>
  <c r="D56" i="4"/>
  <c r="E55" i="4"/>
  <c r="D55" i="4"/>
  <c r="E54" i="4"/>
  <c r="D54" i="4"/>
  <c r="E53" i="4"/>
  <c r="D53" i="4"/>
  <c r="E52" i="4"/>
  <c r="D52" i="4"/>
  <c r="E47" i="4"/>
  <c r="D47" i="4"/>
  <c r="E46" i="4"/>
  <c r="D46" i="4"/>
  <c r="E45" i="4"/>
  <c r="D45" i="4"/>
  <c r="E44" i="4"/>
  <c r="D44" i="4"/>
  <c r="E43" i="4"/>
  <c r="D43" i="4"/>
  <c r="B38" i="4"/>
  <c r="D64" i="3"/>
  <c r="E64" i="3"/>
  <c r="D65" i="3"/>
  <c r="E65" i="3"/>
  <c r="D66" i="3"/>
  <c r="E66" i="3"/>
  <c r="D67" i="3"/>
  <c r="E67" i="3"/>
  <c r="E63" i="3"/>
  <c r="D63" i="3"/>
  <c r="E54" i="3"/>
  <c r="E55" i="3"/>
  <c r="E56" i="3"/>
  <c r="E57" i="3"/>
  <c r="E58" i="3"/>
  <c r="D55" i="3"/>
  <c r="D56" i="3"/>
  <c r="D57" i="3"/>
  <c r="D58" i="3"/>
  <c r="D54" i="3"/>
  <c r="E46" i="3"/>
  <c r="E47" i="3"/>
  <c r="E48" i="3"/>
  <c r="E49" i="3"/>
  <c r="E45" i="3"/>
  <c r="D46" i="3"/>
  <c r="D47" i="3"/>
  <c r="D48" i="3"/>
  <c r="D49" i="3"/>
  <c r="D45" i="3"/>
  <c r="D5" i="3"/>
  <c r="B5" i="3"/>
  <c r="D5" i="1"/>
  <c r="D6" i="1"/>
  <c r="D7" i="1"/>
  <c r="D8" i="1"/>
  <c r="D9" i="1"/>
  <c r="D10" i="1"/>
  <c r="D4" i="1"/>
  <c r="D18" i="2"/>
  <c r="C18" i="2"/>
  <c r="I3" i="1"/>
  <c r="I17" i="2"/>
  <c r="G18" i="2"/>
  <c r="H17" i="2"/>
  <c r="G17" i="2"/>
  <c r="N5" i="2"/>
  <c r="N6" i="2"/>
  <c r="N7" i="2"/>
  <c r="N4" i="2"/>
  <c r="M5" i="2"/>
  <c r="M6" i="2"/>
  <c r="M7" i="2"/>
  <c r="M4" i="2"/>
  <c r="L7" i="2"/>
  <c r="L6" i="2"/>
  <c r="L5" i="2"/>
  <c r="L4" i="2"/>
  <c r="H12" i="2"/>
  <c r="H11" i="2"/>
  <c r="F4" i="2"/>
  <c r="G4" i="2" s="1"/>
  <c r="F5" i="2"/>
  <c r="G5" i="2" s="1"/>
  <c r="F6" i="2"/>
  <c r="G6" i="2" s="1"/>
  <c r="F7" i="2"/>
  <c r="G7" i="2" s="1"/>
  <c r="F8" i="2"/>
  <c r="G8" i="2" s="1"/>
  <c r="F9" i="2"/>
  <c r="G9" i="2" s="1"/>
  <c r="F3" i="2"/>
  <c r="G3" i="2" s="1"/>
  <c r="B40" i="3" l="1"/>
  <c r="B64" i="3" s="1"/>
  <c r="F64" i="3" s="1"/>
  <c r="H64" i="3" s="1"/>
  <c r="J64" i="3" s="1"/>
  <c r="K64" i="3" s="1"/>
  <c r="B63" i="4"/>
  <c r="B55" i="4"/>
  <c r="B47" i="4"/>
  <c r="B43" i="4"/>
  <c r="B45" i="4"/>
  <c r="B64" i="4"/>
  <c r="B56" i="4"/>
  <c r="B52" i="4"/>
  <c r="B44" i="4"/>
  <c r="B61" i="4"/>
  <c r="B62" i="4"/>
  <c r="B54" i="4"/>
  <c r="B46" i="4"/>
  <c r="B65" i="4"/>
  <c r="B53" i="4"/>
  <c r="D9" i="4"/>
  <c r="E9" i="4" s="1"/>
  <c r="D11" i="4"/>
  <c r="E11" i="4" s="1"/>
  <c r="D13" i="4"/>
  <c r="E13" i="4" s="1"/>
  <c r="D19" i="4"/>
  <c r="E19" i="4" s="1"/>
  <c r="D21" i="4"/>
  <c r="E21" i="4" s="1"/>
  <c r="D23" i="4"/>
  <c r="E23" i="4" s="1"/>
  <c r="D29" i="4"/>
  <c r="E29" i="4" s="1"/>
  <c r="D31" i="4"/>
  <c r="E31" i="4" s="1"/>
  <c r="D33" i="4"/>
  <c r="E33" i="4" s="1"/>
  <c r="D8" i="4"/>
  <c r="E8" i="4" s="1"/>
  <c r="D10" i="4"/>
  <c r="E10" i="4" s="1"/>
  <c r="D12" i="4"/>
  <c r="E12" i="4" s="1"/>
  <c r="D18" i="4"/>
  <c r="E18" i="4" s="1"/>
  <c r="D20" i="4"/>
  <c r="E20" i="4" s="1"/>
  <c r="D22" i="4"/>
  <c r="E22" i="4" s="1"/>
  <c r="D28" i="4"/>
  <c r="E28" i="4" s="1"/>
  <c r="D30" i="4"/>
  <c r="E30" i="4" s="1"/>
  <c r="D32" i="4"/>
  <c r="E32" i="4" s="1"/>
  <c r="B58" i="3"/>
  <c r="G58" i="3" s="1"/>
  <c r="I58" i="3" s="1"/>
  <c r="L58" i="3" s="1"/>
  <c r="M58" i="3" s="1"/>
  <c r="B48" i="3"/>
  <c r="F48" i="3" s="1"/>
  <c r="H48" i="3" s="1"/>
  <c r="J48" i="3" s="1"/>
  <c r="K48" i="3" s="1"/>
  <c r="B54" i="3"/>
  <c r="G54" i="3" s="1"/>
  <c r="I54" i="3" s="1"/>
  <c r="L54" i="3" s="1"/>
  <c r="M54" i="3" s="1"/>
  <c r="B49" i="3"/>
  <c r="B46" i="3"/>
  <c r="B45" i="3"/>
  <c r="G45" i="3" s="1"/>
  <c r="I45" i="3" s="1"/>
  <c r="L45" i="3" s="1"/>
  <c r="M45" i="3" s="1"/>
  <c r="B47" i="3"/>
  <c r="G47" i="3" s="1"/>
  <c r="I47" i="3" s="1"/>
  <c r="L47" i="3" s="1"/>
  <c r="M47" i="3" s="1"/>
  <c r="D10" i="3"/>
  <c r="E10" i="3" s="1"/>
  <c r="F10" i="3" s="1"/>
  <c r="G10" i="3" s="1"/>
  <c r="D21" i="3"/>
  <c r="E21" i="3" s="1"/>
  <c r="H21" i="3" s="1"/>
  <c r="I21" i="3" s="1"/>
  <c r="D30" i="3"/>
  <c r="E30" i="3" s="1"/>
  <c r="F30" i="3" s="1"/>
  <c r="G30" i="3" s="1"/>
  <c r="D35" i="3"/>
  <c r="E35" i="3" s="1"/>
  <c r="H35" i="3" s="1"/>
  <c r="I35" i="3" s="1"/>
  <c r="D14" i="3"/>
  <c r="E14" i="3" s="1"/>
  <c r="F14" i="3" s="1"/>
  <c r="G14" i="3" s="1"/>
  <c r="D32" i="3"/>
  <c r="E32" i="3" s="1"/>
  <c r="F32" i="3" s="1"/>
  <c r="G32" i="3" s="1"/>
  <c r="D24" i="3"/>
  <c r="E24" i="3" s="1"/>
  <c r="F24" i="3" s="1"/>
  <c r="G24" i="3" s="1"/>
  <c r="D31" i="3"/>
  <c r="E31" i="3" s="1"/>
  <c r="F31" i="3" s="1"/>
  <c r="G31" i="3" s="1"/>
  <c r="D34" i="3"/>
  <c r="E34" i="3" s="1"/>
  <c r="F34" i="3" s="1"/>
  <c r="G34" i="3" s="1"/>
  <c r="D33" i="3"/>
  <c r="E33" i="3" s="1"/>
  <c r="F33" i="3" s="1"/>
  <c r="G33" i="3" s="1"/>
  <c r="D13" i="3"/>
  <c r="E13" i="3" s="1"/>
  <c r="H13" i="3" s="1"/>
  <c r="I13" i="3" s="1"/>
  <c r="D23" i="3"/>
  <c r="E23" i="3" s="1"/>
  <c r="H23" i="3" s="1"/>
  <c r="I23" i="3" s="1"/>
  <c r="D12" i="3"/>
  <c r="E12" i="3" s="1"/>
  <c r="F12" i="3" s="1"/>
  <c r="G12" i="3" s="1"/>
  <c r="D20" i="3"/>
  <c r="E20" i="3" s="1"/>
  <c r="F20" i="3" s="1"/>
  <c r="G20" i="3" s="1"/>
  <c r="D22" i="3"/>
  <c r="E22" i="3" s="1"/>
  <c r="H22" i="3" s="1"/>
  <c r="I22" i="3" s="1"/>
  <c r="D15" i="3"/>
  <c r="E15" i="3" s="1"/>
  <c r="H15" i="3" s="1"/>
  <c r="I15" i="3" s="1"/>
  <c r="D11" i="3"/>
  <c r="E11" i="3" s="1"/>
  <c r="H11" i="3" s="1"/>
  <c r="I11" i="3" s="1"/>
  <c r="D25" i="3"/>
  <c r="E25" i="3" s="1"/>
  <c r="H25" i="3" s="1"/>
  <c r="I25" i="3" s="1"/>
  <c r="H18" i="2"/>
  <c r="I18" i="2"/>
  <c r="E4" i="1"/>
  <c r="F10" i="1"/>
  <c r="F6" i="1"/>
  <c r="F9" i="1"/>
  <c r="D11" i="2"/>
  <c r="G11" i="2" s="1"/>
  <c r="D12" i="2"/>
  <c r="G12" i="2" s="1"/>
  <c r="F5" i="1"/>
  <c r="E5" i="1"/>
  <c r="F7" i="1"/>
  <c r="E8" i="1"/>
  <c r="B57" i="3" l="1"/>
  <c r="G57" i="3" s="1"/>
  <c r="I57" i="3" s="1"/>
  <c r="L57" i="3" s="1"/>
  <c r="M57" i="3" s="1"/>
  <c r="B56" i="3"/>
  <c r="B55" i="3"/>
  <c r="F55" i="3" s="1"/>
  <c r="H55" i="3" s="1"/>
  <c r="J55" i="3" s="1"/>
  <c r="K55" i="3" s="1"/>
  <c r="B63" i="3"/>
  <c r="B67" i="3"/>
  <c r="B66" i="3"/>
  <c r="G66" i="3" s="1"/>
  <c r="I66" i="3" s="1"/>
  <c r="L66" i="3" s="1"/>
  <c r="M66" i="3" s="1"/>
  <c r="B65" i="3"/>
  <c r="H30" i="4"/>
  <c r="I30" i="4" s="1"/>
  <c r="F30" i="4"/>
  <c r="G30" i="4" s="1"/>
  <c r="F33" i="4"/>
  <c r="G33" i="4" s="1"/>
  <c r="H33" i="4"/>
  <c r="I33" i="4" s="1"/>
  <c r="F9" i="4"/>
  <c r="G9" i="4" s="1"/>
  <c r="H9" i="4"/>
  <c r="I9" i="4" s="1"/>
  <c r="G43" i="4"/>
  <c r="I43" i="4" s="1"/>
  <c r="L43" i="4" s="1"/>
  <c r="M43" i="4" s="1"/>
  <c r="F43" i="4"/>
  <c r="H43" i="4" s="1"/>
  <c r="J43" i="4" s="1"/>
  <c r="K43" i="4" s="1"/>
  <c r="H28" i="4"/>
  <c r="I28" i="4" s="1"/>
  <c r="F28" i="4"/>
  <c r="G28" i="4" s="1"/>
  <c r="H12" i="4"/>
  <c r="I12" i="4" s="1"/>
  <c r="F12" i="4"/>
  <c r="G12" i="4" s="1"/>
  <c r="F31" i="4"/>
  <c r="G31" i="4" s="1"/>
  <c r="H31" i="4"/>
  <c r="I31" i="4" s="1"/>
  <c r="F19" i="4"/>
  <c r="G19" i="4" s="1"/>
  <c r="H19" i="4"/>
  <c r="I19" i="4" s="1"/>
  <c r="G53" i="4"/>
  <c r="I53" i="4" s="1"/>
  <c r="L53" i="4" s="1"/>
  <c r="M53" i="4" s="1"/>
  <c r="F53" i="4"/>
  <c r="H53" i="4" s="1"/>
  <c r="J53" i="4" s="1"/>
  <c r="K53" i="4" s="1"/>
  <c r="F62" i="4"/>
  <c r="H62" i="4" s="1"/>
  <c r="J62" i="4" s="1"/>
  <c r="K62" i="4" s="1"/>
  <c r="G62" i="4"/>
  <c r="I62" i="4" s="1"/>
  <c r="L62" i="4" s="1"/>
  <c r="M62" i="4" s="1"/>
  <c r="F56" i="4"/>
  <c r="H56" i="4" s="1"/>
  <c r="J56" i="4" s="1"/>
  <c r="K56" i="4" s="1"/>
  <c r="G56" i="4"/>
  <c r="I56" i="4" s="1"/>
  <c r="L56" i="4" s="1"/>
  <c r="M56" i="4" s="1"/>
  <c r="G47" i="4"/>
  <c r="I47" i="4" s="1"/>
  <c r="L47" i="4" s="1"/>
  <c r="M47" i="4" s="1"/>
  <c r="F47" i="4"/>
  <c r="H47" i="4" s="1"/>
  <c r="J47" i="4" s="1"/>
  <c r="K47" i="4" s="1"/>
  <c r="F54" i="4"/>
  <c r="H54" i="4" s="1"/>
  <c r="J54" i="4" s="1"/>
  <c r="K54" i="4" s="1"/>
  <c r="G54" i="4"/>
  <c r="I54" i="4" s="1"/>
  <c r="L54" i="4" s="1"/>
  <c r="M54" i="4" s="1"/>
  <c r="H22" i="4"/>
  <c r="I22" i="4" s="1"/>
  <c r="F22" i="4"/>
  <c r="G22" i="4" s="1"/>
  <c r="H10" i="4"/>
  <c r="I10" i="4" s="1"/>
  <c r="F10" i="4"/>
  <c r="G10" i="4" s="1"/>
  <c r="F29" i="4"/>
  <c r="G29" i="4" s="1"/>
  <c r="H29" i="4"/>
  <c r="I29" i="4" s="1"/>
  <c r="F13" i="4"/>
  <c r="G13" i="4" s="1"/>
  <c r="H13" i="4"/>
  <c r="I13" i="4" s="1"/>
  <c r="G65" i="4"/>
  <c r="I65" i="4" s="1"/>
  <c r="L65" i="4" s="1"/>
  <c r="M65" i="4" s="1"/>
  <c r="F65" i="4"/>
  <c r="H65" i="4" s="1"/>
  <c r="J65" i="4" s="1"/>
  <c r="K65" i="4" s="1"/>
  <c r="G61" i="4"/>
  <c r="I61" i="4" s="1"/>
  <c r="L61" i="4" s="1"/>
  <c r="M61" i="4" s="1"/>
  <c r="F61" i="4"/>
  <c r="H61" i="4" s="1"/>
  <c r="J61" i="4" s="1"/>
  <c r="K61" i="4" s="1"/>
  <c r="G64" i="4"/>
  <c r="I64" i="4" s="1"/>
  <c r="L64" i="4" s="1"/>
  <c r="M64" i="4" s="1"/>
  <c r="F64" i="4"/>
  <c r="H64" i="4" s="1"/>
  <c r="J64" i="4" s="1"/>
  <c r="K64" i="4" s="1"/>
  <c r="G55" i="4"/>
  <c r="I55" i="4" s="1"/>
  <c r="L55" i="4" s="1"/>
  <c r="M55" i="4" s="1"/>
  <c r="F55" i="4"/>
  <c r="H55" i="4" s="1"/>
  <c r="J55" i="4" s="1"/>
  <c r="K55" i="4" s="1"/>
  <c r="H18" i="4"/>
  <c r="I18" i="4" s="1"/>
  <c r="F18" i="4"/>
  <c r="G18" i="4" s="1"/>
  <c r="F21" i="4"/>
  <c r="G21" i="4" s="1"/>
  <c r="H21" i="4"/>
  <c r="I21" i="4" s="1"/>
  <c r="G52" i="4"/>
  <c r="I52" i="4" s="1"/>
  <c r="L52" i="4" s="1"/>
  <c r="M52" i="4" s="1"/>
  <c r="F52" i="4"/>
  <c r="H52" i="4" s="1"/>
  <c r="J52" i="4" s="1"/>
  <c r="K52" i="4" s="1"/>
  <c r="H32" i="4"/>
  <c r="I32" i="4" s="1"/>
  <c r="F32" i="4"/>
  <c r="G32" i="4" s="1"/>
  <c r="H20" i="4"/>
  <c r="I20" i="4" s="1"/>
  <c r="F20" i="4"/>
  <c r="G20" i="4" s="1"/>
  <c r="H8" i="4"/>
  <c r="I8" i="4" s="1"/>
  <c r="F8" i="4"/>
  <c r="G8" i="4" s="1"/>
  <c r="F23" i="4"/>
  <c r="G23" i="4" s="1"/>
  <c r="H23" i="4"/>
  <c r="I23" i="4" s="1"/>
  <c r="F11" i="4"/>
  <c r="G11" i="4" s="1"/>
  <c r="H11" i="4"/>
  <c r="I11" i="4" s="1"/>
  <c r="F46" i="4"/>
  <c r="H46" i="4" s="1"/>
  <c r="J46" i="4" s="1"/>
  <c r="K46" i="4" s="1"/>
  <c r="G46" i="4"/>
  <c r="I46" i="4" s="1"/>
  <c r="L46" i="4" s="1"/>
  <c r="M46" i="4" s="1"/>
  <c r="F44" i="4"/>
  <c r="H44" i="4" s="1"/>
  <c r="J44" i="4" s="1"/>
  <c r="K44" i="4" s="1"/>
  <c r="G44" i="4"/>
  <c r="I44" i="4" s="1"/>
  <c r="L44" i="4" s="1"/>
  <c r="M44" i="4" s="1"/>
  <c r="G45" i="4"/>
  <c r="I45" i="4" s="1"/>
  <c r="L45" i="4" s="1"/>
  <c r="M45" i="4" s="1"/>
  <c r="F45" i="4"/>
  <c r="H45" i="4" s="1"/>
  <c r="J45" i="4" s="1"/>
  <c r="K45" i="4" s="1"/>
  <c r="G63" i="4"/>
  <c r="I63" i="4" s="1"/>
  <c r="L63" i="4" s="1"/>
  <c r="M63" i="4" s="1"/>
  <c r="F63" i="4"/>
  <c r="H63" i="4" s="1"/>
  <c r="J63" i="4" s="1"/>
  <c r="K63" i="4" s="1"/>
  <c r="F58" i="3"/>
  <c r="H58" i="3" s="1"/>
  <c r="J58" i="3" s="1"/>
  <c r="K58" i="3" s="1"/>
  <c r="G64" i="3"/>
  <c r="I64" i="3" s="1"/>
  <c r="L64" i="3" s="1"/>
  <c r="M64" i="3" s="1"/>
  <c r="G55" i="3"/>
  <c r="I55" i="3" s="1"/>
  <c r="L55" i="3" s="1"/>
  <c r="M55" i="3" s="1"/>
  <c r="F57" i="3"/>
  <c r="H57" i="3" s="1"/>
  <c r="J57" i="3" s="1"/>
  <c r="K57" i="3" s="1"/>
  <c r="F49" i="3"/>
  <c r="H49" i="3" s="1"/>
  <c r="J49" i="3" s="1"/>
  <c r="K49" i="3" s="1"/>
  <c r="G49" i="3"/>
  <c r="I49" i="3" s="1"/>
  <c r="L49" i="3" s="1"/>
  <c r="M49" i="3" s="1"/>
  <c r="G46" i="3"/>
  <c r="I46" i="3" s="1"/>
  <c r="L46" i="3" s="1"/>
  <c r="M46" i="3" s="1"/>
  <c r="F46" i="3"/>
  <c r="H46" i="3" s="1"/>
  <c r="J46" i="3" s="1"/>
  <c r="K46" i="3" s="1"/>
  <c r="G48" i="3"/>
  <c r="I48" i="3" s="1"/>
  <c r="L48" i="3" s="1"/>
  <c r="M48" i="3" s="1"/>
  <c r="F54" i="3"/>
  <c r="H54" i="3" s="1"/>
  <c r="J54" i="3" s="1"/>
  <c r="K54" i="3" s="1"/>
  <c r="F47" i="3"/>
  <c r="H47" i="3" s="1"/>
  <c r="J47" i="3" s="1"/>
  <c r="K47" i="3" s="1"/>
  <c r="F45" i="3"/>
  <c r="H45" i="3" s="1"/>
  <c r="J45" i="3" s="1"/>
  <c r="K45" i="3" s="1"/>
  <c r="F66" i="3"/>
  <c r="H66" i="3" s="1"/>
  <c r="J66" i="3" s="1"/>
  <c r="K66" i="3" s="1"/>
  <c r="H30" i="3"/>
  <c r="I30" i="3" s="1"/>
  <c r="H33" i="3"/>
  <c r="I33" i="3" s="1"/>
  <c r="F21" i="3"/>
  <c r="G21" i="3" s="1"/>
  <c r="H14" i="3"/>
  <c r="I14" i="3" s="1"/>
  <c r="F13" i="3"/>
  <c r="G13" i="3" s="1"/>
  <c r="F23" i="3"/>
  <c r="G23" i="3" s="1"/>
  <c r="H24" i="3"/>
  <c r="I24" i="3" s="1"/>
  <c r="H10" i="3"/>
  <c r="I10" i="3" s="1"/>
  <c r="H34" i="3"/>
  <c r="I34" i="3" s="1"/>
  <c r="H32" i="3"/>
  <c r="I32" i="3" s="1"/>
  <c r="F15" i="3"/>
  <c r="G15" i="3" s="1"/>
  <c r="F22" i="3"/>
  <c r="G22" i="3" s="1"/>
  <c r="F35" i="3"/>
  <c r="G35" i="3" s="1"/>
  <c r="F25" i="3"/>
  <c r="G25" i="3" s="1"/>
  <c r="H20" i="3"/>
  <c r="I20" i="3" s="1"/>
  <c r="H31" i="3"/>
  <c r="I31" i="3" s="1"/>
  <c r="F11" i="3"/>
  <c r="G11" i="3" s="1"/>
  <c r="H12" i="3"/>
  <c r="I12" i="3" s="1"/>
  <c r="F4" i="1"/>
  <c r="E10" i="1"/>
  <c r="E6" i="1"/>
  <c r="E9" i="1"/>
  <c r="E7" i="1"/>
  <c r="F8" i="1"/>
  <c r="F63" i="3" l="1"/>
  <c r="H63" i="3" s="1"/>
  <c r="J63" i="3" s="1"/>
  <c r="K63" i="3" s="1"/>
  <c r="G63" i="3"/>
  <c r="I63" i="3" s="1"/>
  <c r="L63" i="3" s="1"/>
  <c r="M63" i="3" s="1"/>
  <c r="G65" i="3"/>
  <c r="I65" i="3" s="1"/>
  <c r="L65" i="3" s="1"/>
  <c r="M65" i="3" s="1"/>
  <c r="F65" i="3"/>
  <c r="H65" i="3" s="1"/>
  <c r="J65" i="3" s="1"/>
  <c r="K65" i="3" s="1"/>
  <c r="F56" i="3"/>
  <c r="H56" i="3" s="1"/>
  <c r="J56" i="3" s="1"/>
  <c r="K56" i="3" s="1"/>
  <c r="G56" i="3"/>
  <c r="I56" i="3" s="1"/>
  <c r="L56" i="3" s="1"/>
  <c r="M56" i="3" s="1"/>
  <c r="G67" i="3"/>
  <c r="I67" i="3" s="1"/>
  <c r="L67" i="3" s="1"/>
  <c r="M67" i="3" s="1"/>
  <c r="F67" i="3"/>
  <c r="H67" i="3" s="1"/>
  <c r="J67" i="3" s="1"/>
  <c r="K67" i="3" s="1"/>
</calcChain>
</file>

<file path=xl/sharedStrings.xml><?xml version="1.0" encoding="utf-8"?>
<sst xmlns="http://schemas.openxmlformats.org/spreadsheetml/2006/main" count="229" uniqueCount="67">
  <si>
    <t>SURFACE</t>
  </si>
  <si>
    <t>PACKED GRAVEL</t>
  </si>
  <si>
    <t>LOOSE GRAVEL</t>
  </si>
  <si>
    <t>PACKED SNOW</t>
  </si>
  <si>
    <t>LOOSE SNOW</t>
  </si>
  <si>
    <t>ICE</t>
  </si>
  <si>
    <t>DRY ASHPHALT</t>
  </si>
  <si>
    <t>WET ASHPHALT</t>
  </si>
  <si>
    <t>FORCE (N)</t>
  </si>
  <si>
    <r>
      <t>ACCELERATION (m/s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</si>
  <si>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F PASSENGERS</t>
  </si>
  <si>
    <t>F &amp; R PASSENGERS</t>
  </si>
  <si>
    <t>MASS F PASSENGERS (kg)</t>
  </si>
  <si>
    <t>MASS F &amp; R PASSENGERS (kg)</t>
  </si>
  <si>
    <t>FINAL DRIVE</t>
  </si>
  <si>
    <t>OVERALL</t>
  </si>
  <si>
    <t>GEAR RATIOS</t>
  </si>
  <si>
    <t>FRONT BOX</t>
  </si>
  <si>
    <t>REAR                                            BOX</t>
  </si>
  <si>
    <t>-</t>
  </si>
  <si>
    <t>ROAD WHEEL SPEED @ 6k RPM (RPM)</t>
  </si>
  <si>
    <t>GEAR COMBINATION</t>
  </si>
  <si>
    <t>FRONT</t>
  </si>
  <si>
    <t>REAR</t>
  </si>
  <si>
    <t>Δ WHEEL SPEED (RPM)</t>
  </si>
  <si>
    <t>CLUTCH DATA</t>
  </si>
  <si>
    <t>No. OF PLATES</t>
  </si>
  <si>
    <t>MAX TORQUE ON EACH PLATE FACE (Nm)</t>
  </si>
  <si>
    <t>OUTSIDE RADIUS r2 (m)</t>
  </si>
  <si>
    <t>INSIDE RADIUS r1 (m)</t>
  </si>
  <si>
    <r>
      <t xml:space="preserve"> FRICTION COEFFICIENT </t>
    </r>
    <r>
      <rPr>
        <b/>
        <sz val="10"/>
        <color rgb="FF222222"/>
        <rFont val="Arial"/>
        <family val="2"/>
      </rPr>
      <t>μ</t>
    </r>
  </si>
  <si>
    <t>CONSTANT PRESSURE AXIAL FORCE REQUIRED (KN)</t>
  </si>
  <si>
    <t>CONSTANT WEAR AXIAL FORCE REQUIRED (KN)</t>
  </si>
  <si>
    <t>FRONT TRACTIVE FORCE (N)</t>
  </si>
  <si>
    <t>REAR TRACTIVE FORCE (N)</t>
  </si>
  <si>
    <t>75% size</t>
  </si>
  <si>
    <t>OUTSIDE WHEEL TORQUE %</t>
  </si>
  <si>
    <t>INSIDE WHEEL TORQUE %</t>
  </si>
  <si>
    <t>MOMENT ARM     (1/2 TRACK) (m)</t>
  </si>
  <si>
    <t>MOMENT PRODUCED (Nm)</t>
  </si>
  <si>
    <t>Δ TRACTIVE FORCE (N)</t>
  </si>
  <si>
    <t>YAW RATE       (rads/sec)</t>
  </si>
  <si>
    <t>YAW RATE       (degs/sec)</t>
  </si>
  <si>
    <t>FRONT PASSENGERS</t>
  </si>
  <si>
    <t>FRONT &amp; REAR PASSENGERS</t>
  </si>
  <si>
    <t>μ</t>
  </si>
  <si>
    <t>ACCELERATION TORQUE VECTORING</t>
  </si>
  <si>
    <t>BRAKING TORQUE VECTORING</t>
  </si>
  <si>
    <t>OUTSIDE WHEEL TRACTIVE FORCE</t>
  </si>
  <si>
    <t>INSIDE WHEEL BRAKING %</t>
  </si>
  <si>
    <t>TOTAL TRACTIVE FORCE (N)</t>
  </si>
  <si>
    <t>FRONT AND REAR PASSENGERS</t>
  </si>
  <si>
    <t>MAXMIMUM BRAKING FORCE</t>
  </si>
  <si>
    <t>F &amp; R PASSENGERS Δ TRACTIVE FORCE (N)</t>
  </si>
  <si>
    <t>F PASSENGERS      Δ TRACTIVE FORCE (N)</t>
  </si>
  <si>
    <t>F PASSENGERS INSIDE WHEEL BRAKING FORCE                     (-N)</t>
  </si>
  <si>
    <t>F &amp; R PASSENGERS INSIDE WHEEL BRAKING FORCE   (-N)</t>
  </si>
  <si>
    <t>F PASSENGERS MOMENT PRODUCED (Nm)</t>
  </si>
  <si>
    <t>F &amp; R PASSENGERS MOMENT PRODUCED (Nm)</t>
  </si>
  <si>
    <t>MAXIMUM TORQUE THROUGH FRONT CLUTCH PACK (Nm)</t>
  </si>
  <si>
    <t>POWER LOSS ACROSS EACH FRONT CLUTCH (Kw)</t>
  </si>
  <si>
    <t>POWER LOSS ACROSS EACH FRONT CLUTCH (bhp)</t>
  </si>
  <si>
    <t>POWER LOSS ACROSS FRONT AXLE (Kw)</t>
  </si>
  <si>
    <t>POWER LOSS ACROSS FRONT AXLE (bhp)</t>
  </si>
  <si>
    <t>OUTSIDE DRIVE FORCE (N)</t>
  </si>
  <si>
    <t>UNREALISTIC TO USE TORQUE VECTORING TO INCREASE YAW RATE IN 1st GEAR - EXCESS TORQUE WOULD JUST SPIN CAR OR LOOSE TRACTION, HENCE HUGE YAW RATES - PLEASE SEE CALCULATIONS FOR 3rd GEAR</t>
  </si>
  <si>
    <t>MOMENT ARM                   (1/2 TRACK)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</si>
</sst>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222222"/>
      <name val="Arial"/>
      <family val="2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/>
    </xf>
    <xf numFmtId="164" fontId="0" fillId="2" borderId="1" xfId="0" quotePrefix="1" applyNumberForma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5" fillId="2" borderId="0" xfId="0" applyNumberFormat="1" applyFont="1" applyFill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 textRotation="90" wrapText="1"/>
    </xf>
    <xf numFmtId="164" fontId="1" fillId="2" borderId="1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 textRotation="90"/>
    </xf>
    <xf numFmtId="164" fontId="5" fillId="2" borderId="0" xfId="0" applyNumberFormat="1" applyFont="1" applyFill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B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</a:t>
            </a:r>
            <a:r>
              <a:rPr lang="en-GB" baseline="0"/>
              <a:t> Acceleration on Various Surfaces</a:t>
            </a:r>
            <a:endParaRPr lang="en-GB"/>
          </a:p>
        </c:rich>
      </c:tx>
      <c:layout>
        <c:manualLayout>
          <c:xMode val="edge"/>
          <c:yMode val="edge"/>
          <c:x val="0.2187382297551789"/>
          <c:y val="1.46198830409356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971247238163033E-2"/>
          <c:y val="8.4417449463553895E-2"/>
          <c:w val="0.89381144623871167"/>
          <c:h val="0.75493162038955675"/>
        </c:manualLayout>
      </c:layout>
      <c:scatterChart>
        <c:scatterStyle val="smoothMarker"/>
        <c:varyColors val="0"/>
        <c:ser>
          <c:idx val="0"/>
          <c:order val="0"/>
          <c:tx>
            <c:v>F Passengers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'Q12'!$C$4:$C$10</c:f>
              <c:numCache>
                <c:formatCode>0.000</c:formatCode>
                <c:ptCount val="7"/>
                <c:pt idx="0">
                  <c:v>0.7</c:v>
                </c:pt>
                <c:pt idx="1">
                  <c:v>0.4</c:v>
                </c:pt>
                <c:pt idx="2">
                  <c:v>0.55000000000000004</c:v>
                </c:pt>
                <c:pt idx="3">
                  <c:v>0.45</c:v>
                </c:pt>
                <c:pt idx="4">
                  <c:v>0.3</c:v>
                </c:pt>
                <c:pt idx="5">
                  <c:v>0.1</c:v>
                </c:pt>
                <c:pt idx="6">
                  <c:v>0.06</c:v>
                </c:pt>
              </c:numCache>
            </c:numRef>
          </c:xVal>
          <c:yVal>
            <c:numRef>
              <c:f>'Q12'!$E$4:$E$10</c:f>
              <c:numCache>
                <c:formatCode>0.000</c:formatCode>
                <c:ptCount val="7"/>
                <c:pt idx="0">
                  <c:v>12.693414181041629</c:v>
                </c:pt>
                <c:pt idx="1">
                  <c:v>7.2533795320237884</c:v>
                </c:pt>
                <c:pt idx="2">
                  <c:v>9.9733968565327089</c:v>
                </c:pt>
                <c:pt idx="3">
                  <c:v>8.1600519735267625</c:v>
                </c:pt>
                <c:pt idx="4">
                  <c:v>5.4400346490178402</c:v>
                </c:pt>
                <c:pt idx="5">
                  <c:v>1.8133448830059471</c:v>
                </c:pt>
                <c:pt idx="6">
                  <c:v>1.0880069298035682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4D4-4532-A6F8-478B70A00868}"/>
            </c:ext>
          </c:extLst>
        </c:ser>
        <c:ser>
          <c:idx val="1"/>
          <c:order val="1"/>
          <c:tx>
            <c:v>F &amp; R Passengers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'Q12'!$C$4:$C$10</c:f>
              <c:numCache>
                <c:formatCode>0.000</c:formatCode>
                <c:ptCount val="7"/>
                <c:pt idx="0">
                  <c:v>0.7</c:v>
                </c:pt>
                <c:pt idx="1">
                  <c:v>0.4</c:v>
                </c:pt>
                <c:pt idx="2">
                  <c:v>0.55000000000000004</c:v>
                </c:pt>
                <c:pt idx="3">
                  <c:v>0.45</c:v>
                </c:pt>
                <c:pt idx="4">
                  <c:v>0.3</c:v>
                </c:pt>
                <c:pt idx="5">
                  <c:v>0.1</c:v>
                </c:pt>
                <c:pt idx="6">
                  <c:v>0.06</c:v>
                </c:pt>
              </c:numCache>
            </c:numRef>
          </c:xVal>
          <c:yVal>
            <c:numRef>
              <c:f>'Q12'!$F$4:$F$10</c:f>
              <c:numCache>
                <c:formatCode>0.000</c:formatCode>
                <c:ptCount val="7"/>
                <c:pt idx="0">
                  <c:v>12.052787600449349</c:v>
                </c:pt>
                <c:pt idx="1">
                  <c:v>6.8873072002567719</c:v>
                </c:pt>
                <c:pt idx="2">
                  <c:v>9.4700474003530619</c:v>
                </c:pt>
                <c:pt idx="3">
                  <c:v>7.7482206002888683</c:v>
                </c:pt>
                <c:pt idx="4">
                  <c:v>5.1654804001925783</c:v>
                </c:pt>
                <c:pt idx="5">
                  <c:v>1.721826800064193</c:v>
                </c:pt>
                <c:pt idx="6">
                  <c:v>1.0330960800385156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4D4-4532-A6F8-478B70A00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962088"/>
        <c:axId val="416963400"/>
      </c:scatterChart>
      <c:valAx>
        <c:axId val="416962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Surface</a:t>
                </a:r>
                <a:r>
                  <a:rPr lang="en-GB" baseline="0"/>
                  <a:t> Coefficient of Friction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37016585850497508"/>
              <c:y val="0.89489829396325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963400"/>
        <c:crosses val="autoZero"/>
        <c:crossBetween val="midCat"/>
        <c:majorUnit val="5.000000000000001E-2"/>
      </c:valAx>
      <c:valAx>
        <c:axId val="416963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</a:t>
                </a:r>
                <a:r>
                  <a:rPr lang="en-GB" baseline="30000"/>
                  <a:t>2</a:t>
                </a:r>
                <a:r>
                  <a:rPr lang="en-GB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962088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16000860061985"/>
          <c:y val="0.93832193673159281"/>
          <c:w val="0.44238789536901107"/>
          <c:h val="6.16780632684072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GB" sz="1200" b="0"/>
              <a:t>Additional Yaw Rate</a:t>
            </a:r>
            <a:r>
              <a:rPr lang="en-GB" sz="1200" b="0" baseline="0"/>
              <a:t> Through Acceleration Torque Vectoring on Various Surfaces</a:t>
            </a:r>
            <a:endParaRPr lang="en-GB" sz="1200" b="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2518216627040175E-2"/>
          <c:y val="0.14320175438596491"/>
          <c:w val="0.88729837264215561"/>
          <c:h val="0.68689246903347623"/>
        </c:manualLayout>
      </c:layout>
      <c:scatterChart>
        <c:scatterStyle val="lineMarker"/>
        <c:varyColors val="0"/>
        <c:ser>
          <c:idx val="0"/>
          <c:order val="0"/>
          <c:tx>
            <c:v>Mu = 0.7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19050">
                <a:solidFill>
                  <a:schemeClr val="accent1"/>
                </a:solidFill>
              </a:ln>
              <a:effectLst/>
            </c:spPr>
          </c:marker>
          <c:xVal>
            <c:numRef>
              <c:f>'Q13 1st GEAR'!$B$10:$B$15</c:f>
              <c:numCache>
                <c:formatCode>0</c:formatCode>
                <c:ptCount val="6"/>
                <c:pt idx="0">
                  <c:v>50</c:v>
                </c:pt>
                <c:pt idx="1">
                  <c:v>60</c:v>
                </c:pt>
                <c:pt idx="2">
                  <c:v>70</c:v>
                </c:pt>
                <c:pt idx="3">
                  <c:v>80</c:v>
                </c:pt>
                <c:pt idx="4">
                  <c:v>90</c:v>
                </c:pt>
                <c:pt idx="5">
                  <c:v>100</c:v>
                </c:pt>
              </c:numCache>
            </c:numRef>
          </c:xVal>
          <c:yVal>
            <c:numRef>
              <c:f>'Q13 1st GEAR'!$F$10:$F$15</c:f>
              <c:numCache>
                <c:formatCode>0.000</c:formatCode>
                <c:ptCount val="6"/>
                <c:pt idx="0">
                  <c:v>0</c:v>
                </c:pt>
                <c:pt idx="1">
                  <c:v>1.0601761859855345</c:v>
                </c:pt>
                <c:pt idx="2">
                  <c:v>2.1203523719710704</c:v>
                </c:pt>
                <c:pt idx="3">
                  <c:v>3.1805285579566056</c:v>
                </c:pt>
                <c:pt idx="4">
                  <c:v>4.2407047439421408</c:v>
                </c:pt>
                <c:pt idx="5">
                  <c:v>5.3008809299276756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91-46FE-92B0-4E821697BAF9}"/>
            </c:ext>
          </c:extLst>
        </c:ser>
        <c:ser>
          <c:idx val="1"/>
          <c:order val="1"/>
          <c:tx>
            <c:v>Mu = 0.5</c:v>
          </c:tx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'Q13 1st GEAR'!$B$20:$B$25</c:f>
              <c:numCache>
                <c:formatCode>0</c:formatCode>
                <c:ptCount val="6"/>
                <c:pt idx="0">
                  <c:v>50</c:v>
                </c:pt>
                <c:pt idx="1">
                  <c:v>60</c:v>
                </c:pt>
                <c:pt idx="2">
                  <c:v>70</c:v>
                </c:pt>
                <c:pt idx="3">
                  <c:v>80</c:v>
                </c:pt>
                <c:pt idx="4">
                  <c:v>90</c:v>
                </c:pt>
                <c:pt idx="5">
                  <c:v>100</c:v>
                </c:pt>
              </c:numCache>
            </c:numRef>
          </c:xVal>
          <c:yVal>
            <c:numRef>
              <c:f>'Q13 1st GEAR'!$F$20:$F$25</c:f>
              <c:numCache>
                <c:formatCode>0.000</c:formatCode>
                <c:ptCount val="6"/>
                <c:pt idx="0">
                  <c:v>0</c:v>
                </c:pt>
                <c:pt idx="1">
                  <c:v>0.75726870427538207</c:v>
                </c:pt>
                <c:pt idx="2">
                  <c:v>1.5145374085507646</c:v>
                </c:pt>
                <c:pt idx="3">
                  <c:v>2.2718061128261469</c:v>
                </c:pt>
                <c:pt idx="4">
                  <c:v>3.0290748171015291</c:v>
                </c:pt>
                <c:pt idx="5">
                  <c:v>3.7863435213769114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391-46FE-92B0-4E821697BAF9}"/>
            </c:ext>
          </c:extLst>
        </c:ser>
        <c:ser>
          <c:idx val="2"/>
          <c:order val="2"/>
          <c:tx>
            <c:v>Mu = 0.1</c:v>
          </c:tx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'Q13 1st GEAR'!$B$30:$B$35</c:f>
              <c:numCache>
                <c:formatCode>0</c:formatCode>
                <c:ptCount val="6"/>
                <c:pt idx="0">
                  <c:v>50</c:v>
                </c:pt>
                <c:pt idx="1">
                  <c:v>60</c:v>
                </c:pt>
                <c:pt idx="2">
                  <c:v>70</c:v>
                </c:pt>
                <c:pt idx="3">
                  <c:v>80</c:v>
                </c:pt>
                <c:pt idx="4">
                  <c:v>90</c:v>
                </c:pt>
                <c:pt idx="5">
                  <c:v>100</c:v>
                </c:pt>
              </c:numCache>
            </c:numRef>
          </c:xVal>
          <c:yVal>
            <c:numRef>
              <c:f>'Q13 1st GEAR'!$F$30:$F$35</c:f>
              <c:numCache>
                <c:formatCode>0.000</c:formatCode>
                <c:ptCount val="6"/>
                <c:pt idx="0">
                  <c:v>0</c:v>
                </c:pt>
                <c:pt idx="1">
                  <c:v>0.15145374085507643</c:v>
                </c:pt>
                <c:pt idx="2">
                  <c:v>0.30290748171015291</c:v>
                </c:pt>
                <c:pt idx="3">
                  <c:v>0.45436122256522943</c:v>
                </c:pt>
                <c:pt idx="4">
                  <c:v>0.60581496342030583</c:v>
                </c:pt>
                <c:pt idx="5">
                  <c:v>0.75726870427538229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391-46FE-92B0-4E821697BA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8514072"/>
        <c:axId val="628514728"/>
      </c:scatterChart>
      <c:valAx>
        <c:axId val="628514072"/>
        <c:scaling>
          <c:orientation val="minMax"/>
          <c:max val="110"/>
          <c:min val="4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b="0"/>
                  <a:t>Torque Split (Outside:Inside)</a:t>
                </a:r>
              </a:p>
            </c:rich>
          </c:tx>
          <c:layout>
            <c:manualLayout>
              <c:xMode val="edge"/>
              <c:yMode val="edge"/>
              <c:x val="0.38333222275283302"/>
              <c:y val="0.87467853524888339"/>
            </c:manualLayout>
          </c:layout>
          <c:overlay val="0"/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8514728"/>
        <c:crosses val="autoZero"/>
        <c:crossBetween val="midCat"/>
      </c:valAx>
      <c:valAx>
        <c:axId val="628514728"/>
        <c:scaling>
          <c:orientation val="minMax"/>
          <c:max val="5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b="0"/>
                  <a:t>Additional</a:t>
                </a:r>
                <a:r>
                  <a:rPr lang="en-GB" b="0" baseline="0"/>
                  <a:t> Yaw Rate (rads/sec)</a:t>
                </a:r>
                <a:endParaRPr lang="en-GB" b="0"/>
              </a:p>
            </c:rich>
          </c:tx>
          <c:layout>
            <c:manualLayout>
              <c:xMode val="edge"/>
              <c:yMode val="edge"/>
              <c:x val="7.052186177715092E-3"/>
              <c:y val="0.23543278307316851"/>
            </c:manualLayout>
          </c:layout>
          <c:overlay val="0"/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8514072"/>
        <c:crosses val="autoZero"/>
        <c:crossBetween val="midCat"/>
        <c:majorUnit val="0.5"/>
      </c:valAx>
    </c:plotArea>
    <c:legend>
      <c:legendPos val="b"/>
      <c:layout>
        <c:manualLayout>
          <c:xMode val="edge"/>
          <c:yMode val="edge"/>
          <c:x val="0.24624790377930544"/>
          <c:y val="0.92294256803425889"/>
          <c:w val="0.50600171039795727"/>
          <c:h val="6.697375328083989E-2"/>
        </c:manualLayout>
      </c:layout>
      <c:overlay val="0"/>
    </c:legend>
    <c:plotVisOnly val="1"/>
    <c:dispBlanksAs val="zero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GB" sz="1200" b="0"/>
              <a:t>Additional Yaw Rate</a:t>
            </a:r>
            <a:r>
              <a:rPr lang="en-GB" sz="1200" b="0" baseline="0"/>
              <a:t> Through Acceleration Torque Vectoring on Various Surfaces</a:t>
            </a:r>
            <a:endParaRPr lang="en-GB" sz="1200" b="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2518216627040175E-2"/>
          <c:y val="0.10653517060367453"/>
          <c:w val="0.88729837264215561"/>
          <c:h val="0.72355905511811025"/>
        </c:manualLayout>
      </c:layout>
      <c:scatterChart>
        <c:scatterStyle val="lineMarker"/>
        <c:varyColors val="0"/>
        <c:ser>
          <c:idx val="2"/>
          <c:order val="0"/>
          <c:tx>
            <c:v>Mu = 0.1</c:v>
          </c:tx>
          <c:xVal>
            <c:numRef>
              <c:f>'Q13 3rd GEAR'!$B$28:$B$33</c:f>
              <c:numCache>
                <c:formatCode>0</c:formatCode>
                <c:ptCount val="6"/>
                <c:pt idx="0">
                  <c:v>50</c:v>
                </c:pt>
                <c:pt idx="1">
                  <c:v>60</c:v>
                </c:pt>
                <c:pt idx="2">
                  <c:v>70</c:v>
                </c:pt>
                <c:pt idx="3">
                  <c:v>80</c:v>
                </c:pt>
                <c:pt idx="4">
                  <c:v>90</c:v>
                </c:pt>
                <c:pt idx="5">
                  <c:v>100</c:v>
                </c:pt>
              </c:numCache>
            </c:numRef>
          </c:xVal>
          <c:yVal>
            <c:numRef>
              <c:f>'Q13 3rd GEAR'!$F$28:$F$33</c:f>
              <c:numCache>
                <c:formatCode>0.000</c:formatCode>
                <c:ptCount val="6"/>
                <c:pt idx="0">
                  <c:v>0</c:v>
                </c:pt>
                <c:pt idx="1">
                  <c:v>7.4839115622038946E-2</c:v>
                </c:pt>
                <c:pt idx="2">
                  <c:v>0.14967823124407795</c:v>
                </c:pt>
                <c:pt idx="3">
                  <c:v>0.22451734686611696</c:v>
                </c:pt>
                <c:pt idx="4">
                  <c:v>0.29935646248815584</c:v>
                </c:pt>
                <c:pt idx="5">
                  <c:v>0.37419557811019488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EF6-4763-B4BF-B40DC3EBFA32}"/>
            </c:ext>
          </c:extLst>
        </c:ser>
        <c:ser>
          <c:idx val="1"/>
          <c:order val="1"/>
          <c:tx>
            <c:v>Mu = 0.5</c:v>
          </c:tx>
          <c:xVal>
            <c:numRef>
              <c:f>'Q13 3rd GEAR'!$B$18:$B$23</c:f>
              <c:numCache>
                <c:formatCode>0</c:formatCode>
                <c:ptCount val="6"/>
                <c:pt idx="0">
                  <c:v>50</c:v>
                </c:pt>
                <c:pt idx="1">
                  <c:v>60</c:v>
                </c:pt>
                <c:pt idx="2">
                  <c:v>70</c:v>
                </c:pt>
                <c:pt idx="3">
                  <c:v>80</c:v>
                </c:pt>
                <c:pt idx="4">
                  <c:v>90</c:v>
                </c:pt>
                <c:pt idx="5">
                  <c:v>100</c:v>
                </c:pt>
              </c:numCache>
            </c:numRef>
          </c:xVal>
          <c:yVal>
            <c:numRef>
              <c:f>'Q13 3rd GEAR'!$F$18:$F$23</c:f>
              <c:numCache>
                <c:formatCode>0.000</c:formatCode>
                <c:ptCount val="6"/>
                <c:pt idx="0">
                  <c:v>0</c:v>
                </c:pt>
                <c:pt idx="1">
                  <c:v>0.37419557811019477</c:v>
                </c:pt>
                <c:pt idx="2">
                  <c:v>0.74839115622038976</c:v>
                </c:pt>
                <c:pt idx="3">
                  <c:v>1.1225867343305849</c:v>
                </c:pt>
                <c:pt idx="4">
                  <c:v>1.4967823124407793</c:v>
                </c:pt>
                <c:pt idx="5">
                  <c:v>1.8709778905509746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EF6-4763-B4BF-B40DC3EBFA32}"/>
            </c:ext>
          </c:extLst>
        </c:ser>
        <c:ser>
          <c:idx val="0"/>
          <c:order val="2"/>
          <c:tx>
            <c:v>Mu = 0.7</c:v>
          </c:tx>
          <c:xVal>
            <c:numRef>
              <c:f>'Q13 3rd GEAR'!$B$8:$B$13</c:f>
              <c:numCache>
                <c:formatCode>0</c:formatCode>
                <c:ptCount val="6"/>
                <c:pt idx="0">
                  <c:v>50</c:v>
                </c:pt>
                <c:pt idx="1">
                  <c:v>60</c:v>
                </c:pt>
                <c:pt idx="2">
                  <c:v>70</c:v>
                </c:pt>
                <c:pt idx="3">
                  <c:v>80</c:v>
                </c:pt>
                <c:pt idx="4">
                  <c:v>90</c:v>
                </c:pt>
                <c:pt idx="5">
                  <c:v>100</c:v>
                </c:pt>
              </c:numCache>
            </c:numRef>
          </c:xVal>
          <c:yVal>
            <c:numRef>
              <c:f>'Q13 3rd GEAR'!$F$8:$F$13</c:f>
              <c:numCache>
                <c:formatCode>0.000</c:formatCode>
                <c:ptCount val="6"/>
                <c:pt idx="0">
                  <c:v>0</c:v>
                </c:pt>
                <c:pt idx="1">
                  <c:v>0.52387380935427263</c:v>
                </c:pt>
                <c:pt idx="2">
                  <c:v>1.0477476187085457</c:v>
                </c:pt>
                <c:pt idx="3">
                  <c:v>1.5716214280628185</c:v>
                </c:pt>
                <c:pt idx="4">
                  <c:v>2.0954952374170914</c:v>
                </c:pt>
                <c:pt idx="5">
                  <c:v>2.619369046771364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EF6-4763-B4BF-B40DC3EBFA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8514072"/>
        <c:axId val="628514728"/>
      </c:scatterChart>
      <c:valAx>
        <c:axId val="628514072"/>
        <c:scaling>
          <c:orientation val="minMax"/>
          <c:max val="110"/>
          <c:min val="4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b="0"/>
                  <a:t>Torque Split (Outside:Inside)</a:t>
                </a:r>
              </a:p>
            </c:rich>
          </c:tx>
          <c:layout>
            <c:manualLayout>
              <c:xMode val="edge"/>
              <c:yMode val="edge"/>
              <c:x val="0.38333222275283302"/>
              <c:y val="0.87467853524888339"/>
            </c:manualLayout>
          </c:layout>
          <c:overlay val="0"/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8514728"/>
        <c:crosses val="autoZero"/>
        <c:crossBetween val="midCat"/>
      </c:valAx>
      <c:valAx>
        <c:axId val="628514728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b="0"/>
                  <a:t>Additional</a:t>
                </a:r>
                <a:r>
                  <a:rPr lang="en-GB" b="0" baseline="0"/>
                  <a:t> Yaw Rate (rads/sec)</a:t>
                </a:r>
                <a:endParaRPr lang="en-GB" b="0"/>
              </a:p>
            </c:rich>
          </c:tx>
          <c:layout>
            <c:manualLayout>
              <c:xMode val="edge"/>
              <c:yMode val="edge"/>
              <c:x val="7.052186177715092E-3"/>
              <c:y val="0.23543278307316851"/>
            </c:manualLayout>
          </c:layout>
          <c:overlay val="0"/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8514072"/>
        <c:crosses val="autoZero"/>
        <c:crossBetween val="midCat"/>
        <c:majorUnit val="0.25"/>
      </c:valAx>
    </c:plotArea>
    <c:legend>
      <c:legendPos val="b"/>
      <c:layout>
        <c:manualLayout>
          <c:xMode val="edge"/>
          <c:yMode val="edge"/>
          <c:x val="0.24624790377930544"/>
          <c:y val="0.92294256803425889"/>
          <c:w val="0.50600171039795727"/>
          <c:h val="6.697375328083989E-2"/>
        </c:manualLayout>
      </c:layout>
      <c:overlay val="0"/>
    </c:legend>
    <c:plotVisOnly val="1"/>
    <c:dispBlanksAs val="zero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GB" sz="1200" b="0"/>
              <a:t>Additional Yaw Rate</a:t>
            </a:r>
            <a:r>
              <a:rPr lang="en-GB" sz="1200" b="0" baseline="0"/>
              <a:t> Through Brake Torque Vectoring on Various Surfaces</a:t>
            </a:r>
            <a:endParaRPr lang="en-GB" sz="1200" b="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2518216627040175E-2"/>
          <c:y val="9.6535170603674544E-2"/>
          <c:w val="0.88729837264215561"/>
          <c:h val="0.73355905511811037"/>
        </c:manualLayout>
      </c:layout>
      <c:scatterChart>
        <c:scatterStyle val="lineMarker"/>
        <c:varyColors val="0"/>
        <c:ser>
          <c:idx val="2"/>
          <c:order val="0"/>
          <c:tx>
            <c:v>Mu = 0.1</c:v>
          </c:tx>
          <c:xVal>
            <c:numRef>
              <c:f>'Q13 3rd GEAR'!$C$61:$C$65</c:f>
              <c:numCache>
                <c:formatCode>0</c:formatCode>
                <c:ptCount val="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</c:numCache>
            </c:numRef>
          </c:xVal>
          <c:yVal>
            <c:numRef>
              <c:f>'Q13 3rd GEAR'!$J$61:$J$65</c:f>
              <c:numCache>
                <c:formatCode>0.000</c:formatCode>
                <c:ptCount val="5"/>
                <c:pt idx="0">
                  <c:v>1.9119453548766021</c:v>
                </c:pt>
                <c:pt idx="1">
                  <c:v>1.9529128192022298</c:v>
                </c:pt>
                <c:pt idx="2">
                  <c:v>1.9938802835278577</c:v>
                </c:pt>
                <c:pt idx="3">
                  <c:v>2.0348477478534854</c:v>
                </c:pt>
                <c:pt idx="4">
                  <c:v>2.0758152121791129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0D3-4CE4-B4B1-E147EE1017A4}"/>
            </c:ext>
          </c:extLst>
        </c:ser>
        <c:ser>
          <c:idx val="1"/>
          <c:order val="1"/>
          <c:tx>
            <c:v>Mu = 0.5</c:v>
          </c:tx>
          <c:xVal>
            <c:numRef>
              <c:f>'Q13 3rd GEAR'!$C$52:$C$56</c:f>
              <c:numCache>
                <c:formatCode>0</c:formatCode>
                <c:ptCount val="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</c:numCache>
            </c:numRef>
          </c:xVal>
          <c:yVal>
            <c:numRef>
              <c:f>'Q13 3rd GEAR'!$J$52:$J$56</c:f>
              <c:numCache>
                <c:formatCode>0.000</c:formatCode>
                <c:ptCount val="5"/>
                <c:pt idx="0">
                  <c:v>2.0757739399987898</c:v>
                </c:pt>
                <c:pt idx="1">
                  <c:v>2.2805699894466045</c:v>
                </c:pt>
                <c:pt idx="2">
                  <c:v>2.4853660388944196</c:v>
                </c:pt>
                <c:pt idx="3">
                  <c:v>2.6901620883422348</c:v>
                </c:pt>
                <c:pt idx="4">
                  <c:v>2.89495813779005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0D3-4CE4-B4B1-E147EE1017A4}"/>
            </c:ext>
          </c:extLst>
        </c:ser>
        <c:ser>
          <c:idx val="0"/>
          <c:order val="2"/>
          <c:tx>
            <c:v>Mu = 0.7</c:v>
          </c:tx>
          <c:xVal>
            <c:numRef>
              <c:f>'Q13 3rd GEAR'!$C$43:$C$47</c:f>
              <c:numCache>
                <c:formatCode>0</c:formatCode>
                <c:ptCount val="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</c:numCache>
            </c:numRef>
          </c:xVal>
          <c:yVal>
            <c:numRef>
              <c:f>'Q13 3rd GEAR'!$J$43:$J$47</c:f>
              <c:numCache>
                <c:formatCode>0.000</c:formatCode>
                <c:ptCount val="5"/>
                <c:pt idx="0">
                  <c:v>2.1577497301619077</c:v>
                </c:pt>
                <c:pt idx="1">
                  <c:v>2.4445215697728413</c:v>
                </c:pt>
                <c:pt idx="2">
                  <c:v>2.7312934093837744</c:v>
                </c:pt>
                <c:pt idx="3">
                  <c:v>3.0180652489947075</c:v>
                </c:pt>
                <c:pt idx="4">
                  <c:v>3.3048370886056406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0D3-4CE4-B4B1-E147EE101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8514072"/>
        <c:axId val="628514728"/>
      </c:scatterChart>
      <c:valAx>
        <c:axId val="628514072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b="0"/>
                  <a:t>Brake Force Applied to Inside Wheel (%)</a:t>
                </a:r>
              </a:p>
            </c:rich>
          </c:tx>
          <c:layout>
            <c:manualLayout>
              <c:xMode val="edge"/>
              <c:yMode val="edge"/>
              <c:x val="0.38333222275283302"/>
              <c:y val="0.87467853524888339"/>
            </c:manualLayout>
          </c:layout>
          <c:overlay val="0"/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8514728"/>
        <c:crosses val="autoZero"/>
        <c:crossBetween val="midCat"/>
      </c:valAx>
      <c:valAx>
        <c:axId val="628514728"/>
        <c:scaling>
          <c:orientation val="minMax"/>
          <c:max val="3.5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b="0"/>
                  <a:t>Additional</a:t>
                </a:r>
                <a:r>
                  <a:rPr lang="en-GB" b="0" baseline="0"/>
                  <a:t> Yaw Rate (rads/sec)</a:t>
                </a:r>
                <a:endParaRPr lang="en-GB" b="0"/>
              </a:p>
            </c:rich>
          </c:tx>
          <c:layout>
            <c:manualLayout>
              <c:xMode val="edge"/>
              <c:yMode val="edge"/>
              <c:x val="7.052186177715092E-3"/>
              <c:y val="0.23543278307316851"/>
            </c:manualLayout>
          </c:layout>
          <c:overlay val="0"/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8514072"/>
        <c:crosses val="autoZero"/>
        <c:crossBetween val="midCat"/>
        <c:majorUnit val="0.25"/>
      </c:valAx>
    </c:plotArea>
    <c:legend>
      <c:legendPos val="b"/>
      <c:layout>
        <c:manualLayout>
          <c:xMode val="edge"/>
          <c:yMode val="edge"/>
          <c:x val="0.24624790377930544"/>
          <c:y val="0.92294256803425889"/>
          <c:w val="0.50600171039795727"/>
          <c:h val="6.697375328083989E-2"/>
        </c:manualLayout>
      </c:layout>
      <c:overlay val="0"/>
    </c:legend>
    <c:plotVisOnly val="1"/>
    <c:dispBlanksAs val="zero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0</xdr:rowOff>
    </xdr:from>
    <xdr:to>
      <xdr:col>11</xdr:col>
      <xdr:colOff>281940</xdr:colOff>
      <xdr:row>23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544E524-42A0-4D5F-B8CC-39000EBC0E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6</xdr:row>
      <xdr:rowOff>0</xdr:rowOff>
    </xdr:from>
    <xdr:to>
      <xdr:col>18</xdr:col>
      <xdr:colOff>555859</xdr:colOff>
      <xdr:row>24</xdr:row>
      <xdr:rowOff>10027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03CC201-D836-49ED-A4BA-6730ADB3DC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18</xdr:col>
      <xdr:colOff>555859</xdr:colOff>
      <xdr:row>17</xdr:row>
      <xdr:rowOff>120316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BBAFC85-EB03-4C77-BFBF-6DAF10D922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20</xdr:row>
      <xdr:rowOff>0</xdr:rowOff>
    </xdr:from>
    <xdr:to>
      <xdr:col>18</xdr:col>
      <xdr:colOff>546334</xdr:colOff>
      <xdr:row>37</xdr:row>
      <xdr:rowOff>3208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68C1CE8-2865-4943-B971-2AFE787D7F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43765-0425-41B3-B6D6-57B54B7D70B7}">
  <dimension ref="A2:P21"/>
  <sheetViews>
    <sheetView tabSelected="1" zoomScale="85" zoomScaleNormal="85" workbookViewId="0"/>
  </sheetViews>
  <sheetFormatPr defaultRowHeight="14.4" x14ac:dyDescent="0.3"/>
  <cols>
    <col min="1" max="1" width="2.5546875" style="3" customWidth="1"/>
    <col min="2" max="2" width="6.109375" style="3" customWidth="1"/>
    <col min="3" max="4" width="8.88671875" style="3"/>
    <col min="5" max="5" width="11.88671875" style="3" customWidth="1"/>
    <col min="6" max="6" width="8.88671875" style="3"/>
    <col min="7" max="9" width="17.77734375" style="3" customWidth="1"/>
    <col min="10" max="10" width="8.88671875" style="3"/>
    <col min="11" max="11" width="9.6640625" style="3" customWidth="1"/>
    <col min="12" max="16" width="17.77734375" style="3" customWidth="1"/>
    <col min="17" max="16384" width="8.88671875" style="3"/>
  </cols>
  <sheetData>
    <row r="2" spans="2:16" ht="57" customHeight="1" x14ac:dyDescent="0.3">
      <c r="C2" s="21" t="s">
        <v>16</v>
      </c>
      <c r="D2" s="22"/>
      <c r="E2" s="4" t="s">
        <v>14</v>
      </c>
      <c r="F2" s="4" t="s">
        <v>15</v>
      </c>
      <c r="G2" s="5" t="s">
        <v>20</v>
      </c>
      <c r="H2" s="5" t="s">
        <v>59</v>
      </c>
      <c r="J2" s="24" t="s">
        <v>21</v>
      </c>
      <c r="K2" s="24"/>
      <c r="L2" s="27" t="s">
        <v>24</v>
      </c>
      <c r="M2" s="19" t="s">
        <v>60</v>
      </c>
      <c r="N2" s="19" t="s">
        <v>61</v>
      </c>
      <c r="O2" s="19" t="s">
        <v>62</v>
      </c>
      <c r="P2" s="19" t="s">
        <v>63</v>
      </c>
    </row>
    <row r="3" spans="2:16" x14ac:dyDescent="0.3">
      <c r="B3" s="23" t="s">
        <v>18</v>
      </c>
      <c r="C3" s="12">
        <v>1</v>
      </c>
      <c r="D3" s="1">
        <v>3.4</v>
      </c>
      <c r="E3" s="1">
        <v>4.38</v>
      </c>
      <c r="F3" s="1">
        <f>D3*E3</f>
        <v>14.891999999999999</v>
      </c>
      <c r="G3" s="1">
        <f>6000/F3</f>
        <v>402.90088638195004</v>
      </c>
      <c r="H3" s="7" t="s">
        <v>19</v>
      </c>
      <c r="J3" s="6" t="s">
        <v>22</v>
      </c>
      <c r="K3" s="6" t="s">
        <v>23</v>
      </c>
      <c r="L3" s="28"/>
      <c r="M3" s="20"/>
      <c r="N3" s="20"/>
      <c r="O3" s="20"/>
      <c r="P3" s="20"/>
    </row>
    <row r="4" spans="2:16" x14ac:dyDescent="0.3">
      <c r="B4" s="23"/>
      <c r="C4" s="12">
        <v>2</v>
      </c>
      <c r="D4" s="1">
        <v>2.1800000000000002</v>
      </c>
      <c r="E4" s="1">
        <v>4.38</v>
      </c>
      <c r="F4" s="1">
        <f t="shared" ref="F4:F9" si="0">D4*E4</f>
        <v>9.5484000000000009</v>
      </c>
      <c r="G4" s="1">
        <f t="shared" ref="G4:G9" si="1">6000/F4</f>
        <v>628.37752921955507</v>
      </c>
      <c r="H4" s="7" t="s">
        <v>19</v>
      </c>
      <c r="J4" s="11">
        <v>1</v>
      </c>
      <c r="K4" s="11">
        <v>1</v>
      </c>
      <c r="L4" s="1">
        <f>G11-G3</f>
        <v>263.17929459077834</v>
      </c>
      <c r="M4" s="1">
        <f>(($H$12)*(L4/60)*(2*PI()))/1000</f>
        <v>10.033651111305639</v>
      </c>
      <c r="N4" s="1">
        <f>(M4)*(1.34102)</f>
        <v>13.45532681328309</v>
      </c>
      <c r="O4" s="13">
        <f>(M4)*(2)</f>
        <v>20.067302222611278</v>
      </c>
      <c r="P4" s="13">
        <f>(N4)*(2)</f>
        <v>26.91065362656618</v>
      </c>
    </row>
    <row r="5" spans="2:16" x14ac:dyDescent="0.3">
      <c r="B5" s="23"/>
      <c r="C5" s="12">
        <v>3</v>
      </c>
      <c r="D5" s="1">
        <v>1.63</v>
      </c>
      <c r="E5" s="1">
        <v>4.38</v>
      </c>
      <c r="F5" s="1">
        <f t="shared" si="0"/>
        <v>7.1393999999999993</v>
      </c>
      <c r="G5" s="1">
        <f t="shared" si="1"/>
        <v>840.40675687032535</v>
      </c>
      <c r="H5" s="7" t="s">
        <v>19</v>
      </c>
      <c r="J5" s="11">
        <v>1</v>
      </c>
      <c r="K5" s="11">
        <v>2</v>
      </c>
      <c r="L5" s="1">
        <f>G11-G4</f>
        <v>37.702651753173313</v>
      </c>
      <c r="M5" s="1">
        <f t="shared" ref="M5:M7" si="2">(($H$12)*(L5/60)*(2*PI()))/1000</f>
        <v>1.4374050749342355</v>
      </c>
      <c r="N5" s="1">
        <f t="shared" ref="N5:N7" si="3">(M5)*(1.34102)</f>
        <v>1.9275889535883086</v>
      </c>
      <c r="O5" s="13">
        <f t="shared" ref="O5:P7" si="4">(M5)*(2)</f>
        <v>2.8748101498684711</v>
      </c>
      <c r="P5" s="13">
        <f t="shared" si="4"/>
        <v>3.8551779071766172</v>
      </c>
    </row>
    <row r="6" spans="2:16" x14ac:dyDescent="0.3">
      <c r="B6" s="23"/>
      <c r="C6" s="12">
        <v>4</v>
      </c>
      <c r="D6" s="1">
        <v>1.29</v>
      </c>
      <c r="E6" s="1">
        <v>4.38</v>
      </c>
      <c r="F6" s="1">
        <f t="shared" si="0"/>
        <v>5.6501999999999999</v>
      </c>
      <c r="G6" s="1">
        <f t="shared" si="1"/>
        <v>1061.9093129446746</v>
      </c>
      <c r="H6" s="7" t="s">
        <v>19</v>
      </c>
      <c r="J6" s="11">
        <v>2</v>
      </c>
      <c r="K6" s="11">
        <v>3</v>
      </c>
      <c r="L6" s="1">
        <f>G12-G5</f>
        <v>285.21711485102969</v>
      </c>
      <c r="M6" s="1">
        <f t="shared" si="2"/>
        <v>10.873838026803105</v>
      </c>
      <c r="N6" s="1">
        <f t="shared" si="3"/>
        <v>14.582034270703501</v>
      </c>
      <c r="O6" s="13">
        <f t="shared" si="4"/>
        <v>21.747676053606209</v>
      </c>
      <c r="P6" s="13">
        <f t="shared" si="4"/>
        <v>29.164068541407001</v>
      </c>
    </row>
    <row r="7" spans="2:16" x14ac:dyDescent="0.3">
      <c r="B7" s="23"/>
      <c r="C7" s="12">
        <v>5</v>
      </c>
      <c r="D7" s="1">
        <v>1.03</v>
      </c>
      <c r="E7" s="1">
        <v>4.38</v>
      </c>
      <c r="F7" s="1">
        <f t="shared" si="0"/>
        <v>4.5114000000000001</v>
      </c>
      <c r="G7" s="1">
        <f t="shared" si="1"/>
        <v>1329.9640909695438</v>
      </c>
      <c r="H7" s="7" t="s">
        <v>19</v>
      </c>
      <c r="J7" s="11">
        <v>2</v>
      </c>
      <c r="K7" s="11">
        <v>4</v>
      </c>
      <c r="L7" s="1">
        <f>G12-G6</f>
        <v>63.714558776680406</v>
      </c>
      <c r="M7" s="1">
        <f t="shared" si="2"/>
        <v>2.42910314988886</v>
      </c>
      <c r="N7" s="1">
        <f t="shared" si="3"/>
        <v>3.2574759060639593</v>
      </c>
      <c r="O7" s="13">
        <f t="shared" si="4"/>
        <v>4.85820629977772</v>
      </c>
      <c r="P7" s="13">
        <f t="shared" si="4"/>
        <v>6.5149518121279186</v>
      </c>
    </row>
    <row r="8" spans="2:16" x14ac:dyDescent="0.3">
      <c r="B8" s="23"/>
      <c r="C8" s="12">
        <v>6</v>
      </c>
      <c r="D8" s="1">
        <v>0.84</v>
      </c>
      <c r="E8" s="1">
        <v>4.38</v>
      </c>
      <c r="F8" s="1">
        <f t="shared" si="0"/>
        <v>3.6791999999999998</v>
      </c>
      <c r="G8" s="1">
        <f t="shared" si="1"/>
        <v>1630.7893020221788</v>
      </c>
      <c r="H8" s="7" t="s">
        <v>19</v>
      </c>
    </row>
    <row r="9" spans="2:16" x14ac:dyDescent="0.3">
      <c r="B9" s="23"/>
      <c r="C9" s="12">
        <v>7</v>
      </c>
      <c r="D9" s="1">
        <v>0.63</v>
      </c>
      <c r="E9" s="1">
        <v>4.38</v>
      </c>
      <c r="F9" s="1">
        <f t="shared" si="0"/>
        <v>2.7593999999999999</v>
      </c>
      <c r="G9" s="1">
        <f t="shared" si="1"/>
        <v>2174.3857360295719</v>
      </c>
      <c r="H9" s="7" t="s">
        <v>19</v>
      </c>
    </row>
    <row r="10" spans="2:16" ht="14.4" customHeight="1" x14ac:dyDescent="0.3"/>
    <row r="11" spans="2:16" ht="18" customHeight="1" x14ac:dyDescent="0.3">
      <c r="B11" s="23" t="s">
        <v>17</v>
      </c>
      <c r="C11" s="12">
        <v>1</v>
      </c>
      <c r="D11" s="1">
        <f>F4/1.06</f>
        <v>9.0079245283018867</v>
      </c>
      <c r="E11" s="7" t="s">
        <v>19</v>
      </c>
      <c r="F11" s="1">
        <v>9.0079245283018867</v>
      </c>
      <c r="G11" s="1">
        <f>6000/D11</f>
        <v>666.08018097272839</v>
      </c>
      <c r="H11" s="1">
        <f>(683*0.1)*(F11)</f>
        <v>615.24124528301888</v>
      </c>
    </row>
    <row r="12" spans="2:16" ht="18" customHeight="1" x14ac:dyDescent="0.3">
      <c r="B12" s="23"/>
      <c r="C12" s="12">
        <v>2</v>
      </c>
      <c r="D12" s="1">
        <f>F6/1.06</f>
        <v>5.3303773584905656</v>
      </c>
      <c r="E12" s="7" t="s">
        <v>19</v>
      </c>
      <c r="F12" s="1">
        <v>5.3303773584905656</v>
      </c>
      <c r="G12" s="1">
        <f>6000/D12</f>
        <v>1125.623871721355</v>
      </c>
      <c r="H12" s="1">
        <f>(683*0.1)*(F12)</f>
        <v>364.06477358490559</v>
      </c>
    </row>
    <row r="15" spans="2:16" x14ac:dyDescent="0.3">
      <c r="C15" s="24" t="s">
        <v>25</v>
      </c>
      <c r="D15" s="24"/>
      <c r="E15" s="24"/>
      <c r="F15" s="24"/>
      <c r="G15" s="24"/>
      <c r="H15" s="24"/>
      <c r="I15" s="24"/>
    </row>
    <row r="16" spans="2:16" ht="60" customHeight="1" x14ac:dyDescent="0.3">
      <c r="C16" s="8" t="s">
        <v>28</v>
      </c>
      <c r="D16" s="8" t="s">
        <v>29</v>
      </c>
      <c r="E16" s="8" t="s">
        <v>30</v>
      </c>
      <c r="F16" s="8" t="s">
        <v>26</v>
      </c>
      <c r="G16" s="8" t="s">
        <v>27</v>
      </c>
      <c r="H16" s="5" t="s">
        <v>31</v>
      </c>
      <c r="I16" s="5" t="s">
        <v>32</v>
      </c>
    </row>
    <row r="17" spans="1:11" x14ac:dyDescent="0.3">
      <c r="C17" s="1">
        <v>0.125</v>
      </c>
      <c r="D17" s="1">
        <v>7.0000000000000007E-2</v>
      </c>
      <c r="E17" s="1">
        <v>7.0000000000000007E-2</v>
      </c>
      <c r="F17" s="1">
        <v>6</v>
      </c>
      <c r="G17" s="1">
        <f>$H$11/12</f>
        <v>51.270103773584907</v>
      </c>
      <c r="H17" s="1">
        <f>(($G$17)/(((C17^3)-(D17)^3)/((C17^2)-(D17)^2)*(2/3)*($E$17)))/1000</f>
        <v>7.3180457990843388</v>
      </c>
      <c r="I17" s="1">
        <f>((2*G17)/(E17*(C17+D17)))/1000</f>
        <v>7.5121031170087766</v>
      </c>
    </row>
    <row r="18" spans="1:11" x14ac:dyDescent="0.3">
      <c r="A18" s="25" t="s">
        <v>35</v>
      </c>
      <c r="B18" s="26"/>
      <c r="C18" s="1">
        <f>C17*0.75</f>
        <v>9.375E-2</v>
      </c>
      <c r="D18" s="1">
        <f>D17*0.75</f>
        <v>5.2500000000000005E-2</v>
      </c>
      <c r="E18" s="1">
        <v>7.0000000000000007E-2</v>
      </c>
      <c r="F18" s="1">
        <v>6</v>
      </c>
      <c r="G18" s="1">
        <f>$H$11/12</f>
        <v>51.270103773584907</v>
      </c>
      <c r="H18" s="1">
        <f>(($G$17)/(((C18^3)-(D18)^3)/((C18^2)-(D18)^2)*(2/3)*($E$17)))/1000</f>
        <v>9.7573943987791232</v>
      </c>
      <c r="I18" s="1">
        <f>((2*G18)/(E18*(C18+D18)))/1000</f>
        <v>10.016137489345038</v>
      </c>
    </row>
    <row r="21" spans="1:11" x14ac:dyDescent="0.3">
      <c r="K21" s="10"/>
    </row>
  </sheetData>
  <mergeCells count="11">
    <mergeCell ref="C15:I15"/>
    <mergeCell ref="A18:B18"/>
    <mergeCell ref="L2:L3"/>
    <mergeCell ref="M2:M3"/>
    <mergeCell ref="B11:B12"/>
    <mergeCell ref="P2:P3"/>
    <mergeCell ref="N2:N3"/>
    <mergeCell ref="C2:D2"/>
    <mergeCell ref="B3:B9"/>
    <mergeCell ref="J2:K2"/>
    <mergeCell ref="O2:O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70C2F-DF2B-4E13-975E-34AA3845FA00}">
  <dimension ref="B1:L12"/>
  <sheetViews>
    <sheetView zoomScale="75" zoomScaleNormal="75" workbookViewId="0"/>
  </sheetViews>
  <sheetFormatPr defaultRowHeight="14.4" x14ac:dyDescent="0.3"/>
  <cols>
    <col min="1" max="1" width="2.33203125" style="3" customWidth="1"/>
    <col min="2" max="2" width="15" style="3" bestFit="1" customWidth="1"/>
    <col min="3" max="3" width="8.88671875" style="3"/>
    <col min="4" max="4" width="10.88671875" style="3" customWidth="1"/>
    <col min="5" max="5" width="13.44140625" style="3" bestFit="1" customWidth="1"/>
    <col min="6" max="6" width="16.88671875" style="3" bestFit="1" customWidth="1"/>
    <col min="7" max="8" width="8.88671875" style="3"/>
    <col min="9" max="9" width="24.6640625" style="3" bestFit="1" customWidth="1"/>
    <col min="10" max="10" width="23.44140625" style="3" bestFit="1" customWidth="1"/>
    <col min="11" max="11" width="26.44140625" style="3" bestFit="1" customWidth="1"/>
    <col min="12" max="12" width="27.44140625" style="3" customWidth="1"/>
    <col min="13" max="16384" width="8.88671875" style="3"/>
  </cols>
  <sheetData>
    <row r="1" spans="2:12" ht="9.6" customHeight="1" x14ac:dyDescent="0.3"/>
    <row r="2" spans="2:12" ht="14.4" customHeight="1" x14ac:dyDescent="0.3">
      <c r="E2" s="30" t="s">
        <v>9</v>
      </c>
      <c r="F2" s="30"/>
      <c r="I2" s="5" t="s">
        <v>33</v>
      </c>
      <c r="J2" s="5" t="s">
        <v>34</v>
      </c>
      <c r="K2" s="4" t="s">
        <v>12</v>
      </c>
      <c r="L2" s="4" t="s">
        <v>13</v>
      </c>
    </row>
    <row r="3" spans="2:12" ht="14.4" customHeight="1" x14ac:dyDescent="0.3">
      <c r="B3" s="6" t="s">
        <v>0</v>
      </c>
      <c r="C3" s="6" t="s">
        <v>45</v>
      </c>
      <c r="D3" s="9" t="s">
        <v>8</v>
      </c>
      <c r="E3" s="5" t="s">
        <v>10</v>
      </c>
      <c r="F3" s="5" t="s">
        <v>11</v>
      </c>
      <c r="I3" s="1">
        <f>((683)*(0.1)*('Q11'!$F$11))/0.254</f>
        <v>2422.2096270984994</v>
      </c>
      <c r="J3" s="1">
        <f>((683)*(0.4)*('Q11'!$F$3))/0.254</f>
        <v>16017.694488188974</v>
      </c>
      <c r="K3" s="1">
        <v>2033.8</v>
      </c>
      <c r="L3" s="1">
        <v>2141.9</v>
      </c>
    </row>
    <row r="4" spans="2:12" x14ac:dyDescent="0.3">
      <c r="B4" s="1" t="s">
        <v>6</v>
      </c>
      <c r="C4" s="1">
        <v>0.7</v>
      </c>
      <c r="D4" s="2">
        <f>($I$3+$J$3)*2*C4</f>
        <v>25815.865761402463</v>
      </c>
      <c r="E4" s="1">
        <f t="shared" ref="E4:E10" si="0">D4/$K$3</f>
        <v>12.693414181041629</v>
      </c>
      <c r="F4" s="1">
        <f t="shared" ref="F4:F10" si="1">D4/$L$3</f>
        <v>12.052787600449349</v>
      </c>
    </row>
    <row r="5" spans="2:12" x14ac:dyDescent="0.3">
      <c r="B5" s="1" t="s">
        <v>7</v>
      </c>
      <c r="C5" s="1">
        <v>0.4</v>
      </c>
      <c r="D5" s="2">
        <f t="shared" ref="D5:D10" si="2">($I$3+$J$3)*2*C5</f>
        <v>14751.92329222998</v>
      </c>
      <c r="E5" s="1">
        <f t="shared" si="0"/>
        <v>7.2533795320237884</v>
      </c>
      <c r="F5" s="1">
        <f t="shared" si="1"/>
        <v>6.8873072002567719</v>
      </c>
    </row>
    <row r="6" spans="2:12" x14ac:dyDescent="0.3">
      <c r="B6" s="1" t="s">
        <v>1</v>
      </c>
      <c r="C6" s="1">
        <v>0.55000000000000004</v>
      </c>
      <c r="D6" s="2">
        <f t="shared" si="2"/>
        <v>20283.894526816224</v>
      </c>
      <c r="E6" s="1">
        <f t="shared" si="0"/>
        <v>9.9733968565327089</v>
      </c>
      <c r="F6" s="1">
        <f t="shared" si="1"/>
        <v>9.4700474003530619</v>
      </c>
    </row>
    <row r="7" spans="2:12" x14ac:dyDescent="0.3">
      <c r="B7" s="1" t="s">
        <v>2</v>
      </c>
      <c r="C7" s="1">
        <v>0.45</v>
      </c>
      <c r="D7" s="2">
        <f t="shared" si="2"/>
        <v>16595.913703758728</v>
      </c>
      <c r="E7" s="1">
        <f t="shared" si="0"/>
        <v>8.1600519735267625</v>
      </c>
      <c r="F7" s="1">
        <f t="shared" si="1"/>
        <v>7.7482206002888683</v>
      </c>
    </row>
    <row r="8" spans="2:12" x14ac:dyDescent="0.3">
      <c r="B8" s="1" t="s">
        <v>3</v>
      </c>
      <c r="C8" s="1">
        <v>0.3</v>
      </c>
      <c r="D8" s="2">
        <f t="shared" si="2"/>
        <v>11063.942469172483</v>
      </c>
      <c r="E8" s="1">
        <f t="shared" si="0"/>
        <v>5.4400346490178402</v>
      </c>
      <c r="F8" s="1">
        <f t="shared" si="1"/>
        <v>5.1654804001925783</v>
      </c>
    </row>
    <row r="9" spans="2:12" x14ac:dyDescent="0.3">
      <c r="B9" s="1" t="s">
        <v>4</v>
      </c>
      <c r="C9" s="1">
        <v>0.1</v>
      </c>
      <c r="D9" s="2">
        <f t="shared" si="2"/>
        <v>3687.9808230574949</v>
      </c>
      <c r="E9" s="1">
        <f t="shared" si="0"/>
        <v>1.8133448830059471</v>
      </c>
      <c r="F9" s="1">
        <f t="shared" si="1"/>
        <v>1.721826800064193</v>
      </c>
    </row>
    <row r="10" spans="2:12" x14ac:dyDescent="0.3">
      <c r="B10" s="1" t="s">
        <v>5</v>
      </c>
      <c r="C10" s="1">
        <v>0.06</v>
      </c>
      <c r="D10" s="2">
        <f t="shared" si="2"/>
        <v>2212.7884938344969</v>
      </c>
      <c r="E10" s="1">
        <f t="shared" si="0"/>
        <v>1.0880069298035682</v>
      </c>
      <c r="F10" s="1">
        <f t="shared" si="1"/>
        <v>1.0330960800385156</v>
      </c>
    </row>
    <row r="12" spans="2:12" x14ac:dyDescent="0.3">
      <c r="B12" s="29"/>
      <c r="C12" s="29"/>
      <c r="D12" s="29"/>
      <c r="E12" s="29"/>
      <c r="F12" s="29"/>
    </row>
  </sheetData>
  <mergeCells count="2">
    <mergeCell ref="B12:F12"/>
    <mergeCell ref="E2:F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6EBA1-404C-4EA5-9EFD-83A82B3CBF87}">
  <dimension ref="A4:T67"/>
  <sheetViews>
    <sheetView zoomScale="75" zoomScaleNormal="75" workbookViewId="0"/>
  </sheetViews>
  <sheetFormatPr defaultRowHeight="14.4" x14ac:dyDescent="0.3"/>
  <cols>
    <col min="1" max="1" width="6" style="16" customWidth="1"/>
    <col min="2" max="2" width="14.88671875" style="16" bestFit="1" customWidth="1"/>
    <col min="3" max="3" width="13.109375" style="16" bestFit="1" customWidth="1"/>
    <col min="4" max="4" width="13.5546875" style="16" customWidth="1"/>
    <col min="5" max="6" width="15.77734375" style="16" customWidth="1"/>
    <col min="7" max="9" width="13.33203125" style="16" customWidth="1"/>
    <col min="10" max="10" width="13.21875" style="16" customWidth="1"/>
    <col min="11" max="11" width="13.77734375" style="16" customWidth="1"/>
    <col min="12" max="12" width="13.33203125" style="16" customWidth="1"/>
    <col min="13" max="13" width="13.109375" style="16" customWidth="1"/>
    <col min="14" max="14" width="13.21875" style="16" customWidth="1"/>
    <col min="15" max="15" width="13.109375" style="16" customWidth="1"/>
    <col min="16" max="16" width="15" style="16" customWidth="1"/>
    <col min="17" max="17" width="15.21875" style="16" customWidth="1"/>
    <col min="18" max="22" width="8.88671875" style="16"/>
    <col min="23" max="23" width="19.5546875" style="16" customWidth="1"/>
    <col min="24" max="16384" width="8.88671875" style="16"/>
  </cols>
  <sheetData>
    <row r="4" spans="1:19" ht="33.6" customHeight="1" x14ac:dyDescent="0.3">
      <c r="B4" s="30" t="s">
        <v>33</v>
      </c>
      <c r="C4" s="30"/>
      <c r="D4" s="30" t="s">
        <v>34</v>
      </c>
      <c r="E4" s="30"/>
      <c r="F4" s="17" t="s">
        <v>38</v>
      </c>
      <c r="L4" s="35" t="s">
        <v>65</v>
      </c>
      <c r="M4" s="35"/>
      <c r="N4" s="35"/>
      <c r="O4" s="35"/>
      <c r="P4" s="35"/>
      <c r="Q4" s="35"/>
      <c r="R4" s="35"/>
      <c r="S4" s="35"/>
    </row>
    <row r="5" spans="1:19" x14ac:dyDescent="0.3">
      <c r="B5" s="31">
        <f>('Q12'!$I$3)*2</f>
        <v>4844.4192541969987</v>
      </c>
      <c r="C5" s="31"/>
      <c r="D5" s="31">
        <f>('Q12'!$J$3)*2</f>
        <v>32035.388976377948</v>
      </c>
      <c r="E5" s="31"/>
      <c r="F5" s="18">
        <v>0.83799999999999997</v>
      </c>
    </row>
    <row r="7" spans="1:19" x14ac:dyDescent="0.3">
      <c r="A7" s="32" t="s">
        <v>46</v>
      </c>
      <c r="B7" s="15" t="s">
        <v>45</v>
      </c>
      <c r="C7" s="18">
        <v>0.7</v>
      </c>
    </row>
    <row r="8" spans="1:19" x14ac:dyDescent="0.3">
      <c r="A8" s="32"/>
      <c r="F8" s="24" t="s">
        <v>43</v>
      </c>
      <c r="G8" s="24"/>
      <c r="H8" s="24" t="s">
        <v>44</v>
      </c>
      <c r="I8" s="24"/>
    </row>
    <row r="9" spans="1:19" ht="28.8" customHeight="1" x14ac:dyDescent="0.3">
      <c r="A9" s="32"/>
      <c r="B9" s="17" t="s">
        <v>36</v>
      </c>
      <c r="C9" s="17" t="s">
        <v>37</v>
      </c>
      <c r="D9" s="17" t="s">
        <v>40</v>
      </c>
      <c r="E9" s="17" t="s">
        <v>39</v>
      </c>
      <c r="F9" s="17" t="s">
        <v>41</v>
      </c>
      <c r="G9" s="17" t="s">
        <v>42</v>
      </c>
      <c r="H9" s="17" t="s">
        <v>41</v>
      </c>
      <c r="I9" s="17" t="s">
        <v>42</v>
      </c>
    </row>
    <row r="10" spans="1:19" x14ac:dyDescent="0.3">
      <c r="A10" s="32"/>
      <c r="B10" s="11">
        <v>50</v>
      </c>
      <c r="C10" s="11">
        <v>50</v>
      </c>
      <c r="D10" s="18">
        <f t="shared" ref="D10:D15" si="0">((($B$5+$D$5)*(B10/100))-(($B$5+$D$5)*(C10/100)))*($C$7)</f>
        <v>0</v>
      </c>
      <c r="E10" s="18">
        <f t="shared" ref="E10:E15" si="1">(D10)*($F$5)</f>
        <v>0</v>
      </c>
      <c r="F10" s="18">
        <f t="shared" ref="F10:F15" si="2">(E10)/4081.151</f>
        <v>0</v>
      </c>
      <c r="G10" s="18">
        <f>(F10)*57.2958</f>
        <v>0</v>
      </c>
      <c r="H10" s="18">
        <f t="shared" ref="H10:H15" si="3">(E10)/4209.64</f>
        <v>0</v>
      </c>
      <c r="I10" s="18">
        <f>(H10)*57.2958</f>
        <v>0</v>
      </c>
    </row>
    <row r="11" spans="1:19" x14ac:dyDescent="0.3">
      <c r="A11" s="32"/>
      <c r="B11" s="11">
        <v>60</v>
      </c>
      <c r="C11" s="11">
        <v>40</v>
      </c>
      <c r="D11" s="18">
        <f t="shared" si="0"/>
        <v>5163.1731522804903</v>
      </c>
      <c r="E11" s="18">
        <f t="shared" si="1"/>
        <v>4326.7391016110505</v>
      </c>
      <c r="F11" s="18">
        <f t="shared" si="2"/>
        <v>1.0601761859855345</v>
      </c>
      <c r="G11" s="18">
        <f t="shared" ref="G11:G15" si="4">(F11)*57.2958</f>
        <v>60.743642716989989</v>
      </c>
      <c r="H11" s="18">
        <f t="shared" si="3"/>
        <v>1.027816892088409</v>
      </c>
      <c r="I11" s="18">
        <f t="shared" ref="I11:I15" si="5">(H11)*57.2958</f>
        <v>58.889591085719061</v>
      </c>
    </row>
    <row r="12" spans="1:19" x14ac:dyDescent="0.3">
      <c r="A12" s="32"/>
      <c r="B12" s="11">
        <v>70</v>
      </c>
      <c r="C12" s="11">
        <v>30</v>
      </c>
      <c r="D12" s="18">
        <f t="shared" si="0"/>
        <v>10326.346304560986</v>
      </c>
      <c r="E12" s="18">
        <f t="shared" si="1"/>
        <v>8653.4782032221065</v>
      </c>
      <c r="F12" s="18">
        <f t="shared" si="2"/>
        <v>2.1203523719710704</v>
      </c>
      <c r="G12" s="18">
        <f t="shared" si="4"/>
        <v>121.48728543398005</v>
      </c>
      <c r="H12" s="18">
        <f t="shared" si="3"/>
        <v>2.0556337841768193</v>
      </c>
      <c r="I12" s="18">
        <f t="shared" si="5"/>
        <v>117.77918217143821</v>
      </c>
    </row>
    <row r="13" spans="1:19" ht="14.4" customHeight="1" x14ac:dyDescent="0.3">
      <c r="A13" s="32"/>
      <c r="B13" s="11">
        <v>80</v>
      </c>
      <c r="C13" s="11">
        <v>20</v>
      </c>
      <c r="D13" s="18">
        <f t="shared" si="0"/>
        <v>15489.519456841479</v>
      </c>
      <c r="E13" s="18">
        <f t="shared" si="1"/>
        <v>12980.217304833159</v>
      </c>
      <c r="F13" s="18">
        <f t="shared" si="2"/>
        <v>3.1805285579566056</v>
      </c>
      <c r="G13" s="18">
        <f t="shared" si="4"/>
        <v>182.23092815097007</v>
      </c>
      <c r="H13" s="18">
        <f t="shared" si="3"/>
        <v>3.0834506762652287</v>
      </c>
      <c r="I13" s="18">
        <f t="shared" si="5"/>
        <v>176.66877325715728</v>
      </c>
    </row>
    <row r="14" spans="1:19" x14ac:dyDescent="0.3">
      <c r="A14" s="32"/>
      <c r="B14" s="11">
        <v>90</v>
      </c>
      <c r="C14" s="11">
        <v>10</v>
      </c>
      <c r="D14" s="18">
        <f t="shared" si="0"/>
        <v>20652.692609121972</v>
      </c>
      <c r="E14" s="18">
        <f t="shared" si="1"/>
        <v>17306.956406444213</v>
      </c>
      <c r="F14" s="18">
        <f t="shared" si="2"/>
        <v>4.2407047439421408</v>
      </c>
      <c r="G14" s="18">
        <f t="shared" si="4"/>
        <v>242.9745708679601</v>
      </c>
      <c r="H14" s="18">
        <f t="shared" si="3"/>
        <v>4.1112675683536386</v>
      </c>
      <c r="I14" s="18">
        <f t="shared" si="5"/>
        <v>235.55836434287642</v>
      </c>
    </row>
    <row r="15" spans="1:19" x14ac:dyDescent="0.3">
      <c r="A15" s="32"/>
      <c r="B15" s="11">
        <v>100</v>
      </c>
      <c r="C15" s="11">
        <v>0</v>
      </c>
      <c r="D15" s="18">
        <f t="shared" si="0"/>
        <v>25815.865761402463</v>
      </c>
      <c r="E15" s="18">
        <f t="shared" si="1"/>
        <v>21633.695508055262</v>
      </c>
      <c r="F15" s="18">
        <f t="shared" si="2"/>
        <v>5.3008809299276756</v>
      </c>
      <c r="G15" s="18">
        <f t="shared" si="4"/>
        <v>303.71821358495009</v>
      </c>
      <c r="H15" s="18">
        <f t="shared" si="3"/>
        <v>5.1390844604420476</v>
      </c>
      <c r="I15" s="18">
        <f t="shared" si="5"/>
        <v>294.44795542859549</v>
      </c>
    </row>
    <row r="16" spans="1:19" x14ac:dyDescent="0.3">
      <c r="A16" s="32"/>
    </row>
    <row r="17" spans="1:20" x14ac:dyDescent="0.3">
      <c r="A17" s="32"/>
      <c r="B17" s="15" t="s">
        <v>45</v>
      </c>
      <c r="C17" s="18">
        <v>0.5</v>
      </c>
    </row>
    <row r="18" spans="1:20" x14ac:dyDescent="0.3">
      <c r="A18" s="32"/>
      <c r="F18" s="24" t="s">
        <v>43</v>
      </c>
      <c r="G18" s="24"/>
      <c r="H18" s="24" t="s">
        <v>44</v>
      </c>
      <c r="I18" s="24"/>
    </row>
    <row r="19" spans="1:20" ht="28.8" x14ac:dyDescent="0.3">
      <c r="A19" s="32"/>
      <c r="B19" s="17" t="s">
        <v>36</v>
      </c>
      <c r="C19" s="17" t="s">
        <v>37</v>
      </c>
      <c r="D19" s="17" t="s">
        <v>40</v>
      </c>
      <c r="E19" s="17" t="s">
        <v>39</v>
      </c>
      <c r="F19" s="17" t="s">
        <v>41</v>
      </c>
      <c r="G19" s="17" t="s">
        <v>42</v>
      </c>
      <c r="H19" s="17" t="s">
        <v>41</v>
      </c>
      <c r="I19" s="17" t="s">
        <v>42</v>
      </c>
    </row>
    <row r="20" spans="1:20" x14ac:dyDescent="0.3">
      <c r="A20" s="32"/>
      <c r="B20" s="11">
        <v>50</v>
      </c>
      <c r="C20" s="11">
        <v>50</v>
      </c>
      <c r="D20" s="18">
        <f t="shared" ref="D20:D25" si="6">((($B$5+$D$5)*(B20/100))-(($B$5+$D$5)*(C20/100)))*($C$17)</f>
        <v>0</v>
      </c>
      <c r="E20" s="18">
        <f t="shared" ref="E20:E25" si="7">(D20)*($F$5)</f>
        <v>0</v>
      </c>
      <c r="F20" s="18">
        <f t="shared" ref="F20:F25" si="8">(E20)/4081.151</f>
        <v>0</v>
      </c>
      <c r="G20" s="18">
        <f>(F20)*57.2958</f>
        <v>0</v>
      </c>
      <c r="H20" s="18">
        <f t="shared" ref="H20:H25" si="9">(E20)/4209.64</f>
        <v>0</v>
      </c>
      <c r="I20" s="18">
        <f>(H20)*57.2958</f>
        <v>0</v>
      </c>
    </row>
    <row r="21" spans="1:20" x14ac:dyDescent="0.3">
      <c r="A21" s="32"/>
      <c r="B21" s="11">
        <v>60</v>
      </c>
      <c r="C21" s="11">
        <v>40</v>
      </c>
      <c r="D21" s="18">
        <f t="shared" si="6"/>
        <v>3687.9808230574936</v>
      </c>
      <c r="E21" s="18">
        <f t="shared" si="7"/>
        <v>3090.5279297221796</v>
      </c>
      <c r="F21" s="18">
        <f t="shared" si="8"/>
        <v>0.75726870427538207</v>
      </c>
      <c r="G21" s="18">
        <f t="shared" ref="G21:G25" si="10">(F21)*57.2958</f>
        <v>43.388316226421438</v>
      </c>
      <c r="H21" s="18">
        <f t="shared" si="9"/>
        <v>0.73415492292029227</v>
      </c>
      <c r="I21" s="18">
        <f t="shared" ref="I21:I25" si="11">(H21)*57.2958</f>
        <v>42.063993632656484</v>
      </c>
    </row>
    <row r="22" spans="1:20" x14ac:dyDescent="0.3">
      <c r="A22" s="32"/>
      <c r="B22" s="11">
        <v>70</v>
      </c>
      <c r="C22" s="11">
        <v>30</v>
      </c>
      <c r="D22" s="18">
        <f t="shared" si="6"/>
        <v>7375.9616461149899</v>
      </c>
      <c r="E22" s="18">
        <f t="shared" si="7"/>
        <v>6181.055859444361</v>
      </c>
      <c r="F22" s="18">
        <f t="shared" si="8"/>
        <v>1.5145374085507646</v>
      </c>
      <c r="G22" s="18">
        <f t="shared" si="10"/>
        <v>86.77663245284289</v>
      </c>
      <c r="H22" s="18">
        <f t="shared" si="9"/>
        <v>1.468309845840585</v>
      </c>
      <c r="I22" s="18">
        <f t="shared" si="11"/>
        <v>84.127987265312996</v>
      </c>
    </row>
    <row r="23" spans="1:20" x14ac:dyDescent="0.3">
      <c r="A23" s="32"/>
      <c r="B23" s="11">
        <v>80</v>
      </c>
      <c r="C23" s="11">
        <v>20</v>
      </c>
      <c r="D23" s="18">
        <f t="shared" si="6"/>
        <v>11063.942469172485</v>
      </c>
      <c r="E23" s="18">
        <f t="shared" si="7"/>
        <v>9271.5837891665415</v>
      </c>
      <c r="F23" s="18">
        <f t="shared" si="8"/>
        <v>2.2718061128261469</v>
      </c>
      <c r="G23" s="18">
        <f t="shared" si="10"/>
        <v>130.16494867926434</v>
      </c>
      <c r="H23" s="18">
        <f t="shared" si="9"/>
        <v>2.2024647687608776</v>
      </c>
      <c r="I23" s="18">
        <f t="shared" si="11"/>
        <v>126.19198089796949</v>
      </c>
    </row>
    <row r="24" spans="1:20" x14ac:dyDescent="0.3">
      <c r="A24" s="32"/>
      <c r="B24" s="11">
        <v>90</v>
      </c>
      <c r="C24" s="11">
        <v>10</v>
      </c>
      <c r="D24" s="18">
        <f t="shared" si="6"/>
        <v>14751.92329222998</v>
      </c>
      <c r="E24" s="18">
        <f t="shared" si="7"/>
        <v>12362.111718888722</v>
      </c>
      <c r="F24" s="18">
        <f t="shared" si="8"/>
        <v>3.0290748171015291</v>
      </c>
      <c r="G24" s="18">
        <f t="shared" si="10"/>
        <v>173.55326490568578</v>
      </c>
      <c r="H24" s="18">
        <f t="shared" si="9"/>
        <v>2.93661969168117</v>
      </c>
      <c r="I24" s="18">
        <f t="shared" si="11"/>
        <v>168.25597453062599</v>
      </c>
    </row>
    <row r="25" spans="1:20" x14ac:dyDescent="0.3">
      <c r="A25" s="32"/>
      <c r="B25" s="11">
        <v>100</v>
      </c>
      <c r="C25" s="11">
        <v>0</v>
      </c>
      <c r="D25" s="18">
        <f t="shared" si="6"/>
        <v>18439.904115287474</v>
      </c>
      <c r="E25" s="18">
        <f t="shared" si="7"/>
        <v>15452.639648610902</v>
      </c>
      <c r="F25" s="18">
        <f t="shared" si="8"/>
        <v>3.7863435213769114</v>
      </c>
      <c r="G25" s="18">
        <f t="shared" si="10"/>
        <v>216.94158113210725</v>
      </c>
      <c r="H25" s="18">
        <f t="shared" si="9"/>
        <v>3.6707746146014628</v>
      </c>
      <c r="I25" s="18">
        <f t="shared" si="11"/>
        <v>210.31996816328248</v>
      </c>
    </row>
    <row r="26" spans="1:20" x14ac:dyDescent="0.3">
      <c r="A26" s="32"/>
      <c r="K26" s="33"/>
      <c r="L26" s="33"/>
      <c r="M26" s="33"/>
      <c r="N26" s="33"/>
      <c r="O26" s="33"/>
      <c r="P26" s="33"/>
      <c r="Q26" s="33"/>
      <c r="R26" s="33"/>
      <c r="S26" s="33"/>
      <c r="T26" s="33"/>
    </row>
    <row r="27" spans="1:20" x14ac:dyDescent="0.3">
      <c r="A27" s="32"/>
      <c r="B27" s="15" t="s">
        <v>45</v>
      </c>
      <c r="C27" s="18">
        <v>0.1</v>
      </c>
    </row>
    <row r="28" spans="1:20" x14ac:dyDescent="0.3">
      <c r="A28" s="32"/>
      <c r="F28" s="24" t="s">
        <v>43</v>
      </c>
      <c r="G28" s="24"/>
      <c r="H28" s="24" t="s">
        <v>44</v>
      </c>
      <c r="I28" s="24"/>
    </row>
    <row r="29" spans="1:20" ht="28.8" x14ac:dyDescent="0.3">
      <c r="A29" s="32"/>
      <c r="B29" s="17" t="s">
        <v>36</v>
      </c>
      <c r="C29" s="17" t="s">
        <v>37</v>
      </c>
      <c r="D29" s="17" t="s">
        <v>40</v>
      </c>
      <c r="E29" s="17" t="s">
        <v>39</v>
      </c>
      <c r="F29" s="17" t="s">
        <v>41</v>
      </c>
      <c r="G29" s="17" t="s">
        <v>42</v>
      </c>
      <c r="H29" s="17" t="s">
        <v>41</v>
      </c>
      <c r="I29" s="17" t="s">
        <v>42</v>
      </c>
    </row>
    <row r="30" spans="1:20" x14ac:dyDescent="0.3">
      <c r="A30" s="32"/>
      <c r="B30" s="11">
        <v>50</v>
      </c>
      <c r="C30" s="11">
        <v>50</v>
      </c>
      <c r="D30" s="18">
        <f t="shared" ref="D30:D35" si="12">((($B$5+$D$5)*(B30/100))-(($B$5+$D$5)*(C30/100)))*($C$27)</f>
        <v>0</v>
      </c>
      <c r="E30" s="18">
        <f t="shared" ref="E30:E35" si="13">(D30)*($F$5)</f>
        <v>0</v>
      </c>
      <c r="F30" s="18">
        <f t="shared" ref="F30:F35" si="14">(E30)/4081.151</f>
        <v>0</v>
      </c>
      <c r="G30" s="18">
        <f>(F30)*57.2958</f>
        <v>0</v>
      </c>
      <c r="H30" s="18">
        <f t="shared" ref="H30:H35" si="15">(E30)/4209.64</f>
        <v>0</v>
      </c>
      <c r="I30" s="18">
        <f>(H30)*57.2958</f>
        <v>0</v>
      </c>
    </row>
    <row r="31" spans="1:20" x14ac:dyDescent="0.3">
      <c r="A31" s="32"/>
      <c r="B31" s="11">
        <v>60</v>
      </c>
      <c r="C31" s="11">
        <v>40</v>
      </c>
      <c r="D31" s="18">
        <f t="shared" si="12"/>
        <v>737.59616461149881</v>
      </c>
      <c r="E31" s="18">
        <f t="shared" si="13"/>
        <v>618.10558594443603</v>
      </c>
      <c r="F31" s="18">
        <f t="shared" si="14"/>
        <v>0.15145374085507643</v>
      </c>
      <c r="G31" s="18">
        <f t="shared" ref="G31:G35" si="16">(F31)*57.2958</f>
        <v>8.6776632452842879</v>
      </c>
      <c r="H31" s="18">
        <f t="shared" si="15"/>
        <v>0.14683098458405849</v>
      </c>
      <c r="I31" s="18">
        <f t="shared" ref="I31:I35" si="17">(H31)*57.2958</f>
        <v>8.4127987265312978</v>
      </c>
    </row>
    <row r="32" spans="1:20" x14ac:dyDescent="0.3">
      <c r="A32" s="32"/>
      <c r="B32" s="11">
        <v>70</v>
      </c>
      <c r="C32" s="11">
        <v>30</v>
      </c>
      <c r="D32" s="18">
        <f t="shared" si="12"/>
        <v>1475.1923292229981</v>
      </c>
      <c r="E32" s="18">
        <f t="shared" si="13"/>
        <v>1236.2111718888723</v>
      </c>
      <c r="F32" s="18">
        <f t="shared" si="14"/>
        <v>0.30290748171015291</v>
      </c>
      <c r="G32" s="18">
        <f t="shared" si="16"/>
        <v>17.355326490568579</v>
      </c>
      <c r="H32" s="18">
        <f t="shared" si="15"/>
        <v>0.29366196916811704</v>
      </c>
      <c r="I32" s="18">
        <f t="shared" si="17"/>
        <v>16.825597453062599</v>
      </c>
    </row>
    <row r="33" spans="1:17" x14ac:dyDescent="0.3">
      <c r="A33" s="32"/>
      <c r="B33" s="11">
        <v>80</v>
      </c>
      <c r="C33" s="11">
        <v>20</v>
      </c>
      <c r="D33" s="18">
        <f t="shared" si="12"/>
        <v>2212.7884938344973</v>
      </c>
      <c r="E33" s="18">
        <f t="shared" si="13"/>
        <v>1854.3167578333087</v>
      </c>
      <c r="F33" s="18">
        <f t="shared" si="14"/>
        <v>0.45436122256522943</v>
      </c>
      <c r="G33" s="18">
        <f t="shared" si="16"/>
        <v>26.032989735852873</v>
      </c>
      <c r="H33" s="18">
        <f t="shared" si="15"/>
        <v>0.44049295375217562</v>
      </c>
      <c r="I33" s="18">
        <f t="shared" si="17"/>
        <v>25.238396179593902</v>
      </c>
    </row>
    <row r="34" spans="1:17" x14ac:dyDescent="0.3">
      <c r="A34" s="32"/>
      <c r="B34" s="11">
        <v>90</v>
      </c>
      <c r="C34" s="11">
        <v>10</v>
      </c>
      <c r="D34" s="18">
        <f t="shared" si="12"/>
        <v>2950.3846584459961</v>
      </c>
      <c r="E34" s="18">
        <f t="shared" si="13"/>
        <v>2472.4223437777446</v>
      </c>
      <c r="F34" s="18">
        <f t="shared" si="14"/>
        <v>0.60581496342030583</v>
      </c>
      <c r="G34" s="18">
        <f t="shared" si="16"/>
        <v>34.710652981137159</v>
      </c>
      <c r="H34" s="18">
        <f t="shared" si="15"/>
        <v>0.58732393833623409</v>
      </c>
      <c r="I34" s="18">
        <f t="shared" si="17"/>
        <v>33.651194906125198</v>
      </c>
    </row>
    <row r="35" spans="1:17" x14ac:dyDescent="0.3">
      <c r="A35" s="32"/>
      <c r="B35" s="11">
        <v>100</v>
      </c>
      <c r="C35" s="11">
        <v>0</v>
      </c>
      <c r="D35" s="18">
        <f t="shared" si="12"/>
        <v>3687.9808230574949</v>
      </c>
      <c r="E35" s="18">
        <f t="shared" si="13"/>
        <v>3090.5279297221805</v>
      </c>
      <c r="F35" s="18">
        <f t="shared" si="14"/>
        <v>0.75726870427538229</v>
      </c>
      <c r="G35" s="18">
        <f t="shared" si="16"/>
        <v>43.388316226421445</v>
      </c>
      <c r="H35" s="18">
        <f t="shared" si="15"/>
        <v>0.7341549229202925</v>
      </c>
      <c r="I35" s="18">
        <f t="shared" si="17"/>
        <v>42.063993632656498</v>
      </c>
    </row>
    <row r="39" spans="1:17" ht="28.8" customHeight="1" x14ac:dyDescent="0.3">
      <c r="B39" s="30" t="s">
        <v>50</v>
      </c>
      <c r="C39" s="30"/>
      <c r="D39" s="17" t="s">
        <v>38</v>
      </c>
    </row>
    <row r="40" spans="1:17" x14ac:dyDescent="0.3">
      <c r="B40" s="31">
        <f>($B$5+$D$5)</f>
        <v>36879.808230574949</v>
      </c>
      <c r="C40" s="31"/>
      <c r="D40" s="18">
        <v>0.83799999999999997</v>
      </c>
    </row>
    <row r="42" spans="1:17" ht="14.4" customHeight="1" x14ac:dyDescent="0.3">
      <c r="A42" s="32" t="s">
        <v>47</v>
      </c>
      <c r="B42" s="15" t="s">
        <v>45</v>
      </c>
      <c r="C42" s="18">
        <v>0.7</v>
      </c>
    </row>
    <row r="43" spans="1:17" x14ac:dyDescent="0.3">
      <c r="A43" s="32"/>
      <c r="J43" s="21" t="s">
        <v>43</v>
      </c>
      <c r="K43" s="22"/>
      <c r="L43" s="21" t="s">
        <v>44</v>
      </c>
      <c r="M43" s="22"/>
      <c r="O43" s="21" t="s">
        <v>52</v>
      </c>
      <c r="P43" s="34"/>
      <c r="Q43" s="22"/>
    </row>
    <row r="44" spans="1:17" ht="72" x14ac:dyDescent="0.3">
      <c r="A44" s="32"/>
      <c r="B44" s="17" t="s">
        <v>48</v>
      </c>
      <c r="C44" s="17" t="s">
        <v>49</v>
      </c>
      <c r="D44" s="17" t="s">
        <v>55</v>
      </c>
      <c r="E44" s="17" t="s">
        <v>56</v>
      </c>
      <c r="F44" s="17" t="s">
        <v>54</v>
      </c>
      <c r="G44" s="17" t="s">
        <v>53</v>
      </c>
      <c r="H44" s="17" t="s">
        <v>57</v>
      </c>
      <c r="I44" s="17" t="s">
        <v>58</v>
      </c>
      <c r="J44" s="17" t="s">
        <v>41</v>
      </c>
      <c r="K44" s="17" t="s">
        <v>42</v>
      </c>
      <c r="L44" s="17" t="s">
        <v>41</v>
      </c>
      <c r="M44" s="17" t="s">
        <v>42</v>
      </c>
      <c r="O44" s="15" t="s">
        <v>45</v>
      </c>
      <c r="P44" s="17" t="s">
        <v>43</v>
      </c>
      <c r="Q44" s="17" t="s">
        <v>51</v>
      </c>
    </row>
    <row r="45" spans="1:17" x14ac:dyDescent="0.3">
      <c r="A45" s="32"/>
      <c r="B45" s="11">
        <f>($B$40)/2</f>
        <v>18439.904115287474</v>
      </c>
      <c r="C45" s="11">
        <v>20</v>
      </c>
      <c r="D45" s="18">
        <f>($P$45)*(C45/100)</f>
        <v>2793.2200000000003</v>
      </c>
      <c r="E45" s="18">
        <f>($Q$45)*(C45/100)</f>
        <v>2941.6860000000001</v>
      </c>
      <c r="F45" s="18">
        <f>(B45+D45)</f>
        <v>21233.124115287475</v>
      </c>
      <c r="G45" s="18">
        <f>(B45+E45)</f>
        <v>21381.590115287476</v>
      </c>
      <c r="H45" s="18">
        <f>(F45)*($D$40)</f>
        <v>17793.358008610903</v>
      </c>
      <c r="I45" s="18">
        <f>(G45)*($D$40)</f>
        <v>17917.772516610905</v>
      </c>
      <c r="J45" s="18">
        <f>(H45)/(4081.151)</f>
        <v>4.3598872005987781</v>
      </c>
      <c r="K45" s="18">
        <f>J45*57.2958</f>
        <v>249.80322506806746</v>
      </c>
      <c r="L45" s="18">
        <f>(I45)/(4209.64)</f>
        <v>4.2563669379355247</v>
      </c>
      <c r="M45" s="18">
        <f>L45*57.2958</f>
        <v>243.87194880256624</v>
      </c>
      <c r="O45" s="18">
        <v>0.7</v>
      </c>
      <c r="P45" s="18">
        <v>13966.1</v>
      </c>
      <c r="Q45" s="18">
        <v>14708.43</v>
      </c>
    </row>
    <row r="46" spans="1:17" x14ac:dyDescent="0.3">
      <c r="A46" s="32"/>
      <c r="B46" s="11">
        <f t="shared" ref="B46:B49" si="18">($B$40)/2</f>
        <v>18439.904115287474</v>
      </c>
      <c r="C46" s="11">
        <v>40</v>
      </c>
      <c r="D46" s="18">
        <f>($P$45)*(C46/100)</f>
        <v>5586.4400000000005</v>
      </c>
      <c r="E46" s="18">
        <f>($Q$45)*(C46/100)</f>
        <v>5883.3720000000003</v>
      </c>
      <c r="F46" s="18">
        <f t="shared" ref="F46:F67" si="19">(B46+D46)</f>
        <v>24026.344115287473</v>
      </c>
      <c r="G46" s="18">
        <f t="shared" ref="G46:G67" si="20">(B46+E46)</f>
        <v>24323.276115287474</v>
      </c>
      <c r="H46" s="18">
        <f t="shared" ref="H46:H49" si="21">(F46)*($D$40)</f>
        <v>20134.076368610902</v>
      </c>
      <c r="I46" s="18">
        <f t="shared" ref="I46:I49" si="22">(G46)*($D$40)</f>
        <v>20382.905384610902</v>
      </c>
      <c r="J46" s="18">
        <f t="shared" ref="J46:J49" si="23">(H46)/(4081.151)</f>
        <v>4.9334308798206443</v>
      </c>
      <c r="K46" s="18">
        <f t="shared" ref="K46:K49" si="24">J46*57.2958</f>
        <v>282.66486900402765</v>
      </c>
      <c r="L46" s="18">
        <f t="shared" ref="L46:L49" si="25">(I46)/(4209.64)</f>
        <v>4.8419592612695856</v>
      </c>
      <c r="M46" s="18">
        <f t="shared" ref="M46:M49" si="26">L46*57.2958</f>
        <v>277.42392944184991</v>
      </c>
      <c r="O46" s="18">
        <v>0.5</v>
      </c>
      <c r="P46" s="18">
        <v>9973.7900000000009</v>
      </c>
      <c r="Q46" s="18">
        <v>10506.02</v>
      </c>
    </row>
    <row r="47" spans="1:17" x14ac:dyDescent="0.3">
      <c r="A47" s="32"/>
      <c r="B47" s="11">
        <f t="shared" si="18"/>
        <v>18439.904115287474</v>
      </c>
      <c r="C47" s="11">
        <v>60</v>
      </c>
      <c r="D47" s="18">
        <f>($P$45)*(C47/100)</f>
        <v>8379.66</v>
      </c>
      <c r="E47" s="18">
        <f>($Q$45)*(C47/100)</f>
        <v>8825.0579999999991</v>
      </c>
      <c r="F47" s="18">
        <f t="shared" si="19"/>
        <v>26819.564115287474</v>
      </c>
      <c r="G47" s="18">
        <f t="shared" si="20"/>
        <v>27264.962115287475</v>
      </c>
      <c r="H47" s="18">
        <f t="shared" si="21"/>
        <v>22474.794728610901</v>
      </c>
      <c r="I47" s="18">
        <f t="shared" si="22"/>
        <v>22848.038252610902</v>
      </c>
      <c r="J47" s="18">
        <f t="shared" si="23"/>
        <v>5.5069745590425105</v>
      </c>
      <c r="K47" s="18">
        <f t="shared" si="24"/>
        <v>315.52651293998787</v>
      </c>
      <c r="L47" s="18">
        <f t="shared" si="25"/>
        <v>5.4275515846036484</v>
      </c>
      <c r="M47" s="18">
        <f t="shared" si="26"/>
        <v>310.97591008113369</v>
      </c>
      <c r="O47" s="18">
        <v>0.1</v>
      </c>
      <c r="P47" s="18">
        <v>1995.16</v>
      </c>
      <c r="Q47" s="18">
        <v>2101.1999999999998</v>
      </c>
    </row>
    <row r="48" spans="1:17" x14ac:dyDescent="0.3">
      <c r="A48" s="32"/>
      <c r="B48" s="11">
        <f t="shared" si="18"/>
        <v>18439.904115287474</v>
      </c>
      <c r="C48" s="11">
        <v>80</v>
      </c>
      <c r="D48" s="18">
        <f>($P$45)*(C48/100)</f>
        <v>11172.880000000001</v>
      </c>
      <c r="E48" s="18">
        <f>($Q$45)*(C48/100)</f>
        <v>11766.744000000001</v>
      </c>
      <c r="F48" s="18">
        <f t="shared" si="19"/>
        <v>29612.784115287475</v>
      </c>
      <c r="G48" s="18">
        <f t="shared" si="20"/>
        <v>30206.648115287477</v>
      </c>
      <c r="H48" s="18">
        <f t="shared" si="21"/>
        <v>24815.513088610904</v>
      </c>
      <c r="I48" s="18">
        <f t="shared" si="22"/>
        <v>25313.171120610903</v>
      </c>
      <c r="J48" s="18">
        <f t="shared" si="23"/>
        <v>6.0805182382643777</v>
      </c>
      <c r="K48" s="18">
        <f t="shared" si="24"/>
        <v>348.38815687594814</v>
      </c>
      <c r="L48" s="18">
        <f t="shared" si="25"/>
        <v>6.0131439079377103</v>
      </c>
      <c r="M48" s="18">
        <f t="shared" si="26"/>
        <v>344.52789072041747</v>
      </c>
    </row>
    <row r="49" spans="1:13" x14ac:dyDescent="0.3">
      <c r="A49" s="32"/>
      <c r="B49" s="11">
        <f t="shared" si="18"/>
        <v>18439.904115287474</v>
      </c>
      <c r="C49" s="11">
        <v>100</v>
      </c>
      <c r="D49" s="18">
        <f>($P$45)*(C49/100)</f>
        <v>13966.1</v>
      </c>
      <c r="E49" s="18">
        <f>($Q$45)*(C49/100)</f>
        <v>14708.43</v>
      </c>
      <c r="F49" s="18">
        <f t="shared" si="19"/>
        <v>32406.004115287476</v>
      </c>
      <c r="G49" s="18">
        <f t="shared" si="20"/>
        <v>33148.334115287478</v>
      </c>
      <c r="H49" s="18">
        <f t="shared" si="21"/>
        <v>27156.231448610903</v>
      </c>
      <c r="I49" s="18">
        <f t="shared" si="22"/>
        <v>27778.303988610907</v>
      </c>
      <c r="J49" s="18">
        <f t="shared" si="23"/>
        <v>6.6540619174862448</v>
      </c>
      <c r="K49" s="18">
        <f t="shared" si="24"/>
        <v>381.24980081190836</v>
      </c>
      <c r="L49" s="18">
        <f t="shared" si="25"/>
        <v>6.598736231271773</v>
      </c>
      <c r="M49" s="18">
        <f t="shared" si="26"/>
        <v>378.07987135970126</v>
      </c>
    </row>
    <row r="50" spans="1:13" x14ac:dyDescent="0.3">
      <c r="A50" s="32"/>
    </row>
    <row r="51" spans="1:13" x14ac:dyDescent="0.3">
      <c r="A51" s="32"/>
      <c r="B51" s="15" t="s">
        <v>45</v>
      </c>
      <c r="C51" s="18">
        <v>0.5</v>
      </c>
    </row>
    <row r="52" spans="1:13" x14ac:dyDescent="0.3">
      <c r="A52" s="32"/>
      <c r="J52" s="21" t="s">
        <v>43</v>
      </c>
      <c r="K52" s="22"/>
      <c r="L52" s="21" t="s">
        <v>44</v>
      </c>
      <c r="M52" s="22"/>
    </row>
    <row r="53" spans="1:13" ht="72" x14ac:dyDescent="0.3">
      <c r="A53" s="32"/>
      <c r="B53" s="17" t="s">
        <v>48</v>
      </c>
      <c r="C53" s="17" t="s">
        <v>49</v>
      </c>
      <c r="D53" s="17" t="s">
        <v>55</v>
      </c>
      <c r="E53" s="17" t="s">
        <v>56</v>
      </c>
      <c r="F53" s="17" t="s">
        <v>54</v>
      </c>
      <c r="G53" s="17" t="s">
        <v>53</v>
      </c>
      <c r="H53" s="17" t="s">
        <v>57</v>
      </c>
      <c r="I53" s="17" t="s">
        <v>58</v>
      </c>
      <c r="J53" s="17" t="s">
        <v>41</v>
      </c>
      <c r="K53" s="17" t="s">
        <v>42</v>
      </c>
      <c r="L53" s="17" t="s">
        <v>41</v>
      </c>
      <c r="M53" s="17" t="s">
        <v>42</v>
      </c>
    </row>
    <row r="54" spans="1:13" x14ac:dyDescent="0.3">
      <c r="A54" s="32"/>
      <c r="B54" s="11">
        <f t="shared" ref="B54:B58" si="27">($B$40)/2</f>
        <v>18439.904115287474</v>
      </c>
      <c r="C54" s="11">
        <v>20</v>
      </c>
      <c r="D54" s="18">
        <f>($P$46)*(C54/100)</f>
        <v>1994.7580000000003</v>
      </c>
      <c r="E54" s="18">
        <f>($Q$46)*(C54/100)</f>
        <v>2101.2040000000002</v>
      </c>
      <c r="F54" s="18">
        <f t="shared" si="19"/>
        <v>20434.662115287476</v>
      </c>
      <c r="G54" s="18">
        <f t="shared" si="20"/>
        <v>20541.108115287476</v>
      </c>
      <c r="H54" s="18">
        <f>(F54)*($D$40)</f>
        <v>17124.246852610904</v>
      </c>
      <c r="I54" s="18">
        <f>(G54)*($D$40)</f>
        <v>17213.448600610904</v>
      </c>
      <c r="J54" s="18">
        <f>(H54)/(4081.151)</f>
        <v>4.1959356202725422</v>
      </c>
      <c r="K54" s="18">
        <f>J54*57.2958</f>
        <v>240.40948811201153</v>
      </c>
      <c r="L54" s="18">
        <f>(I54)/(4209.64)</f>
        <v>4.0890547886781059</v>
      </c>
      <c r="M54" s="18">
        <f>L54*57.2958</f>
        <v>234.28566536114303</v>
      </c>
    </row>
    <row r="55" spans="1:13" x14ac:dyDescent="0.3">
      <c r="A55" s="32"/>
      <c r="B55" s="11">
        <f t="shared" si="27"/>
        <v>18439.904115287474</v>
      </c>
      <c r="C55" s="11">
        <v>40</v>
      </c>
      <c r="D55" s="18">
        <f>($P$46)*(C55/100)</f>
        <v>3989.5160000000005</v>
      </c>
      <c r="E55" s="18">
        <f>($Q$46)*(C55/100)</f>
        <v>4202.4080000000004</v>
      </c>
      <c r="F55" s="18">
        <f t="shared" si="19"/>
        <v>22429.420115287474</v>
      </c>
      <c r="G55" s="18">
        <f t="shared" si="20"/>
        <v>22642.312115287474</v>
      </c>
      <c r="H55" s="18">
        <f t="shared" ref="H55:H58" si="28">(F55)*($D$40)</f>
        <v>18795.854056610904</v>
      </c>
      <c r="I55" s="18">
        <f t="shared" ref="I55:I58" si="29">(G55)*($D$40)</f>
        <v>18974.257552610903</v>
      </c>
      <c r="J55" s="18">
        <f t="shared" ref="J55:J58" si="30">(H55)/(4081.151)</f>
        <v>4.6055277191681725</v>
      </c>
      <c r="K55" s="18">
        <f t="shared" ref="K55:K58" si="31">J55*57.2958</f>
        <v>263.87739509191579</v>
      </c>
      <c r="L55" s="18">
        <f t="shared" ref="L55:L58" si="32">(I55)/(4209.64)</f>
        <v>4.507334962754749</v>
      </c>
      <c r="M55" s="18">
        <f t="shared" ref="M55:M58" si="33">L55*57.2958</f>
        <v>258.25136255900355</v>
      </c>
    </row>
    <row r="56" spans="1:13" x14ac:dyDescent="0.3">
      <c r="A56" s="32"/>
      <c r="B56" s="11">
        <f t="shared" si="27"/>
        <v>18439.904115287474</v>
      </c>
      <c r="C56" s="11">
        <v>60</v>
      </c>
      <c r="D56" s="18">
        <f>($P$46)*(C56/100)</f>
        <v>5984.2740000000003</v>
      </c>
      <c r="E56" s="18">
        <f>($Q$46)*(C56/100)</f>
        <v>6303.6120000000001</v>
      </c>
      <c r="F56" s="18">
        <f t="shared" si="19"/>
        <v>24424.178115287476</v>
      </c>
      <c r="G56" s="18">
        <f t="shared" si="20"/>
        <v>24743.516115287475</v>
      </c>
      <c r="H56" s="18">
        <f t="shared" si="28"/>
        <v>20467.461260610904</v>
      </c>
      <c r="I56" s="18">
        <f t="shared" si="29"/>
        <v>20735.066504610902</v>
      </c>
      <c r="J56" s="18">
        <f t="shared" si="30"/>
        <v>5.0151198180638019</v>
      </c>
      <c r="K56" s="18">
        <f t="shared" si="31"/>
        <v>287.34530207181996</v>
      </c>
      <c r="L56" s="18">
        <f t="shared" si="32"/>
        <v>4.9256151368313921</v>
      </c>
      <c r="M56" s="18">
        <f t="shared" si="33"/>
        <v>282.21705975686405</v>
      </c>
    </row>
    <row r="57" spans="1:13" x14ac:dyDescent="0.3">
      <c r="A57" s="32"/>
      <c r="B57" s="11">
        <f t="shared" si="27"/>
        <v>18439.904115287474</v>
      </c>
      <c r="C57" s="11">
        <v>80</v>
      </c>
      <c r="D57" s="18">
        <f>($P$46)*(C57/100)</f>
        <v>7979.0320000000011</v>
      </c>
      <c r="E57" s="18">
        <f>($Q$46)*(C57/100)</f>
        <v>8404.8160000000007</v>
      </c>
      <c r="F57" s="18">
        <f t="shared" si="19"/>
        <v>26418.936115287477</v>
      </c>
      <c r="G57" s="18">
        <f t="shared" si="20"/>
        <v>26844.720115287477</v>
      </c>
      <c r="H57" s="18">
        <f t="shared" si="28"/>
        <v>22139.068464610904</v>
      </c>
      <c r="I57" s="18">
        <f t="shared" si="29"/>
        <v>22495.875456610906</v>
      </c>
      <c r="J57" s="18">
        <f t="shared" si="30"/>
        <v>5.4247119169594322</v>
      </c>
      <c r="K57" s="18">
        <f t="shared" si="31"/>
        <v>310.81320905172424</v>
      </c>
      <c r="L57" s="18">
        <f t="shared" si="32"/>
        <v>5.343895310908036</v>
      </c>
      <c r="M57" s="18">
        <f t="shared" si="33"/>
        <v>306.18275695472465</v>
      </c>
    </row>
    <row r="58" spans="1:13" x14ac:dyDescent="0.3">
      <c r="A58" s="32"/>
      <c r="B58" s="11">
        <f t="shared" si="27"/>
        <v>18439.904115287474</v>
      </c>
      <c r="C58" s="11">
        <v>100</v>
      </c>
      <c r="D58" s="18">
        <f>($P$46)*(C58/100)</f>
        <v>9973.7900000000009</v>
      </c>
      <c r="E58" s="18">
        <f>($Q$46)*(C58/100)</f>
        <v>10506.02</v>
      </c>
      <c r="F58" s="18">
        <f t="shared" si="19"/>
        <v>28413.694115287475</v>
      </c>
      <c r="G58" s="18">
        <f t="shared" si="20"/>
        <v>28945.924115287475</v>
      </c>
      <c r="H58" s="18">
        <f t="shared" si="28"/>
        <v>23810.675668610904</v>
      </c>
      <c r="I58" s="18">
        <f t="shared" si="29"/>
        <v>24256.684408610901</v>
      </c>
      <c r="J58" s="18">
        <f t="shared" si="30"/>
        <v>5.8343040158550625</v>
      </c>
      <c r="K58" s="18">
        <f t="shared" si="31"/>
        <v>334.28111603162847</v>
      </c>
      <c r="L58" s="18">
        <f t="shared" si="32"/>
        <v>5.7621754849846782</v>
      </c>
      <c r="M58" s="18">
        <f t="shared" si="33"/>
        <v>330.14845415258515</v>
      </c>
    </row>
    <row r="59" spans="1:13" x14ac:dyDescent="0.3">
      <c r="A59" s="32"/>
    </row>
    <row r="60" spans="1:13" x14ac:dyDescent="0.3">
      <c r="A60" s="32"/>
      <c r="B60" s="15" t="s">
        <v>45</v>
      </c>
      <c r="C60" s="18">
        <v>0.1</v>
      </c>
    </row>
    <row r="61" spans="1:13" x14ac:dyDescent="0.3">
      <c r="A61" s="32"/>
      <c r="J61" s="21" t="s">
        <v>43</v>
      </c>
      <c r="K61" s="22"/>
      <c r="L61" s="21" t="s">
        <v>44</v>
      </c>
      <c r="M61" s="22"/>
    </row>
    <row r="62" spans="1:13" ht="72" x14ac:dyDescent="0.3">
      <c r="A62" s="32"/>
      <c r="B62" s="17" t="s">
        <v>48</v>
      </c>
      <c r="C62" s="17" t="s">
        <v>49</v>
      </c>
      <c r="D62" s="17" t="s">
        <v>55</v>
      </c>
      <c r="E62" s="17" t="s">
        <v>56</v>
      </c>
      <c r="F62" s="17" t="s">
        <v>54</v>
      </c>
      <c r="G62" s="17" t="s">
        <v>53</v>
      </c>
      <c r="H62" s="17" t="s">
        <v>57</v>
      </c>
      <c r="I62" s="17" t="s">
        <v>58</v>
      </c>
      <c r="J62" s="17" t="s">
        <v>41</v>
      </c>
      <c r="K62" s="17" t="s">
        <v>42</v>
      </c>
      <c r="L62" s="17" t="s">
        <v>41</v>
      </c>
      <c r="M62" s="17" t="s">
        <v>42</v>
      </c>
    </row>
    <row r="63" spans="1:13" x14ac:dyDescent="0.3">
      <c r="A63" s="32"/>
      <c r="B63" s="11">
        <f t="shared" ref="B63:B67" si="34">($B$40)/2</f>
        <v>18439.904115287474</v>
      </c>
      <c r="C63" s="11">
        <v>20</v>
      </c>
      <c r="D63" s="18">
        <f>($P$47)*(C63/100)</f>
        <v>399.03200000000004</v>
      </c>
      <c r="E63" s="18">
        <f>($Q$47)*(C63/100)</f>
        <v>420.24</v>
      </c>
      <c r="F63" s="18">
        <f t="shared" si="19"/>
        <v>18838.936115287474</v>
      </c>
      <c r="G63" s="18">
        <f t="shared" si="20"/>
        <v>18860.144115287476</v>
      </c>
      <c r="H63" s="18">
        <f>(F63)*($D$40)</f>
        <v>15787.028464610903</v>
      </c>
      <c r="I63" s="18">
        <f>(G63)*($D$40)</f>
        <v>15804.800768610905</v>
      </c>
      <c r="J63" s="18">
        <f>(H63)/(4081.151)</f>
        <v>3.8682784500281668</v>
      </c>
      <c r="K63" s="18">
        <f>J63*57.2958</f>
        <v>221.63610841712384</v>
      </c>
      <c r="L63" s="18">
        <f>(I63)/(4209.64)</f>
        <v>3.7544304901632688</v>
      </c>
      <c r="M63" s="18">
        <f>L63*57.2958</f>
        <v>215.11309847829662</v>
      </c>
    </row>
    <row r="64" spans="1:13" x14ac:dyDescent="0.3">
      <c r="A64" s="32"/>
      <c r="B64" s="11">
        <f t="shared" si="34"/>
        <v>18439.904115287474</v>
      </c>
      <c r="C64" s="11">
        <v>40</v>
      </c>
      <c r="D64" s="18">
        <f>($P$47)*(C64/100)</f>
        <v>798.06400000000008</v>
      </c>
      <c r="E64" s="18">
        <f>($Q$47)*(C64/100)</f>
        <v>840.48</v>
      </c>
      <c r="F64" s="18">
        <f t="shared" si="19"/>
        <v>19237.968115287473</v>
      </c>
      <c r="G64" s="18">
        <f t="shared" si="20"/>
        <v>19280.384115287474</v>
      </c>
      <c r="H64" s="18">
        <f t="shared" ref="H64:H67" si="35">(F64)*($D$40)</f>
        <v>16121.417280610902</v>
      </c>
      <c r="I64" s="18">
        <f t="shared" ref="I64:I67" si="36">(G64)*($D$40)</f>
        <v>16156.961888610902</v>
      </c>
      <c r="J64" s="18">
        <f t="shared" ref="J64:J67" si="37">(H64)/(4081.151)</f>
        <v>3.9502133786794222</v>
      </c>
      <c r="K64" s="18">
        <f t="shared" ref="K64:K67" si="38">J64*57.2958</f>
        <v>226.33063570214043</v>
      </c>
      <c r="L64" s="18">
        <f t="shared" ref="L64:L67" si="39">(I64)/(4209.64)</f>
        <v>3.8380863657250739</v>
      </c>
      <c r="M64" s="18">
        <f t="shared" ref="M64:M67" si="40">L64*57.2958</f>
        <v>219.90622879331067</v>
      </c>
    </row>
    <row r="65" spans="1:13" x14ac:dyDescent="0.3">
      <c r="A65" s="32"/>
      <c r="B65" s="11">
        <f t="shared" si="34"/>
        <v>18439.904115287474</v>
      </c>
      <c r="C65" s="11">
        <v>60</v>
      </c>
      <c r="D65" s="18">
        <f>($P$47)*(C65/100)</f>
        <v>1197.096</v>
      </c>
      <c r="E65" s="18">
        <f>($Q$47)*(C65/100)</f>
        <v>1260.7199999999998</v>
      </c>
      <c r="F65" s="18">
        <f t="shared" si="19"/>
        <v>19637.000115287476</v>
      </c>
      <c r="G65" s="18">
        <f t="shared" si="20"/>
        <v>19700.624115287475</v>
      </c>
      <c r="H65" s="18">
        <f t="shared" si="35"/>
        <v>16455.806096610904</v>
      </c>
      <c r="I65" s="18">
        <f t="shared" si="36"/>
        <v>16509.123008610903</v>
      </c>
      <c r="J65" s="18">
        <f t="shared" si="37"/>
        <v>4.0321483073306785</v>
      </c>
      <c r="K65" s="18">
        <f t="shared" si="38"/>
        <v>231.0251629871571</v>
      </c>
      <c r="L65" s="18">
        <f t="shared" si="39"/>
        <v>3.9217422412868799</v>
      </c>
      <c r="M65" s="18">
        <f t="shared" si="40"/>
        <v>224.69935910832481</v>
      </c>
    </row>
    <row r="66" spans="1:13" x14ac:dyDescent="0.3">
      <c r="A66" s="32"/>
      <c r="B66" s="11">
        <f t="shared" si="34"/>
        <v>18439.904115287474</v>
      </c>
      <c r="C66" s="11">
        <v>80</v>
      </c>
      <c r="D66" s="18">
        <f>($P$47)*(C66/100)</f>
        <v>1596.1280000000002</v>
      </c>
      <c r="E66" s="18">
        <f>($Q$47)*(C66/100)</f>
        <v>1680.96</v>
      </c>
      <c r="F66" s="18">
        <f t="shared" si="19"/>
        <v>20036.032115287475</v>
      </c>
      <c r="G66" s="18">
        <f t="shared" si="20"/>
        <v>20120.864115287473</v>
      </c>
      <c r="H66" s="18">
        <f t="shared" si="35"/>
        <v>16790.194912610903</v>
      </c>
      <c r="I66" s="18">
        <f t="shared" si="36"/>
        <v>16861.284128610903</v>
      </c>
      <c r="J66" s="18">
        <f t="shared" si="37"/>
        <v>4.1140832359819335</v>
      </c>
      <c r="K66" s="18">
        <f t="shared" si="38"/>
        <v>235.71969027217366</v>
      </c>
      <c r="L66" s="18">
        <f t="shared" si="39"/>
        <v>4.0053981168486859</v>
      </c>
      <c r="M66" s="18">
        <f t="shared" si="40"/>
        <v>229.49248942333892</v>
      </c>
    </row>
    <row r="67" spans="1:13" x14ac:dyDescent="0.3">
      <c r="A67" s="32"/>
      <c r="B67" s="11">
        <f t="shared" si="34"/>
        <v>18439.904115287474</v>
      </c>
      <c r="C67" s="11">
        <v>100</v>
      </c>
      <c r="D67" s="18">
        <f>($P$47)*(C67/100)</f>
        <v>1995.16</v>
      </c>
      <c r="E67" s="18">
        <f>($Q$47)*(C67/100)</f>
        <v>2101.1999999999998</v>
      </c>
      <c r="F67" s="18">
        <f t="shared" si="19"/>
        <v>20435.064115287474</v>
      </c>
      <c r="G67" s="18">
        <f t="shared" si="20"/>
        <v>20541.104115287475</v>
      </c>
      <c r="H67" s="18">
        <f t="shared" si="35"/>
        <v>17124.583728610902</v>
      </c>
      <c r="I67" s="18">
        <f t="shared" si="36"/>
        <v>17213.445248610904</v>
      </c>
      <c r="J67" s="18">
        <f t="shared" si="37"/>
        <v>4.1960181646331884</v>
      </c>
      <c r="K67" s="18">
        <f t="shared" si="38"/>
        <v>240.41421755719023</v>
      </c>
      <c r="L67" s="18">
        <f t="shared" si="39"/>
        <v>4.0890539924104914</v>
      </c>
      <c r="M67" s="18">
        <f t="shared" si="40"/>
        <v>234.28561973835303</v>
      </c>
    </row>
  </sheetData>
  <mergeCells count="23">
    <mergeCell ref="L4:S4"/>
    <mergeCell ref="A42:A67"/>
    <mergeCell ref="J43:K43"/>
    <mergeCell ref="L43:M43"/>
    <mergeCell ref="O43:Q43"/>
    <mergeCell ref="J52:K52"/>
    <mergeCell ref="L52:M52"/>
    <mergeCell ref="K26:T26"/>
    <mergeCell ref="J61:K61"/>
    <mergeCell ref="L61:M61"/>
    <mergeCell ref="B39:C39"/>
    <mergeCell ref="B40:C40"/>
    <mergeCell ref="H8:I8"/>
    <mergeCell ref="A7:A35"/>
    <mergeCell ref="B4:C4"/>
    <mergeCell ref="D4:E4"/>
    <mergeCell ref="B5:C5"/>
    <mergeCell ref="D5:E5"/>
    <mergeCell ref="F8:G8"/>
    <mergeCell ref="F18:G18"/>
    <mergeCell ref="H18:I18"/>
    <mergeCell ref="F28:G28"/>
    <mergeCell ref="H28:I28"/>
  </mergeCells>
  <pageMargins left="0.7" right="0.7" top="0.75" bottom="0.75" header="0.3" footer="0.3"/>
  <pageSetup paperSize="9" orientation="portrait" horizontalDpi="4294967293" verticalDpi="0" r:id="rId1"/>
  <ignoredErrors>
    <ignoredError sqref="H10:H15 H20:I35 L45:M68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256AE-D211-4716-B39E-11A2EB2A6D55}">
  <dimension ref="A2:T65"/>
  <sheetViews>
    <sheetView zoomScale="75" zoomScaleNormal="75" workbookViewId="0"/>
  </sheetViews>
  <sheetFormatPr defaultRowHeight="14.4" x14ac:dyDescent="0.3"/>
  <cols>
    <col min="1" max="1" width="6" style="3" customWidth="1"/>
    <col min="2" max="2" width="14.88671875" style="3" bestFit="1" customWidth="1"/>
    <col min="3" max="3" width="13.109375" style="3" bestFit="1" customWidth="1"/>
    <col min="4" max="4" width="13.5546875" style="3" customWidth="1"/>
    <col min="5" max="6" width="15.77734375" style="3" customWidth="1"/>
    <col min="7" max="9" width="13.33203125" style="3" customWidth="1"/>
    <col min="10" max="10" width="13.21875" style="3" customWidth="1"/>
    <col min="11" max="11" width="13.77734375" style="3" customWidth="1"/>
    <col min="12" max="12" width="13.33203125" style="3" customWidth="1"/>
    <col min="13" max="13" width="13.109375" style="3" customWidth="1"/>
    <col min="14" max="14" width="13.21875" style="3" customWidth="1"/>
    <col min="15" max="15" width="13.109375" style="3" customWidth="1"/>
    <col min="16" max="16" width="15" style="3" customWidth="1"/>
    <col min="17" max="17" width="15.21875" style="3" customWidth="1"/>
    <col min="18" max="22" width="8.88671875" style="3"/>
    <col min="23" max="23" width="19.5546875" style="3" customWidth="1"/>
    <col min="24" max="16384" width="8.88671875" style="3"/>
  </cols>
  <sheetData>
    <row r="2" spans="1:9" ht="43.8" customHeight="1" x14ac:dyDescent="0.3">
      <c r="B2" s="30" t="s">
        <v>33</v>
      </c>
      <c r="C2" s="30"/>
      <c r="D2" s="30" t="s">
        <v>34</v>
      </c>
      <c r="E2" s="30"/>
      <c r="F2" s="5" t="s">
        <v>66</v>
      </c>
    </row>
    <row r="3" spans="1:9" x14ac:dyDescent="0.3">
      <c r="B3" s="31">
        <v>2866.4490000000001</v>
      </c>
      <c r="C3" s="31"/>
      <c r="D3" s="31">
        <v>15357.281999999999</v>
      </c>
      <c r="E3" s="31"/>
      <c r="F3" s="1">
        <v>0.83799999999999997</v>
      </c>
    </row>
    <row r="5" spans="1:9" x14ac:dyDescent="0.3">
      <c r="A5" s="32" t="s">
        <v>46</v>
      </c>
      <c r="B5" s="4" t="s">
        <v>45</v>
      </c>
      <c r="C5" s="1">
        <v>0.7</v>
      </c>
    </row>
    <row r="6" spans="1:9" x14ac:dyDescent="0.3">
      <c r="A6" s="32"/>
      <c r="F6" s="24" t="s">
        <v>43</v>
      </c>
      <c r="G6" s="24"/>
      <c r="H6" s="24" t="s">
        <v>44</v>
      </c>
      <c r="I6" s="24"/>
    </row>
    <row r="7" spans="1:9" ht="28.8" customHeight="1" x14ac:dyDescent="0.3">
      <c r="A7" s="32"/>
      <c r="B7" s="5" t="s">
        <v>36</v>
      </c>
      <c r="C7" s="5" t="s">
        <v>37</v>
      </c>
      <c r="D7" s="5" t="s">
        <v>40</v>
      </c>
      <c r="E7" s="5" t="s">
        <v>39</v>
      </c>
      <c r="F7" s="5" t="s">
        <v>41</v>
      </c>
      <c r="G7" s="5" t="s">
        <v>42</v>
      </c>
      <c r="H7" s="5" t="s">
        <v>41</v>
      </c>
      <c r="I7" s="5" t="s">
        <v>42</v>
      </c>
    </row>
    <row r="8" spans="1:9" x14ac:dyDescent="0.3">
      <c r="A8" s="32"/>
      <c r="B8" s="11">
        <v>50</v>
      </c>
      <c r="C8" s="11">
        <v>50</v>
      </c>
      <c r="D8" s="1">
        <f t="shared" ref="D8:D13" si="0">((($B$3+$D$3)*(B8/100))-(($B$3+$D$3)*(C8/100)))*($C$5)</f>
        <v>0</v>
      </c>
      <c r="E8" s="1">
        <f t="shared" ref="E8:E13" si="1">(D8)*($F$3)</f>
        <v>0</v>
      </c>
      <c r="F8" s="1">
        <f t="shared" ref="F8:F13" si="2">(E8)/4081.151</f>
        <v>0</v>
      </c>
      <c r="G8" s="1">
        <f>(F8)*57.2958</f>
        <v>0</v>
      </c>
      <c r="H8" s="1">
        <f t="shared" ref="H8:H13" si="3">(E8)/4209.64</f>
        <v>0</v>
      </c>
      <c r="I8" s="1">
        <f>(H8)*57.2958</f>
        <v>0</v>
      </c>
    </row>
    <row r="9" spans="1:9" x14ac:dyDescent="0.3">
      <c r="A9" s="32"/>
      <c r="B9" s="11">
        <v>60</v>
      </c>
      <c r="C9" s="11">
        <v>40</v>
      </c>
      <c r="D9" s="1">
        <f t="shared" si="0"/>
        <v>2551.3223399999988</v>
      </c>
      <c r="E9" s="1">
        <f t="shared" si="1"/>
        <v>2138.0081209199989</v>
      </c>
      <c r="F9" s="1">
        <f t="shared" si="2"/>
        <v>0.52387380935427263</v>
      </c>
      <c r="G9" s="1">
        <f t="shared" ref="G9:G13" si="4">(F9)*57.2958</f>
        <v>30.015769006000532</v>
      </c>
      <c r="H9" s="1">
        <f t="shared" si="3"/>
        <v>0.50788383826645478</v>
      </c>
      <c r="I9" s="1">
        <f t="shared" ref="I9:I13" si="5">(H9)*57.2958</f>
        <v>29.099610820547138</v>
      </c>
    </row>
    <row r="10" spans="1:9" x14ac:dyDescent="0.3">
      <c r="A10" s="32"/>
      <c r="B10" s="11">
        <v>70</v>
      </c>
      <c r="C10" s="11">
        <v>30</v>
      </c>
      <c r="D10" s="1">
        <f t="shared" si="0"/>
        <v>5102.6446799999994</v>
      </c>
      <c r="E10" s="1">
        <f t="shared" si="1"/>
        <v>4276.0162418399996</v>
      </c>
      <c r="F10" s="1">
        <f t="shared" si="2"/>
        <v>1.0477476187085457</v>
      </c>
      <c r="G10" s="1">
        <f t="shared" si="4"/>
        <v>60.031538012001093</v>
      </c>
      <c r="H10" s="1">
        <f t="shared" si="3"/>
        <v>1.01576767653291</v>
      </c>
      <c r="I10" s="1">
        <f t="shared" si="5"/>
        <v>58.199221641094304</v>
      </c>
    </row>
    <row r="11" spans="1:9" ht="14.4" customHeight="1" x14ac:dyDescent="0.3">
      <c r="A11" s="32"/>
      <c r="B11" s="11">
        <v>80</v>
      </c>
      <c r="C11" s="11">
        <v>20</v>
      </c>
      <c r="D11" s="1">
        <f t="shared" si="0"/>
        <v>7653.96702</v>
      </c>
      <c r="E11" s="1">
        <f t="shared" si="1"/>
        <v>6414.0243627599993</v>
      </c>
      <c r="F11" s="1">
        <f t="shared" si="2"/>
        <v>1.5716214280628185</v>
      </c>
      <c r="G11" s="1">
        <f t="shared" si="4"/>
        <v>90.047307018001632</v>
      </c>
      <c r="H11" s="1">
        <f t="shared" si="3"/>
        <v>1.523651514799365</v>
      </c>
      <c r="I11" s="1">
        <f t="shared" si="5"/>
        <v>87.298832461641453</v>
      </c>
    </row>
    <row r="12" spans="1:9" x14ac:dyDescent="0.3">
      <c r="A12" s="32"/>
      <c r="B12" s="11">
        <v>90</v>
      </c>
      <c r="C12" s="11">
        <v>10</v>
      </c>
      <c r="D12" s="1">
        <f t="shared" si="0"/>
        <v>10205.289359999999</v>
      </c>
      <c r="E12" s="1">
        <f t="shared" si="1"/>
        <v>8552.0324836799991</v>
      </c>
      <c r="F12" s="1">
        <f t="shared" si="2"/>
        <v>2.0954952374170914</v>
      </c>
      <c r="G12" s="1">
        <f t="shared" si="4"/>
        <v>120.06307602400219</v>
      </c>
      <c r="H12" s="1">
        <f t="shared" si="3"/>
        <v>2.03153535306582</v>
      </c>
      <c r="I12" s="1">
        <f t="shared" si="5"/>
        <v>116.39844328218861</v>
      </c>
    </row>
    <row r="13" spans="1:9" x14ac:dyDescent="0.3">
      <c r="A13" s="32"/>
      <c r="B13" s="11">
        <v>100</v>
      </c>
      <c r="C13" s="11">
        <v>0</v>
      </c>
      <c r="D13" s="1">
        <f t="shared" si="0"/>
        <v>12756.611699999999</v>
      </c>
      <c r="E13" s="1">
        <f t="shared" si="1"/>
        <v>10690.040604599999</v>
      </c>
      <c r="F13" s="1">
        <f t="shared" si="2"/>
        <v>2.619369046771364</v>
      </c>
      <c r="G13" s="1">
        <f t="shared" si="4"/>
        <v>150.07884503000273</v>
      </c>
      <c r="H13" s="1">
        <f t="shared" si="3"/>
        <v>2.539419191332275</v>
      </c>
      <c r="I13" s="1">
        <f t="shared" si="5"/>
        <v>145.49805410273575</v>
      </c>
    </row>
    <row r="14" spans="1:9" x14ac:dyDescent="0.3">
      <c r="A14" s="32"/>
    </row>
    <row r="15" spans="1:9" x14ac:dyDescent="0.3">
      <c r="A15" s="32"/>
      <c r="B15" s="4" t="s">
        <v>45</v>
      </c>
      <c r="C15" s="1">
        <v>0.5</v>
      </c>
    </row>
    <row r="16" spans="1:9" x14ac:dyDescent="0.3">
      <c r="A16" s="32"/>
      <c r="F16" s="24" t="s">
        <v>43</v>
      </c>
      <c r="G16" s="24"/>
      <c r="H16" s="24" t="s">
        <v>44</v>
      </c>
      <c r="I16" s="24"/>
    </row>
    <row r="17" spans="1:20" ht="28.8" x14ac:dyDescent="0.3">
      <c r="A17" s="32"/>
      <c r="B17" s="5" t="s">
        <v>36</v>
      </c>
      <c r="C17" s="5" t="s">
        <v>37</v>
      </c>
      <c r="D17" s="5" t="s">
        <v>40</v>
      </c>
      <c r="E17" s="5" t="s">
        <v>39</v>
      </c>
      <c r="F17" s="5" t="s">
        <v>41</v>
      </c>
      <c r="G17" s="5" t="s">
        <v>42</v>
      </c>
      <c r="H17" s="5" t="s">
        <v>41</v>
      </c>
      <c r="I17" s="5" t="s">
        <v>42</v>
      </c>
    </row>
    <row r="18" spans="1:20" x14ac:dyDescent="0.3">
      <c r="A18" s="32"/>
      <c r="B18" s="11">
        <v>50</v>
      </c>
      <c r="C18" s="11">
        <v>50</v>
      </c>
      <c r="D18" s="1">
        <f t="shared" ref="D18:D23" si="6">((($B$3+$D$3)*(B18/100))-(($B$3+$D$3)*(C18/100)))*($C$15)</f>
        <v>0</v>
      </c>
      <c r="E18" s="1">
        <f t="shared" ref="E18:E23" si="7">(D18)*($F$3)</f>
        <v>0</v>
      </c>
      <c r="F18" s="1">
        <f t="shared" ref="F18:F23" si="8">(E18)/4081.151</f>
        <v>0</v>
      </c>
      <c r="G18" s="1">
        <f>(F18)*57.2958</f>
        <v>0</v>
      </c>
      <c r="H18" s="1">
        <f t="shared" ref="H18:H23" si="9">(E18)/4209.64</f>
        <v>0</v>
      </c>
      <c r="I18" s="1">
        <f>(H18)*57.2958</f>
        <v>0</v>
      </c>
    </row>
    <row r="19" spans="1:20" x14ac:dyDescent="0.3">
      <c r="A19" s="32"/>
      <c r="B19" s="11">
        <v>60</v>
      </c>
      <c r="C19" s="11">
        <v>40</v>
      </c>
      <c r="D19" s="1">
        <f t="shared" si="6"/>
        <v>1822.3730999999993</v>
      </c>
      <c r="E19" s="1">
        <f t="shared" si="7"/>
        <v>1527.1486577999995</v>
      </c>
      <c r="F19" s="1">
        <f t="shared" si="8"/>
        <v>0.37419557811019477</v>
      </c>
      <c r="G19" s="1">
        <f t="shared" ref="G19:G23" si="10">(F19)*57.2958</f>
        <v>21.439835004286099</v>
      </c>
      <c r="H19" s="1">
        <f t="shared" si="9"/>
        <v>0.36277417019032493</v>
      </c>
      <c r="I19" s="1">
        <f t="shared" ref="I19:I23" si="11">(H19)*57.2958</f>
        <v>20.78543630039082</v>
      </c>
      <c r="L19" s="33"/>
      <c r="M19" s="33"/>
      <c r="N19" s="33"/>
      <c r="O19" s="33"/>
      <c r="P19" s="33"/>
      <c r="Q19" s="33"/>
      <c r="R19" s="33"/>
      <c r="S19" s="33"/>
    </row>
    <row r="20" spans="1:20" x14ac:dyDescent="0.3">
      <c r="A20" s="32"/>
      <c r="B20" s="11">
        <v>70</v>
      </c>
      <c r="C20" s="11">
        <v>30</v>
      </c>
      <c r="D20" s="1">
        <f t="shared" si="6"/>
        <v>3644.7462</v>
      </c>
      <c r="E20" s="1">
        <f t="shared" si="7"/>
        <v>3054.2973155999998</v>
      </c>
      <c r="F20" s="1">
        <f t="shared" si="8"/>
        <v>0.74839115622038976</v>
      </c>
      <c r="G20" s="1">
        <f t="shared" si="10"/>
        <v>42.879670008572205</v>
      </c>
      <c r="H20" s="1">
        <f t="shared" si="9"/>
        <v>0.72554834038065008</v>
      </c>
      <c r="I20" s="1">
        <f t="shared" si="11"/>
        <v>41.570872600781648</v>
      </c>
    </row>
    <row r="21" spans="1:20" x14ac:dyDescent="0.3">
      <c r="A21" s="32"/>
      <c r="B21" s="11">
        <v>80</v>
      </c>
      <c r="C21" s="11">
        <v>20</v>
      </c>
      <c r="D21" s="1">
        <f t="shared" si="6"/>
        <v>5467.1193000000003</v>
      </c>
      <c r="E21" s="1">
        <f t="shared" si="7"/>
        <v>4581.4459734000002</v>
      </c>
      <c r="F21" s="1">
        <f t="shared" si="8"/>
        <v>1.1225867343305849</v>
      </c>
      <c r="G21" s="1">
        <f t="shared" si="10"/>
        <v>64.319505012858329</v>
      </c>
      <c r="H21" s="1">
        <f t="shared" si="9"/>
        <v>1.0883225105709751</v>
      </c>
      <c r="I21" s="1">
        <f t="shared" si="11"/>
        <v>62.356308901172476</v>
      </c>
    </row>
    <row r="22" spans="1:20" x14ac:dyDescent="0.3">
      <c r="A22" s="32"/>
      <c r="B22" s="11">
        <v>90</v>
      </c>
      <c r="C22" s="11">
        <v>10</v>
      </c>
      <c r="D22" s="1">
        <f t="shared" si="6"/>
        <v>7289.4923999999992</v>
      </c>
      <c r="E22" s="1">
        <f t="shared" si="7"/>
        <v>6108.5946311999987</v>
      </c>
      <c r="F22" s="1">
        <f t="shared" si="8"/>
        <v>1.4967823124407793</v>
      </c>
      <c r="G22" s="1">
        <f t="shared" si="10"/>
        <v>85.759340017144396</v>
      </c>
      <c r="H22" s="1">
        <f t="shared" si="9"/>
        <v>1.4510966807612999</v>
      </c>
      <c r="I22" s="1">
        <f t="shared" si="11"/>
        <v>83.141745201563282</v>
      </c>
    </row>
    <row r="23" spans="1:20" x14ac:dyDescent="0.3">
      <c r="A23" s="32"/>
      <c r="B23" s="11">
        <v>100</v>
      </c>
      <c r="C23" s="11">
        <v>0</v>
      </c>
      <c r="D23" s="1">
        <f t="shared" si="6"/>
        <v>9111.8654999999999</v>
      </c>
      <c r="E23" s="1">
        <f t="shared" si="7"/>
        <v>7635.743289</v>
      </c>
      <c r="F23" s="1">
        <f t="shared" si="8"/>
        <v>1.8709778905509746</v>
      </c>
      <c r="G23" s="1">
        <f t="shared" si="10"/>
        <v>107.19917502143053</v>
      </c>
      <c r="H23" s="1">
        <f t="shared" si="9"/>
        <v>1.8138708509516253</v>
      </c>
      <c r="I23" s="1">
        <f t="shared" si="11"/>
        <v>103.92718150195412</v>
      </c>
    </row>
    <row r="24" spans="1:20" x14ac:dyDescent="0.3">
      <c r="A24" s="32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3">
      <c r="A25" s="32"/>
      <c r="B25" s="4" t="s">
        <v>45</v>
      </c>
      <c r="C25" s="1">
        <v>0.1</v>
      </c>
    </row>
    <row r="26" spans="1:20" x14ac:dyDescent="0.3">
      <c r="A26" s="32"/>
      <c r="F26" s="24" t="s">
        <v>43</v>
      </c>
      <c r="G26" s="24"/>
      <c r="H26" s="24" t="s">
        <v>44</v>
      </c>
      <c r="I26" s="24"/>
    </row>
    <row r="27" spans="1:20" ht="28.8" x14ac:dyDescent="0.3">
      <c r="A27" s="32"/>
      <c r="B27" s="5" t="s">
        <v>36</v>
      </c>
      <c r="C27" s="5" t="s">
        <v>37</v>
      </c>
      <c r="D27" s="5" t="s">
        <v>40</v>
      </c>
      <c r="E27" s="5" t="s">
        <v>39</v>
      </c>
      <c r="F27" s="5" t="s">
        <v>41</v>
      </c>
      <c r="G27" s="5" t="s">
        <v>42</v>
      </c>
      <c r="H27" s="5" t="s">
        <v>41</v>
      </c>
      <c r="I27" s="5" t="s">
        <v>42</v>
      </c>
    </row>
    <row r="28" spans="1:20" x14ac:dyDescent="0.3">
      <c r="A28" s="32"/>
      <c r="B28" s="11">
        <v>50</v>
      </c>
      <c r="C28" s="11">
        <v>50</v>
      </c>
      <c r="D28" s="1">
        <f t="shared" ref="D28:D33" si="12">((($B$3+$D$3)*(B28/100))-(($B$3+$D$3)*(C28/100)))*($C$25)</f>
        <v>0</v>
      </c>
      <c r="E28" s="1">
        <f t="shared" ref="E28:E33" si="13">(D28)*($F$3)</f>
        <v>0</v>
      </c>
      <c r="F28" s="1">
        <f t="shared" ref="F28:F33" si="14">(E28)/4081.151</f>
        <v>0</v>
      </c>
      <c r="G28" s="1">
        <f>(F28)*57.2958</f>
        <v>0</v>
      </c>
      <c r="H28" s="1">
        <f t="shared" ref="H28:H33" si="15">(E28)/4209.64</f>
        <v>0</v>
      </c>
      <c r="I28" s="1">
        <f>(H28)*57.2958</f>
        <v>0</v>
      </c>
    </row>
    <row r="29" spans="1:20" x14ac:dyDescent="0.3">
      <c r="A29" s="32"/>
      <c r="B29" s="11">
        <v>60</v>
      </c>
      <c r="C29" s="11">
        <v>40</v>
      </c>
      <c r="D29" s="1">
        <f t="shared" si="12"/>
        <v>364.4746199999999</v>
      </c>
      <c r="E29" s="1">
        <f t="shared" si="13"/>
        <v>305.42973155999988</v>
      </c>
      <c r="F29" s="1">
        <f t="shared" si="14"/>
        <v>7.4839115622038946E-2</v>
      </c>
      <c r="G29" s="1">
        <f t="shared" ref="G29:G33" si="16">(F29)*57.2958</f>
        <v>4.2879670008572193</v>
      </c>
      <c r="H29" s="1">
        <f t="shared" si="15"/>
        <v>7.255483403806498E-2</v>
      </c>
      <c r="I29" s="1">
        <f t="shared" ref="I29:I33" si="17">(H29)*57.2958</f>
        <v>4.1570872600781632</v>
      </c>
    </row>
    <row r="30" spans="1:20" x14ac:dyDescent="0.3">
      <c r="A30" s="32"/>
      <c r="B30" s="11">
        <v>70</v>
      </c>
      <c r="C30" s="11">
        <v>30</v>
      </c>
      <c r="D30" s="1">
        <f t="shared" si="12"/>
        <v>728.94924000000003</v>
      </c>
      <c r="E30" s="1">
        <f t="shared" si="13"/>
        <v>610.85946311999999</v>
      </c>
      <c r="F30" s="1">
        <f t="shared" si="14"/>
        <v>0.14967823124407795</v>
      </c>
      <c r="G30" s="1">
        <f t="shared" si="16"/>
        <v>8.5759340017144421</v>
      </c>
      <c r="H30" s="1">
        <f t="shared" si="15"/>
        <v>0.14510966807613002</v>
      </c>
      <c r="I30" s="1">
        <f t="shared" si="17"/>
        <v>8.31417452015633</v>
      </c>
    </row>
    <row r="31" spans="1:20" x14ac:dyDescent="0.3">
      <c r="A31" s="32"/>
      <c r="B31" s="11">
        <v>80</v>
      </c>
      <c r="C31" s="11">
        <v>20</v>
      </c>
      <c r="D31" s="1">
        <f t="shared" si="12"/>
        <v>1093.4238600000001</v>
      </c>
      <c r="E31" s="1">
        <f t="shared" si="13"/>
        <v>916.28919468000004</v>
      </c>
      <c r="F31" s="1">
        <f t="shared" si="14"/>
        <v>0.22451734686611696</v>
      </c>
      <c r="G31" s="1">
        <f t="shared" si="16"/>
        <v>12.863901002571664</v>
      </c>
      <c r="H31" s="1">
        <f t="shared" si="15"/>
        <v>0.21766450211419502</v>
      </c>
      <c r="I31" s="1">
        <f t="shared" si="17"/>
        <v>12.471261780234496</v>
      </c>
    </row>
    <row r="32" spans="1:20" x14ac:dyDescent="0.3">
      <c r="A32" s="32"/>
      <c r="B32" s="11">
        <v>90</v>
      </c>
      <c r="C32" s="11">
        <v>10</v>
      </c>
      <c r="D32" s="1">
        <f t="shared" si="12"/>
        <v>1457.8984799999998</v>
      </c>
      <c r="E32" s="1">
        <f t="shared" si="13"/>
        <v>1221.7189262399997</v>
      </c>
      <c r="F32" s="1">
        <f t="shared" si="14"/>
        <v>0.29935646248815584</v>
      </c>
      <c r="G32" s="1">
        <f t="shared" si="16"/>
        <v>17.151868003428881</v>
      </c>
      <c r="H32" s="1">
        <f t="shared" si="15"/>
        <v>0.29021933615225998</v>
      </c>
      <c r="I32" s="1">
        <f t="shared" si="17"/>
        <v>16.628349040312656</v>
      </c>
    </row>
    <row r="33" spans="1:17" x14ac:dyDescent="0.3">
      <c r="A33" s="32"/>
      <c r="B33" s="11">
        <v>100</v>
      </c>
      <c r="C33" s="11">
        <v>0</v>
      </c>
      <c r="D33" s="1">
        <f t="shared" si="12"/>
        <v>1822.3731</v>
      </c>
      <c r="E33" s="1">
        <f t="shared" si="13"/>
        <v>1527.1486577999999</v>
      </c>
      <c r="F33" s="1">
        <f t="shared" si="14"/>
        <v>0.37419557811019488</v>
      </c>
      <c r="G33" s="1">
        <f t="shared" si="16"/>
        <v>21.439835004286103</v>
      </c>
      <c r="H33" s="1">
        <f t="shared" si="15"/>
        <v>0.36277417019032504</v>
      </c>
      <c r="I33" s="1">
        <f t="shared" si="17"/>
        <v>20.785436300390824</v>
      </c>
    </row>
    <row r="37" spans="1:17" ht="43.2" x14ac:dyDescent="0.3">
      <c r="B37" s="30" t="s">
        <v>64</v>
      </c>
      <c r="C37" s="30"/>
      <c r="D37" s="5" t="s">
        <v>38</v>
      </c>
    </row>
    <row r="38" spans="1:17" x14ac:dyDescent="0.3">
      <c r="B38" s="31">
        <f>($B$3+$D$3)</f>
        <v>18223.731</v>
      </c>
      <c r="C38" s="31"/>
      <c r="D38" s="1">
        <v>0.83799999999999997</v>
      </c>
    </row>
    <row r="40" spans="1:17" ht="14.4" customHeight="1" x14ac:dyDescent="0.3">
      <c r="A40" s="32" t="s">
        <v>47</v>
      </c>
      <c r="B40" s="4" t="s">
        <v>45</v>
      </c>
      <c r="C40" s="1">
        <v>0.7</v>
      </c>
    </row>
    <row r="41" spans="1:17" x14ac:dyDescent="0.3">
      <c r="A41" s="32"/>
      <c r="J41" s="21" t="s">
        <v>43</v>
      </c>
      <c r="K41" s="22"/>
      <c r="L41" s="21" t="s">
        <v>44</v>
      </c>
      <c r="M41" s="22"/>
      <c r="O41" s="21" t="s">
        <v>52</v>
      </c>
      <c r="P41" s="34"/>
      <c r="Q41" s="22"/>
    </row>
    <row r="42" spans="1:17" ht="72" x14ac:dyDescent="0.3">
      <c r="A42" s="32"/>
      <c r="B42" s="5" t="s">
        <v>48</v>
      </c>
      <c r="C42" s="5" t="s">
        <v>49</v>
      </c>
      <c r="D42" s="5" t="s">
        <v>55</v>
      </c>
      <c r="E42" s="5" t="s">
        <v>56</v>
      </c>
      <c r="F42" s="5" t="s">
        <v>54</v>
      </c>
      <c r="G42" s="5" t="s">
        <v>53</v>
      </c>
      <c r="H42" s="5" t="s">
        <v>57</v>
      </c>
      <c r="I42" s="5" t="s">
        <v>58</v>
      </c>
      <c r="J42" s="5" t="s">
        <v>41</v>
      </c>
      <c r="K42" s="5" t="s">
        <v>42</v>
      </c>
      <c r="L42" s="5" t="s">
        <v>41</v>
      </c>
      <c r="M42" s="5" t="s">
        <v>42</v>
      </c>
      <c r="O42" s="4" t="s">
        <v>45</v>
      </c>
      <c r="P42" s="5" t="s">
        <v>43</v>
      </c>
      <c r="Q42" s="5" t="s">
        <v>51</v>
      </c>
    </row>
    <row r="43" spans="1:17" x14ac:dyDescent="0.3">
      <c r="A43" s="32"/>
      <c r="B43" s="11">
        <f>($B$38)/2</f>
        <v>9111.8654999999999</v>
      </c>
      <c r="C43" s="11">
        <v>10</v>
      </c>
      <c r="D43" s="1">
        <f>($P$43)*(C43/100)</f>
        <v>1396.6100000000001</v>
      </c>
      <c r="E43" s="1">
        <f>($Q$43)*(C43/100)</f>
        <v>1470.8430000000001</v>
      </c>
      <c r="F43" s="1">
        <f>(B43+D43)</f>
        <v>10508.4755</v>
      </c>
      <c r="G43" s="1">
        <f>(B43+E43)</f>
        <v>10582.708500000001</v>
      </c>
      <c r="H43" s="1">
        <f>(F43)*($D$38)</f>
        <v>8806.1024689999995</v>
      </c>
      <c r="I43" s="1">
        <f>(G43)*($D$38)</f>
        <v>8868.3097230000003</v>
      </c>
      <c r="J43" s="1">
        <f>(H43)/(4081.151)</f>
        <v>2.1577497301619077</v>
      </c>
      <c r="K43" s="1">
        <f>J43*57.2958</f>
        <v>123.62999698941063</v>
      </c>
      <c r="L43" s="1">
        <f>(I43)/(4209.64)</f>
        <v>2.1066670126186562</v>
      </c>
      <c r="M43" s="1">
        <f>L43*57.2958</f>
        <v>120.703171821596</v>
      </c>
      <c r="O43" s="1">
        <v>0.7</v>
      </c>
      <c r="P43" s="1">
        <v>13966.1</v>
      </c>
      <c r="Q43" s="1">
        <v>14708.43</v>
      </c>
    </row>
    <row r="44" spans="1:17" x14ac:dyDescent="0.3">
      <c r="A44" s="32"/>
      <c r="B44" s="11">
        <f t="shared" ref="B44:B47" si="18">($B$38)/2</f>
        <v>9111.8654999999999</v>
      </c>
      <c r="C44" s="11">
        <v>20</v>
      </c>
      <c r="D44" s="1">
        <f>($P$43)*(C44/100)</f>
        <v>2793.2200000000003</v>
      </c>
      <c r="E44" s="1">
        <f>($Q$43)*(C44/100)</f>
        <v>2941.6860000000001</v>
      </c>
      <c r="F44" s="1">
        <f t="shared" ref="F44:F65" si="19">(B44+D44)</f>
        <v>11905.085500000001</v>
      </c>
      <c r="G44" s="1">
        <f t="shared" ref="G44:G65" si="20">(B44+E44)</f>
        <v>12053.5515</v>
      </c>
      <c r="H44" s="1">
        <f t="shared" ref="H44:I47" si="21">(F44)*($D$38)</f>
        <v>9976.4616490000008</v>
      </c>
      <c r="I44" s="1">
        <f t="shared" si="21"/>
        <v>10100.876156999999</v>
      </c>
      <c r="J44" s="1">
        <f t="shared" ref="J44:J47" si="22">(H44)/(4081.151)</f>
        <v>2.4445215697728413</v>
      </c>
      <c r="K44" s="1">
        <f t="shared" ref="K44:K47" si="23">J44*57.2958</f>
        <v>140.06081895739075</v>
      </c>
      <c r="L44" s="1">
        <f t="shared" ref="L44:L47" si="24">(I44)/(4209.64)</f>
        <v>2.3994631742856867</v>
      </c>
      <c r="M44" s="1">
        <f t="shared" ref="M44:M47" si="25">L44*57.2958</f>
        <v>137.47916214123785</v>
      </c>
      <c r="O44" s="1">
        <v>0.5</v>
      </c>
      <c r="P44" s="1">
        <v>9973.7900000000009</v>
      </c>
      <c r="Q44" s="1">
        <v>10506.02</v>
      </c>
    </row>
    <row r="45" spans="1:17" x14ac:dyDescent="0.3">
      <c r="A45" s="32"/>
      <c r="B45" s="11">
        <f t="shared" si="18"/>
        <v>9111.8654999999999</v>
      </c>
      <c r="C45" s="11">
        <v>30</v>
      </c>
      <c r="D45" s="1">
        <f>($P$43)*(C45/100)</f>
        <v>4189.83</v>
      </c>
      <c r="E45" s="1">
        <f>($Q$43)*(C45/100)</f>
        <v>4412.5289999999995</v>
      </c>
      <c r="F45" s="1">
        <f t="shared" si="19"/>
        <v>13301.6955</v>
      </c>
      <c r="G45" s="1">
        <f t="shared" si="20"/>
        <v>13524.394499999999</v>
      </c>
      <c r="H45" s="1">
        <f t="shared" si="21"/>
        <v>11146.820829</v>
      </c>
      <c r="I45" s="1">
        <f t="shared" si="21"/>
        <v>11333.442590999999</v>
      </c>
      <c r="J45" s="1">
        <f t="shared" si="22"/>
        <v>2.7312934093837744</v>
      </c>
      <c r="K45" s="1">
        <f t="shared" si="23"/>
        <v>156.49164092537086</v>
      </c>
      <c r="L45" s="1">
        <f t="shared" si="24"/>
        <v>2.6922593359527176</v>
      </c>
      <c r="M45" s="1">
        <f t="shared" si="25"/>
        <v>154.25515246087971</v>
      </c>
      <c r="O45" s="1">
        <v>0.1</v>
      </c>
      <c r="P45" s="1">
        <v>1995.16</v>
      </c>
      <c r="Q45" s="1">
        <v>2101.1999999999998</v>
      </c>
    </row>
    <row r="46" spans="1:17" x14ac:dyDescent="0.3">
      <c r="A46" s="32"/>
      <c r="B46" s="11">
        <f t="shared" si="18"/>
        <v>9111.8654999999999</v>
      </c>
      <c r="C46" s="11">
        <v>40</v>
      </c>
      <c r="D46" s="1">
        <f>($P$43)*(C46/100)</f>
        <v>5586.4400000000005</v>
      </c>
      <c r="E46" s="1">
        <f>($Q$43)*(C46/100)</f>
        <v>5883.3720000000003</v>
      </c>
      <c r="F46" s="1">
        <f t="shared" si="19"/>
        <v>14698.3055</v>
      </c>
      <c r="G46" s="1">
        <f t="shared" si="20"/>
        <v>14995.237499999999</v>
      </c>
      <c r="H46" s="1">
        <f t="shared" si="21"/>
        <v>12317.180009</v>
      </c>
      <c r="I46" s="1">
        <f t="shared" si="21"/>
        <v>12566.009024999999</v>
      </c>
      <c r="J46" s="1">
        <f t="shared" si="22"/>
        <v>3.0180652489947075</v>
      </c>
      <c r="K46" s="1">
        <f t="shared" si="23"/>
        <v>172.92246289335097</v>
      </c>
      <c r="L46" s="1">
        <f t="shared" si="24"/>
        <v>2.9850554976197485</v>
      </c>
      <c r="M46" s="1">
        <f t="shared" si="25"/>
        <v>171.03114278052158</v>
      </c>
    </row>
    <row r="47" spans="1:17" x14ac:dyDescent="0.3">
      <c r="A47" s="32"/>
      <c r="B47" s="11">
        <f t="shared" si="18"/>
        <v>9111.8654999999999</v>
      </c>
      <c r="C47" s="11">
        <v>50</v>
      </c>
      <c r="D47" s="1">
        <f>($P$43)*(C47/100)</f>
        <v>6983.05</v>
      </c>
      <c r="E47" s="1">
        <f>($Q$43)*(C47/100)</f>
        <v>7354.2150000000001</v>
      </c>
      <c r="F47" s="1">
        <f t="shared" si="19"/>
        <v>16094.915499999999</v>
      </c>
      <c r="G47" s="1">
        <f t="shared" si="20"/>
        <v>16466.0805</v>
      </c>
      <c r="H47" s="1">
        <f t="shared" si="21"/>
        <v>13487.539188999999</v>
      </c>
      <c r="I47" s="1">
        <f t="shared" si="21"/>
        <v>13798.575459</v>
      </c>
      <c r="J47" s="1">
        <f t="shared" si="22"/>
        <v>3.3048370886056406</v>
      </c>
      <c r="K47" s="1">
        <f t="shared" si="23"/>
        <v>189.35328486133108</v>
      </c>
      <c r="L47" s="1">
        <f t="shared" si="24"/>
        <v>3.2778516592867795</v>
      </c>
      <c r="M47" s="1">
        <f t="shared" si="25"/>
        <v>187.80713310016347</v>
      </c>
    </row>
    <row r="48" spans="1:17" x14ac:dyDescent="0.3">
      <c r="A48" s="32"/>
    </row>
    <row r="49" spans="1:13" x14ac:dyDescent="0.3">
      <c r="A49" s="32"/>
      <c r="B49" s="4" t="s">
        <v>45</v>
      </c>
      <c r="C49" s="1">
        <v>0.5</v>
      </c>
    </row>
    <row r="50" spans="1:13" x14ac:dyDescent="0.3">
      <c r="A50" s="32"/>
      <c r="J50" s="21" t="s">
        <v>43</v>
      </c>
      <c r="K50" s="22"/>
      <c r="L50" s="21" t="s">
        <v>44</v>
      </c>
      <c r="M50" s="22"/>
    </row>
    <row r="51" spans="1:13" ht="72" x14ac:dyDescent="0.3">
      <c r="A51" s="32"/>
      <c r="B51" s="5" t="s">
        <v>48</v>
      </c>
      <c r="C51" s="5" t="s">
        <v>49</v>
      </c>
      <c r="D51" s="5" t="s">
        <v>55</v>
      </c>
      <c r="E51" s="5" t="s">
        <v>56</v>
      </c>
      <c r="F51" s="5" t="s">
        <v>54</v>
      </c>
      <c r="G51" s="5" t="s">
        <v>53</v>
      </c>
      <c r="H51" s="5" t="s">
        <v>57</v>
      </c>
      <c r="I51" s="5" t="s">
        <v>58</v>
      </c>
      <c r="J51" s="5" t="s">
        <v>41</v>
      </c>
      <c r="K51" s="5" t="s">
        <v>42</v>
      </c>
      <c r="L51" s="5" t="s">
        <v>41</v>
      </c>
      <c r="M51" s="5" t="s">
        <v>42</v>
      </c>
    </row>
    <row r="52" spans="1:13" x14ac:dyDescent="0.3">
      <c r="A52" s="32"/>
      <c r="B52" s="11">
        <f t="shared" ref="B52:B56" si="26">($B$38)/2</f>
        <v>9111.8654999999999</v>
      </c>
      <c r="C52" s="11">
        <v>10</v>
      </c>
      <c r="D52" s="1">
        <f>($P$44)*(C52/100)</f>
        <v>997.37900000000013</v>
      </c>
      <c r="E52" s="1">
        <f>($Q$44)*(C52/100)</f>
        <v>1050.6020000000001</v>
      </c>
      <c r="F52" s="1">
        <f t="shared" si="19"/>
        <v>10109.244500000001</v>
      </c>
      <c r="G52" s="1">
        <f t="shared" si="20"/>
        <v>10162.467500000001</v>
      </c>
      <c r="H52" s="1">
        <f>(F52)*($D$38)</f>
        <v>8471.546891</v>
      </c>
      <c r="I52" s="1">
        <f>(G52)*($D$38)</f>
        <v>8516.1477649999997</v>
      </c>
      <c r="J52" s="1">
        <f>(H52)/(4081.151)</f>
        <v>2.0757739399987898</v>
      </c>
      <c r="K52" s="1">
        <f>J52*57.2958</f>
        <v>118.93312851138266</v>
      </c>
      <c r="L52" s="1">
        <f>(I52)/(4209.64)</f>
        <v>2.0230109379899468</v>
      </c>
      <c r="M52" s="1">
        <f>L52*57.2958</f>
        <v>115.9100301008844</v>
      </c>
    </row>
    <row r="53" spans="1:13" x14ac:dyDescent="0.3">
      <c r="A53" s="32"/>
      <c r="B53" s="11">
        <f t="shared" si="26"/>
        <v>9111.8654999999999</v>
      </c>
      <c r="C53" s="11">
        <v>20</v>
      </c>
      <c r="D53" s="1">
        <f>($P$44)*(C53/100)</f>
        <v>1994.7580000000003</v>
      </c>
      <c r="E53" s="1">
        <f>($Q$44)*(C53/100)</f>
        <v>2101.2040000000002</v>
      </c>
      <c r="F53" s="1">
        <f t="shared" si="19"/>
        <v>11106.6235</v>
      </c>
      <c r="G53" s="1">
        <f t="shared" si="20"/>
        <v>11213.0695</v>
      </c>
      <c r="H53" s="1">
        <f t="shared" ref="H53:I56" si="27">(F53)*($D$38)</f>
        <v>9307.3504929999999</v>
      </c>
      <c r="I53" s="1">
        <f t="shared" si="27"/>
        <v>9396.5522409999994</v>
      </c>
      <c r="J53" s="1">
        <f t="shared" ref="J53:J56" si="28">(H53)/(4081.151)</f>
        <v>2.2805699894466045</v>
      </c>
      <c r="K53" s="1">
        <f t="shared" ref="K53:K56" si="29">J53*57.2958</f>
        <v>130.66708200133476</v>
      </c>
      <c r="L53" s="1">
        <f t="shared" ref="L53:L56" si="30">(I53)/(4209.64)</f>
        <v>2.2321510250282683</v>
      </c>
      <c r="M53" s="1">
        <f t="shared" ref="M53:M56" si="31">L53*57.2958</f>
        <v>127.89287869981466</v>
      </c>
    </row>
    <row r="54" spans="1:13" x14ac:dyDescent="0.3">
      <c r="A54" s="32"/>
      <c r="B54" s="11">
        <f t="shared" si="26"/>
        <v>9111.8654999999999</v>
      </c>
      <c r="C54" s="11">
        <v>30</v>
      </c>
      <c r="D54" s="1">
        <f>($P$44)*(C54/100)</f>
        <v>2992.1370000000002</v>
      </c>
      <c r="E54" s="1">
        <f>($Q$44)*(C54/100)</f>
        <v>3151.806</v>
      </c>
      <c r="F54" s="1">
        <f t="shared" si="19"/>
        <v>12104.002500000001</v>
      </c>
      <c r="G54" s="1">
        <f t="shared" si="20"/>
        <v>12263.6715</v>
      </c>
      <c r="H54" s="1">
        <f t="shared" si="27"/>
        <v>10143.154095</v>
      </c>
      <c r="I54" s="1">
        <f t="shared" si="27"/>
        <v>10276.956716999999</v>
      </c>
      <c r="J54" s="1">
        <f t="shared" si="28"/>
        <v>2.4853660388944196</v>
      </c>
      <c r="K54" s="1">
        <f t="shared" si="29"/>
        <v>142.40103549128688</v>
      </c>
      <c r="L54" s="1">
        <f t="shared" si="30"/>
        <v>2.4412911120665894</v>
      </c>
      <c r="M54" s="1">
        <f t="shared" si="31"/>
        <v>139.87572729874489</v>
      </c>
    </row>
    <row r="55" spans="1:13" x14ac:dyDescent="0.3">
      <c r="A55" s="32"/>
      <c r="B55" s="11">
        <f t="shared" si="26"/>
        <v>9111.8654999999999</v>
      </c>
      <c r="C55" s="11">
        <v>40</v>
      </c>
      <c r="D55" s="1">
        <f>($P$44)*(C55/100)</f>
        <v>3989.5160000000005</v>
      </c>
      <c r="E55" s="1">
        <f>($Q$44)*(C55/100)</f>
        <v>4202.4080000000004</v>
      </c>
      <c r="F55" s="1">
        <f t="shared" si="19"/>
        <v>13101.3815</v>
      </c>
      <c r="G55" s="1">
        <f t="shared" si="20"/>
        <v>13314.273499999999</v>
      </c>
      <c r="H55" s="1">
        <f t="shared" si="27"/>
        <v>10978.957697</v>
      </c>
      <c r="I55" s="1">
        <f t="shared" si="27"/>
        <v>11157.361192999999</v>
      </c>
      <c r="J55" s="1">
        <f t="shared" si="28"/>
        <v>2.6901620883422348</v>
      </c>
      <c r="K55" s="1">
        <f t="shared" si="29"/>
        <v>154.13498898123902</v>
      </c>
      <c r="L55" s="1">
        <f t="shared" si="30"/>
        <v>2.650431199104911</v>
      </c>
      <c r="M55" s="1">
        <f t="shared" si="31"/>
        <v>151.85857589767517</v>
      </c>
    </row>
    <row r="56" spans="1:13" x14ac:dyDescent="0.3">
      <c r="A56" s="32"/>
      <c r="B56" s="11">
        <f t="shared" si="26"/>
        <v>9111.8654999999999</v>
      </c>
      <c r="C56" s="11">
        <v>50</v>
      </c>
      <c r="D56" s="1">
        <f>($P$44)*(C56/100)</f>
        <v>4986.8950000000004</v>
      </c>
      <c r="E56" s="1">
        <f>($Q$44)*(C56/100)</f>
        <v>5253.01</v>
      </c>
      <c r="F56" s="1">
        <f t="shared" si="19"/>
        <v>14098.7605</v>
      </c>
      <c r="G56" s="1">
        <f t="shared" si="20"/>
        <v>14364.8755</v>
      </c>
      <c r="H56" s="1">
        <f t="shared" si="27"/>
        <v>11814.761299</v>
      </c>
      <c r="I56" s="1">
        <f t="shared" si="27"/>
        <v>12037.765669</v>
      </c>
      <c r="J56" s="1">
        <f t="shared" si="28"/>
        <v>2.89495813779005</v>
      </c>
      <c r="K56" s="1">
        <f t="shared" si="29"/>
        <v>165.86894247119113</v>
      </c>
      <c r="L56" s="1">
        <f t="shared" si="30"/>
        <v>2.859571286143233</v>
      </c>
      <c r="M56" s="1">
        <f t="shared" si="31"/>
        <v>163.84142449660544</v>
      </c>
    </row>
    <row r="57" spans="1:13" x14ac:dyDescent="0.3">
      <c r="A57" s="32"/>
    </row>
    <row r="58" spans="1:13" x14ac:dyDescent="0.3">
      <c r="A58" s="32"/>
      <c r="B58" s="4" t="s">
        <v>45</v>
      </c>
      <c r="C58" s="1">
        <v>0.1</v>
      </c>
    </row>
    <row r="59" spans="1:13" x14ac:dyDescent="0.3">
      <c r="A59" s="32"/>
      <c r="J59" s="21" t="s">
        <v>43</v>
      </c>
      <c r="K59" s="22"/>
      <c r="L59" s="21" t="s">
        <v>44</v>
      </c>
      <c r="M59" s="22"/>
    </row>
    <row r="60" spans="1:13" ht="72" x14ac:dyDescent="0.3">
      <c r="A60" s="32"/>
      <c r="B60" s="5" t="s">
        <v>48</v>
      </c>
      <c r="C60" s="5" t="s">
        <v>49</v>
      </c>
      <c r="D60" s="5" t="s">
        <v>55</v>
      </c>
      <c r="E60" s="5" t="s">
        <v>56</v>
      </c>
      <c r="F60" s="5" t="s">
        <v>54</v>
      </c>
      <c r="G60" s="5" t="s">
        <v>53</v>
      </c>
      <c r="H60" s="5" t="s">
        <v>57</v>
      </c>
      <c r="I60" s="5" t="s">
        <v>58</v>
      </c>
      <c r="J60" s="5" t="s">
        <v>41</v>
      </c>
      <c r="K60" s="5" t="s">
        <v>42</v>
      </c>
      <c r="L60" s="5" t="s">
        <v>41</v>
      </c>
      <c r="M60" s="5" t="s">
        <v>42</v>
      </c>
    </row>
    <row r="61" spans="1:13" x14ac:dyDescent="0.3">
      <c r="A61" s="32"/>
      <c r="B61" s="11">
        <f t="shared" ref="B61:B65" si="32">($B$38)/2</f>
        <v>9111.8654999999999</v>
      </c>
      <c r="C61" s="11">
        <v>10</v>
      </c>
      <c r="D61" s="1">
        <f>($P$45)*(C61/100)</f>
        <v>199.51600000000002</v>
      </c>
      <c r="E61" s="1">
        <f>($Q$45)*(C61/100)</f>
        <v>210.12</v>
      </c>
      <c r="F61" s="1">
        <f t="shared" si="19"/>
        <v>9311.3814999999995</v>
      </c>
      <c r="G61" s="1">
        <f t="shared" si="20"/>
        <v>9321.9855000000007</v>
      </c>
      <c r="H61" s="1">
        <f>(F61)*($D$38)</f>
        <v>7802.9376969999994</v>
      </c>
      <c r="I61" s="1">
        <f>(G61)*($D$38)</f>
        <v>7811.8238490000003</v>
      </c>
      <c r="J61" s="1">
        <f>(H61)/(4081.151)</f>
        <v>1.9119453548766021</v>
      </c>
      <c r="K61" s="1">
        <f>J61*57.2958</f>
        <v>109.54643866393882</v>
      </c>
      <c r="L61" s="1">
        <f>(I61)/(4209.64)</f>
        <v>1.855698788732528</v>
      </c>
      <c r="M61" s="1">
        <f>L61*57.2958</f>
        <v>106.32374665946118</v>
      </c>
    </row>
    <row r="62" spans="1:13" x14ac:dyDescent="0.3">
      <c r="A62" s="32"/>
      <c r="B62" s="11">
        <f t="shared" si="32"/>
        <v>9111.8654999999999</v>
      </c>
      <c r="C62" s="11">
        <v>20</v>
      </c>
      <c r="D62" s="1">
        <f>($P$45)*(C62/100)</f>
        <v>399.03200000000004</v>
      </c>
      <c r="E62" s="1">
        <f>($Q$45)*(C62/100)</f>
        <v>420.24</v>
      </c>
      <c r="F62" s="1">
        <f t="shared" si="19"/>
        <v>9510.8974999999991</v>
      </c>
      <c r="G62" s="1">
        <f t="shared" si="20"/>
        <v>9532.1054999999997</v>
      </c>
      <c r="H62" s="1">
        <f t="shared" ref="H62:I65" si="33">(F62)*($D$38)</f>
        <v>7970.1321049999988</v>
      </c>
      <c r="I62" s="1">
        <f t="shared" si="33"/>
        <v>7987.9044089999998</v>
      </c>
      <c r="J62" s="1">
        <f t="shared" ref="J62:J65" si="34">(H62)/(4081.151)</f>
        <v>1.9529128192022298</v>
      </c>
      <c r="K62" s="1">
        <f t="shared" ref="K62:K65" si="35">J62*57.2958</f>
        <v>111.89370230644712</v>
      </c>
      <c r="L62" s="1">
        <f t="shared" ref="L62:L65" si="36">(I62)/(4209.64)</f>
        <v>1.8975267265134308</v>
      </c>
      <c r="M62" s="1">
        <f t="shared" ref="M62:M65" si="37">L62*57.2958</f>
        <v>108.72031181696823</v>
      </c>
    </row>
    <row r="63" spans="1:13" x14ac:dyDescent="0.3">
      <c r="A63" s="32"/>
      <c r="B63" s="11">
        <f t="shared" si="32"/>
        <v>9111.8654999999999</v>
      </c>
      <c r="C63" s="11">
        <v>30</v>
      </c>
      <c r="D63" s="1">
        <f>($P$45)*(C63/100)</f>
        <v>598.548</v>
      </c>
      <c r="E63" s="1">
        <f>($Q$45)*(C63/100)</f>
        <v>630.3599999999999</v>
      </c>
      <c r="F63" s="1">
        <f t="shared" si="19"/>
        <v>9710.4135000000006</v>
      </c>
      <c r="G63" s="1">
        <f t="shared" si="20"/>
        <v>9742.2255000000005</v>
      </c>
      <c r="H63" s="1">
        <f t="shared" si="33"/>
        <v>8137.326513</v>
      </c>
      <c r="I63" s="1">
        <f t="shared" si="33"/>
        <v>8163.9849690000001</v>
      </c>
      <c r="J63" s="1">
        <f t="shared" si="34"/>
        <v>1.9938802835278577</v>
      </c>
      <c r="K63" s="1">
        <f t="shared" si="35"/>
        <v>114.24096594895543</v>
      </c>
      <c r="L63" s="1">
        <f t="shared" si="36"/>
        <v>1.9393546642943338</v>
      </c>
      <c r="M63" s="1">
        <f t="shared" si="37"/>
        <v>111.11687697447529</v>
      </c>
    </row>
    <row r="64" spans="1:13" x14ac:dyDescent="0.3">
      <c r="A64" s="32"/>
      <c r="B64" s="11">
        <f t="shared" si="32"/>
        <v>9111.8654999999999</v>
      </c>
      <c r="C64" s="11">
        <v>40</v>
      </c>
      <c r="D64" s="1">
        <f>($P$45)*(C64/100)</f>
        <v>798.06400000000008</v>
      </c>
      <c r="E64" s="1">
        <f>($Q$45)*(C64/100)</f>
        <v>840.48</v>
      </c>
      <c r="F64" s="1">
        <f t="shared" si="19"/>
        <v>9909.9295000000002</v>
      </c>
      <c r="G64" s="1">
        <f t="shared" si="20"/>
        <v>9952.3454999999994</v>
      </c>
      <c r="H64" s="1">
        <f t="shared" si="33"/>
        <v>8304.5209209999994</v>
      </c>
      <c r="I64" s="1">
        <f t="shared" si="33"/>
        <v>8340.0655289999995</v>
      </c>
      <c r="J64" s="1">
        <f t="shared" si="34"/>
        <v>2.0348477478534854</v>
      </c>
      <c r="K64" s="1">
        <f t="shared" si="35"/>
        <v>116.58822959146373</v>
      </c>
      <c r="L64" s="1">
        <f t="shared" si="36"/>
        <v>1.9811826020752366</v>
      </c>
      <c r="M64" s="1">
        <f t="shared" si="37"/>
        <v>113.51344213198234</v>
      </c>
    </row>
    <row r="65" spans="1:13" x14ac:dyDescent="0.3">
      <c r="A65" s="32"/>
      <c r="B65" s="11">
        <f t="shared" si="32"/>
        <v>9111.8654999999999</v>
      </c>
      <c r="C65" s="11">
        <v>50</v>
      </c>
      <c r="D65" s="1">
        <f>($P$45)*(C65/100)</f>
        <v>997.58</v>
      </c>
      <c r="E65" s="1">
        <f>($Q$45)*(C65/100)</f>
        <v>1050.5999999999999</v>
      </c>
      <c r="F65" s="1">
        <f t="shared" si="19"/>
        <v>10109.4455</v>
      </c>
      <c r="G65" s="1">
        <f t="shared" si="20"/>
        <v>10162.4655</v>
      </c>
      <c r="H65" s="1">
        <f t="shared" si="33"/>
        <v>8471.7153289999987</v>
      </c>
      <c r="I65" s="1">
        <f t="shared" si="33"/>
        <v>8516.1460889999998</v>
      </c>
      <c r="J65" s="1">
        <f t="shared" si="34"/>
        <v>2.0758152121791129</v>
      </c>
      <c r="K65" s="1">
        <f t="shared" si="35"/>
        <v>118.93549323397201</v>
      </c>
      <c r="L65" s="1">
        <f t="shared" si="36"/>
        <v>2.0230105398561395</v>
      </c>
      <c r="M65" s="1">
        <f t="shared" si="37"/>
        <v>115.9100072894894</v>
      </c>
    </row>
  </sheetData>
  <mergeCells count="22">
    <mergeCell ref="L19:S19"/>
    <mergeCell ref="B37:C37"/>
    <mergeCell ref="B38:C38"/>
    <mergeCell ref="A40:A65"/>
    <mergeCell ref="J41:K41"/>
    <mergeCell ref="L41:M41"/>
    <mergeCell ref="O41:Q41"/>
    <mergeCell ref="J50:K50"/>
    <mergeCell ref="L50:M50"/>
    <mergeCell ref="J59:K59"/>
    <mergeCell ref="L59:M59"/>
    <mergeCell ref="H6:I6"/>
    <mergeCell ref="F16:G16"/>
    <mergeCell ref="H16:I16"/>
    <mergeCell ref="F26:G26"/>
    <mergeCell ref="H26:I26"/>
    <mergeCell ref="F6:G6"/>
    <mergeCell ref="B2:C2"/>
    <mergeCell ref="D2:E2"/>
    <mergeCell ref="B3:C3"/>
    <mergeCell ref="D3:E3"/>
    <mergeCell ref="A5:A33"/>
  </mergeCells>
  <pageMargins left="0.7" right="0.7" top="0.75" bottom="0.75" header="0.3" footer="0.3"/>
  <ignoredErrors>
    <ignoredError sqref="L43:M58 L61:L65 H8:I3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Q11</vt:lpstr>
      <vt:lpstr>Q12</vt:lpstr>
      <vt:lpstr>Q13 1st GEAR</vt:lpstr>
      <vt:lpstr>Q13 3rd GEAR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Hart</dc:creator>
  <cp:lastModifiedBy>Max Hart</cp:lastModifiedBy>
  <dcterms:created xsi:type="dcterms:W3CDTF">2020-05-17T18:27:39Z</dcterms:created>
  <dcterms:modified xsi:type="dcterms:W3CDTF">2020-05-20T10:29:27Z</dcterms:modified>
</cp:coreProperties>
</file>