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nikih\Desktop\Submission\"/>
    </mc:Choice>
  </mc:AlternateContent>
  <xr:revisionPtr revIDLastSave="0" documentId="13_ncr:1_{320F9DDD-FDAD-4902-B831-533BE7DE624F}" xr6:coauthVersionLast="47" xr6:coauthVersionMax="47" xr10:uidLastSave="{00000000-0000-0000-0000-000000000000}"/>
  <bookViews>
    <workbookView xWindow="-24540" yWindow="2010" windowWidth="21600" windowHeight="11295" tabRatio="880" xr2:uid="{E9229C52-CF2D-4684-B1E6-FBC2F931FBD2}"/>
  </bookViews>
  <sheets>
    <sheet name="Front" sheetId="1" r:id="rId1"/>
    <sheet name="Summary" sheetId="39" r:id="rId2"/>
    <sheet name="Allowance &amp; notes" sheetId="40" r:id="rId3"/>
    <sheet name="0 - Facilitating works" sheetId="32" r:id="rId4"/>
    <sheet name="1 - Substructure" sheetId="31" r:id="rId5"/>
    <sheet name="2 - Superstructure" sheetId="30" r:id="rId6"/>
    <sheet name="BbQuantityLink" sheetId="23" state="veryHidden" r:id="rId7"/>
    <sheet name="3 - Internal finishes" sheetId="5" r:id="rId8"/>
    <sheet name="4 - FF&amp;E" sheetId="25" r:id="rId9"/>
    <sheet name="5 - Services" sheetId="26" r:id="rId10"/>
    <sheet name="6 - Prefabricated Buildings" sheetId="27" r:id="rId11"/>
    <sheet name="7 - Work to existing buildings" sheetId="28" r:id="rId12"/>
    <sheet name="8 - External works" sheetId="29" r:id="rId13"/>
    <sheet name="9 - Main Contr Prelims" sheetId="33" r:id="rId14"/>
    <sheet name="10 - Main Contr O &amp; P" sheetId="35" r:id="rId15"/>
    <sheet name="11 - Project &amp; Design Team fee" sheetId="34" r:id="rId16"/>
    <sheet name="12 - Other development costs" sheetId="36" r:id="rId17"/>
    <sheet name="13 - Risks" sheetId="37" r:id="rId18"/>
    <sheet name="14 - Inflation" sheetId="38" r:id="rId19"/>
    <sheet name="Appendix" sheetId="20" r:id="rId20"/>
  </sheets>
  <definedNames>
    <definedName name="_xlnm.Print_Area" localSheetId="3">'0 - Facilitating works'!$A$1:$J$17</definedName>
    <definedName name="_xlnm.Print_Area" localSheetId="4">'1 - Substructure'!$A$1:$J$29</definedName>
    <definedName name="_xlnm.Print_Area" localSheetId="14">'10 - Main Contr O &amp; P'!$A$1:$K$15</definedName>
    <definedName name="_xlnm.Print_Area" localSheetId="15">'11 - Project &amp; Design Team fee'!$A$1:$K$12</definedName>
    <definedName name="_xlnm.Print_Area" localSheetId="16">'12 - Other development costs'!$A$1:$J$12</definedName>
    <definedName name="_xlnm.Print_Area" localSheetId="17">'13 - Risks'!$A$1:$J$17</definedName>
    <definedName name="_xlnm.Print_Area" localSheetId="18">'14 - Inflation'!$A$1:$J$14</definedName>
    <definedName name="_xlnm.Print_Area" localSheetId="5">'2 - Superstructure'!$A$1:$J$70</definedName>
    <definedName name="_xlnm.Print_Area" localSheetId="7">'3 - Internal finishes'!$A$1:$J$33</definedName>
    <definedName name="_xlnm.Print_Area" localSheetId="8">'4 - FF&amp;E'!$A$1:$J$19</definedName>
    <definedName name="_xlnm.Print_Area" localSheetId="9">'5 - Services'!$A$1:$J$41</definedName>
    <definedName name="_xlnm.Print_Area" localSheetId="10">'6 - Prefabricated Buildings'!$A$1:$J$12</definedName>
    <definedName name="_xlnm.Print_Area" localSheetId="11">'7 - Work to existing buildings'!$A$1:$J$14</definedName>
    <definedName name="_xlnm.Print_Area" localSheetId="12">'8 - External works'!$A$1:$J$28</definedName>
    <definedName name="_xlnm.Print_Area" localSheetId="13">'9 - Main Contr Prelims'!$A$1:$K$33</definedName>
    <definedName name="_xlnm.Print_Area" localSheetId="2">'Allowance &amp; notes'!$A$1:$I$61</definedName>
    <definedName name="_xlnm.Print_Area" localSheetId="19">Appendix!$A$1:$P$200</definedName>
    <definedName name="_xlnm.Print_Area" localSheetId="0">Front!$A$1:$I$50</definedName>
    <definedName name="_xlnm.Print_Area" localSheetId="1">Summary!$A$1:$G$46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3" i="26" l="1"/>
  <c r="I38" i="26"/>
  <c r="I21" i="25"/>
  <c r="H21" i="25"/>
  <c r="I35" i="5"/>
  <c r="H35" i="5"/>
  <c r="I72" i="30"/>
  <c r="I70" i="30"/>
  <c r="H72" i="30"/>
  <c r="G51" i="30"/>
  <c r="G46" i="30"/>
  <c r="G44" i="30"/>
  <c r="G38" i="30"/>
  <c r="G33" i="30"/>
  <c r="G27" i="30"/>
  <c r="G25" i="30"/>
  <c r="G20" i="30"/>
  <c r="G18" i="30"/>
  <c r="G13" i="30"/>
  <c r="H13" i="30" s="1"/>
  <c r="G10" i="30"/>
  <c r="I31" i="31"/>
  <c r="H31" i="31"/>
  <c r="G19" i="37"/>
  <c r="G35" i="33"/>
  <c r="G14" i="29"/>
  <c r="H14" i="29" s="1"/>
  <c r="D26" i="39" s="1"/>
  <c r="H9" i="29"/>
  <c r="G36" i="26"/>
  <c r="G32" i="26"/>
  <c r="G29" i="26"/>
  <c r="H29" i="26" s="1"/>
  <c r="G26" i="26"/>
  <c r="G23" i="26"/>
  <c r="H23" i="26" s="1"/>
  <c r="G20" i="26"/>
  <c r="G17" i="26"/>
  <c r="H17" i="26" s="1"/>
  <c r="G14" i="26"/>
  <c r="H14" i="26" s="1"/>
  <c r="G11" i="26"/>
  <c r="H11" i="26" s="1"/>
  <c r="G8" i="26"/>
  <c r="G28" i="5"/>
  <c r="H28" i="5" s="1"/>
  <c r="G22" i="5"/>
  <c r="H22" i="5" s="1"/>
  <c r="G18" i="5"/>
  <c r="H18" i="5" s="1"/>
  <c r="G13" i="5"/>
  <c r="G10" i="5"/>
  <c r="G67" i="30"/>
  <c r="G62" i="30"/>
  <c r="H62" i="30" s="1"/>
  <c r="G58" i="30"/>
  <c r="H58" i="30" s="1"/>
  <c r="G53" i="30"/>
  <c r="G23" i="31"/>
  <c r="H23" i="31"/>
  <c r="G18" i="31"/>
  <c r="H18" i="31" s="1"/>
  <c r="G14" i="31"/>
  <c r="G12" i="31"/>
  <c r="G10" i="31"/>
  <c r="H10" i="31" s="1"/>
  <c r="D25" i="39"/>
  <c r="E22" i="39"/>
  <c r="F22" i="39" s="1"/>
  <c r="D18" i="39"/>
  <c r="I19" i="25"/>
  <c r="H16" i="25"/>
  <c r="E10" i="30"/>
  <c r="H10" i="30" s="1"/>
  <c r="U8" i="30"/>
  <c r="U7" i="30"/>
  <c r="U6" i="30"/>
  <c r="U10" i="30" s="1"/>
  <c r="N19" i="31"/>
  <c r="R19" i="31" s="1"/>
  <c r="H14" i="31"/>
  <c r="S14" i="31"/>
  <c r="H12" i="31"/>
  <c r="V10" i="31"/>
  <c r="E10" i="31" s="1"/>
  <c r="H36" i="26"/>
  <c r="H32" i="26"/>
  <c r="H26" i="26"/>
  <c r="H20" i="26"/>
  <c r="H8" i="26"/>
  <c r="H14" i="25"/>
  <c r="H12" i="25"/>
  <c r="H10" i="25"/>
  <c r="H13" i="5"/>
  <c r="H10" i="5"/>
  <c r="H67" i="30"/>
  <c r="E26" i="39" l="1"/>
  <c r="E28" i="39" s="1"/>
  <c r="I23" i="29"/>
  <c r="I28" i="29" s="1"/>
  <c r="H43" i="26"/>
  <c r="I30" i="5"/>
  <c r="I26" i="31"/>
  <c r="H46" i="30"/>
  <c r="H53" i="30"/>
  <c r="H51" i="30"/>
  <c r="H44" i="30"/>
  <c r="H38" i="30"/>
  <c r="H33" i="30"/>
  <c r="H27" i="30"/>
  <c r="H25" i="30"/>
  <c r="H20" i="30"/>
  <c r="H18" i="30"/>
  <c r="H14" i="38"/>
  <c r="H12" i="36"/>
  <c r="D20" i="39" l="1"/>
  <c r="F26" i="39"/>
  <c r="I33" i="33"/>
  <c r="G22" i="33"/>
  <c r="G21" i="33"/>
  <c r="H16" i="28" l="1"/>
  <c r="I14" i="28"/>
  <c r="I16" i="28" s="1"/>
  <c r="H19" i="32" l="1"/>
  <c r="I17" i="32"/>
  <c r="F18" i="39" s="1"/>
  <c r="I19" i="32" l="1"/>
  <c r="H30" i="29"/>
  <c r="I30" i="29" s="1"/>
  <c r="I29" i="31" l="1"/>
  <c r="I12" i="27"/>
  <c r="D19" i="39" l="1"/>
  <c r="D24" i="39"/>
  <c r="F24" i="39" s="1"/>
  <c r="H14" i="27"/>
  <c r="I14" i="27" s="1"/>
  <c r="I33" i="5"/>
  <c r="D21" i="39" s="1"/>
  <c r="F21" i="39" s="1"/>
  <c r="F19" i="39" l="1"/>
  <c r="I41" i="26"/>
  <c r="D23" i="39" l="1"/>
  <c r="D28" i="39" s="1"/>
  <c r="F20" i="39"/>
  <c r="D30" i="39" l="1"/>
  <c r="F28" i="39"/>
  <c r="F23" i="39"/>
  <c r="N2" i="33" l="1"/>
  <c r="M4" i="33" s="1"/>
  <c r="N2" i="38"/>
  <c r="N2" i="34"/>
  <c r="N2" i="37"/>
  <c r="N2" i="35"/>
  <c r="N2" i="36"/>
  <c r="H12" i="35" l="1"/>
  <c r="H8" i="35"/>
  <c r="H8" i="34"/>
  <c r="H12" i="34" s="1"/>
  <c r="D36" i="39" s="1"/>
  <c r="F36" i="39" s="1"/>
  <c r="H10" i="37"/>
  <c r="H14" i="37"/>
  <c r="H12" i="37"/>
  <c r="H8" i="37"/>
  <c r="H25" i="33"/>
  <c r="H27" i="33"/>
  <c r="H26" i="33"/>
  <c r="H24" i="33"/>
  <c r="H28" i="33"/>
  <c r="H29" i="33"/>
  <c r="H23" i="33"/>
  <c r="H18" i="33"/>
  <c r="H20" i="33"/>
  <c r="H19" i="33"/>
  <c r="H16" i="33"/>
  <c r="H17" i="33"/>
  <c r="H21" i="33"/>
  <c r="H22" i="33"/>
  <c r="H15" i="35" l="1"/>
  <c r="D35" i="39" s="1"/>
  <c r="F35" i="39" s="1"/>
  <c r="H33" i="33"/>
  <c r="N4" i="33" s="1"/>
  <c r="Q4" i="33" s="1"/>
  <c r="L2" i="40"/>
  <c r="H17" i="37"/>
  <c r="D38" i="39" s="1"/>
  <c r="F38" i="39" s="1"/>
  <c r="H11" i="33" l="1"/>
  <c r="H10" i="33"/>
  <c r="H9" i="33"/>
  <c r="H13" i="33" l="1"/>
  <c r="H37" i="33" l="1"/>
  <c r="D34" i="39"/>
  <c r="F34" i="39" l="1"/>
  <c r="D41" i="39"/>
  <c r="F41" i="39" l="1"/>
  <c r="F44" i="39" s="1"/>
  <c r="D44" i="39"/>
  <c r="D17" i="1" s="1"/>
</calcChain>
</file>

<file path=xl/sharedStrings.xml><?xml version="1.0" encoding="utf-8"?>
<sst xmlns="http://schemas.openxmlformats.org/spreadsheetml/2006/main" count="570" uniqueCount="294">
  <si>
    <t>00 - Facilitating Works</t>
  </si>
  <si>
    <t>01 - Substructure</t>
  </si>
  <si>
    <t>02 - Superstructure</t>
  </si>
  <si>
    <t>03 - Internal Finishes</t>
  </si>
  <si>
    <t>04 - Fittings, Furnishings and Equipment</t>
  </si>
  <si>
    <t>05 - Services</t>
  </si>
  <si>
    <t>06 - Prefabricated Buildings and Building Units</t>
  </si>
  <si>
    <t>07 - Work to Existing Buildings</t>
  </si>
  <si>
    <t xml:space="preserve">08 - External Work's </t>
  </si>
  <si>
    <t xml:space="preserve">09 - Main Contractor's Preliminaries </t>
  </si>
  <si>
    <t xml:space="preserve">10 - Main Contractor' Overheads &amp; Costs </t>
  </si>
  <si>
    <t xml:space="preserve">11 - Project / Design Team Fees </t>
  </si>
  <si>
    <t xml:space="preserve">12 - Other Development / Project Costs </t>
  </si>
  <si>
    <t xml:space="preserve">13 - Risks </t>
  </si>
  <si>
    <t xml:space="preserve">14 - Inflation </t>
  </si>
  <si>
    <t>Ref.</t>
  </si>
  <si>
    <t>Element</t>
  </si>
  <si>
    <t>Rate</t>
  </si>
  <si>
    <t>Sub-Total</t>
  </si>
  <si>
    <t>Group-Total</t>
  </si>
  <si>
    <t>Notes</t>
  </si>
  <si>
    <t>£</t>
  </si>
  <si>
    <t>`</t>
  </si>
  <si>
    <t xml:space="preserve">Appendix </t>
  </si>
  <si>
    <t xml:space="preserve">Comments </t>
  </si>
  <si>
    <t>nr</t>
  </si>
  <si>
    <t>m2</t>
  </si>
  <si>
    <t>m3</t>
  </si>
  <si>
    <t>1.1.2</t>
  </si>
  <si>
    <t>m</t>
  </si>
  <si>
    <t>unit</t>
  </si>
  <si>
    <t>Qty</t>
  </si>
  <si>
    <t>&lt;?xml version="1.0" encoding="utf-8"?&gt;_x000D_
&lt;QuantityLinks Version="3"&gt;_x000D_
  &lt;Links /&gt;_x000D_
  &lt;Filesets /&gt;_x000D_
  &lt;Guids /&gt;_x000D_
&lt;/QuantityLinks&gt;</t>
  </si>
  <si>
    <t>3.1.1</t>
  </si>
  <si>
    <t>Internal finishes</t>
  </si>
  <si>
    <t xml:space="preserve">Fittings, furnishings and equipment </t>
  </si>
  <si>
    <t>Services</t>
  </si>
  <si>
    <t>5.4.1</t>
  </si>
  <si>
    <t>Mains Water Supply</t>
  </si>
  <si>
    <t>5.7.1</t>
  </si>
  <si>
    <t>Ventilation Systems</t>
  </si>
  <si>
    <t>5.8.1</t>
  </si>
  <si>
    <t>Electric Mains and Sub-Mains Distrubition</t>
  </si>
  <si>
    <t>5.10.1</t>
  </si>
  <si>
    <t>Lifts and Enclosed Hoists</t>
  </si>
  <si>
    <t>5.6.1</t>
  </si>
  <si>
    <t>Space Heating and Air Conditioning</t>
  </si>
  <si>
    <t xml:space="preserve">External Works </t>
  </si>
  <si>
    <t>Work to existing buildings</t>
  </si>
  <si>
    <t>Superstructure</t>
  </si>
  <si>
    <t>2.8.1</t>
  </si>
  <si>
    <t>Fire doors</t>
  </si>
  <si>
    <t>Internal doors</t>
  </si>
  <si>
    <t>Frame and panel partitions</t>
  </si>
  <si>
    <t>Glazed walling</t>
  </si>
  <si>
    <t>2.5.3</t>
  </si>
  <si>
    <t>Solar/Rain Screen</t>
  </si>
  <si>
    <t>2.4.1</t>
  </si>
  <si>
    <t>Reinforced concrete construction</t>
  </si>
  <si>
    <t>2.2.1</t>
  </si>
  <si>
    <t>Composite steel deck flooring Composite steel and concrete upper floors (Note: all floor thicknesses are nominal); A142 mesh reinforcement TATA Slimdek SD225 steel decking 1.25mm thick; 130mm reinforced concrete topping</t>
  </si>
  <si>
    <t>3.3.1</t>
  </si>
  <si>
    <t>Finishes to Ceiling</t>
  </si>
  <si>
    <t xml:space="preserve">Total </t>
  </si>
  <si>
    <t>Check</t>
  </si>
  <si>
    <t xml:space="preserve">Kind regards, </t>
  </si>
  <si>
    <t>Niki Hunwick</t>
  </si>
  <si>
    <t>Email: 2016441@student.uwtsd.ac.uk</t>
  </si>
  <si>
    <t xml:space="preserve">Estiminated elemental cost plan to the sum of </t>
  </si>
  <si>
    <t>Should you have any queries, please do not hesitate to contact myself below.</t>
  </si>
  <si>
    <t xml:space="preserve">Substructure </t>
  </si>
  <si>
    <t>Piling</t>
  </si>
  <si>
    <t>Enabling works excavate to form piling mat; supply and lay imported hardcore – recycled brick and similar to form piling mat</t>
  </si>
  <si>
    <t>provision of plant (1 nr rig); including bringing to and removing from site; maintenance, erection and dismantling at each pile position</t>
  </si>
  <si>
    <t>Assumed poor site conditions, excavate depth of 300mm used</t>
  </si>
  <si>
    <t>Pile caps</t>
  </si>
  <si>
    <t>Total</t>
  </si>
  <si>
    <t>Facilitating works</t>
  </si>
  <si>
    <t>8.2.1</t>
  </si>
  <si>
    <t>Roads, Paths and Pavings</t>
  </si>
  <si>
    <t>1.1.3</t>
  </si>
  <si>
    <t>Lowest Floor Construction</t>
  </si>
  <si>
    <t>Ground floor construction</t>
  </si>
  <si>
    <t>5.11.1</t>
  </si>
  <si>
    <t>Fire Fighting Systems</t>
  </si>
  <si>
    <t>Prefabricated buildings</t>
  </si>
  <si>
    <t>Main contractor perlims</t>
  </si>
  <si>
    <t>Project &amp; design team fee</t>
  </si>
  <si>
    <t xml:space="preserve">Main contractor O &amp; P </t>
  </si>
  <si>
    <t>Other development costs</t>
  </si>
  <si>
    <t>Risks</t>
  </si>
  <si>
    <t xml:space="preserve">Inflation </t>
  </si>
  <si>
    <t xml:space="preserve">Elemental Cost Plan </t>
  </si>
  <si>
    <t>Appendix</t>
  </si>
  <si>
    <t>Employer’s requirements</t>
  </si>
  <si>
    <t>9.1.1 Site accommodation</t>
  </si>
  <si>
    <t>9.1.2 Site records</t>
  </si>
  <si>
    <t>Main contractor’s cost items</t>
  </si>
  <si>
    <t>9.2.1 Management and staff</t>
  </si>
  <si>
    <t>9.2.2 Site establishment</t>
  </si>
  <si>
    <t>9.2.3 Temporary utilities</t>
  </si>
  <si>
    <t>9.2.4 Security</t>
  </si>
  <si>
    <t>9.2.6 Control and protection</t>
  </si>
  <si>
    <t>9.2.7 Mechanical plant</t>
  </si>
  <si>
    <t>9.2.8 Temporary works</t>
  </si>
  <si>
    <t>9.2.9 Site records</t>
  </si>
  <si>
    <t>9.2.11 Cleaning</t>
  </si>
  <si>
    <t>9.2.12 Fees and charges</t>
  </si>
  <si>
    <t>9.2.13 Site services</t>
  </si>
  <si>
    <t>9.1.3 Completion and post-completion requirements</t>
  </si>
  <si>
    <t>9.2.5 Safety and environmental protection</t>
  </si>
  <si>
    <t>9.2.10 Completion and post-completion requirements</t>
  </si>
  <si>
    <t>9.2.14 Insurance, bonds, guarantees and warranties</t>
  </si>
  <si>
    <t>Main contractor’s overheads</t>
  </si>
  <si>
    <t>%</t>
  </si>
  <si>
    <t>Main contractor’s profit.</t>
  </si>
  <si>
    <t>Consultants’ fees</t>
  </si>
  <si>
    <t>Other project costs</t>
  </si>
  <si>
    <t>Design development risks</t>
  </si>
  <si>
    <t>Construction risks</t>
  </si>
  <si>
    <t>Employer change risks</t>
  </si>
  <si>
    <t>Employer other risks</t>
  </si>
  <si>
    <t>Tender inflation.</t>
  </si>
  <si>
    <t>Construction inflation.</t>
  </si>
  <si>
    <t>£ / m2</t>
  </si>
  <si>
    <t>Total Value (£)</t>
  </si>
  <si>
    <r>
      <rPr>
        <b/>
        <sz val="11"/>
        <color theme="1"/>
        <rFont val="Calibri"/>
        <family val="2"/>
        <scheme val="minor"/>
      </rPr>
      <t>Description:</t>
    </r>
    <r>
      <rPr>
        <sz val="11"/>
        <color theme="1"/>
        <rFont val="Calibri"/>
        <family val="2"/>
        <scheme val="minor"/>
      </rPr>
      <t xml:space="preserve"> Elemental Cost Estimate </t>
    </r>
  </si>
  <si>
    <t>GIFA:</t>
  </si>
  <si>
    <t>Provisional Sum</t>
  </si>
  <si>
    <t>Notes and exclusions</t>
  </si>
  <si>
    <t xml:space="preserve">Estimate is based on works being carried out in a single phase. </t>
  </si>
  <si>
    <t>VAT is excluded from all costs estimates provided.</t>
  </si>
  <si>
    <t>All included costs are subject to variation following the final design development and approvals.</t>
  </si>
  <si>
    <t xml:space="preserve">Costs are based on the information provided. </t>
  </si>
  <si>
    <t>Drawings used</t>
  </si>
  <si>
    <t xml:space="preserve">1no ground floor retail unit (Class A1) </t>
  </si>
  <si>
    <t xml:space="preserve">1no ground floor food &amp; drink unit (Class A3) </t>
  </si>
  <si>
    <t>132no Bedroom hotel (Class C1)</t>
  </si>
  <si>
    <r>
      <rPr>
        <b/>
        <sz val="11"/>
        <color theme="1"/>
        <rFont val="Calibri"/>
        <family val="2"/>
        <scheme val="minor"/>
      </rPr>
      <t>Project:</t>
    </r>
    <r>
      <rPr>
        <sz val="11"/>
        <color theme="1"/>
        <rFont val="Calibri"/>
        <family val="2"/>
        <scheme val="minor"/>
      </rPr>
      <t xml:space="preserve"> 6 Storey mixed use development</t>
    </r>
  </si>
  <si>
    <t xml:space="preserve">Please see below to navigate to the notes / prelims / elemental cost plan </t>
  </si>
  <si>
    <t xml:space="preserve">Allowance &amp; notes </t>
  </si>
  <si>
    <t>Summary</t>
  </si>
  <si>
    <t xml:space="preserve">All measures were conducted using Bluebeam Revu 20 </t>
  </si>
  <si>
    <t xml:space="preserve">Sub total </t>
  </si>
  <si>
    <t>4.1.1</t>
  </si>
  <si>
    <t>General Fittings, Furnishings and Equipment</t>
  </si>
  <si>
    <t>-</t>
  </si>
  <si>
    <t xml:space="preserve">No provisions are included for inflation. </t>
  </si>
  <si>
    <t>TBC</t>
  </si>
  <si>
    <t xml:space="preserve">Total Construction Cost </t>
  </si>
  <si>
    <r>
      <t xml:space="preserve">Date: </t>
    </r>
    <r>
      <rPr>
        <sz val="11"/>
        <color theme="1"/>
        <rFont val="Calibri"/>
        <family val="2"/>
        <scheme val="minor"/>
      </rPr>
      <t>01/03/24</t>
    </r>
  </si>
  <si>
    <t>Non applicable</t>
  </si>
  <si>
    <t>Standard fire doors; cellular core; softwood lining; softwood architrave; aluminuim ironmongery (lockable, self-closure); painting or polishing; single leaf; Oak veneered; 60 min fire resistance; polished</t>
  </si>
  <si>
    <t>double leaf; Oak veneered; 60 min fire resistance; polished</t>
  </si>
  <si>
    <t>WINDOWS AND EXTERNAL DOORS</t>
  </si>
  <si>
    <t>Composite aluminium/timber entrance screens and doors; U-value = 1.5 W/m2K</t>
  </si>
  <si>
    <t>Purpose-made doors
glazed single personnel door; stainless steel ironmongery; Velfac System100
or similar</t>
  </si>
  <si>
    <t>glazed double personnel door; stainless steel ironmongery; Velfac System 100 or similar</t>
  </si>
  <si>
    <t>STAIRS AND RAMPS</t>
  </si>
  <si>
    <t>Stair/Ramp Structures</t>
  </si>
  <si>
    <t>Staircase; high quality finishes; stainless steel and glass balustrades; plastered and decorated soffit 3.00m rise; dogleg</t>
  </si>
  <si>
    <t>EXTERNAL WALLS</t>
  </si>
  <si>
    <t>Curtain walling</t>
  </si>
  <si>
    <t>unitized curtain walling bespoke project specific system with double glazed units, aluminium structural framing and spandrel rails. Standard colour powder coated</t>
  </si>
  <si>
    <t>Solar shading</t>
  </si>
  <si>
    <t>fixed timber including uni-strut supports; 300mm deep</t>
  </si>
  <si>
    <t>INTERNAL WALLS AND PARTITIONS</t>
  </si>
  <si>
    <t>Marble finish, wall panels, include fixings</t>
  </si>
  <si>
    <t>Timber slats, pinned vertically to timber or plasterboard; supplied with fixings</t>
  </si>
  <si>
    <t>marble or granite faced panels</t>
  </si>
  <si>
    <t>Flat roof decking</t>
  </si>
  <si>
    <t>ROOF</t>
  </si>
  <si>
    <t>Concrete</t>
  </si>
  <si>
    <t>reinforced concrete topping</t>
  </si>
  <si>
    <t>2.3.3</t>
  </si>
  <si>
    <t>Specialist Roof Systems</t>
  </si>
  <si>
    <t>Landscaped roofs</t>
  </si>
  <si>
    <t>Polyester-based elastomeric bitumen waterproofing and vapour equalization layer, copper lined bitumen membrane root barrier and waterproofing layer, separation and slip layers, protection layer, 50mm thick drainage board, filter fleece, insulation board, Sedum vegetation blanket intensive (high maintenance – may include trees and shrubs require deeper substrate layers, are generally limited to flat roofs)</t>
  </si>
  <si>
    <t>UPPER FLOORS</t>
  </si>
  <si>
    <t>Floors - (1 &amp; 2 floor)</t>
  </si>
  <si>
    <t>3.2.1</t>
  </si>
  <si>
    <t>FLOOR FINISHES (0 Floor)</t>
  </si>
  <si>
    <t>Internal floor area (unless otherwise described)</t>
  </si>
  <si>
    <t>Polised concrete floor</t>
  </si>
  <si>
    <t>3.2.2</t>
  </si>
  <si>
    <t>Raised access floors: including 600mm× 600mm steel encased particle boards on height adjustable pedestals &lt; 300mm battened raft chipboard floor with sound insulation fixed to battens; medium</t>
  </si>
  <si>
    <t>Raised Access Floors (1,2,3 Floor)</t>
  </si>
  <si>
    <t>Wall Finishes</t>
  </si>
  <si>
    <t>Rigid tile/panel/board finishes</t>
  </si>
  <si>
    <t>Timber boarding/panelling; on and including battens; plugged to wall 12mm thick softwood boarding</t>
  </si>
  <si>
    <t>Rigid tile/panel/board finishes (0,2 Floor)</t>
  </si>
  <si>
    <t>Marble</t>
  </si>
  <si>
    <t>Roman Travertine marble wall linings 20mm thick; polished</t>
  </si>
  <si>
    <t>CEILING FINISHES</t>
  </si>
  <si>
    <t>In situ finishes</t>
  </si>
  <si>
    <t>Provisional sum</t>
  </si>
  <si>
    <t>Office furniture and equipment (1 &amp; 2 Floor)</t>
  </si>
  <si>
    <t>Provisional sum for supply and installation of specialist gym equipment (free weights, machines, cardio kit)</t>
  </si>
  <si>
    <t>Café &amp; seating area</t>
  </si>
  <si>
    <t>Provisional sum for the supply and installation of therapy, sports rehabilitation, wellness suite specialist equipment</t>
  </si>
  <si>
    <t>Provisional sum for supply and installation of furniture and equipment to adimstrative office area; reception; and lobby area, workstation; desk; drawer unit; task chair, public seating</t>
  </si>
  <si>
    <t>Sanitary Appliances</t>
  </si>
  <si>
    <t xml:space="preserve">5.1.1 </t>
  </si>
  <si>
    <t xml:space="preserve">Rates are for gross internal floor area, rates derived from Spons 2020 under preforming arts building. </t>
  </si>
  <si>
    <t xml:space="preserve">Including LV distribution, HV distribution, lighting, small power. Rates are for gross internal floor area, rates derived from Spons 2020 under preforming arts building. </t>
  </si>
  <si>
    <t>5.9.2</t>
  </si>
  <si>
    <t>Fuel Distribution Systems</t>
  </si>
  <si>
    <t xml:space="preserve">Rates are for gross internal floor area, rates derived from Spons 2020 under office/hotel. </t>
  </si>
  <si>
    <t>Gross internal floor area; Including lightning, rates derived from Spons 2020 under shopping malls and the like protection, sprinklers unless stated otherwise</t>
  </si>
  <si>
    <t>5.12.1</t>
  </si>
  <si>
    <t>Communication, Security and Control Systems</t>
  </si>
  <si>
    <t>Gross internal floor area; Including fire alarm, public address system, security installation unless stated otherwise, rates derived from Spons 2020 under performing arts building</t>
  </si>
  <si>
    <t>5.14.1</t>
  </si>
  <si>
    <t>Builder’s Work in Connection with Services</t>
  </si>
  <si>
    <t>Gross internal floor area</t>
  </si>
  <si>
    <t>air conditioning, electrical and ventilation installations</t>
  </si>
  <si>
    <t>Turf Pavers</t>
  </si>
  <si>
    <t>Provisional sum, area is estimation from supplied drawing "PROPOSED MASTERPLAN"</t>
  </si>
  <si>
    <t>UWTSD</t>
  </si>
  <si>
    <r>
      <t>Date:</t>
    </r>
    <r>
      <rPr>
        <sz val="11"/>
        <color theme="1"/>
        <rFont val="Calibri"/>
        <family val="2"/>
        <scheme val="minor"/>
      </rPr>
      <t xml:space="preserve"> 08/05/25</t>
    </r>
  </si>
  <si>
    <t>Matchstick Arena - Health, fitness and well-being centre</t>
  </si>
  <si>
    <r>
      <t xml:space="preserve">Project: </t>
    </r>
    <r>
      <rPr>
        <sz val="11"/>
        <color theme="1"/>
        <rFont val="Calibri"/>
        <family val="2"/>
        <scheme val="minor"/>
      </rPr>
      <t>New Build - Community Leisure Facilities</t>
    </r>
  </si>
  <si>
    <t xml:space="preserve">Please see "Allowance &amp; Notes" for all inclusions including non inclusions </t>
  </si>
  <si>
    <t>No provisions for the following</t>
  </si>
  <si>
    <t xml:space="preserve">External drainage - Surface water, foul water drainage, manholes, inspection chambers. </t>
  </si>
  <si>
    <t xml:space="preserve">Street furniture - Benches, litter bins, cycle stands. </t>
  </si>
  <si>
    <t xml:space="preserve">External services - Water mains supply, electricity mains suuply, gas mains supply, telecommunication systems </t>
  </si>
  <si>
    <t>and all corresponding service connection charges</t>
  </si>
  <si>
    <t>Specialist Foundations</t>
  </si>
  <si>
    <t xml:space="preserve">Poor site conditions - excavate depth </t>
  </si>
  <si>
    <t xml:space="preserve">total </t>
  </si>
  <si>
    <t>Structual engineer calculation m2</t>
  </si>
  <si>
    <t>(Pile Foundation calculation document)</t>
  </si>
  <si>
    <t>Supply and install concrete Continuous Flight Auger (CFA) piles; cart away inactive spoil; measure total length of pile</t>
  </si>
  <si>
    <t>piles</t>
  </si>
  <si>
    <t>Depth</t>
  </si>
  <si>
    <t>total m</t>
  </si>
  <si>
    <t>Structural engineers calculation &gt; 110 piles @38m depth.</t>
  </si>
  <si>
    <t>Excavate pit in firm ground by machine, partial backfill, partial disposal, support, compaction, cut off pile and prepare reinforcement, formwork; reinforced in situ concrete cap 25 N/mm²; reinforcement at 50 kg/m³; rates per cap for cap size; 2700mm× 2700mm× 1500 mm; 3–5 piles</t>
  </si>
  <si>
    <t>3x3 grid</t>
  </si>
  <si>
    <t xml:space="preserve">piles </t>
  </si>
  <si>
    <t>caps</t>
  </si>
  <si>
    <t xml:space="preserve">Structual engineers calculation; 3x3 grid; 110 piles </t>
  </si>
  <si>
    <t>Mechanical excavation to reduce levels, disposal, level and compact, hardcore bed blinded with sand, 1200 gauge polythene damp-proof membrane, in situ concrete 20.00 N/mm² – 20mm aggregate (1:2:4) 300mm thick concrete slab with 1 layer of A393 fabric reinforcement</t>
  </si>
  <si>
    <t>Structual engineers calculation &gt; 300mm foundation slab</t>
  </si>
  <si>
    <t>2.1.1</t>
  </si>
  <si>
    <t>Frame and Floor Composite</t>
  </si>
  <si>
    <t>Steel frame</t>
  </si>
  <si>
    <t>Fabricated steelwork erected on site with bolted connections, primed smaller sections ne 40 kg/m universal columns; grade S275</t>
  </si>
  <si>
    <t>Tonnes = length (m) x kg/m / 1000</t>
  </si>
  <si>
    <t>Steel component</t>
  </si>
  <si>
    <t>Weight</t>
  </si>
  <si>
    <t>Tonnes</t>
  </si>
  <si>
    <t>UC305x305x97</t>
  </si>
  <si>
    <t>Formula</t>
  </si>
  <si>
    <t>UB305x165x40</t>
  </si>
  <si>
    <t>UB356x171x51</t>
  </si>
  <si>
    <t>tonne</t>
  </si>
  <si>
    <t>Fire protection to steelwork</t>
  </si>
  <si>
    <t>Intumescent fire protection coating/decoration to exposed steelwork; Gross surface area (m2) or per tonne; Off site application, spray applied</t>
  </si>
  <si>
    <t>8.4.3</t>
  </si>
  <si>
    <t>Retaining Walls</t>
  </si>
  <si>
    <t>Crib retaining walls</t>
  </si>
  <si>
    <t>Andacrib concrete crib retaining walls on concrete foundation; granular infill material; measure face area m2. Excludes backfill material to the rear of the wall</t>
  </si>
  <si>
    <t>Basic Wall</t>
  </si>
  <si>
    <t>Retaining - 300mm Concrete</t>
  </si>
  <si>
    <t>Walls</t>
  </si>
  <si>
    <t>physical material</t>
  </si>
  <si>
    <t>53 m²</t>
  </si>
  <si>
    <t>Structural engineers calculation</t>
  </si>
  <si>
    <t>Other ceiling finishes softwood timber</t>
  </si>
  <si>
    <r>
      <rPr>
        <b/>
        <sz val="11"/>
        <color theme="1"/>
        <rFont val="Calibri"/>
        <family val="2"/>
        <scheme val="minor"/>
      </rPr>
      <t>Project:</t>
    </r>
    <r>
      <rPr>
        <sz val="11"/>
        <color theme="1"/>
        <rFont val="Calibri"/>
        <family val="2"/>
        <scheme val="minor"/>
      </rPr>
      <t xml:space="preserve"> 4 levels, Health, Fitness and Well-being Centre</t>
    </r>
  </si>
  <si>
    <t>GF - Cafe</t>
  </si>
  <si>
    <t>01 - Gym Space</t>
  </si>
  <si>
    <t>02 - Studio Space</t>
  </si>
  <si>
    <t>03 - Hydrotherapy &amp; Wellness</t>
  </si>
  <si>
    <t>Ground and 1st floor plans</t>
  </si>
  <si>
    <t>2nd &amp; 3rd floor plans</t>
  </si>
  <si>
    <t>Front and left elevatio</t>
  </si>
  <si>
    <t>Rear and right elevation pdf</t>
  </si>
  <si>
    <t>Proposed site plan 1 500</t>
  </si>
  <si>
    <t xml:space="preserve">SPONs 2020 unit rates rebased to factor of </t>
  </si>
  <si>
    <t>SPONs 2020 unit rates rebased to 2025 prices using BCIS TPI as an inflationary proxy (not directly correlated datasets).</t>
  </si>
  <si>
    <t xml:space="preserve">Uplift is approximate and used for feasibility level cost planning only. </t>
  </si>
  <si>
    <t xml:space="preserve">Percentage of contract sum </t>
  </si>
  <si>
    <t>Main contractors cost items</t>
  </si>
  <si>
    <t>Elemental cost plan</t>
  </si>
  <si>
    <t>Total %</t>
  </si>
  <si>
    <t>A risk allowance of 10% under tab 13 has been included in this estimate to cover potential unforeseen costs.</t>
  </si>
  <si>
    <t>INJR Cost consultant</t>
  </si>
  <si>
    <t>I have the pleasure of presenting the elemental cost plan to ACE Captial Projects LTD for the above project.</t>
  </si>
  <si>
    <t>The elemental cost plan has been based on information issued and allowances are noted within "Allowance &amp; Notes".</t>
  </si>
  <si>
    <r>
      <t xml:space="preserve">Date: </t>
    </r>
    <r>
      <rPr>
        <sz val="11"/>
        <color theme="1"/>
        <rFont val="Calibri"/>
        <family val="2"/>
        <scheme val="minor"/>
      </rPr>
      <t>08/05/25</t>
    </r>
  </si>
  <si>
    <t>Specifications for some internal and external components is assumed where not based on information provided.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</si>
</sst>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0.00;\-&quot;£&quot;#,##0.00"/>
    <numFmt numFmtId="44" formatCode="_-&quot;£&quot;* #,##0.00_-;\-&quot;£&quot;* #,##0.00_-;_-&quot;£&quot;* &quot;-&quot;??_-;_-@_-"/>
    <numFmt numFmtId="164" formatCode="0.0"/>
    <numFmt numFmtId="165" formatCode="&quot;£&quot;#,##0.00"/>
    <numFmt numFmtId="166" formatCode="0.0%"/>
  </numFmts>
  <fonts count="24" x14ac:knownFonts="1">
    <font>
      <sz val="11"/>
      <color theme="1"/>
      <name val="Calibri"/>
      <family val="2"/>
      <scheme val="minor"/>
    </font>
    <font>
      <u/>
      <sz val="11"/>
      <color theme="10"/>
      <name val="Calibri"/>
      <family val="2"/>
      <scheme val="minor"/>
    </font>
    <font>
      <sz val="11"/>
      <color theme="1"/>
      <name val="Calibri"/>
      <family val="2"/>
      <scheme val="minor"/>
    </font>
    <font>
      <b/>
      <sz val="10"/>
      <color theme="1"/>
      <name val="Arial"/>
      <family val="2"/>
    </font>
    <font>
      <b/>
      <sz val="10"/>
      <color rgb="FFFF0000"/>
      <name val="Arial"/>
      <family val="2"/>
    </font>
    <font>
      <sz val="10"/>
      <color theme="1"/>
      <name val="Arial"/>
      <family val="2"/>
    </font>
    <font>
      <sz val="10"/>
      <name val="Arial"/>
      <family val="2"/>
    </font>
    <font>
      <sz val="10"/>
      <name val="MS Sans Serif"/>
      <family val="2"/>
    </font>
    <font>
      <i/>
      <sz val="10"/>
      <color rgb="FFFF0000"/>
      <name val="Arial"/>
      <family val="2"/>
    </font>
    <font>
      <b/>
      <u/>
      <sz val="10"/>
      <color theme="1"/>
      <name val="Arial"/>
      <family val="2"/>
    </font>
    <font>
      <sz val="10"/>
      <color rgb="FFFF0000"/>
      <name val="Arial"/>
      <family val="2"/>
    </font>
    <font>
      <b/>
      <sz val="10"/>
      <name val="Arial"/>
      <family val="2"/>
    </font>
    <font>
      <b/>
      <sz val="12"/>
      <color theme="1"/>
      <name val="Arial"/>
      <family val="2"/>
    </font>
    <font>
      <b/>
      <sz val="11"/>
      <color theme="1"/>
      <name val="Calibri"/>
      <family val="2"/>
      <scheme val="minor"/>
    </font>
    <font>
      <sz val="11"/>
      <name val="Calibri"/>
      <family val="2"/>
      <scheme val="minor"/>
    </font>
    <font>
      <i/>
      <sz val="11"/>
      <color theme="1"/>
      <name val="Calibri"/>
      <family val="2"/>
      <scheme val="minor"/>
    </font>
    <font>
      <b/>
      <sz val="12"/>
      <color theme="1"/>
      <name val="Calibri"/>
      <family val="2"/>
      <scheme val="minor"/>
    </font>
    <font>
      <b/>
      <sz val="12"/>
      <name val="Calibri"/>
      <family val="2"/>
      <scheme val="minor"/>
    </font>
    <font>
      <b/>
      <sz val="14"/>
      <color theme="1"/>
      <name val="Calibri"/>
      <family val="2"/>
      <scheme val="minor"/>
    </font>
    <font>
      <u/>
      <sz val="11"/>
      <color theme="1"/>
      <name val="Calibri"/>
      <family val="2"/>
      <scheme val="minor"/>
    </font>
    <font>
      <b/>
      <u/>
      <sz val="10"/>
      <name val="Arial"/>
      <family val="2"/>
    </font>
    <font>
      <b/>
      <u/>
      <sz val="11"/>
      <color theme="1"/>
      <name val="Calibri"/>
      <family val="2"/>
      <scheme val="minor"/>
    </font>
    <font>
      <sz val="11"/>
      <color rgb="FF000000"/>
      <name val="Calibri"/>
      <family val="2"/>
    </font>
    <font>
      <sz val="8"/>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0.14996795556505021"/>
        <bgColor indexed="64"/>
      </patternFill>
    </fill>
  </fills>
  <borders count="20">
    <border>
      <left/>
      <right/>
      <top/>
      <bottom/>
      <diagonal/>
    </border>
    <border>
      <left style="hair">
        <color auto="1"/>
      </left>
      <right style="hair">
        <color auto="1"/>
      </right>
      <top/>
      <bottom/>
      <diagonal/>
    </border>
    <border>
      <left/>
      <right style="hair">
        <color indexed="64"/>
      </right>
      <top/>
      <bottom/>
      <diagonal/>
    </border>
    <border>
      <left style="hair">
        <color auto="1"/>
      </left>
      <right/>
      <top/>
      <bottom/>
      <diagonal/>
    </border>
    <border>
      <left style="thin">
        <color indexed="64"/>
      </left>
      <right style="thin">
        <color indexed="64"/>
      </right>
      <top/>
      <bottom/>
      <diagonal/>
    </border>
    <border>
      <left style="thin">
        <color auto="1"/>
      </left>
      <right style="hair">
        <color auto="1"/>
      </right>
      <top/>
      <bottom/>
      <diagonal/>
    </border>
    <border>
      <left/>
      <right style="thin">
        <color indexed="64"/>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hair">
        <color auto="1"/>
      </left>
      <right/>
      <top style="thin">
        <color auto="1"/>
      </top>
      <bottom style="thin">
        <color auto="1"/>
      </bottom>
      <diagonal/>
    </border>
    <border>
      <left style="hair">
        <color auto="1"/>
      </left>
      <right style="hair">
        <color auto="1"/>
      </right>
      <top style="thin">
        <color auto="1"/>
      </top>
      <bottom style="thin">
        <color auto="1"/>
      </bottom>
      <diagonal/>
    </border>
    <border>
      <left/>
      <right style="thin">
        <color auto="1"/>
      </right>
      <top style="thin">
        <color auto="1"/>
      </top>
      <bottom style="thin">
        <color auto="1"/>
      </bottom>
      <diagonal/>
    </border>
    <border>
      <left style="thin">
        <color auto="1"/>
      </left>
      <right style="hair">
        <color auto="1"/>
      </right>
      <top style="thin">
        <color auto="1"/>
      </top>
      <bottom style="thin">
        <color auto="1"/>
      </bottom>
      <diagonal/>
    </border>
    <border>
      <left style="thin">
        <color auto="1"/>
      </left>
      <right/>
      <top/>
      <bottom/>
      <diagonal/>
    </border>
    <border>
      <left style="hair">
        <color auto="1"/>
      </left>
      <right style="hair">
        <color auto="1"/>
      </right>
      <top style="thin">
        <color auto="1"/>
      </top>
      <bottom/>
      <diagonal/>
    </border>
    <border>
      <left style="thin">
        <color auto="1"/>
      </left>
      <right style="thin">
        <color auto="1"/>
      </right>
      <top style="thin">
        <color auto="1"/>
      </top>
      <bottom/>
      <diagonal/>
    </border>
    <border>
      <left/>
      <right/>
      <top style="thin">
        <color indexed="64"/>
      </top>
      <bottom/>
      <diagonal/>
    </border>
    <border>
      <left style="thin">
        <color indexed="64"/>
      </left>
      <right/>
      <top style="thin">
        <color indexed="64"/>
      </top>
      <bottom style="thin">
        <color indexed="64"/>
      </bottom>
      <diagonal/>
    </border>
    <border>
      <left/>
      <right style="thin">
        <color auto="1"/>
      </right>
      <top style="thin">
        <color auto="1"/>
      </top>
      <bottom/>
      <diagonal/>
    </border>
    <border>
      <left style="thin">
        <color indexed="64"/>
      </left>
      <right/>
      <top style="thin">
        <color indexed="64"/>
      </top>
      <bottom/>
      <diagonal/>
    </border>
  </borders>
  <cellStyleXfs count="6">
    <xf numFmtId="0" fontId="0" fillId="0" borderId="0"/>
    <xf numFmtId="0" fontId="1" fillId="0" borderId="0" applyNumberFormat="0" applyFill="0" applyBorder="0" applyAlignment="0" applyProtection="0"/>
    <xf numFmtId="44" fontId="2" fillId="0" borderId="0" applyFont="0" applyFill="0" applyBorder="0" applyAlignment="0" applyProtection="0"/>
    <xf numFmtId="0" fontId="2" fillId="0" borderId="0"/>
    <xf numFmtId="0" fontId="7" fillId="0" borderId="0"/>
    <xf numFmtId="9" fontId="2" fillId="0" borderId="0" applyFont="0" applyFill="0" applyBorder="0" applyAlignment="0" applyProtection="0"/>
  </cellStyleXfs>
  <cellXfs count="271">
    <xf numFmtId="0" fontId="0" fillId="0" borderId="0" xfId="0"/>
    <xf numFmtId="0" fontId="1" fillId="0" borderId="0" xfId="1"/>
    <xf numFmtId="0" fontId="0" fillId="0" borderId="0" xfId="0" applyAlignment="1">
      <alignment horizontal="centerContinuous"/>
    </xf>
    <xf numFmtId="1" fontId="3" fillId="0" borderId="0" xfId="3" applyNumberFormat="1" applyFont="1" applyAlignment="1">
      <alignment horizontal="left" vertical="center"/>
    </xf>
    <xf numFmtId="1" fontId="4" fillId="0" borderId="0" xfId="3" applyNumberFormat="1" applyFont="1" applyAlignment="1">
      <alignment horizontal="left" vertical="center"/>
    </xf>
    <xf numFmtId="44" fontId="3" fillId="0" borderId="0" xfId="2" applyFont="1" applyBorder="1" applyAlignment="1">
      <alignment horizontal="left" vertical="center"/>
    </xf>
    <xf numFmtId="44" fontId="5" fillId="0" borderId="0" xfId="2" applyFont="1" applyBorder="1" applyAlignment="1">
      <alignment horizontal="center" wrapText="1"/>
    </xf>
    <xf numFmtId="44" fontId="3" fillId="0" borderId="1" xfId="2" applyFont="1" applyBorder="1" applyAlignment="1">
      <alignment horizontal="center" vertical="center" wrapText="1"/>
    </xf>
    <xf numFmtId="44" fontId="6" fillId="0" borderId="0" xfId="2" applyFont="1" applyBorder="1" applyAlignment="1">
      <alignment horizontal="center" vertical="top" wrapText="1"/>
    </xf>
    <xf numFmtId="164" fontId="3" fillId="0" borderId="1" xfId="3" applyNumberFormat="1" applyFont="1" applyBorder="1" applyAlignment="1">
      <alignment horizontal="center" vertical="center" wrapText="1"/>
    </xf>
    <xf numFmtId="0" fontId="6" fillId="0" borderId="1" xfId="4" applyFont="1" applyBorder="1" applyAlignment="1">
      <alignment vertical="top" wrapText="1"/>
    </xf>
    <xf numFmtId="164" fontId="5" fillId="0" borderId="1" xfId="3" applyNumberFormat="1" applyFont="1" applyBorder="1" applyAlignment="1">
      <alignment horizontal="center" vertical="center" wrapText="1"/>
    </xf>
    <xf numFmtId="49" fontId="6" fillId="0" borderId="0" xfId="4" applyNumberFormat="1" applyFont="1" applyAlignment="1">
      <alignment horizontal="center" vertical="top"/>
    </xf>
    <xf numFmtId="49" fontId="6" fillId="0" borderId="0" xfId="4" applyNumberFormat="1" applyFont="1" applyAlignment="1">
      <alignment horizontal="center" vertical="top" wrapText="1"/>
    </xf>
    <xf numFmtId="44" fontId="3" fillId="2" borderId="1" xfId="2" applyFont="1" applyFill="1" applyBorder="1" applyAlignment="1">
      <alignment horizontal="center" vertical="center" wrapText="1"/>
    </xf>
    <xf numFmtId="44" fontId="3" fillId="0" borderId="1" xfId="2" applyFont="1" applyFill="1" applyBorder="1" applyAlignment="1">
      <alignment horizontal="center" vertical="center" wrapText="1"/>
    </xf>
    <xf numFmtId="44" fontId="6" fillId="0" borderId="0" xfId="2" applyFont="1" applyFill="1" applyBorder="1" applyAlignment="1">
      <alignment horizontal="center" vertical="top" wrapText="1"/>
    </xf>
    <xf numFmtId="164" fontId="8" fillId="0" borderId="3" xfId="3" applyNumberFormat="1" applyFont="1" applyBorder="1" applyAlignment="1">
      <alignment horizontal="left" vertical="top" wrapText="1"/>
    </xf>
    <xf numFmtId="164" fontId="3" fillId="2" borderId="0" xfId="3" applyNumberFormat="1" applyFont="1" applyFill="1" applyAlignment="1">
      <alignment horizontal="center" vertical="center" wrapText="1"/>
    </xf>
    <xf numFmtId="0" fontId="0" fillId="2" borderId="0" xfId="0" applyFill="1"/>
    <xf numFmtId="44" fontId="3" fillId="0" borderId="1" xfId="2" applyFont="1" applyBorder="1" applyAlignment="1">
      <alignment horizontal="center" vertical="center"/>
    </xf>
    <xf numFmtId="164" fontId="3" fillId="0" borderId="0" xfId="3" applyNumberFormat="1" applyFont="1" applyAlignment="1">
      <alignment horizontal="left" wrapText="1"/>
    </xf>
    <xf numFmtId="164" fontId="8" fillId="0" borderId="0" xfId="3" applyNumberFormat="1" applyFont="1" applyAlignment="1">
      <alignment horizontal="left" vertical="top" wrapText="1"/>
    </xf>
    <xf numFmtId="164" fontId="12" fillId="0" borderId="0" xfId="3" applyNumberFormat="1" applyFont="1" applyAlignment="1">
      <alignment horizontal="left" wrapText="1"/>
    </xf>
    <xf numFmtId="0" fontId="14" fillId="0" borderId="0" xfId="1" applyFont="1"/>
    <xf numFmtId="0" fontId="1" fillId="2" borderId="0" xfId="1" applyFill="1"/>
    <xf numFmtId="0" fontId="14" fillId="0" borderId="0" xfId="0" applyFont="1"/>
    <xf numFmtId="0" fontId="15" fillId="0" borderId="0" xfId="0" applyFont="1" applyAlignment="1">
      <alignment horizontal="left" indent="1"/>
    </xf>
    <xf numFmtId="0" fontId="16" fillId="0" borderId="0" xfId="0" applyFont="1" applyAlignment="1">
      <alignment horizontal="center"/>
    </xf>
    <xf numFmtId="0" fontId="17" fillId="0" borderId="0" xfId="1" applyFont="1" applyAlignment="1">
      <alignment horizontal="centerContinuous"/>
    </xf>
    <xf numFmtId="0" fontId="16" fillId="0" borderId="0" xfId="0" applyFont="1" applyAlignment="1">
      <alignment horizontal="centerContinuous"/>
    </xf>
    <xf numFmtId="0" fontId="18" fillId="0" borderId="0" xfId="0" applyFont="1" applyAlignment="1">
      <alignment horizontal="centerContinuous"/>
    </xf>
    <xf numFmtId="0" fontId="14" fillId="0" borderId="0" xfId="1" applyFont="1" applyAlignment="1">
      <alignment horizontal="center" wrapText="1"/>
    </xf>
    <xf numFmtId="0" fontId="0" fillId="0" borderId="0" xfId="0" applyAlignment="1">
      <alignment horizontal="left" vertical="top"/>
    </xf>
    <xf numFmtId="0" fontId="16" fillId="0" borderId="0" xfId="0" applyFont="1" applyAlignment="1">
      <alignment horizontal="left" vertical="top"/>
    </xf>
    <xf numFmtId="0" fontId="18" fillId="0" borderId="0" xfId="0" applyFont="1"/>
    <xf numFmtId="0" fontId="19" fillId="0" borderId="0" xfId="0" applyFont="1" applyAlignment="1">
      <alignment horizontal="left" vertical="top"/>
    </xf>
    <xf numFmtId="0" fontId="0" fillId="0" borderId="0" xfId="0" applyAlignment="1">
      <alignment horizontal="left" indent="1"/>
    </xf>
    <xf numFmtId="165" fontId="5" fillId="0" borderId="1" xfId="2" applyNumberFormat="1" applyFont="1" applyFill="1" applyBorder="1" applyAlignment="1">
      <alignment horizontal="center" vertical="center" wrapText="1"/>
    </xf>
    <xf numFmtId="2" fontId="5" fillId="0" borderId="1" xfId="3" applyNumberFormat="1" applyFont="1" applyBorder="1" applyAlignment="1">
      <alignment horizontal="center" vertical="center" wrapText="1"/>
    </xf>
    <xf numFmtId="164" fontId="9" fillId="0" borderId="3" xfId="3" applyNumberFormat="1" applyFont="1" applyBorder="1" applyAlignment="1">
      <alignment horizontal="left" vertical="center" wrapText="1"/>
    </xf>
    <xf numFmtId="164" fontId="10" fillId="0" borderId="3" xfId="3" applyNumberFormat="1" applyFont="1" applyBorder="1" applyAlignment="1">
      <alignment vertical="top" wrapText="1"/>
    </xf>
    <xf numFmtId="164" fontId="5" fillId="0" borderId="1" xfId="3" applyNumberFormat="1" applyFont="1" applyBorder="1" applyAlignment="1">
      <alignment horizontal="center" vertical="top" wrapText="1"/>
    </xf>
    <xf numFmtId="44" fontId="3" fillId="0" borderId="1" xfId="2" applyFont="1" applyFill="1" applyBorder="1" applyAlignment="1">
      <alignment vertical="top" wrapText="1"/>
    </xf>
    <xf numFmtId="44" fontId="6" fillId="0" borderId="0" xfId="2" applyFont="1" applyFill="1" applyBorder="1" applyAlignment="1">
      <alignment vertical="top" wrapText="1"/>
    </xf>
    <xf numFmtId="1" fontId="3" fillId="0" borderId="4" xfId="3" quotePrefix="1" applyNumberFormat="1" applyFont="1" applyBorder="1" applyAlignment="1">
      <alignment horizontal="left" vertical="center" wrapText="1"/>
    </xf>
    <xf numFmtId="2" fontId="3" fillId="0" borderId="4" xfId="2" quotePrefix="1" applyNumberFormat="1" applyFont="1" applyFill="1" applyBorder="1" applyAlignment="1">
      <alignment horizontal="left" vertical="top" wrapText="1"/>
    </xf>
    <xf numFmtId="2" fontId="5" fillId="0" borderId="4" xfId="2" quotePrefix="1" applyNumberFormat="1" applyFont="1" applyFill="1" applyBorder="1" applyAlignment="1">
      <alignment horizontal="left" vertical="top" wrapText="1"/>
    </xf>
    <xf numFmtId="164" fontId="3" fillId="0" borderId="5" xfId="3" applyNumberFormat="1" applyFont="1" applyBorder="1" applyAlignment="1">
      <alignment horizontal="left" wrapText="1"/>
    </xf>
    <xf numFmtId="164" fontId="3" fillId="2" borderId="3" xfId="3" applyNumberFormat="1" applyFont="1" applyFill="1" applyBorder="1" applyAlignment="1">
      <alignment vertical="center" wrapText="1"/>
    </xf>
    <xf numFmtId="0" fontId="0" fillId="0" borderId="0" xfId="0" quotePrefix="1" applyAlignment="1">
      <alignment wrapText="1"/>
    </xf>
    <xf numFmtId="1" fontId="3" fillId="0" borderId="0" xfId="3" applyNumberFormat="1" applyFont="1" applyAlignment="1">
      <alignment horizontal="left"/>
    </xf>
    <xf numFmtId="164" fontId="3" fillId="2" borderId="6" xfId="3" applyNumberFormat="1" applyFont="1" applyFill="1" applyBorder="1" applyAlignment="1">
      <alignment horizontal="center" wrapText="1"/>
    </xf>
    <xf numFmtId="164" fontId="3" fillId="2" borderId="0" xfId="3" applyNumberFormat="1" applyFont="1" applyFill="1" applyAlignment="1">
      <alignment horizontal="center" wrapText="1"/>
    </xf>
    <xf numFmtId="0" fontId="0" fillId="0" borderId="0" xfId="0" applyAlignment="1">
      <alignment horizontal="center"/>
    </xf>
    <xf numFmtId="1" fontId="3" fillId="0" borderId="0" xfId="3" applyNumberFormat="1" applyFont="1" applyAlignment="1">
      <alignment horizontal="center"/>
    </xf>
    <xf numFmtId="1" fontId="3" fillId="2" borderId="6" xfId="3" applyNumberFormat="1" applyFont="1" applyFill="1" applyBorder="1" applyAlignment="1">
      <alignment horizontal="center" wrapText="1"/>
    </xf>
    <xf numFmtId="0" fontId="0" fillId="2" borderId="0" xfId="0" applyFill="1" applyAlignment="1">
      <alignment horizontal="center"/>
    </xf>
    <xf numFmtId="1" fontId="3" fillId="0" borderId="0" xfId="3" applyNumberFormat="1" applyFont="1" applyAlignment="1">
      <alignment horizontal="center" vertical="center"/>
    </xf>
    <xf numFmtId="1" fontId="3" fillId="2" borderId="0" xfId="3" applyNumberFormat="1" applyFont="1" applyFill="1" applyAlignment="1">
      <alignment horizontal="center" wrapText="1"/>
    </xf>
    <xf numFmtId="0" fontId="6" fillId="2" borderId="0" xfId="4" applyFont="1" applyFill="1" applyAlignment="1">
      <alignment horizontal="center" vertical="top" wrapText="1"/>
    </xf>
    <xf numFmtId="0" fontId="0" fillId="0" borderId="0" xfId="0" applyAlignment="1">
      <alignment horizontal="left"/>
    </xf>
    <xf numFmtId="164" fontId="3" fillId="2" borderId="2" xfId="3" applyNumberFormat="1" applyFont="1" applyFill="1" applyBorder="1" applyAlignment="1">
      <alignment horizontal="left" vertical="center" wrapText="1"/>
    </xf>
    <xf numFmtId="164" fontId="3" fillId="0" borderId="0" xfId="3" applyNumberFormat="1" applyFont="1" applyAlignment="1">
      <alignment horizontal="left" vertical="center" wrapText="1"/>
    </xf>
    <xf numFmtId="2" fontId="10" fillId="0" borderId="4" xfId="2" quotePrefix="1" applyNumberFormat="1" applyFont="1" applyFill="1" applyBorder="1" applyAlignment="1">
      <alignment horizontal="left" wrapText="1"/>
    </xf>
    <xf numFmtId="2" fontId="0" fillId="0" borderId="0" xfId="0" applyNumberFormat="1"/>
    <xf numFmtId="2" fontId="3" fillId="0" borderId="0" xfId="3" applyNumberFormat="1" applyFont="1" applyAlignment="1">
      <alignment horizontal="left" vertical="center"/>
    </xf>
    <xf numFmtId="2" fontId="3" fillId="2" borderId="1" xfId="2" applyNumberFormat="1" applyFont="1" applyFill="1" applyBorder="1" applyAlignment="1">
      <alignment horizontal="center" vertical="center" wrapText="1"/>
    </xf>
    <xf numFmtId="2" fontId="3" fillId="0" borderId="1" xfId="3" applyNumberFormat="1" applyFont="1" applyBorder="1" applyAlignment="1">
      <alignment horizontal="center" vertical="center" wrapText="1"/>
    </xf>
    <xf numFmtId="2" fontId="6" fillId="0" borderId="1" xfId="4" applyNumberFormat="1" applyFont="1" applyBorder="1" applyAlignment="1">
      <alignment vertical="top" wrapText="1"/>
    </xf>
    <xf numFmtId="2" fontId="5" fillId="0" borderId="1" xfId="3" applyNumberFormat="1" applyFont="1" applyBorder="1" applyAlignment="1">
      <alignment vertical="top" wrapText="1"/>
    </xf>
    <xf numFmtId="165" fontId="0" fillId="0" borderId="0" xfId="0" applyNumberFormat="1"/>
    <xf numFmtId="165" fontId="3" fillId="0" borderId="0" xfId="2" applyNumberFormat="1" applyFont="1" applyBorder="1" applyAlignment="1">
      <alignment horizontal="left" vertical="center"/>
    </xf>
    <xf numFmtId="165" fontId="3" fillId="2" borderId="1" xfId="2" applyNumberFormat="1" applyFont="1" applyFill="1" applyBorder="1" applyAlignment="1">
      <alignment horizontal="center" vertical="center" wrapText="1"/>
    </xf>
    <xf numFmtId="165" fontId="3" fillId="0" borderId="1" xfId="2" applyNumberFormat="1" applyFont="1" applyBorder="1" applyAlignment="1">
      <alignment horizontal="center" vertical="center"/>
    </xf>
    <xf numFmtId="165" fontId="6" fillId="0" borderId="1" xfId="4" applyNumberFormat="1" applyFont="1" applyBorder="1" applyAlignment="1">
      <alignment vertical="top" wrapText="1"/>
    </xf>
    <xf numFmtId="165" fontId="3" fillId="0" borderId="1" xfId="2" applyNumberFormat="1" applyFont="1" applyFill="1" applyBorder="1" applyAlignment="1">
      <alignment horizontal="center" vertical="center" wrapText="1"/>
    </xf>
    <xf numFmtId="165" fontId="5" fillId="0" borderId="1" xfId="2" applyNumberFormat="1" applyFont="1" applyFill="1" applyBorder="1" applyAlignment="1">
      <alignment vertical="top" wrapText="1"/>
    </xf>
    <xf numFmtId="165" fontId="6" fillId="0" borderId="1" xfId="4" applyNumberFormat="1" applyFont="1" applyBorder="1" applyAlignment="1">
      <alignment vertical="center" wrapText="1"/>
    </xf>
    <xf numFmtId="165" fontId="9" fillId="0" borderId="1" xfId="2" applyNumberFormat="1" applyFont="1" applyFill="1" applyBorder="1" applyAlignment="1">
      <alignment vertical="top" wrapText="1"/>
    </xf>
    <xf numFmtId="0" fontId="0" fillId="0" borderId="4" xfId="0" applyBorder="1" applyAlignment="1">
      <alignment horizontal="left"/>
    </xf>
    <xf numFmtId="2" fontId="11" fillId="0" borderId="4" xfId="2" quotePrefix="1" applyNumberFormat="1" applyFont="1" applyFill="1" applyBorder="1" applyAlignment="1">
      <alignment horizontal="left" wrapText="1"/>
    </xf>
    <xf numFmtId="0" fontId="13" fillId="0" borderId="4" xfId="0" applyFont="1" applyBorder="1" applyAlignment="1">
      <alignment horizontal="left"/>
    </xf>
    <xf numFmtId="0" fontId="0" fillId="0" borderId="4" xfId="0" applyBorder="1" applyAlignment="1">
      <alignment horizontal="left" wrapText="1"/>
    </xf>
    <xf numFmtId="2" fontId="6" fillId="0" borderId="4" xfId="2" quotePrefix="1" applyNumberFormat="1" applyFont="1" applyFill="1" applyBorder="1" applyAlignment="1">
      <alignment horizontal="left" wrapText="1"/>
    </xf>
    <xf numFmtId="165" fontId="20" fillId="0" borderId="1" xfId="4" applyNumberFormat="1" applyFont="1" applyBorder="1" applyAlignment="1">
      <alignment vertical="top" wrapText="1"/>
    </xf>
    <xf numFmtId="0" fontId="13" fillId="0" borderId="4" xfId="0" applyFont="1" applyBorder="1" applyAlignment="1">
      <alignment horizontal="left" wrapText="1"/>
    </xf>
    <xf numFmtId="44" fontId="6" fillId="0" borderId="0" xfId="2" applyFont="1" applyFill="1" applyBorder="1" applyAlignment="1">
      <alignment horizontal="left" wrapText="1"/>
    </xf>
    <xf numFmtId="2" fontId="5" fillId="0" borderId="1" xfId="3" applyNumberFormat="1" applyFont="1" applyBorder="1" applyAlignment="1">
      <alignment horizontal="center" wrapText="1"/>
    </xf>
    <xf numFmtId="164" fontId="8" fillId="0" borderId="0" xfId="3" applyNumberFormat="1" applyFont="1" applyAlignment="1">
      <alignment horizontal="left" wrapText="1"/>
    </xf>
    <xf numFmtId="164" fontId="5" fillId="0" borderId="1" xfId="3" applyNumberFormat="1" applyFont="1" applyBorder="1" applyAlignment="1">
      <alignment horizontal="center" wrapText="1"/>
    </xf>
    <xf numFmtId="165" fontId="5" fillId="0" borderId="1" xfId="2" applyNumberFormat="1" applyFont="1" applyFill="1" applyBorder="1" applyAlignment="1">
      <alignment horizontal="center" wrapText="1"/>
    </xf>
    <xf numFmtId="165" fontId="6" fillId="0" borderId="1" xfId="4" applyNumberFormat="1" applyFont="1" applyBorder="1" applyAlignment="1">
      <alignment wrapText="1"/>
    </xf>
    <xf numFmtId="0" fontId="6" fillId="0" borderId="1" xfId="4" applyFont="1" applyBorder="1" applyAlignment="1">
      <alignment wrapText="1"/>
    </xf>
    <xf numFmtId="164" fontId="8" fillId="0" borderId="3" xfId="3" applyNumberFormat="1" applyFont="1" applyBorder="1" applyAlignment="1">
      <alignment horizontal="left" wrapText="1"/>
    </xf>
    <xf numFmtId="44" fontId="6" fillId="0" borderId="0" xfId="2" applyFont="1" applyFill="1" applyBorder="1" applyAlignment="1">
      <alignment horizontal="center" wrapText="1"/>
    </xf>
    <xf numFmtId="2" fontId="6" fillId="0" borderId="1" xfId="4" applyNumberFormat="1" applyFont="1" applyBorder="1" applyAlignment="1">
      <alignment wrapText="1"/>
    </xf>
    <xf numFmtId="44" fontId="3" fillId="0" borderId="1" xfId="2" applyFont="1" applyFill="1" applyBorder="1" applyAlignment="1">
      <alignment horizontal="center" wrapText="1"/>
    </xf>
    <xf numFmtId="164" fontId="10" fillId="0" borderId="3" xfId="3" applyNumberFormat="1" applyFont="1" applyBorder="1" applyAlignment="1">
      <alignment wrapText="1"/>
    </xf>
    <xf numFmtId="2" fontId="5" fillId="0" borderId="1" xfId="3" applyNumberFormat="1" applyFont="1" applyBorder="1" applyAlignment="1">
      <alignment wrapText="1"/>
    </xf>
    <xf numFmtId="165" fontId="5" fillId="0" borderId="1" xfId="2" applyNumberFormat="1" applyFont="1" applyFill="1" applyBorder="1" applyAlignment="1">
      <alignment wrapText="1"/>
    </xf>
    <xf numFmtId="44" fontId="3" fillId="0" borderId="1" xfId="2" applyFont="1" applyFill="1" applyBorder="1" applyAlignment="1">
      <alignment wrapText="1"/>
    </xf>
    <xf numFmtId="44" fontId="6" fillId="0" borderId="0" xfId="2" applyFont="1" applyFill="1" applyBorder="1" applyAlignment="1">
      <alignment wrapText="1"/>
    </xf>
    <xf numFmtId="165" fontId="3" fillId="0" borderId="1" xfId="2" applyNumberFormat="1" applyFont="1" applyFill="1" applyBorder="1" applyAlignment="1">
      <alignment wrapText="1"/>
    </xf>
    <xf numFmtId="44" fontId="3" fillId="0" borderId="1" xfId="2" applyFont="1" applyBorder="1" applyAlignment="1">
      <alignment horizontal="center" wrapText="1"/>
    </xf>
    <xf numFmtId="164" fontId="5" fillId="0" borderId="3" xfId="3" applyNumberFormat="1" applyFont="1" applyBorder="1" applyAlignment="1">
      <alignment horizontal="left" wrapText="1"/>
    </xf>
    <xf numFmtId="165" fontId="5" fillId="0" borderId="1" xfId="2" applyNumberFormat="1" applyFont="1" applyBorder="1" applyAlignment="1">
      <alignment horizontal="center" wrapText="1"/>
    </xf>
    <xf numFmtId="44" fontId="6" fillId="0" borderId="0" xfId="2" applyFont="1" applyBorder="1" applyAlignment="1">
      <alignment horizontal="center" wrapText="1"/>
    </xf>
    <xf numFmtId="165" fontId="20" fillId="0" borderId="1" xfId="4" applyNumberFormat="1" applyFont="1" applyBorder="1" applyAlignment="1">
      <alignment wrapText="1"/>
    </xf>
    <xf numFmtId="1" fontId="4" fillId="0" borderId="0" xfId="3" applyNumberFormat="1" applyFont="1" applyAlignment="1">
      <alignment horizontal="left"/>
    </xf>
    <xf numFmtId="164" fontId="3" fillId="2" borderId="2" xfId="3" applyNumberFormat="1" applyFont="1" applyFill="1" applyBorder="1" applyAlignment="1">
      <alignment horizontal="left" wrapText="1"/>
    </xf>
    <xf numFmtId="1" fontId="3" fillId="0" borderId="4" xfId="3" quotePrefix="1" applyNumberFormat="1" applyFont="1" applyBorder="1" applyAlignment="1">
      <alignment horizontal="left" wrapText="1"/>
    </xf>
    <xf numFmtId="2" fontId="3" fillId="2" borderId="0" xfId="3" applyNumberFormat="1" applyFont="1" applyFill="1" applyAlignment="1">
      <alignment horizontal="center" wrapText="1"/>
    </xf>
    <xf numFmtId="165" fontId="3" fillId="0" borderId="1" xfId="2" applyNumberFormat="1" applyFont="1" applyBorder="1" applyAlignment="1">
      <alignment horizontal="center" wrapText="1"/>
    </xf>
    <xf numFmtId="2" fontId="3" fillId="2" borderId="6" xfId="3" applyNumberFormat="1" applyFont="1" applyFill="1" applyBorder="1" applyAlignment="1">
      <alignment horizontal="center" wrapText="1"/>
    </xf>
    <xf numFmtId="1" fontId="3" fillId="2" borderId="0" xfId="3" applyNumberFormat="1" applyFont="1" applyFill="1" applyAlignment="1">
      <alignment horizontal="center" vertical="center" wrapText="1"/>
    </xf>
    <xf numFmtId="1" fontId="6" fillId="2" borderId="0" xfId="4" applyNumberFormat="1" applyFont="1" applyFill="1" applyAlignment="1">
      <alignment horizontal="center" vertical="top" wrapText="1"/>
    </xf>
    <xf numFmtId="165" fontId="0" fillId="0" borderId="1" xfId="0" applyNumberFormat="1" applyBorder="1"/>
    <xf numFmtId="0" fontId="6" fillId="0" borderId="1" xfId="4" applyFont="1" applyBorder="1" applyAlignment="1">
      <alignment horizontal="center" wrapText="1"/>
    </xf>
    <xf numFmtId="165" fontId="3" fillId="0" borderId="1" xfId="2" applyNumberFormat="1" applyFont="1" applyFill="1" applyBorder="1" applyAlignment="1">
      <alignment horizontal="center" wrapText="1"/>
    </xf>
    <xf numFmtId="164" fontId="3" fillId="2" borderId="8" xfId="3" applyNumberFormat="1" applyFont="1" applyFill="1" applyBorder="1" applyAlignment="1">
      <alignment horizontal="center" vertical="center" wrapText="1"/>
    </xf>
    <xf numFmtId="164" fontId="3" fillId="2" borderId="8" xfId="3" applyNumberFormat="1" applyFont="1" applyFill="1" applyBorder="1" applyAlignment="1">
      <alignment horizontal="center" wrapText="1"/>
    </xf>
    <xf numFmtId="1" fontId="5" fillId="0" borderId="7" xfId="3" quotePrefix="1" applyNumberFormat="1" applyFont="1" applyBorder="1" applyAlignment="1">
      <alignment horizontal="left" vertical="center" wrapText="1"/>
    </xf>
    <xf numFmtId="164" fontId="5" fillId="0" borderId="9" xfId="3" applyNumberFormat="1" applyFont="1" applyBorder="1" applyAlignment="1">
      <alignment horizontal="left" wrapText="1"/>
    </xf>
    <xf numFmtId="2" fontId="5" fillId="0" borderId="10" xfId="3" applyNumberFormat="1" applyFont="1" applyBorder="1" applyAlignment="1">
      <alignment horizontal="center" wrapText="1"/>
    </xf>
    <xf numFmtId="164" fontId="5" fillId="0" borderId="10" xfId="3" applyNumberFormat="1" applyFont="1" applyBorder="1" applyAlignment="1">
      <alignment horizontal="center" wrapText="1"/>
    </xf>
    <xf numFmtId="165" fontId="5" fillId="0" borderId="10" xfId="2" applyNumberFormat="1" applyFont="1" applyBorder="1" applyAlignment="1">
      <alignment horizontal="center" wrapText="1"/>
    </xf>
    <xf numFmtId="165" fontId="3" fillId="0" borderId="10" xfId="2" applyNumberFormat="1" applyFont="1" applyBorder="1" applyAlignment="1">
      <alignment horizontal="center" wrapText="1"/>
    </xf>
    <xf numFmtId="44" fontId="6" fillId="0" borderId="8" xfId="2" applyFont="1" applyBorder="1" applyAlignment="1">
      <alignment horizontal="center" wrapText="1"/>
    </xf>
    <xf numFmtId="0" fontId="0" fillId="0" borderId="8" xfId="0" applyBorder="1"/>
    <xf numFmtId="165" fontId="0" fillId="0" borderId="8" xfId="0" applyNumberFormat="1" applyBorder="1"/>
    <xf numFmtId="2" fontId="3" fillId="2" borderId="8" xfId="3" applyNumberFormat="1" applyFont="1" applyFill="1" applyBorder="1" applyAlignment="1">
      <alignment horizontal="center" wrapText="1"/>
    </xf>
    <xf numFmtId="0" fontId="0" fillId="0" borderId="7" xfId="0" applyBorder="1" applyAlignment="1">
      <alignment horizontal="left"/>
    </xf>
    <xf numFmtId="2" fontId="0" fillId="0" borderId="10" xfId="0" applyNumberFormat="1" applyBorder="1"/>
    <xf numFmtId="0" fontId="0" fillId="0" borderId="10" xfId="0" applyBorder="1"/>
    <xf numFmtId="165" fontId="0" fillId="0" borderId="10" xfId="0" applyNumberFormat="1" applyBorder="1"/>
    <xf numFmtId="165" fontId="13" fillId="0" borderId="10" xfId="0" applyNumberFormat="1" applyFont="1" applyBorder="1" applyAlignment="1">
      <alignment horizontal="center"/>
    </xf>
    <xf numFmtId="0" fontId="13" fillId="0" borderId="0" xfId="0" applyFont="1" applyAlignment="1">
      <alignment horizontal="left"/>
    </xf>
    <xf numFmtId="0" fontId="0" fillId="2" borderId="8" xfId="0" applyFill="1" applyBorder="1" applyAlignment="1">
      <alignment horizontal="center"/>
    </xf>
    <xf numFmtId="1" fontId="8" fillId="0" borderId="7" xfId="3" quotePrefix="1" applyNumberFormat="1" applyFont="1" applyBorder="1" applyAlignment="1">
      <alignment horizontal="left" vertical="center" wrapText="1"/>
    </xf>
    <xf numFmtId="0" fontId="0" fillId="0" borderId="12" xfId="0" applyBorder="1"/>
    <xf numFmtId="164" fontId="3" fillId="0" borderId="0" xfId="3" applyNumberFormat="1" applyFont="1" applyAlignment="1">
      <alignment wrapText="1"/>
    </xf>
    <xf numFmtId="164" fontId="8" fillId="0" borderId="0" xfId="3" applyNumberFormat="1" applyFont="1" applyAlignment="1">
      <alignment wrapText="1"/>
    </xf>
    <xf numFmtId="164" fontId="5" fillId="0" borderId="1" xfId="3" applyNumberFormat="1" applyFont="1" applyBorder="1" applyAlignment="1">
      <alignment wrapText="1"/>
    </xf>
    <xf numFmtId="164" fontId="3" fillId="0" borderId="0" xfId="3" applyNumberFormat="1" applyFont="1" applyAlignment="1">
      <alignment horizontal="center" wrapText="1"/>
    </xf>
    <xf numFmtId="2" fontId="6" fillId="0" borderId="1" xfId="4" applyNumberFormat="1" applyFont="1" applyBorder="1" applyAlignment="1">
      <alignment horizontal="center" wrapText="1"/>
    </xf>
    <xf numFmtId="165" fontId="6" fillId="0" borderId="1" xfId="4" applyNumberFormat="1" applyFont="1" applyBorder="1" applyAlignment="1">
      <alignment horizontal="center" wrapText="1"/>
    </xf>
    <xf numFmtId="164" fontId="8" fillId="0" borderId="0" xfId="3" applyNumberFormat="1" applyFont="1" applyAlignment="1">
      <alignment horizontal="center" wrapText="1"/>
    </xf>
    <xf numFmtId="165" fontId="20" fillId="0" borderId="1" xfId="4" applyNumberFormat="1" applyFont="1" applyBorder="1" applyAlignment="1">
      <alignment horizontal="center" wrapText="1"/>
    </xf>
    <xf numFmtId="1" fontId="3" fillId="2" borderId="8" xfId="3" applyNumberFormat="1" applyFont="1" applyFill="1" applyBorder="1" applyAlignment="1">
      <alignment horizontal="center" vertical="center" wrapText="1"/>
    </xf>
    <xf numFmtId="164" fontId="9" fillId="0" borderId="8" xfId="3" applyNumberFormat="1" applyFont="1" applyBorder="1" applyAlignment="1">
      <alignment wrapText="1"/>
    </xf>
    <xf numFmtId="2" fontId="6" fillId="0" borderId="10" xfId="4" applyNumberFormat="1" applyFont="1" applyBorder="1" applyAlignment="1">
      <alignment wrapText="1"/>
    </xf>
    <xf numFmtId="0" fontId="6" fillId="0" borderId="10" xfId="4" applyFont="1" applyBorder="1" applyAlignment="1">
      <alignment wrapText="1"/>
    </xf>
    <xf numFmtId="44" fontId="6" fillId="0" borderId="8" xfId="2" applyFont="1" applyFill="1" applyBorder="1" applyAlignment="1">
      <alignment wrapText="1"/>
    </xf>
    <xf numFmtId="164" fontId="10" fillId="0" borderId="3" xfId="3" applyNumberFormat="1" applyFont="1" applyBorder="1" applyAlignment="1">
      <alignment horizontal="center" wrapText="1"/>
    </xf>
    <xf numFmtId="165" fontId="9" fillId="0" borderId="1" xfId="2" applyNumberFormat="1" applyFont="1" applyFill="1" applyBorder="1" applyAlignment="1">
      <alignment horizontal="center" wrapText="1"/>
    </xf>
    <xf numFmtId="165" fontId="0" fillId="0" borderId="0" xfId="0" applyNumberFormat="1" applyAlignment="1">
      <alignment horizontal="center"/>
    </xf>
    <xf numFmtId="165" fontId="11" fillId="0" borderId="1" xfId="4" applyNumberFormat="1" applyFont="1" applyBorder="1" applyAlignment="1">
      <alignment horizontal="center" wrapText="1"/>
    </xf>
    <xf numFmtId="1" fontId="3" fillId="0" borderId="7" xfId="3" quotePrefix="1" applyNumberFormat="1" applyFont="1" applyBorder="1" applyAlignment="1">
      <alignment horizontal="left" wrapText="1"/>
    </xf>
    <xf numFmtId="44" fontId="3" fillId="0" borderId="10" xfId="2" applyFont="1" applyBorder="1" applyAlignment="1">
      <alignment horizontal="center" wrapText="1"/>
    </xf>
    <xf numFmtId="1" fontId="3" fillId="0" borderId="7" xfId="3" quotePrefix="1" applyNumberFormat="1" applyFont="1" applyBorder="1" applyAlignment="1">
      <alignment horizontal="left" vertical="center" wrapText="1"/>
    </xf>
    <xf numFmtId="164" fontId="10" fillId="0" borderId="9" xfId="3" applyNumberFormat="1" applyFont="1" applyBorder="1" applyAlignment="1">
      <alignment vertical="top" wrapText="1"/>
    </xf>
    <xf numFmtId="2" fontId="5" fillId="0" borderId="10" xfId="3" applyNumberFormat="1" applyFont="1" applyBorder="1" applyAlignment="1">
      <alignment vertical="top" wrapText="1"/>
    </xf>
    <xf numFmtId="164" fontId="5" fillId="0" borderId="10" xfId="3" applyNumberFormat="1" applyFont="1" applyBorder="1" applyAlignment="1">
      <alignment horizontal="center" vertical="top" wrapText="1"/>
    </xf>
    <xf numFmtId="44" fontId="6" fillId="0" borderId="8" xfId="2" applyFont="1" applyFill="1" applyBorder="1" applyAlignment="1">
      <alignment vertical="top" wrapText="1"/>
    </xf>
    <xf numFmtId="0" fontId="0" fillId="0" borderId="7" xfId="0" applyBorder="1"/>
    <xf numFmtId="165" fontId="0" fillId="0" borderId="7" xfId="0" applyNumberFormat="1" applyBorder="1"/>
    <xf numFmtId="1" fontId="3" fillId="0" borderId="0" xfId="3" quotePrefix="1" applyNumberFormat="1" applyFont="1" applyAlignment="1">
      <alignment horizontal="left" vertical="center" wrapText="1"/>
    </xf>
    <xf numFmtId="165" fontId="5" fillId="0" borderId="0" xfId="2" applyNumberFormat="1" applyFont="1" applyBorder="1" applyAlignment="1">
      <alignment horizontal="center" wrapText="1"/>
    </xf>
    <xf numFmtId="165" fontId="3" fillId="0" borderId="0" xfId="2" applyNumberFormat="1" applyFont="1" applyBorder="1" applyAlignment="1">
      <alignment horizontal="center" wrapText="1"/>
    </xf>
    <xf numFmtId="7" fontId="0" fillId="0" borderId="0" xfId="0" applyNumberFormat="1" applyAlignment="1">
      <alignment horizontal="center"/>
    </xf>
    <xf numFmtId="2" fontId="6" fillId="0" borderId="0" xfId="2" quotePrefix="1" applyNumberFormat="1" applyFont="1" applyFill="1" applyBorder="1" applyAlignment="1">
      <alignment horizontal="left" wrapText="1"/>
    </xf>
    <xf numFmtId="2" fontId="5" fillId="0" borderId="0" xfId="3" applyNumberFormat="1" applyFont="1" applyAlignment="1">
      <alignment horizontal="center" vertical="center" wrapText="1"/>
    </xf>
    <xf numFmtId="164" fontId="5" fillId="0" borderId="0" xfId="3" applyNumberFormat="1" applyFont="1" applyAlignment="1">
      <alignment horizontal="center" vertical="center" wrapText="1"/>
    </xf>
    <xf numFmtId="165" fontId="5" fillId="0" borderId="0" xfId="2" applyNumberFormat="1" applyFont="1" applyFill="1" applyBorder="1" applyAlignment="1">
      <alignment horizontal="center" vertical="center" wrapText="1"/>
    </xf>
    <xf numFmtId="165" fontId="6" fillId="0" borderId="0" xfId="4" applyNumberFormat="1" applyFont="1" applyAlignment="1">
      <alignment vertical="center" wrapText="1"/>
    </xf>
    <xf numFmtId="0" fontId="6" fillId="0" borderId="0" xfId="4" applyFont="1" applyAlignment="1">
      <alignment vertical="top" wrapText="1"/>
    </xf>
    <xf numFmtId="4" fontId="3" fillId="0" borderId="10" xfId="2" applyNumberFormat="1" applyFont="1" applyBorder="1" applyAlignment="1">
      <alignment horizontal="center" wrapText="1"/>
    </xf>
    <xf numFmtId="165" fontId="6" fillId="0" borderId="10" xfId="4" applyNumberFormat="1" applyFont="1" applyBorder="1" applyAlignment="1">
      <alignment horizontal="center" wrapText="1"/>
    </xf>
    <xf numFmtId="165" fontId="3" fillId="0" borderId="10" xfId="2" applyNumberFormat="1" applyFont="1" applyFill="1" applyBorder="1" applyAlignment="1">
      <alignment horizontal="center" wrapText="1"/>
    </xf>
    <xf numFmtId="165" fontId="11" fillId="0" borderId="10" xfId="4" applyNumberFormat="1" applyFont="1" applyBorder="1" applyAlignment="1">
      <alignment horizontal="center" wrapText="1"/>
    </xf>
    <xf numFmtId="0" fontId="1" fillId="0" borderId="0" xfId="1" applyFill="1"/>
    <xf numFmtId="0" fontId="0" fillId="0" borderId="0" xfId="0" applyAlignment="1">
      <alignment horizontal="left" wrapText="1"/>
    </xf>
    <xf numFmtId="165" fontId="0" fillId="0" borderId="11" xfId="0" applyNumberFormat="1" applyBorder="1"/>
    <xf numFmtId="10" fontId="6" fillId="0" borderId="1" xfId="4" applyNumberFormat="1" applyFont="1" applyBorder="1" applyAlignment="1">
      <alignment vertical="top" wrapText="1"/>
    </xf>
    <xf numFmtId="10" fontId="6" fillId="0" borderId="1" xfId="4" applyNumberFormat="1" applyFont="1" applyBorder="1" applyAlignment="1">
      <alignment horizontal="center" wrapText="1"/>
    </xf>
    <xf numFmtId="10" fontId="3" fillId="0" borderId="1" xfId="2" applyNumberFormat="1" applyFont="1" applyFill="1" applyBorder="1" applyAlignment="1">
      <alignment horizontal="center" wrapText="1"/>
    </xf>
    <xf numFmtId="10" fontId="3" fillId="0" borderId="1" xfId="2" applyNumberFormat="1" applyFont="1" applyFill="1" applyBorder="1" applyAlignment="1">
      <alignment wrapText="1"/>
    </xf>
    <xf numFmtId="10" fontId="5" fillId="0" borderId="1" xfId="2" applyNumberFormat="1" applyFont="1" applyFill="1" applyBorder="1" applyAlignment="1">
      <alignment wrapText="1"/>
    </xf>
    <xf numFmtId="0" fontId="6" fillId="0" borderId="3" xfId="4" applyFont="1" applyBorder="1" applyAlignment="1">
      <alignment wrapText="1"/>
    </xf>
    <xf numFmtId="0" fontId="0" fillId="0" borderId="8" xfId="0" applyBorder="1" applyAlignment="1">
      <alignment horizontal="centerContinuous"/>
    </xf>
    <xf numFmtId="0" fontId="0" fillId="0" borderId="0" xfId="0" applyAlignment="1">
      <alignment textRotation="45"/>
    </xf>
    <xf numFmtId="165" fontId="9" fillId="0" borderId="1" xfId="2" applyNumberFormat="1" applyFont="1" applyBorder="1" applyAlignment="1">
      <alignment horizontal="center" vertical="center"/>
    </xf>
    <xf numFmtId="10" fontId="5" fillId="0" borderId="1" xfId="2" applyNumberFormat="1" applyFont="1" applyFill="1" applyBorder="1" applyAlignment="1">
      <alignment horizontal="center" wrapText="1"/>
    </xf>
    <xf numFmtId="0" fontId="0" fillId="0" borderId="0" xfId="0" applyAlignment="1">
      <alignment horizontal="center" vertical="center" textRotation="60"/>
    </xf>
    <xf numFmtId="0" fontId="0" fillId="0" borderId="0" xfId="0" applyAlignment="1">
      <alignment horizontal="center" vertical="center"/>
    </xf>
    <xf numFmtId="10" fontId="0" fillId="0" borderId="0" xfId="0" applyNumberFormat="1" applyAlignment="1">
      <alignment horizontal="center"/>
    </xf>
    <xf numFmtId="9" fontId="0" fillId="0" borderId="0" xfId="0" applyNumberFormat="1" applyAlignment="1">
      <alignment horizontal="center"/>
    </xf>
    <xf numFmtId="166" fontId="0" fillId="0" borderId="0" xfId="0" applyNumberFormat="1" applyAlignment="1">
      <alignment horizontal="center"/>
    </xf>
    <xf numFmtId="165" fontId="0" fillId="0" borderId="8" xfId="0" applyNumberFormat="1" applyBorder="1" applyAlignment="1">
      <alignment horizontal="centerContinuous"/>
    </xf>
    <xf numFmtId="165" fontId="21" fillId="0" borderId="8" xfId="0" applyNumberFormat="1" applyFont="1" applyBorder="1" applyAlignment="1">
      <alignment horizontal="centerContinuous"/>
    </xf>
    <xf numFmtId="0" fontId="0" fillId="0" borderId="0" xfId="0" applyAlignment="1">
      <alignment horizontal="center" wrapText="1"/>
    </xf>
    <xf numFmtId="165" fontId="0" fillId="0" borderId="0" xfId="0" applyNumberFormat="1" applyAlignment="1">
      <alignment horizontal="centerContinuous"/>
    </xf>
    <xf numFmtId="165" fontId="21" fillId="0" borderId="0" xfId="0" applyNumberFormat="1" applyFont="1" applyAlignment="1">
      <alignment horizontal="centerContinuous"/>
    </xf>
    <xf numFmtId="0" fontId="13" fillId="0" borderId="0" xfId="0" applyFont="1"/>
    <xf numFmtId="0" fontId="0" fillId="2" borderId="8" xfId="0" applyFill="1" applyBorder="1"/>
    <xf numFmtId="0" fontId="13" fillId="2" borderId="8" xfId="0" applyFont="1" applyFill="1" applyBorder="1" applyAlignment="1">
      <alignment horizontal="center"/>
    </xf>
    <xf numFmtId="0" fontId="0" fillId="4" borderId="8" xfId="0" applyFill="1" applyBorder="1"/>
    <xf numFmtId="0" fontId="13" fillId="4" borderId="8" xfId="0" applyFont="1" applyFill="1" applyBorder="1" applyAlignment="1">
      <alignment horizontal="right"/>
    </xf>
    <xf numFmtId="165" fontId="13" fillId="4" borderId="8" xfId="0" applyNumberFormat="1" applyFont="1" applyFill="1" applyBorder="1"/>
    <xf numFmtId="0" fontId="13" fillId="0" borderId="0" xfId="0" applyFont="1" applyAlignment="1">
      <alignment horizontal="right"/>
    </xf>
    <xf numFmtId="0" fontId="13" fillId="2" borderId="8" xfId="0" applyFont="1" applyFill="1" applyBorder="1" applyAlignment="1">
      <alignment horizontal="centerContinuous"/>
    </xf>
    <xf numFmtId="0" fontId="22" fillId="0" borderId="0" xfId="0" applyFont="1" applyAlignment="1">
      <alignment vertical="center"/>
    </xf>
    <xf numFmtId="0" fontId="21" fillId="2" borderId="8" xfId="0" applyFont="1" applyFill="1" applyBorder="1"/>
    <xf numFmtId="0" fontId="0" fillId="0" borderId="0" xfId="0" applyAlignment="1">
      <alignment wrapText="1"/>
    </xf>
    <xf numFmtId="0" fontId="0" fillId="0" borderId="0" xfId="0" applyAlignment="1">
      <alignment horizontal="left" indent="8"/>
    </xf>
    <xf numFmtId="164" fontId="3" fillId="0" borderId="13" xfId="3" applyNumberFormat="1" applyFont="1" applyBorder="1" applyAlignment="1">
      <alignment horizontal="left" wrapText="1"/>
    </xf>
    <xf numFmtId="10" fontId="6" fillId="0" borderId="1" xfId="4" applyNumberFormat="1" applyFont="1" applyBorder="1" applyAlignment="1">
      <alignment horizontal="center" vertical="top" wrapText="1"/>
    </xf>
    <xf numFmtId="165" fontId="13" fillId="0" borderId="0" xfId="0" applyNumberFormat="1" applyFont="1"/>
    <xf numFmtId="44" fontId="6" fillId="3" borderId="0" xfId="2" applyFont="1" applyFill="1" applyBorder="1" applyAlignment="1">
      <alignment horizontal="center" vertical="top" wrapText="1"/>
    </xf>
    <xf numFmtId="10" fontId="11" fillId="0" borderId="1" xfId="4" applyNumberFormat="1" applyFont="1" applyBorder="1" applyAlignment="1">
      <alignment horizontal="center" wrapText="1"/>
    </xf>
    <xf numFmtId="0" fontId="0" fillId="0" borderId="14" xfId="0" applyBorder="1"/>
    <xf numFmtId="9" fontId="0" fillId="0" borderId="0" xfId="0" applyNumberFormat="1"/>
    <xf numFmtId="165" fontId="6" fillId="0" borderId="1" xfId="4" applyNumberFormat="1" applyFont="1" applyBorder="1" applyAlignment="1">
      <alignment horizontal="center" vertical="top" wrapText="1"/>
    </xf>
    <xf numFmtId="165" fontId="13" fillId="2" borderId="8" xfId="0" applyNumberFormat="1" applyFont="1" applyFill="1" applyBorder="1" applyAlignment="1">
      <alignment horizontal="center"/>
    </xf>
    <xf numFmtId="0" fontId="0" fillId="0" borderId="8" xfId="0" applyBorder="1" applyAlignment="1">
      <alignment horizontal="center"/>
    </xf>
    <xf numFmtId="0" fontId="0" fillId="0" borderId="0" xfId="0" applyAlignment="1">
      <alignment horizontal="center" vertical="top"/>
    </xf>
    <xf numFmtId="165" fontId="21" fillId="0" borderId="0" xfId="0" applyNumberFormat="1" applyFont="1"/>
    <xf numFmtId="164" fontId="3" fillId="2" borderId="0" xfId="3" applyNumberFormat="1" applyFont="1" applyFill="1" applyAlignment="1">
      <alignment horizontal="left" wrapText="1" indent="1"/>
    </xf>
    <xf numFmtId="2" fontId="6" fillId="0" borderId="1" xfId="4" applyNumberFormat="1" applyFont="1" applyBorder="1" applyAlignment="1">
      <alignment horizontal="center" vertical="center" wrapText="1"/>
    </xf>
    <xf numFmtId="0" fontId="6" fillId="0" borderId="1" xfId="4" applyFont="1" applyBorder="1" applyAlignment="1">
      <alignment horizontal="center" vertical="top" wrapText="1"/>
    </xf>
    <xf numFmtId="0" fontId="6" fillId="0" borderId="1" xfId="4" applyFont="1" applyBorder="1" applyAlignment="1">
      <alignment horizontal="center" vertical="center" wrapText="1"/>
    </xf>
    <xf numFmtId="2" fontId="6" fillId="0" borderId="1" xfId="4" applyNumberFormat="1" applyFont="1" applyBorder="1" applyAlignment="1">
      <alignment vertical="center" wrapText="1"/>
    </xf>
    <xf numFmtId="165" fontId="6" fillId="0" borderId="1" xfId="4" applyNumberFormat="1" applyFont="1" applyBorder="1" applyAlignment="1">
      <alignment horizontal="right" vertical="center" wrapText="1"/>
    </xf>
    <xf numFmtId="165" fontId="3" fillId="0" borderId="1" xfId="2" applyNumberFormat="1" applyFont="1" applyBorder="1" applyAlignment="1">
      <alignment horizontal="center" vertical="center" wrapText="1"/>
    </xf>
    <xf numFmtId="44" fontId="6" fillId="3" borderId="0" xfId="2" applyFont="1" applyFill="1" applyBorder="1" applyAlignment="1">
      <alignment horizontal="center" vertical="center" wrapText="1"/>
    </xf>
    <xf numFmtId="0" fontId="0" fillId="3" borderId="0" xfId="0" applyFill="1" applyAlignment="1">
      <alignment horizontal="left" wrapText="1"/>
    </xf>
    <xf numFmtId="164" fontId="3" fillId="3" borderId="5" xfId="3" applyNumberFormat="1" applyFont="1" applyFill="1" applyBorder="1" applyAlignment="1">
      <alignment horizontal="left" wrapText="1"/>
    </xf>
    <xf numFmtId="2" fontId="5" fillId="3" borderId="1" xfId="3" applyNumberFormat="1" applyFont="1" applyFill="1" applyBorder="1" applyAlignment="1">
      <alignment horizontal="center" vertical="center" wrapText="1"/>
    </xf>
    <xf numFmtId="164" fontId="5" fillId="3" borderId="1" xfId="3" applyNumberFormat="1" applyFont="1" applyFill="1" applyBorder="1" applyAlignment="1">
      <alignment horizontal="center" vertical="center" wrapText="1"/>
    </xf>
    <xf numFmtId="165" fontId="6" fillId="3" borderId="1" xfId="4" applyNumberFormat="1" applyFont="1" applyFill="1" applyBorder="1" applyAlignment="1">
      <alignment vertical="center" wrapText="1"/>
    </xf>
    <xf numFmtId="44" fontId="3" fillId="3" borderId="1" xfId="2" applyFont="1" applyFill="1" applyBorder="1" applyAlignment="1">
      <alignment horizontal="center" vertical="center" wrapText="1"/>
    </xf>
    <xf numFmtId="165" fontId="6" fillId="3" borderId="1" xfId="4" applyNumberFormat="1" applyFont="1" applyFill="1" applyBorder="1" applyAlignment="1">
      <alignment horizontal="right" vertical="center" wrapText="1"/>
    </xf>
    <xf numFmtId="165" fontId="6" fillId="3" borderId="1" xfId="4" applyNumberFormat="1" applyFont="1" applyFill="1" applyBorder="1" applyAlignment="1">
      <alignment vertical="top" wrapText="1"/>
    </xf>
    <xf numFmtId="165" fontId="6" fillId="3" borderId="1" xfId="4" applyNumberFormat="1" applyFont="1" applyFill="1" applyBorder="1" applyAlignment="1">
      <alignment horizontal="center" vertical="center" wrapText="1"/>
    </xf>
    <xf numFmtId="165" fontId="6" fillId="0" borderId="1" xfId="4" applyNumberFormat="1" applyFont="1" applyBorder="1" applyAlignment="1">
      <alignment horizontal="center" vertical="center" wrapText="1"/>
    </xf>
    <xf numFmtId="0" fontId="0" fillId="3" borderId="4" xfId="0" applyFill="1" applyBorder="1" applyAlignment="1">
      <alignment horizontal="left" wrapText="1"/>
    </xf>
    <xf numFmtId="0" fontId="13" fillId="0" borderId="0" xfId="0" applyFont="1" applyAlignment="1">
      <alignment wrapText="1"/>
    </xf>
    <xf numFmtId="1" fontId="0" fillId="0" borderId="0" xfId="0" applyNumberFormat="1"/>
    <xf numFmtId="0" fontId="13" fillId="0" borderId="7" xfId="0" applyFont="1" applyBorder="1" applyAlignment="1">
      <alignment horizontal="center"/>
    </xf>
    <xf numFmtId="0" fontId="0" fillId="0" borderId="15" xfId="0" applyBorder="1"/>
    <xf numFmtId="0" fontId="0" fillId="0" borderId="16" xfId="0" applyBorder="1"/>
    <xf numFmtId="0" fontId="0" fillId="0" borderId="17" xfId="0" applyBorder="1"/>
    <xf numFmtId="0" fontId="0" fillId="0" borderId="11" xfId="0" applyBorder="1"/>
    <xf numFmtId="0" fontId="0" fillId="0" borderId="18" xfId="0" applyBorder="1"/>
    <xf numFmtId="44" fontId="5" fillId="0" borderId="0" xfId="2" applyFont="1" applyFill="1" applyBorder="1" applyAlignment="1">
      <alignment horizontal="center" wrapText="1"/>
    </xf>
    <xf numFmtId="0" fontId="13" fillId="0" borderId="0" xfId="0" applyFont="1" applyAlignment="1">
      <alignment vertical="top"/>
    </xf>
    <xf numFmtId="165" fontId="11" fillId="0" borderId="1" xfId="4" applyNumberFormat="1" applyFont="1" applyBorder="1" applyAlignment="1">
      <alignment horizontal="center" vertical="center" wrapText="1"/>
    </xf>
    <xf numFmtId="165" fontId="11" fillId="0" borderId="1" xfId="4" applyNumberFormat="1" applyFont="1" applyBorder="1" applyAlignment="1">
      <alignment vertical="top" wrapText="1"/>
    </xf>
    <xf numFmtId="0" fontId="0" fillId="0" borderId="19" xfId="0" applyBorder="1"/>
    <xf numFmtId="165" fontId="0" fillId="0" borderId="18" xfId="0" applyNumberFormat="1" applyBorder="1"/>
    <xf numFmtId="2" fontId="13" fillId="0" borderId="0" xfId="0" applyNumberFormat="1" applyFont="1"/>
    <xf numFmtId="10" fontId="3" fillId="0" borderId="0" xfId="2" applyNumberFormat="1" applyFont="1" applyFill="1" applyBorder="1" applyAlignment="1">
      <alignment horizontal="center" wrapText="1"/>
    </xf>
    <xf numFmtId="9" fontId="0" fillId="0" borderId="0" xfId="5" applyFont="1" applyAlignment="1">
      <alignment horizontal="center"/>
    </xf>
    <xf numFmtId="0" fontId="21" fillId="0" borderId="0" xfId="0" applyFont="1" applyAlignment="1">
      <alignment horizontal="right"/>
    </xf>
    <xf numFmtId="165" fontId="0" fillId="0" borderId="7" xfId="0" applyNumberFormat="1" applyBorder="1" applyAlignment="1">
      <alignment horizontal="left"/>
    </xf>
    <xf numFmtId="0" fontId="0" fillId="0" borderId="11" xfId="0" applyBorder="1" applyAlignment="1">
      <alignment horizontal="left"/>
    </xf>
    <xf numFmtId="165" fontId="0" fillId="0" borderId="17" xfId="0" applyNumberFormat="1" applyBorder="1" applyAlignment="1">
      <alignment horizontal="left"/>
    </xf>
    <xf numFmtId="0" fontId="0" fillId="0" borderId="8" xfId="0" applyBorder="1" applyAlignment="1">
      <alignment horizontal="left"/>
    </xf>
    <xf numFmtId="0" fontId="22" fillId="0" borderId="0" xfId="0" applyFont="1" applyAlignment="1">
      <alignment vertical="center"/>
    </xf>
    <xf numFmtId="164" fontId="3" fillId="2" borderId="0" xfId="3" applyNumberFormat="1" applyFont="1" applyFill="1" applyAlignment="1">
      <alignment horizontal="center" vertical="center" wrapText="1"/>
    </xf>
  </cellXfs>
  <cellStyles count="6">
    <cellStyle name="Currency" xfId="2" builtinId="4"/>
    <cellStyle name="Hyperlink" xfId="1" builtinId="8"/>
    <cellStyle name="Normal" xfId="0" builtinId="0"/>
    <cellStyle name="Normal 2 3" xfId="3" xr:uid="{1B36B201-E2E3-4D78-B932-313A4FDB4343}"/>
    <cellStyle name="Normal_Glasgow Teachers Building LCC Model 15-03-06" xfId="4" xr:uid="{3D92BE8C-33B2-4714-8100-1A795F345A33}"/>
    <cellStyle name="Percent"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42334</xdr:colOff>
      <xdr:row>0</xdr:row>
      <xdr:rowOff>74084</xdr:rowOff>
    </xdr:from>
    <xdr:to>
      <xdr:col>8</xdr:col>
      <xdr:colOff>86273</xdr:colOff>
      <xdr:row>3</xdr:row>
      <xdr:rowOff>142664</xdr:rowOff>
    </xdr:to>
    <xdr:pic>
      <xdr:nvPicPr>
        <xdr:cNvPr id="2" name="Picture 1">
          <a:extLst>
            <a:ext uri="{FF2B5EF4-FFF2-40B4-BE49-F238E27FC236}">
              <a16:creationId xmlns:a16="http://schemas.microsoft.com/office/drawing/2014/main" id="{24111CFF-BBFB-B918-50D1-584935166B8E}"/>
            </a:ext>
          </a:extLst>
        </xdr:cNvPr>
        <xdr:cNvPicPr>
          <a:picLocks noChangeAspect="1"/>
        </xdr:cNvPicPr>
      </xdr:nvPicPr>
      <xdr:blipFill>
        <a:blip xmlns:r="http://schemas.openxmlformats.org/officeDocument/2006/relationships" r:embed="rId1"/>
        <a:stretch>
          <a:fillRect/>
        </a:stretch>
      </xdr:blipFill>
      <xdr:spPr>
        <a:xfrm>
          <a:off x="5418667" y="74084"/>
          <a:ext cx="1864273" cy="745913"/>
        </a:xfrm>
        <a:prstGeom prst="rect">
          <a:avLst/>
        </a:prstGeom>
      </xdr:spPr>
    </xdr:pic>
    <xdr:clientData/>
  </xdr:twoCellAnchor>
  <xdr:twoCellAnchor editAs="oneCell">
    <xdr:from>
      <xdr:col>0</xdr:col>
      <xdr:colOff>63499</xdr:colOff>
      <xdr:row>0</xdr:row>
      <xdr:rowOff>63500</xdr:rowOff>
    </xdr:from>
    <xdr:to>
      <xdr:col>1</xdr:col>
      <xdr:colOff>804333</xdr:colOff>
      <xdr:row>3</xdr:row>
      <xdr:rowOff>162596</xdr:rowOff>
    </xdr:to>
    <xdr:pic>
      <xdr:nvPicPr>
        <xdr:cNvPr id="3" name="Picture 2">
          <a:extLst>
            <a:ext uri="{FF2B5EF4-FFF2-40B4-BE49-F238E27FC236}">
              <a16:creationId xmlns:a16="http://schemas.microsoft.com/office/drawing/2014/main" id="{8957A7F1-14EA-627E-21E0-1396C90904E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 y="63500"/>
          <a:ext cx="846667" cy="776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33617</xdr:colOff>
      <xdr:row>0</xdr:row>
      <xdr:rowOff>44824</xdr:rowOff>
    </xdr:from>
    <xdr:to>
      <xdr:col>1</xdr:col>
      <xdr:colOff>881034</xdr:colOff>
      <xdr:row>3</xdr:row>
      <xdr:rowOff>164033</xdr:rowOff>
    </xdr:to>
    <xdr:pic>
      <xdr:nvPicPr>
        <xdr:cNvPr id="3" name="Picture 2">
          <a:extLst>
            <a:ext uri="{FF2B5EF4-FFF2-40B4-BE49-F238E27FC236}">
              <a16:creationId xmlns:a16="http://schemas.microsoft.com/office/drawing/2014/main" id="{14AA8012-1054-9DFD-81C8-CFC99EEC93C1}"/>
            </a:ext>
          </a:extLst>
        </xdr:cNvPr>
        <xdr:cNvPicPr>
          <a:picLocks noChangeAspect="1"/>
        </xdr:cNvPicPr>
      </xdr:nvPicPr>
      <xdr:blipFill>
        <a:blip xmlns:r="http://schemas.openxmlformats.org/officeDocument/2006/relationships" r:embed="rId1"/>
        <a:stretch>
          <a:fillRect/>
        </a:stretch>
      </xdr:blipFill>
      <xdr:spPr>
        <a:xfrm>
          <a:off x="145676" y="44824"/>
          <a:ext cx="847417" cy="78035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1864273</xdr:colOff>
      <xdr:row>3</xdr:row>
      <xdr:rowOff>68580</xdr:rowOff>
    </xdr:to>
    <xdr:pic>
      <xdr:nvPicPr>
        <xdr:cNvPr id="2" name="Picture 1">
          <a:extLst>
            <a:ext uri="{FF2B5EF4-FFF2-40B4-BE49-F238E27FC236}">
              <a16:creationId xmlns:a16="http://schemas.microsoft.com/office/drawing/2014/main" id="{B2C0C6CA-E8EA-4447-B3C4-FACD4A962416}"/>
            </a:ext>
          </a:extLst>
        </xdr:cNvPr>
        <xdr:cNvPicPr>
          <a:picLocks noChangeAspect="1"/>
        </xdr:cNvPicPr>
      </xdr:nvPicPr>
      <xdr:blipFill>
        <a:blip xmlns:r="http://schemas.openxmlformats.org/officeDocument/2006/relationships" r:embed="rId1"/>
        <a:stretch>
          <a:fillRect/>
        </a:stretch>
      </xdr:blipFill>
      <xdr:spPr>
        <a:xfrm>
          <a:off x="104775" y="0"/>
          <a:ext cx="1856864" cy="7353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6886</xdr:colOff>
      <xdr:row>3</xdr:row>
      <xdr:rowOff>114300</xdr:rowOff>
    </xdr:to>
    <xdr:pic>
      <xdr:nvPicPr>
        <xdr:cNvPr id="2" name="Picture 1">
          <a:extLst>
            <a:ext uri="{FF2B5EF4-FFF2-40B4-BE49-F238E27FC236}">
              <a16:creationId xmlns:a16="http://schemas.microsoft.com/office/drawing/2014/main" id="{DDDF9459-6E2B-4249-B1BE-7A18C34B0AEA}"/>
            </a:ext>
          </a:extLst>
        </xdr:cNvPr>
        <xdr:cNvPicPr>
          <a:picLocks noChangeAspect="1"/>
        </xdr:cNvPicPr>
      </xdr:nvPicPr>
      <xdr:blipFill>
        <a:blip xmlns:r="http://schemas.openxmlformats.org/officeDocument/2006/relationships" r:embed="rId1"/>
        <a:stretch>
          <a:fillRect/>
        </a:stretch>
      </xdr:blipFill>
      <xdr:spPr>
        <a:xfrm>
          <a:off x="0" y="0"/>
          <a:ext cx="1896646" cy="708660"/>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6CB81-CD63-4300-8636-747EDD0CF5BC}">
  <sheetPr>
    <pageSetUpPr fitToPage="1"/>
  </sheetPr>
  <dimension ref="B2:P49"/>
  <sheetViews>
    <sheetView showGridLines="0" tabSelected="1" view="pageBreakPreview" zoomScale="90" zoomScaleNormal="100" zoomScaleSheetLayoutView="90" workbookViewId="0">
      <selection activeCell="B5" sqref="B5"/>
    </sheetView>
  </sheetViews>
  <sheetFormatPr defaultRowHeight="15" x14ac:dyDescent="0.25"/>
  <cols>
    <col min="1" max="1" width="1.5703125" customWidth="1"/>
    <col min="2" max="2" width="44.42578125" customWidth="1"/>
    <col min="3" max="3" width="12" customWidth="1"/>
    <col min="4" max="4" width="13.5703125" bestFit="1" customWidth="1"/>
    <col min="5" max="6" width="8.85546875" customWidth="1"/>
    <col min="8" max="8" width="9.140625" customWidth="1"/>
    <col min="9" max="9" width="1.7109375" style="54" customWidth="1"/>
    <col min="10" max="10" width="9.140625" style="54"/>
    <col min="12" max="12" width="19.28515625" bestFit="1" customWidth="1"/>
    <col min="13" max="13" width="13.7109375" customWidth="1"/>
  </cols>
  <sheetData>
    <row r="2" spans="2:16" ht="18.75" x14ac:dyDescent="0.3">
      <c r="D2" s="35"/>
      <c r="M2" s="71"/>
    </row>
    <row r="3" spans="2:16" ht="18.75" x14ac:dyDescent="0.3">
      <c r="C3" s="35"/>
      <c r="D3" s="35"/>
      <c r="E3" s="2"/>
      <c r="F3" s="35"/>
      <c r="G3" s="2"/>
      <c r="H3" s="2"/>
      <c r="N3" s="35"/>
      <c r="O3" s="2"/>
      <c r="P3" s="2"/>
    </row>
    <row r="4" spans="2:16" ht="14.45" customHeight="1" x14ac:dyDescent="0.25">
      <c r="H4" s="33"/>
      <c r="I4" s="226"/>
      <c r="J4" s="226"/>
      <c r="K4" s="33"/>
    </row>
    <row r="5" spans="2:16" x14ac:dyDescent="0.25">
      <c r="B5" s="204" t="s">
        <v>219</v>
      </c>
      <c r="E5" t="s">
        <v>126</v>
      </c>
    </row>
    <row r="7" spans="2:16" ht="30" x14ac:dyDescent="0.25">
      <c r="B7" s="247" t="s">
        <v>221</v>
      </c>
    </row>
    <row r="8" spans="2:16" x14ac:dyDescent="0.25">
      <c r="B8" s="215" t="s">
        <v>220</v>
      </c>
    </row>
    <row r="9" spans="2:16" x14ac:dyDescent="0.25">
      <c r="B9" s="215"/>
    </row>
    <row r="12" spans="2:16" x14ac:dyDescent="0.25">
      <c r="B12" t="s">
        <v>290</v>
      </c>
    </row>
    <row r="14" spans="2:16" x14ac:dyDescent="0.25">
      <c r="B14" t="s">
        <v>291</v>
      </c>
    </row>
    <row r="16" spans="2:16" x14ac:dyDescent="0.25">
      <c r="G16" s="54"/>
      <c r="H16" s="201"/>
    </row>
    <row r="17" spans="2:8" x14ac:dyDescent="0.25">
      <c r="B17" s="129" t="s">
        <v>68</v>
      </c>
      <c r="C17" s="199"/>
      <c r="D17" s="200">
        <f>Summary!D44</f>
        <v>15257375.042688325</v>
      </c>
      <c r="E17" s="190"/>
      <c r="F17" s="190"/>
      <c r="G17" s="225"/>
      <c r="H17" s="225"/>
    </row>
    <row r="19" spans="2:8" x14ac:dyDescent="0.25">
      <c r="B19" t="s">
        <v>139</v>
      </c>
    </row>
    <row r="21" spans="2:8" x14ac:dyDescent="0.25">
      <c r="B21" t="s">
        <v>222</v>
      </c>
    </row>
    <row r="23" spans="2:8" x14ac:dyDescent="0.25">
      <c r="B23" t="s">
        <v>69</v>
      </c>
    </row>
    <row r="25" spans="2:8" x14ac:dyDescent="0.25">
      <c r="B25" t="s">
        <v>65</v>
      </c>
    </row>
    <row r="28" spans="2:8" x14ac:dyDescent="0.25">
      <c r="B28" t="s">
        <v>66</v>
      </c>
    </row>
    <row r="29" spans="2:8" x14ac:dyDescent="0.25">
      <c r="B29" t="s">
        <v>289</v>
      </c>
    </row>
    <row r="30" spans="2:8" x14ac:dyDescent="0.25">
      <c r="B30" t="s">
        <v>67</v>
      </c>
    </row>
    <row r="31" spans="2:8" x14ac:dyDescent="0.25">
      <c r="B31" s="37"/>
    </row>
    <row r="32" spans="2:8" x14ac:dyDescent="0.25">
      <c r="B32" s="1" t="s">
        <v>141</v>
      </c>
    </row>
    <row r="33" spans="2:2" x14ac:dyDescent="0.25">
      <c r="B33" s="181" t="s">
        <v>140</v>
      </c>
    </row>
    <row r="34" spans="2:2" x14ac:dyDescent="0.25">
      <c r="B34" s="1" t="s">
        <v>0</v>
      </c>
    </row>
    <row r="35" spans="2:2" x14ac:dyDescent="0.25">
      <c r="B35" s="1" t="s">
        <v>1</v>
      </c>
    </row>
    <row r="36" spans="2:2" x14ac:dyDescent="0.25">
      <c r="B36" s="1" t="s">
        <v>2</v>
      </c>
    </row>
    <row r="37" spans="2:2" x14ac:dyDescent="0.25">
      <c r="B37" s="1" t="s">
        <v>3</v>
      </c>
    </row>
    <row r="38" spans="2:2" x14ac:dyDescent="0.25">
      <c r="B38" s="1" t="s">
        <v>4</v>
      </c>
    </row>
    <row r="39" spans="2:2" x14ac:dyDescent="0.25">
      <c r="B39" s="1" t="s">
        <v>5</v>
      </c>
    </row>
    <row r="40" spans="2:2" x14ac:dyDescent="0.25">
      <c r="B40" s="1" t="s">
        <v>6</v>
      </c>
    </row>
    <row r="41" spans="2:2" x14ac:dyDescent="0.25">
      <c r="B41" s="1" t="s">
        <v>7</v>
      </c>
    </row>
    <row r="42" spans="2:2" x14ac:dyDescent="0.25">
      <c r="B42" s="1" t="s">
        <v>8</v>
      </c>
    </row>
    <row r="43" spans="2:2" x14ac:dyDescent="0.25">
      <c r="B43" s="1" t="s">
        <v>9</v>
      </c>
    </row>
    <row r="44" spans="2:2" x14ac:dyDescent="0.25">
      <c r="B44" s="1" t="s">
        <v>10</v>
      </c>
    </row>
    <row r="45" spans="2:2" x14ac:dyDescent="0.25">
      <c r="B45" s="1" t="s">
        <v>11</v>
      </c>
    </row>
    <row r="46" spans="2:2" x14ac:dyDescent="0.25">
      <c r="B46" s="1" t="s">
        <v>12</v>
      </c>
    </row>
    <row r="47" spans="2:2" x14ac:dyDescent="0.25">
      <c r="B47" s="1" t="s">
        <v>13</v>
      </c>
    </row>
    <row r="48" spans="2:2" x14ac:dyDescent="0.25">
      <c r="B48" s="1" t="s">
        <v>14</v>
      </c>
    </row>
    <row r="49" spans="2:2" x14ac:dyDescent="0.25">
      <c r="B49" s="1" t="s">
        <v>93</v>
      </c>
    </row>
  </sheetData>
  <hyperlinks>
    <hyperlink ref="B34" location="'0 - Facilitating works'!A1" display="00 - Facilitating Works" xr:uid="{778F0C67-2705-4294-BEAC-3109C94B713E}"/>
    <hyperlink ref="B35" location="'1 - Substructure'!A1" display="01 - Substructure" xr:uid="{2257DD1C-D464-4AA0-BB17-3A224B891534}"/>
    <hyperlink ref="B36" location="'2 - Superstructure'!A1" display="02 - Superstructure" xr:uid="{49EEF203-6D33-4B3A-8688-05654B41BAF4}"/>
    <hyperlink ref="B37" location="'3 - Internal finishes'!A1" display="03 - Internal Finishes" xr:uid="{01984444-2B5A-443B-89D3-C5BDB25E6CB3}"/>
    <hyperlink ref="B38" location="'4 - FF&amp;E'!A1" display="04 - Fittings, Furnishings and Equipment" xr:uid="{B219936B-F0B6-48E4-9784-C8EA1981769E}"/>
    <hyperlink ref="B39" location="'5 - Services'!A1" display="05 - Services" xr:uid="{9BB3BAAC-4462-4453-A993-C818920D96A8}"/>
    <hyperlink ref="B40" location="'6 - Prefabricated Buildings'!A1" display="06 - Prefabricated Buildings and Building Units" xr:uid="{7FFA69B7-4C3E-4652-8F94-C9A59E1F5043}"/>
    <hyperlink ref="B41" location="'7 - Work to existing buildings'!A1" display="07 - Work to Existing Buildings" xr:uid="{48897345-87A2-404C-8893-F56C6D9C3B0A}"/>
    <hyperlink ref="B42" location="'8 - External works'!A1" display="08 - External Work's " xr:uid="{446B44C7-AFE5-4882-B3E9-5A4C0962BF32}"/>
    <hyperlink ref="B43" location="'9 - Main Contr Prelims'!A1" display="09 - Main Contractor's Preliminaries " xr:uid="{493F29CD-A707-413B-AA27-CAFB239964E5}"/>
    <hyperlink ref="B44" location="'10 - Main Contr O &amp; P'!A1" display="10 - Main Contractor' Overheads &amp; Costs " xr:uid="{7800ACD0-01A4-499A-9C1A-6696C841ADF2}"/>
    <hyperlink ref="B45" location="'11 - Project &amp; Design Team fee'!A1" display="11 - Project / Design Team Fees " xr:uid="{959DA428-7218-4FB7-8785-B50A136013F4}"/>
    <hyperlink ref="B46" location="'12 - Other development costs'!A1" display="12 - Other Development / Project Costs " xr:uid="{0E95B71B-E89F-4B2C-998A-BB07B16A42B1}"/>
    <hyperlink ref="B47" location="'13 - Risks'!A1" display="13 - Risks " xr:uid="{50F64FD6-700A-48C8-A3D1-046674802A7E}"/>
    <hyperlink ref="B48" location="'14 - Inflation'!A1" display="14 - Inflation " xr:uid="{1CF68A5C-409F-49CF-8F59-0D4FB742D976}"/>
    <hyperlink ref="B49" location="Appendix!A1" display="Appendix" xr:uid="{D4833392-7D64-4E8F-BAE7-7C0B29F8E470}"/>
    <hyperlink ref="B33" location="'Allowance &amp; notes'!A1" display="Allowance &amp; notes " xr:uid="{658CB20B-4377-481F-A8AE-BC038BE6BF79}"/>
    <hyperlink ref="B32" location="Summary!A1" display="Summary" xr:uid="{566D77A6-2BFC-4126-9E27-3684F9D7819F}"/>
  </hyperlinks>
  <pageMargins left="0.19685039370078741" right="0.19685039370078741" top="0.19685039370078741" bottom="0.19685039370078741" header="0.19685039370078741" footer="0.19685039370078741"/>
  <pageSetup paperSize="9" scale="93"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16F64-024B-43F8-8A0E-643937C14FFD}">
  <sheetPr>
    <pageSetUpPr fitToPage="1"/>
  </sheetPr>
  <dimension ref="B1:R79"/>
  <sheetViews>
    <sheetView view="pageBreakPreview" topLeftCell="A9" zoomScale="85" zoomScaleNormal="100" zoomScaleSheetLayoutView="85" workbookViewId="0">
      <selection activeCell="M17" sqref="M17"/>
    </sheetView>
  </sheetViews>
  <sheetFormatPr defaultRowHeight="15" x14ac:dyDescent="0.25"/>
  <cols>
    <col min="1" max="1" width="1.7109375" customWidth="1"/>
    <col min="2" max="2" width="38.42578125" customWidth="1"/>
    <col min="3" max="3" width="14" bestFit="1" customWidth="1"/>
    <col min="4" max="4" width="16.85546875" customWidth="1"/>
    <col min="5" max="5" width="15.5703125" bestFit="1" customWidth="1"/>
    <col min="6" max="6" width="12" customWidth="1"/>
    <col min="7" max="7" width="1.7109375" customWidth="1"/>
    <col min="8" max="9" width="8.85546875" customWidth="1"/>
    <col min="11" max="11" width="9.140625" customWidth="1"/>
    <col min="14" max="14" width="8.7109375" customWidth="1"/>
    <col min="15" max="15" width="8.140625" customWidth="1"/>
  </cols>
  <sheetData>
    <row r="1" spans="2:18" x14ac:dyDescent="0.25">
      <c r="M1" s="204"/>
      <c r="N1" s="204"/>
      <c r="O1" s="204"/>
      <c r="P1" s="204"/>
    </row>
    <row r="2" spans="2:18" ht="18.75" x14ac:dyDescent="0.3">
      <c r="D2" s="35"/>
      <c r="G2" s="35"/>
      <c r="M2" s="204"/>
      <c r="N2" s="204"/>
      <c r="O2" s="218"/>
      <c r="P2" s="204"/>
    </row>
    <row r="3" spans="2:18" ht="18.75" x14ac:dyDescent="0.3">
      <c r="D3" s="35"/>
      <c r="E3" s="35"/>
      <c r="F3" s="35"/>
      <c r="G3" s="35"/>
      <c r="H3" s="2"/>
      <c r="I3" s="35"/>
      <c r="J3" s="2"/>
      <c r="K3" s="2"/>
      <c r="M3" s="204"/>
      <c r="N3" s="204"/>
      <c r="O3" s="204"/>
      <c r="P3" s="35"/>
      <c r="Q3" s="2"/>
      <c r="R3" s="2"/>
    </row>
    <row r="4" spans="2:18" ht="14.45" customHeight="1" x14ac:dyDescent="0.25">
      <c r="K4" s="33"/>
      <c r="L4" s="33"/>
      <c r="M4" s="33"/>
    </row>
    <row r="5" spans="2:18" x14ac:dyDescent="0.25">
      <c r="B5" s="204" t="s">
        <v>150</v>
      </c>
    </row>
    <row r="7" spans="2:18" x14ac:dyDescent="0.25">
      <c r="B7" t="s">
        <v>271</v>
      </c>
    </row>
    <row r="8" spans="2:18" x14ac:dyDescent="0.25">
      <c r="B8" s="215" t="s">
        <v>272</v>
      </c>
    </row>
    <row r="9" spans="2:18" x14ac:dyDescent="0.25">
      <c r="B9" s="215" t="s">
        <v>273</v>
      </c>
    </row>
    <row r="10" spans="2:18" x14ac:dyDescent="0.25">
      <c r="B10" s="215" t="s">
        <v>274</v>
      </c>
    </row>
    <row r="11" spans="2:18" x14ac:dyDescent="0.25">
      <c r="B11" s="215" t="s">
        <v>275</v>
      </c>
    </row>
    <row r="13" spans="2:18" x14ac:dyDescent="0.25">
      <c r="B13" t="s">
        <v>126</v>
      </c>
    </row>
    <row r="15" spans="2:18" x14ac:dyDescent="0.25">
      <c r="B15" s="210" t="s">
        <v>127</v>
      </c>
      <c r="C15">
        <v>1782</v>
      </c>
      <c r="D15" t="s">
        <v>26</v>
      </c>
    </row>
    <row r="17" spans="2:11" x14ac:dyDescent="0.25">
      <c r="B17" s="206" t="s">
        <v>16</v>
      </c>
      <c r="C17" s="206"/>
      <c r="D17" s="206" t="s">
        <v>125</v>
      </c>
      <c r="E17" s="211" t="s">
        <v>128</v>
      </c>
      <c r="F17" s="206" t="s">
        <v>124</v>
      </c>
    </row>
    <row r="18" spans="2:11" x14ac:dyDescent="0.25">
      <c r="B18" s="129" t="s">
        <v>0</v>
      </c>
      <c r="C18" s="129"/>
      <c r="D18" s="71">
        <f>'0 - Facilitating works'!I17</f>
        <v>0</v>
      </c>
      <c r="E18" s="130"/>
      <c r="F18" s="130">
        <f>D18/$C$15</f>
        <v>0</v>
      </c>
    </row>
    <row r="19" spans="2:11" x14ac:dyDescent="0.25">
      <c r="B19" s="129" t="s">
        <v>1</v>
      </c>
      <c r="C19" s="129"/>
      <c r="D19" s="130">
        <f>'1 - Substructure'!I29</f>
        <v>777631.74400000006</v>
      </c>
      <c r="E19" s="129"/>
      <c r="F19" s="130">
        <f>D19/$C$15</f>
        <v>436.38145005611676</v>
      </c>
    </row>
    <row r="20" spans="2:11" x14ac:dyDescent="0.25">
      <c r="B20" s="129" t="s">
        <v>2</v>
      </c>
      <c r="C20" s="129"/>
      <c r="D20" s="130">
        <f>'2 - Superstructure'!I70</f>
        <v>5602782.176</v>
      </c>
      <c r="E20" s="129"/>
      <c r="F20" s="130">
        <f>D20/$C$15</f>
        <v>3144.097741863075</v>
      </c>
    </row>
    <row r="21" spans="2:11" x14ac:dyDescent="0.25">
      <c r="B21" s="129" t="s">
        <v>3</v>
      </c>
      <c r="C21" s="129"/>
      <c r="D21" s="130">
        <f>'3 - Internal finishes'!I33</f>
        <v>1078862.9759999998</v>
      </c>
      <c r="E21" s="129"/>
      <c r="F21" s="130">
        <f>D21/$C$15</f>
        <v>605.42254545454534</v>
      </c>
    </row>
    <row r="22" spans="2:11" x14ac:dyDescent="0.25">
      <c r="B22" s="129" t="s">
        <v>4</v>
      </c>
      <c r="C22" s="129"/>
      <c r="D22">
        <v>0</v>
      </c>
      <c r="E22" s="130">
        <f>'4 - FF&amp;E'!I19</f>
        <v>400100</v>
      </c>
      <c r="F22" s="130">
        <f>E22/$C$15</f>
        <v>224.5230078563412</v>
      </c>
    </row>
    <row r="23" spans="2:11" x14ac:dyDescent="0.25">
      <c r="B23" s="129" t="s">
        <v>5</v>
      </c>
      <c r="C23" s="129"/>
      <c r="D23" s="130">
        <f>'5 - Services'!I41</f>
        <v>2290099.3279999997</v>
      </c>
      <c r="E23" s="129"/>
      <c r="F23" s="130">
        <f>D23/$C$15</f>
        <v>1285.1286913580245</v>
      </c>
    </row>
    <row r="24" spans="2:11" x14ac:dyDescent="0.25">
      <c r="B24" s="129" t="s">
        <v>6</v>
      </c>
      <c r="C24" s="129"/>
      <c r="D24" s="130">
        <f>'6 - Prefabricated Buildings'!I12</f>
        <v>0</v>
      </c>
      <c r="E24" s="129"/>
      <c r="F24" s="130">
        <f>D24/$C$15</f>
        <v>0</v>
      </c>
    </row>
    <row r="25" spans="2:11" x14ac:dyDescent="0.25">
      <c r="B25" s="129" t="s">
        <v>7</v>
      </c>
      <c r="C25" s="129"/>
      <c r="D25">
        <f>'7 - Work to existing buildings'!I14</f>
        <v>0</v>
      </c>
      <c r="E25" s="130"/>
      <c r="F25" s="130"/>
    </row>
    <row r="26" spans="2:11" x14ac:dyDescent="0.25">
      <c r="B26" s="129" t="s">
        <v>8</v>
      </c>
      <c r="C26" s="129"/>
      <c r="D26" s="130">
        <f>'8 - External works'!H14</f>
        <v>22048</v>
      </c>
      <c r="E26" s="130">
        <f>'8 - External works'!H9</f>
        <v>64619.520000000004</v>
      </c>
      <c r="F26" s="130">
        <f>(D26+E26)/C15</f>
        <v>48.634971941638611</v>
      </c>
    </row>
    <row r="28" spans="2:11" x14ac:dyDescent="0.25">
      <c r="B28" s="207"/>
      <c r="C28" s="208" t="s">
        <v>63</v>
      </c>
      <c r="D28" s="209">
        <f>SUM(D18:D26)</f>
        <v>9771424.2239999995</v>
      </c>
      <c r="E28" s="209">
        <f>SUM(E18:E26)</f>
        <v>464719.52</v>
      </c>
      <c r="F28" s="209">
        <f>(D28+E28)/C15</f>
        <v>5744.1884085297415</v>
      </c>
      <c r="J28" s="54"/>
      <c r="K28" s="201"/>
    </row>
    <row r="29" spans="2:11" x14ac:dyDescent="0.25">
      <c r="F29" s="202"/>
      <c r="G29" s="203"/>
      <c r="H29" s="2"/>
      <c r="I29" s="2"/>
      <c r="J29" s="54"/>
      <c r="K29" s="54"/>
    </row>
    <row r="30" spans="2:11" x14ac:dyDescent="0.25">
      <c r="C30" t="s">
        <v>143</v>
      </c>
      <c r="D30" s="218">
        <f>SUM(D28,E28)</f>
        <v>10236143.743999999</v>
      </c>
      <c r="F30" s="202"/>
      <c r="G30" s="203"/>
      <c r="H30" s="2"/>
      <c r="I30" s="2"/>
      <c r="J30" s="54"/>
      <c r="K30" s="54"/>
    </row>
    <row r="33" spans="2:6" x14ac:dyDescent="0.25">
      <c r="B33" s="206" t="s">
        <v>16</v>
      </c>
      <c r="C33" s="206"/>
      <c r="D33" s="206" t="s">
        <v>125</v>
      </c>
      <c r="E33" s="211"/>
      <c r="F33" s="206" t="s">
        <v>124</v>
      </c>
    </row>
    <row r="34" spans="2:6" x14ac:dyDescent="0.25">
      <c r="B34" s="129" t="s">
        <v>9</v>
      </c>
      <c r="C34" s="130"/>
      <c r="D34" s="130">
        <f>'9 - Main Contr Prelims'!H33+'9 - Main Contr Prelims'!H13</f>
        <v>1489761.7070083262</v>
      </c>
      <c r="E34" s="129"/>
      <c r="F34" s="130">
        <f>D34/$C$15</f>
        <v>836.00544725495297</v>
      </c>
    </row>
    <row r="35" spans="2:6" x14ac:dyDescent="0.25">
      <c r="B35" s="129" t="s">
        <v>10</v>
      </c>
      <c r="C35" s="130"/>
      <c r="D35" s="130">
        <f>'10 - Main Contr O &amp; P'!H15</f>
        <v>1586602.2803199999</v>
      </c>
      <c r="E35" s="129"/>
      <c r="F35" s="130">
        <f t="shared" ref="F35:F38" si="0">D35/$C$15</f>
        <v>890.34920332210993</v>
      </c>
    </row>
    <row r="36" spans="2:6" x14ac:dyDescent="0.25">
      <c r="B36" s="129" t="s">
        <v>11</v>
      </c>
      <c r="C36" s="130"/>
      <c r="D36" s="130">
        <f>'11 - Project &amp; Design Team fee'!H12</f>
        <v>921252.93695999985</v>
      </c>
      <c r="E36" s="129"/>
      <c r="F36" s="130">
        <f t="shared" si="0"/>
        <v>516.97695676767671</v>
      </c>
    </row>
    <row r="37" spans="2:6" x14ac:dyDescent="0.25">
      <c r="B37" s="129" t="s">
        <v>12</v>
      </c>
      <c r="C37" s="130"/>
      <c r="D37" s="130" t="s">
        <v>148</v>
      </c>
      <c r="E37" s="129"/>
      <c r="F37" s="130"/>
    </row>
    <row r="38" spans="2:6" x14ac:dyDescent="0.25">
      <c r="B38" s="129" t="s">
        <v>13</v>
      </c>
      <c r="C38" s="130"/>
      <c r="D38" s="130">
        <f>'13 - Risks'!H17</f>
        <v>1023614.3744</v>
      </c>
      <c r="E38" s="129"/>
      <c r="F38" s="130">
        <f t="shared" si="0"/>
        <v>574.4188408529742</v>
      </c>
    </row>
    <row r="39" spans="2:6" x14ac:dyDescent="0.25">
      <c r="B39" s="129" t="s">
        <v>14</v>
      </c>
      <c r="C39" s="130"/>
      <c r="D39" s="130" t="s">
        <v>148</v>
      </c>
      <c r="E39" s="129"/>
      <c r="F39" s="130"/>
    </row>
    <row r="40" spans="2:6" x14ac:dyDescent="0.25">
      <c r="B40" s="129"/>
      <c r="C40" s="130"/>
      <c r="D40" s="130"/>
      <c r="E40" s="129"/>
      <c r="F40" s="129"/>
    </row>
    <row r="41" spans="2:6" x14ac:dyDescent="0.25">
      <c r="B41" s="206"/>
      <c r="C41" s="208" t="s">
        <v>63</v>
      </c>
      <c r="D41" s="224">
        <f>SUM(D34:D40)</f>
        <v>5021231.298688326</v>
      </c>
      <c r="E41" s="211"/>
      <c r="F41" s="224">
        <f>D41/C15</f>
        <v>2817.7504481977139</v>
      </c>
    </row>
    <row r="44" spans="2:6" x14ac:dyDescent="0.25">
      <c r="B44" s="204" t="s">
        <v>149</v>
      </c>
      <c r="D44" s="218">
        <f>D30+D41</f>
        <v>15257375.042688325</v>
      </c>
      <c r="E44" s="264"/>
      <c r="F44" s="227">
        <f>F41+F28</f>
        <v>8561.9388567274545</v>
      </c>
    </row>
    <row r="59" spans="2:8" ht="15.75" x14ac:dyDescent="0.25">
      <c r="B59" s="34"/>
      <c r="C59" s="36"/>
      <c r="D59" s="34"/>
      <c r="E59" s="34"/>
      <c r="G59" s="34"/>
      <c r="H59" s="33"/>
    </row>
    <row r="66" spans="2:2" x14ac:dyDescent="0.25">
      <c r="B66" s="1"/>
    </row>
    <row r="67" spans="2:2" x14ac:dyDescent="0.25">
      <c r="B67" s="1"/>
    </row>
    <row r="68" spans="2:2" x14ac:dyDescent="0.25">
      <c r="B68" s="1"/>
    </row>
    <row r="69" spans="2:2" x14ac:dyDescent="0.25">
      <c r="B69" s="1"/>
    </row>
    <row r="70" spans="2:2" x14ac:dyDescent="0.25">
      <c r="B70" s="1"/>
    </row>
    <row r="71" spans="2:2" x14ac:dyDescent="0.25">
      <c r="B71" s="1"/>
    </row>
    <row r="72" spans="2:2" x14ac:dyDescent="0.25">
      <c r="B72" s="1"/>
    </row>
    <row r="73" spans="2:2" x14ac:dyDescent="0.25">
      <c r="B73" s="1"/>
    </row>
    <row r="74" spans="2:2" x14ac:dyDescent="0.25">
      <c r="B74" s="1"/>
    </row>
    <row r="75" spans="2:2" x14ac:dyDescent="0.25">
      <c r="B75" s="1"/>
    </row>
    <row r="76" spans="2:2" x14ac:dyDescent="0.25">
      <c r="B76" s="1"/>
    </row>
    <row r="77" spans="2:2" x14ac:dyDescent="0.25">
      <c r="B77" s="1"/>
    </row>
    <row r="78" spans="2:2" x14ac:dyDescent="0.25">
      <c r="B78" s="1"/>
    </row>
    <row r="79" spans="2:2" x14ac:dyDescent="0.25">
      <c r="B79" s="1"/>
    </row>
  </sheetData>
  <pageMargins left="0.19685039370078741" right="0.19685039370078741" top="0.19685039370078741" bottom="0.19685039370078741" header="0.19685039370078741" footer="0.19685039370078741"/>
  <pageSetup paperSize="9" orientation="portrait" horizontalDpi="300" verticalDpi="300" r:id="rId1"/>
  <ignoredErrors>
    <ignoredError sqref="F22"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22BC6-DCE8-4AB5-81E3-6D05EB253FF9}">
  <sheetPr>
    <pageSetUpPr fitToPage="1"/>
  </sheetPr>
  <dimension ref="B2:O75"/>
  <sheetViews>
    <sheetView showGridLines="0" view="pageBreakPreview" topLeftCell="A12" zoomScale="85" zoomScaleNormal="100" zoomScaleSheetLayoutView="85" workbookViewId="0">
      <selection activeCell="E64" sqref="E64"/>
    </sheetView>
  </sheetViews>
  <sheetFormatPr defaultRowHeight="15" x14ac:dyDescent="0.25"/>
  <cols>
    <col min="1" max="1" width="1.7109375" customWidth="1"/>
    <col min="2" max="2" width="44.42578125" customWidth="1"/>
    <col min="3" max="3" width="10.7109375" customWidth="1"/>
    <col min="4" max="5" width="8.85546875" customWidth="1"/>
    <col min="6" max="6" width="12" customWidth="1"/>
    <col min="7" max="7" width="13.5703125" bestFit="1" customWidth="1"/>
    <col min="9" max="9" width="1.7109375" customWidth="1"/>
    <col min="11" max="11" width="19.28515625" bestFit="1" customWidth="1"/>
    <col min="12" max="12" width="13.7109375" customWidth="1"/>
  </cols>
  <sheetData>
    <row r="2" spans="2:15" ht="18.75" x14ac:dyDescent="0.3">
      <c r="E2" s="35"/>
      <c r="F2" s="35"/>
      <c r="G2" s="35"/>
      <c r="K2" s="165" t="s">
        <v>92</v>
      </c>
      <c r="L2" s="166" t="e">
        <f>SUM('0 - Facilitating works'!I17,'1 - Substructure'!I29,'2 - Superstructure'!#REF!,'3 - Internal finishes'!I33,'4 - FF&amp;E'!I19,'5 - Services'!I41,'6 - Prefabricated Buildings'!I12,'7 - Work to existing buildings'!I14,'8 - External works'!I28,'9 - Main Contr Prelims'!I33,'10 - Main Contr O &amp; P'!H15,'11 - Project &amp; Design Team fee'!I12,'12 - Other development costs'!I12,'13 - Risks'!I17,'14 - Inflation'!I14)</f>
        <v>#REF!</v>
      </c>
    </row>
    <row r="3" spans="2:15" ht="18.75" x14ac:dyDescent="0.3">
      <c r="D3" s="35"/>
      <c r="E3" s="35"/>
      <c r="F3" s="35"/>
      <c r="G3" s="35"/>
      <c r="H3" s="2"/>
      <c r="M3" s="35"/>
      <c r="N3" s="2"/>
      <c r="O3" s="2"/>
    </row>
    <row r="4" spans="2:15" ht="14.45" customHeight="1" x14ac:dyDescent="0.25">
      <c r="I4" s="33"/>
      <c r="J4" s="33"/>
    </row>
    <row r="5" spans="2:15" x14ac:dyDescent="0.25">
      <c r="B5" s="204" t="s">
        <v>292</v>
      </c>
    </row>
    <row r="7" spans="2:15" x14ac:dyDescent="0.25">
      <c r="B7" s="214" t="s">
        <v>138</v>
      </c>
    </row>
    <row r="8" spans="2:15" x14ac:dyDescent="0.25">
      <c r="B8" s="215" t="s">
        <v>135</v>
      </c>
    </row>
    <row r="9" spans="2:15" x14ac:dyDescent="0.25">
      <c r="B9" s="215" t="s">
        <v>136</v>
      </c>
    </row>
    <row r="10" spans="2:15" x14ac:dyDescent="0.25">
      <c r="B10" s="215" t="s">
        <v>137</v>
      </c>
    </row>
    <row r="12" spans="2:15" x14ac:dyDescent="0.25">
      <c r="B12" t="s">
        <v>126</v>
      </c>
    </row>
    <row r="15" spans="2:15" x14ac:dyDescent="0.25">
      <c r="B15" t="s">
        <v>142</v>
      </c>
    </row>
    <row r="18" spans="2:8" x14ac:dyDescent="0.25">
      <c r="B18" s="213" t="s">
        <v>134</v>
      </c>
      <c r="C18" s="138"/>
      <c r="D18" s="205"/>
      <c r="E18" s="205"/>
      <c r="F18" s="205"/>
      <c r="G18" s="205"/>
      <c r="H18" s="205"/>
    </row>
    <row r="19" spans="2:8" ht="3.95" customHeight="1" x14ac:dyDescent="0.25"/>
    <row r="20" spans="2:8" x14ac:dyDescent="0.25">
      <c r="B20" t="s">
        <v>276</v>
      </c>
      <c r="C20" s="54"/>
    </row>
    <row r="21" spans="2:8" ht="3.95" customHeight="1" x14ac:dyDescent="0.25"/>
    <row r="22" spans="2:8" ht="15.75" x14ac:dyDescent="0.25">
      <c r="B22" t="s">
        <v>277</v>
      </c>
      <c r="C22" s="54"/>
      <c r="E22" s="34"/>
      <c r="G22" s="34"/>
    </row>
    <row r="23" spans="2:8" ht="3.95" customHeight="1" x14ac:dyDescent="0.25"/>
    <row r="24" spans="2:8" x14ac:dyDescent="0.25">
      <c r="B24" t="s">
        <v>278</v>
      </c>
      <c r="C24" s="54"/>
    </row>
    <row r="25" spans="2:8" ht="3.95" customHeight="1" x14ac:dyDescent="0.25"/>
    <row r="26" spans="2:8" x14ac:dyDescent="0.25">
      <c r="B26" s="269" t="s">
        <v>279</v>
      </c>
      <c r="C26" s="269"/>
      <c r="D26" s="269"/>
    </row>
    <row r="27" spans="2:8" ht="3.95" customHeight="1" x14ac:dyDescent="0.25"/>
    <row r="28" spans="2:8" x14ac:dyDescent="0.25">
      <c r="B28" s="212" t="s">
        <v>280</v>
      </c>
      <c r="C28" s="54"/>
    </row>
    <row r="29" spans="2:8" ht="3.95" customHeight="1" x14ac:dyDescent="0.25"/>
    <row r="30" spans="2:8" ht="15" customHeight="1" x14ac:dyDescent="0.25"/>
    <row r="31" spans="2:8" x14ac:dyDescent="0.25">
      <c r="B31" s="213" t="s">
        <v>129</v>
      </c>
      <c r="C31" s="138"/>
      <c r="D31" s="205"/>
      <c r="E31" s="205"/>
      <c r="F31" s="205"/>
      <c r="G31" s="205"/>
      <c r="H31" s="205"/>
    </row>
    <row r="32" spans="2:8" ht="3.95" customHeight="1" x14ac:dyDescent="0.25"/>
    <row r="33" spans="2:2" x14ac:dyDescent="0.25">
      <c r="B33" t="s">
        <v>132</v>
      </c>
    </row>
    <row r="34" spans="2:2" ht="3.95" customHeight="1" x14ac:dyDescent="0.25"/>
    <row r="35" spans="2:2" x14ac:dyDescent="0.25">
      <c r="B35" t="s">
        <v>133</v>
      </c>
    </row>
    <row r="36" spans="2:2" ht="3.95" customHeight="1" x14ac:dyDescent="0.25"/>
    <row r="37" spans="2:2" x14ac:dyDescent="0.25">
      <c r="B37" t="s">
        <v>288</v>
      </c>
    </row>
    <row r="38" spans="2:2" ht="3.95" customHeight="1" x14ac:dyDescent="0.25"/>
    <row r="39" spans="2:2" x14ac:dyDescent="0.25">
      <c r="B39" t="s">
        <v>131</v>
      </c>
    </row>
    <row r="40" spans="2:2" ht="3.95" customHeight="1" x14ac:dyDescent="0.25"/>
    <row r="41" spans="2:2" x14ac:dyDescent="0.25">
      <c r="B41" t="s">
        <v>130</v>
      </c>
    </row>
    <row r="42" spans="2:2" ht="3.95" customHeight="1" x14ac:dyDescent="0.25"/>
    <row r="43" spans="2:2" x14ac:dyDescent="0.25">
      <c r="B43" s="26" t="s">
        <v>293</v>
      </c>
    </row>
    <row r="44" spans="2:2" ht="3.95" customHeight="1" x14ac:dyDescent="0.25"/>
    <row r="45" spans="2:2" x14ac:dyDescent="0.25">
      <c r="B45" t="s">
        <v>147</v>
      </c>
    </row>
    <row r="46" spans="2:2" ht="3.95" customHeight="1" x14ac:dyDescent="0.25"/>
    <row r="47" spans="2:2" x14ac:dyDescent="0.25">
      <c r="B47" t="s">
        <v>223</v>
      </c>
    </row>
    <row r="48" spans="2:2" ht="3.95" customHeight="1" x14ac:dyDescent="0.25"/>
    <row r="49" spans="2:8" x14ac:dyDescent="0.25">
      <c r="B49" t="s">
        <v>224</v>
      </c>
    </row>
    <row r="50" spans="2:8" ht="3.95" customHeight="1" x14ac:dyDescent="0.25"/>
    <row r="51" spans="2:8" x14ac:dyDescent="0.25">
      <c r="B51" t="s">
        <v>225</v>
      </c>
    </row>
    <row r="52" spans="2:8" ht="3.95" customHeight="1" x14ac:dyDescent="0.25"/>
    <row r="53" spans="2:8" x14ac:dyDescent="0.25">
      <c r="B53" t="s">
        <v>226</v>
      </c>
    </row>
    <row r="54" spans="2:8" ht="3.95" customHeight="1" x14ac:dyDescent="0.25"/>
    <row r="55" spans="2:8" x14ac:dyDescent="0.25">
      <c r="B55" t="s">
        <v>227</v>
      </c>
    </row>
    <row r="56" spans="2:8" ht="3.95" customHeight="1" x14ac:dyDescent="0.25"/>
    <row r="57" spans="2:8" ht="3.95" customHeight="1" x14ac:dyDescent="0.25">
      <c r="B57" s="205"/>
      <c r="C57" s="205"/>
      <c r="D57" s="205"/>
      <c r="E57" s="205"/>
      <c r="F57" s="205"/>
      <c r="G57" s="205"/>
      <c r="H57" s="205"/>
    </row>
    <row r="58" spans="2:8" x14ac:dyDescent="0.25">
      <c r="B58" s="251" t="s">
        <v>282</v>
      </c>
      <c r="C58" s="251"/>
      <c r="D58" s="251"/>
      <c r="E58" s="251"/>
      <c r="F58" s="251"/>
      <c r="G58" s="251"/>
      <c r="H58" s="251"/>
    </row>
    <row r="59" spans="2:8" ht="3.95" customHeight="1" x14ac:dyDescent="0.25"/>
    <row r="60" spans="2:8" x14ac:dyDescent="0.25">
      <c r="B60" t="s">
        <v>283</v>
      </c>
    </row>
    <row r="61" spans="2:8" ht="3.95" customHeight="1" x14ac:dyDescent="0.25"/>
    <row r="63" spans="2:8" ht="3.95" customHeight="1" x14ac:dyDescent="0.25"/>
    <row r="65" ht="3.95" customHeight="1" x14ac:dyDescent="0.25"/>
    <row r="67" ht="3.95" customHeight="1" x14ac:dyDescent="0.25"/>
    <row r="69" ht="3.95" customHeight="1" x14ac:dyDescent="0.25"/>
    <row r="71" ht="3.95" customHeight="1" x14ac:dyDescent="0.25"/>
    <row r="73" ht="3.95" customHeight="1" x14ac:dyDescent="0.25"/>
    <row r="75" ht="3.95" customHeight="1" x14ac:dyDescent="0.25"/>
  </sheetData>
  <mergeCells count="1">
    <mergeCell ref="B26:D26"/>
  </mergeCells>
  <pageMargins left="0.19685039370078741" right="0.19685039370078741" top="0.19685039370078741" bottom="0.19685039370078741" header="0.19685039370078741" footer="0.19685039370078741"/>
  <pageSetup paperSize="9" scale="9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4BE4A-3FBE-4B6A-A284-229CF5D05519}">
  <sheetPr>
    <pageSetUpPr fitToPage="1"/>
  </sheetPr>
  <dimension ref="A1:Q19"/>
  <sheetViews>
    <sheetView view="pageBreakPreview" zoomScale="85" zoomScaleNormal="85" zoomScaleSheetLayoutView="85" workbookViewId="0">
      <pane ySplit="4" topLeftCell="A5" activePane="bottomLeft" state="frozen"/>
      <selection pane="bottomLeft" activeCell="J28" sqref="J28"/>
    </sheetView>
  </sheetViews>
  <sheetFormatPr defaultRowHeight="15" x14ac:dyDescent="0.25"/>
  <cols>
    <col min="1" max="1" width="2" style="57" bestFit="1" customWidth="1"/>
    <col min="2" max="2" width="5.140625" style="57" bestFit="1" customWidth="1"/>
    <col min="3" max="3" width="49" style="61" customWidth="1"/>
    <col min="4" max="4" width="7.42578125" customWidth="1"/>
    <col min="5" max="5" width="7.42578125" style="65" bestFit="1" customWidth="1"/>
    <col min="6" max="6" width="8.28515625" customWidth="1"/>
    <col min="7" max="7" width="14.7109375" style="71" customWidth="1"/>
    <col min="8" max="8" width="18" style="71" customWidth="1"/>
    <col min="9" max="9" width="16.42578125" customWidth="1"/>
    <col min="10" max="10" width="35.7109375" customWidth="1"/>
    <col min="11" max="11" width="1.28515625" customWidth="1"/>
  </cols>
  <sheetData>
    <row r="1" spans="1:17" x14ac:dyDescent="0.25">
      <c r="A1" s="54"/>
      <c r="B1" s="54"/>
    </row>
    <row r="2" spans="1:17" x14ac:dyDescent="0.25">
      <c r="A2" s="58"/>
      <c r="B2" s="55"/>
      <c r="C2" s="4"/>
      <c r="D2" s="4"/>
      <c r="E2" s="66"/>
      <c r="F2" s="3"/>
      <c r="G2" s="72"/>
      <c r="H2" s="72"/>
      <c r="I2" s="5"/>
      <c r="J2" s="6"/>
      <c r="K2" s="12"/>
      <c r="L2" t="s">
        <v>281</v>
      </c>
      <c r="Q2">
        <v>1.28</v>
      </c>
    </row>
    <row r="3" spans="1:17" x14ac:dyDescent="0.25">
      <c r="A3" s="58"/>
      <c r="B3" s="55"/>
      <c r="C3" s="3"/>
      <c r="D3" s="3"/>
      <c r="E3" s="66"/>
      <c r="F3" s="3"/>
      <c r="G3" s="72"/>
      <c r="H3" s="72"/>
      <c r="I3" s="5"/>
      <c r="J3" s="6"/>
      <c r="K3" s="12"/>
    </row>
    <row r="4" spans="1:17" ht="15" customHeight="1" x14ac:dyDescent="0.25">
      <c r="A4" s="270" t="s">
        <v>15</v>
      </c>
      <c r="B4" s="270"/>
      <c r="C4" s="62" t="s">
        <v>16</v>
      </c>
      <c r="D4" s="49"/>
      <c r="E4" s="67" t="s">
        <v>31</v>
      </c>
      <c r="F4" s="14" t="s">
        <v>30</v>
      </c>
      <c r="G4" s="73" t="s">
        <v>17</v>
      </c>
      <c r="H4" s="73" t="s">
        <v>18</v>
      </c>
      <c r="I4" s="14" t="s">
        <v>19</v>
      </c>
      <c r="J4" s="14" t="s">
        <v>20</v>
      </c>
      <c r="K4" s="13"/>
    </row>
    <row r="5" spans="1:17" x14ac:dyDescent="0.25">
      <c r="A5" s="18"/>
      <c r="B5" s="52"/>
      <c r="C5" s="63"/>
      <c r="D5" s="48"/>
      <c r="E5" s="68"/>
      <c r="F5" s="9"/>
      <c r="G5" s="74" t="s">
        <v>21</v>
      </c>
      <c r="H5" s="74" t="s">
        <v>21</v>
      </c>
      <c r="I5" s="20" t="s">
        <v>21</v>
      </c>
      <c r="J5" s="8"/>
      <c r="K5" s="13"/>
    </row>
    <row r="6" spans="1:17" ht="15.75" x14ac:dyDescent="0.25">
      <c r="A6" s="59">
        <v>0</v>
      </c>
      <c r="B6" s="56"/>
      <c r="C6" s="23" t="s">
        <v>77</v>
      </c>
      <c r="D6" s="48"/>
      <c r="E6" s="68"/>
      <c r="F6" s="9"/>
      <c r="G6" s="75"/>
      <c r="H6" s="75"/>
      <c r="I6" s="7"/>
      <c r="J6" s="8"/>
      <c r="K6" s="13"/>
    </row>
    <row r="7" spans="1:17" x14ac:dyDescent="0.25">
      <c r="A7" s="59"/>
      <c r="B7" s="56"/>
      <c r="D7" s="216"/>
      <c r="E7" s="68"/>
      <c r="F7" s="9"/>
      <c r="G7" s="75"/>
      <c r="H7" s="75"/>
      <c r="I7" s="7"/>
      <c r="J7" s="8"/>
      <c r="K7" s="13"/>
    </row>
    <row r="8" spans="1:17" x14ac:dyDescent="0.25">
      <c r="A8" s="59"/>
      <c r="B8" s="56"/>
      <c r="D8" s="216"/>
      <c r="E8" s="68"/>
      <c r="F8" s="9"/>
      <c r="G8" s="75"/>
      <c r="H8" s="75"/>
      <c r="I8" s="7"/>
      <c r="J8" s="8"/>
      <c r="K8" s="13"/>
    </row>
    <row r="9" spans="1:17" x14ac:dyDescent="0.25">
      <c r="A9" s="59"/>
      <c r="B9" s="56"/>
      <c r="D9" s="216"/>
      <c r="E9" s="68"/>
      <c r="F9" s="9"/>
      <c r="G9" s="75"/>
      <c r="H9" s="75"/>
      <c r="I9" s="7"/>
      <c r="J9" s="8"/>
      <c r="K9" s="13"/>
    </row>
    <row r="10" spans="1:17" x14ac:dyDescent="0.25">
      <c r="A10" s="59"/>
      <c r="B10" s="56"/>
      <c r="D10" s="216"/>
      <c r="E10" s="68"/>
      <c r="F10" s="9"/>
      <c r="G10" s="75"/>
      <c r="H10" s="75"/>
      <c r="I10" s="7"/>
      <c r="J10" s="8"/>
      <c r="K10" s="13"/>
    </row>
    <row r="11" spans="1:17" x14ac:dyDescent="0.25">
      <c r="A11" s="59"/>
      <c r="B11" s="56"/>
      <c r="D11" s="216"/>
      <c r="E11" s="68"/>
      <c r="F11" s="9"/>
      <c r="G11" s="75"/>
      <c r="H11" s="75"/>
      <c r="I11" s="7"/>
      <c r="J11" s="8"/>
      <c r="K11" s="13"/>
    </row>
    <row r="12" spans="1:17" x14ac:dyDescent="0.25">
      <c r="A12" s="59"/>
      <c r="B12" s="56"/>
      <c r="D12" s="216"/>
      <c r="E12" s="68"/>
      <c r="F12" s="9"/>
      <c r="G12" s="75"/>
      <c r="H12" s="75"/>
      <c r="I12" s="7"/>
      <c r="J12" s="8"/>
      <c r="K12" s="13"/>
    </row>
    <row r="13" spans="1:17" x14ac:dyDescent="0.25">
      <c r="A13" s="18"/>
      <c r="B13" s="53"/>
      <c r="C13" s="84"/>
      <c r="D13" s="89"/>
      <c r="E13" s="88"/>
      <c r="F13" s="90"/>
      <c r="G13" s="91"/>
      <c r="H13" s="92"/>
      <c r="I13" s="93"/>
      <c r="J13" s="95"/>
      <c r="K13" s="13"/>
    </row>
    <row r="14" spans="1:17" x14ac:dyDescent="0.25">
      <c r="A14" s="18"/>
      <c r="B14" s="53"/>
      <c r="C14" s="83"/>
      <c r="D14" s="89"/>
      <c r="E14" s="88"/>
      <c r="F14" s="90"/>
      <c r="G14" s="91"/>
      <c r="H14" s="92"/>
      <c r="I14" s="108"/>
      <c r="J14" s="95"/>
      <c r="K14" s="13"/>
    </row>
    <row r="15" spans="1:17" x14ac:dyDescent="0.25">
      <c r="A15" s="18"/>
      <c r="B15" s="53"/>
      <c r="C15" s="84"/>
      <c r="D15" s="94"/>
      <c r="E15" s="88"/>
      <c r="F15" s="90"/>
      <c r="G15" s="91"/>
      <c r="H15" s="92"/>
      <c r="I15" s="93"/>
      <c r="J15" s="87"/>
      <c r="K15" s="13"/>
    </row>
    <row r="16" spans="1:17" x14ac:dyDescent="0.25">
      <c r="A16" s="18"/>
      <c r="B16" s="53"/>
      <c r="C16" s="64"/>
      <c r="D16" s="94"/>
      <c r="E16" s="88"/>
      <c r="F16" s="90"/>
      <c r="G16" s="91"/>
      <c r="H16" s="92"/>
      <c r="I16" s="93"/>
      <c r="J16" s="95"/>
      <c r="K16" s="13"/>
    </row>
    <row r="17" spans="1:10" x14ac:dyDescent="0.25">
      <c r="A17" s="138"/>
      <c r="B17" s="138"/>
      <c r="C17" s="139"/>
      <c r="D17" s="140"/>
      <c r="E17" s="133"/>
      <c r="F17" s="134"/>
      <c r="G17" s="135"/>
      <c r="H17" s="136" t="s">
        <v>76</v>
      </c>
      <c r="I17" s="136">
        <f>SUM(I6:I16)</f>
        <v>0</v>
      </c>
      <c r="J17" s="129"/>
    </row>
    <row r="19" spans="1:10" x14ac:dyDescent="0.25">
      <c r="G19" s="71" t="s">
        <v>64</v>
      </c>
      <c r="H19" s="71">
        <f>SUM(H6:H16)</f>
        <v>0</v>
      </c>
      <c r="I19" s="71">
        <f>I17-H19</f>
        <v>0</v>
      </c>
    </row>
  </sheetData>
  <mergeCells count="1">
    <mergeCell ref="A4:B4"/>
  </mergeCells>
  <pageMargins left="0.7" right="0.7" top="0.75" bottom="0.75" header="0.3" footer="0.3"/>
  <pageSetup paperSize="9" scale="54" fitToHeight="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30398-0357-46B6-8F53-A302E21C1CB8}">
  <sheetPr>
    <pageSetUpPr fitToPage="1"/>
  </sheetPr>
  <dimension ref="A1:V31"/>
  <sheetViews>
    <sheetView view="pageBreakPreview" zoomScale="85" zoomScaleNormal="85" zoomScaleSheetLayoutView="85" workbookViewId="0">
      <pane ySplit="4" topLeftCell="A10" activePane="bottomLeft" state="frozen"/>
      <selection pane="bottomLeft" activeCell="Q27" sqref="Q27"/>
    </sheetView>
  </sheetViews>
  <sheetFormatPr defaultRowHeight="15" x14ac:dyDescent="0.25"/>
  <cols>
    <col min="1" max="1" width="2" style="57" bestFit="1" customWidth="1"/>
    <col min="2" max="2" width="5.140625" style="57" bestFit="1" customWidth="1"/>
    <col min="3" max="3" width="49" style="61" customWidth="1"/>
    <col min="4" max="4" width="7.42578125" customWidth="1"/>
    <col min="5" max="5" width="7.42578125" style="65" bestFit="1" customWidth="1"/>
    <col min="6" max="6" width="8.28515625" customWidth="1"/>
    <col min="7" max="7" width="14.7109375" style="71" customWidth="1"/>
    <col min="8" max="8" width="18" style="71" customWidth="1"/>
    <col min="9" max="9" width="16.42578125" customWidth="1"/>
    <col min="10" max="10" width="35.7109375" customWidth="1"/>
    <col min="11" max="11" width="1.28515625" customWidth="1"/>
  </cols>
  <sheetData>
    <row r="1" spans="1:22" x14ac:dyDescent="0.25">
      <c r="A1" s="54"/>
      <c r="B1" s="54"/>
    </row>
    <row r="2" spans="1:22" x14ac:dyDescent="0.25">
      <c r="A2" s="58"/>
      <c r="B2" s="55"/>
      <c r="C2" s="4"/>
      <c r="D2" s="4"/>
      <c r="E2" s="66"/>
      <c r="F2" s="3"/>
      <c r="G2" s="72"/>
      <c r="H2" s="72"/>
      <c r="I2" s="5"/>
      <c r="J2" s="6"/>
      <c r="K2" s="12"/>
      <c r="L2" t="s">
        <v>281</v>
      </c>
      <c r="Q2">
        <v>1.28</v>
      </c>
    </row>
    <row r="3" spans="1:22" x14ac:dyDescent="0.25">
      <c r="A3" s="58"/>
      <c r="B3" s="55"/>
      <c r="C3" s="3"/>
      <c r="D3" s="3"/>
      <c r="E3" s="66"/>
      <c r="F3" s="3"/>
      <c r="G3" s="72"/>
      <c r="H3" s="72"/>
      <c r="I3" s="5"/>
      <c r="J3" s="6"/>
      <c r="K3" s="12"/>
    </row>
    <row r="4" spans="1:22" ht="15" customHeight="1" x14ac:dyDescent="0.25">
      <c r="A4" s="270" t="s">
        <v>15</v>
      </c>
      <c r="B4" s="270"/>
      <c r="C4" s="62" t="s">
        <v>16</v>
      </c>
      <c r="D4" s="49"/>
      <c r="E4" s="67" t="s">
        <v>31</v>
      </c>
      <c r="F4" s="14" t="s">
        <v>30</v>
      </c>
      <c r="G4" s="73" t="s">
        <v>17</v>
      </c>
      <c r="H4" s="73" t="s">
        <v>18</v>
      </c>
      <c r="I4" s="14" t="s">
        <v>19</v>
      </c>
      <c r="J4" s="14" t="s">
        <v>20</v>
      </c>
      <c r="K4" s="13"/>
    </row>
    <row r="5" spans="1:22" x14ac:dyDescent="0.25">
      <c r="A5" s="18"/>
      <c r="B5" s="52"/>
      <c r="C5" s="63"/>
      <c r="D5" s="48"/>
      <c r="E5" s="68"/>
      <c r="F5" s="9"/>
      <c r="G5" s="74" t="s">
        <v>21</v>
      </c>
      <c r="H5" s="74" t="s">
        <v>21</v>
      </c>
      <c r="I5" s="20" t="s">
        <v>21</v>
      </c>
      <c r="J5" s="8"/>
      <c r="K5" s="13"/>
    </row>
    <row r="6" spans="1:22" ht="15.75" x14ac:dyDescent="0.25">
      <c r="A6" s="59">
        <v>1</v>
      </c>
      <c r="B6" s="56"/>
      <c r="C6" s="23" t="s">
        <v>70</v>
      </c>
      <c r="D6" s="48"/>
      <c r="E6" s="68"/>
      <c r="F6" s="9"/>
      <c r="G6" s="75"/>
      <c r="H6" s="75"/>
      <c r="I6" s="7"/>
      <c r="J6" s="8"/>
      <c r="K6" s="13"/>
    </row>
    <row r="7" spans="1:22" x14ac:dyDescent="0.25">
      <c r="A7" s="59"/>
      <c r="B7" s="56"/>
      <c r="D7" s="48"/>
      <c r="E7" s="68"/>
      <c r="F7" s="9"/>
      <c r="G7" s="75"/>
      <c r="H7" s="75"/>
      <c r="I7" s="7"/>
      <c r="J7" s="8"/>
      <c r="K7" s="13"/>
    </row>
    <row r="8" spans="1:22" x14ac:dyDescent="0.25">
      <c r="A8" s="59"/>
      <c r="B8" s="56" t="s">
        <v>28</v>
      </c>
      <c r="C8" s="137" t="s">
        <v>228</v>
      </c>
      <c r="D8" s="48"/>
      <c r="E8" s="68"/>
      <c r="F8" s="9"/>
      <c r="G8" s="75"/>
      <c r="H8" s="75"/>
      <c r="I8" s="7"/>
      <c r="J8" s="8"/>
      <c r="K8" s="13"/>
      <c r="L8" t="s">
        <v>232</v>
      </c>
    </row>
    <row r="9" spans="1:22" x14ac:dyDescent="0.25">
      <c r="A9" s="59"/>
      <c r="B9" s="56"/>
      <c r="C9" s="137" t="s">
        <v>71</v>
      </c>
      <c r="D9" s="48"/>
      <c r="E9" s="68"/>
      <c r="F9" s="9"/>
      <c r="G9" s="75"/>
      <c r="H9" s="75"/>
      <c r="I9" s="7"/>
      <c r="J9" s="8"/>
      <c r="K9" s="13"/>
      <c r="L9" t="s">
        <v>231</v>
      </c>
      <c r="P9" t="s">
        <v>229</v>
      </c>
    </row>
    <row r="10" spans="1:22" ht="45" x14ac:dyDescent="0.25">
      <c r="A10" s="59"/>
      <c r="B10" s="56"/>
      <c r="C10" s="182" t="s">
        <v>72</v>
      </c>
      <c r="D10" s="48"/>
      <c r="E10" s="39">
        <f>V10</f>
        <v>234</v>
      </c>
      <c r="F10" s="11" t="s">
        <v>27</v>
      </c>
      <c r="G10" s="245">
        <f>13.7*Q2</f>
        <v>17.535999999999998</v>
      </c>
      <c r="H10" s="78">
        <f>G10*E10</f>
        <v>4103.4239999999991</v>
      </c>
      <c r="I10" s="7"/>
      <c r="J10" s="219" t="s">
        <v>74</v>
      </c>
      <c r="K10" s="13"/>
      <c r="L10">
        <v>780</v>
      </c>
      <c r="M10" t="s">
        <v>26</v>
      </c>
      <c r="P10">
        <v>0.3</v>
      </c>
      <c r="Q10" t="s">
        <v>29</v>
      </c>
      <c r="U10" t="s">
        <v>230</v>
      </c>
      <c r="V10">
        <f>L10*P10</f>
        <v>234</v>
      </c>
    </row>
    <row r="11" spans="1:22" x14ac:dyDescent="0.25">
      <c r="A11" s="59"/>
      <c r="B11" s="56"/>
      <c r="D11" s="48"/>
      <c r="E11" s="68"/>
      <c r="F11" s="9"/>
      <c r="G11" s="75"/>
      <c r="H11" s="75"/>
      <c r="I11" s="7"/>
      <c r="J11" s="8"/>
      <c r="K11" s="13"/>
    </row>
    <row r="12" spans="1:22" ht="45" x14ac:dyDescent="0.25">
      <c r="A12" s="59"/>
      <c r="B12" s="56"/>
      <c r="C12" s="182" t="s">
        <v>73</v>
      </c>
      <c r="D12" s="48"/>
      <c r="E12" s="39">
        <v>1</v>
      </c>
      <c r="F12" s="11" t="s">
        <v>25</v>
      </c>
      <c r="G12" s="245">
        <f>23000*Q2</f>
        <v>29440</v>
      </c>
      <c r="H12" s="233">
        <f>G12*E12</f>
        <v>29440</v>
      </c>
      <c r="I12" s="7"/>
      <c r="J12" s="8"/>
      <c r="K12" s="13"/>
    </row>
    <row r="13" spans="1:22" x14ac:dyDescent="0.25">
      <c r="A13" s="59"/>
      <c r="B13" s="56"/>
      <c r="D13" s="48"/>
      <c r="E13" s="68"/>
      <c r="F13" s="9"/>
      <c r="G13" s="75"/>
      <c r="H13" s="75"/>
      <c r="I13" s="7"/>
      <c r="J13" s="8"/>
      <c r="K13" s="13"/>
      <c r="L13" t="s">
        <v>232</v>
      </c>
      <c r="Q13" t="s">
        <v>235</v>
      </c>
      <c r="S13" t="s">
        <v>236</v>
      </c>
    </row>
    <row r="14" spans="1:22" ht="45" x14ac:dyDescent="0.25">
      <c r="A14" s="59"/>
      <c r="B14" s="56"/>
      <c r="C14" s="182" t="s">
        <v>233</v>
      </c>
      <c r="D14" s="48"/>
      <c r="E14" s="39">
        <v>4180</v>
      </c>
      <c r="F14" s="11" t="s">
        <v>29</v>
      </c>
      <c r="G14" s="245">
        <f>100*Q2</f>
        <v>128</v>
      </c>
      <c r="H14" s="78">
        <f>G14*E14</f>
        <v>535040</v>
      </c>
      <c r="I14" s="7"/>
      <c r="J14" s="219" t="s">
        <v>237</v>
      </c>
      <c r="K14" s="13"/>
      <c r="L14">
        <v>110</v>
      </c>
      <c r="M14" t="s">
        <v>234</v>
      </c>
      <c r="Q14">
        <v>38</v>
      </c>
      <c r="R14" t="s">
        <v>29</v>
      </c>
      <c r="S14">
        <f>Q14*L14</f>
        <v>4180</v>
      </c>
      <c r="T14" t="s">
        <v>29</v>
      </c>
    </row>
    <row r="15" spans="1:22" x14ac:dyDescent="0.25">
      <c r="A15" s="59"/>
      <c r="B15" s="56"/>
      <c r="D15" s="48"/>
      <c r="E15" s="68"/>
      <c r="F15" s="9"/>
      <c r="G15" s="75"/>
      <c r="H15" s="75"/>
      <c r="I15" s="7"/>
      <c r="J15" s="8"/>
      <c r="K15" s="13"/>
    </row>
    <row r="16" spans="1:22" x14ac:dyDescent="0.25">
      <c r="A16" s="59"/>
      <c r="B16" s="56"/>
      <c r="D16" s="48"/>
      <c r="E16" s="68"/>
      <c r="F16" s="9"/>
      <c r="G16" s="75"/>
      <c r="H16" s="75"/>
      <c r="I16" s="7"/>
      <c r="J16" s="8"/>
      <c r="K16" s="13"/>
    </row>
    <row r="17" spans="1:18" x14ac:dyDescent="0.25">
      <c r="A17" s="59"/>
      <c r="B17" s="56"/>
      <c r="C17" s="137" t="s">
        <v>75</v>
      </c>
      <c r="D17" s="48"/>
      <c r="E17" s="68"/>
      <c r="F17" s="9"/>
      <c r="G17" s="75"/>
      <c r="H17" s="75"/>
      <c r="I17" s="7"/>
      <c r="J17" s="8"/>
      <c r="K17" s="13"/>
      <c r="L17" t="s">
        <v>232</v>
      </c>
    </row>
    <row r="18" spans="1:18" ht="90" x14ac:dyDescent="0.25">
      <c r="A18" s="59"/>
      <c r="B18" s="56"/>
      <c r="C18" s="182" t="s">
        <v>238</v>
      </c>
      <c r="D18" s="48"/>
      <c r="E18" s="39">
        <v>12</v>
      </c>
      <c r="F18" s="11" t="s">
        <v>25</v>
      </c>
      <c r="G18" s="78">
        <f>4100*Q2</f>
        <v>5248</v>
      </c>
      <c r="H18" s="78">
        <f>G18*E18</f>
        <v>62976</v>
      </c>
      <c r="I18" s="7"/>
      <c r="J18" s="235" t="s">
        <v>242</v>
      </c>
      <c r="K18" s="13"/>
      <c r="N18" t="s">
        <v>63</v>
      </c>
      <c r="P18" t="s">
        <v>240</v>
      </c>
      <c r="R18" t="s">
        <v>241</v>
      </c>
    </row>
    <row r="19" spans="1:18" x14ac:dyDescent="0.25">
      <c r="A19" s="59"/>
      <c r="B19" s="56"/>
      <c r="D19" s="48"/>
      <c r="E19" s="68"/>
      <c r="F19" s="9"/>
      <c r="G19" s="75"/>
      <c r="H19" s="75"/>
      <c r="I19" s="7"/>
      <c r="J19" s="8"/>
      <c r="K19" s="13"/>
      <c r="L19" t="s">
        <v>239</v>
      </c>
      <c r="N19">
        <f>3*3</f>
        <v>9</v>
      </c>
      <c r="P19">
        <v>110</v>
      </c>
      <c r="R19" s="248">
        <f>P19/N19</f>
        <v>12.222222222222221</v>
      </c>
    </row>
    <row r="20" spans="1:18" x14ac:dyDescent="0.25">
      <c r="A20" s="59"/>
      <c r="B20" s="56"/>
      <c r="D20" s="48"/>
      <c r="E20" s="68"/>
      <c r="F20" s="9"/>
      <c r="G20" s="75"/>
      <c r="H20" s="75"/>
      <c r="I20" s="7"/>
      <c r="J20" s="8"/>
      <c r="K20" s="13"/>
    </row>
    <row r="21" spans="1:18" x14ac:dyDescent="0.25">
      <c r="A21" s="59"/>
      <c r="B21" s="56" t="s">
        <v>80</v>
      </c>
      <c r="C21" s="137" t="s">
        <v>81</v>
      </c>
      <c r="D21" s="48"/>
      <c r="E21" s="68"/>
      <c r="F21" s="9"/>
      <c r="G21" s="75"/>
      <c r="H21" s="75"/>
      <c r="I21" s="7"/>
      <c r="J21" s="8"/>
      <c r="K21" s="13"/>
    </row>
    <row r="22" spans="1:18" x14ac:dyDescent="0.25">
      <c r="A22" s="59"/>
      <c r="B22" s="56"/>
      <c r="C22" s="137" t="s">
        <v>82</v>
      </c>
      <c r="D22" s="48"/>
      <c r="E22" s="68"/>
      <c r="F22" s="9"/>
      <c r="G22" s="75"/>
      <c r="H22" s="75"/>
      <c r="I22" s="7"/>
      <c r="J22" s="8"/>
      <c r="K22" s="13"/>
    </row>
    <row r="23" spans="1:18" ht="90" x14ac:dyDescent="0.25">
      <c r="A23" s="59"/>
      <c r="B23" s="56"/>
      <c r="C23" s="182" t="s">
        <v>243</v>
      </c>
      <c r="D23" s="48"/>
      <c r="E23" s="39">
        <v>821</v>
      </c>
      <c r="F23" s="11" t="s">
        <v>26</v>
      </c>
      <c r="G23" s="78">
        <f>139*Q2</f>
        <v>177.92000000000002</v>
      </c>
      <c r="H23" s="78">
        <f>G23*E23</f>
        <v>146072.32000000001</v>
      </c>
      <c r="I23" s="7"/>
      <c r="J23" s="235" t="s">
        <v>244</v>
      </c>
      <c r="K23" s="13"/>
    </row>
    <row r="24" spans="1:18" x14ac:dyDescent="0.25">
      <c r="A24" s="59"/>
      <c r="B24" s="56"/>
      <c r="D24" s="48"/>
      <c r="E24" s="68"/>
      <c r="F24" s="9"/>
      <c r="G24" s="75"/>
      <c r="H24" s="75"/>
      <c r="I24" s="7"/>
      <c r="J24" s="8"/>
      <c r="K24" s="13"/>
    </row>
    <row r="25" spans="1:18" x14ac:dyDescent="0.25">
      <c r="A25" s="18"/>
      <c r="B25" s="53"/>
      <c r="C25" s="47"/>
      <c r="D25" s="154"/>
      <c r="E25" s="88"/>
      <c r="F25" s="90"/>
      <c r="G25" s="91"/>
      <c r="H25" s="91"/>
      <c r="I25" s="97"/>
      <c r="J25" s="95"/>
      <c r="K25" s="13"/>
    </row>
    <row r="26" spans="1:18" x14ac:dyDescent="0.25">
      <c r="A26" s="18"/>
      <c r="B26" s="53"/>
      <c r="C26" s="47"/>
      <c r="D26" s="154"/>
      <c r="E26" s="88"/>
      <c r="F26" s="90"/>
      <c r="G26" s="91"/>
      <c r="H26" s="91"/>
      <c r="I26" s="155">
        <f>SUM(H23,H18,H14,H12,H10,)</f>
        <v>777631.74400000006</v>
      </c>
      <c r="J26" s="95"/>
      <c r="K26" s="13"/>
    </row>
    <row r="27" spans="1:18" x14ac:dyDescent="0.25">
      <c r="A27" s="18"/>
      <c r="B27" s="53"/>
      <c r="C27" s="47"/>
      <c r="D27" s="98"/>
      <c r="E27" s="99"/>
      <c r="F27" s="90"/>
      <c r="G27" s="100"/>
      <c r="H27" s="100"/>
      <c r="I27" s="101"/>
      <c r="J27" s="102"/>
      <c r="K27" s="13"/>
    </row>
    <row r="28" spans="1:18" x14ac:dyDescent="0.25">
      <c r="A28" s="18"/>
      <c r="B28" s="53"/>
      <c r="C28" s="47"/>
      <c r="D28" s="98"/>
      <c r="E28" s="99"/>
      <c r="F28" s="90"/>
      <c r="G28" s="100"/>
      <c r="H28" s="100"/>
      <c r="I28" s="101"/>
      <c r="J28" s="102"/>
      <c r="K28" s="13"/>
    </row>
    <row r="29" spans="1:18" x14ac:dyDescent="0.25">
      <c r="A29" s="138"/>
      <c r="B29" s="138"/>
      <c r="C29" s="139"/>
      <c r="D29" s="140"/>
      <c r="E29" s="133"/>
      <c r="F29" s="134"/>
      <c r="G29" s="135"/>
      <c r="H29" s="136" t="s">
        <v>76</v>
      </c>
      <c r="I29" s="136">
        <f>SUM(I6:I28)</f>
        <v>777631.74400000006</v>
      </c>
      <c r="J29" s="129"/>
    </row>
    <row r="31" spans="1:18" x14ac:dyDescent="0.25">
      <c r="G31" s="71" t="s">
        <v>64</v>
      </c>
      <c r="H31" s="71">
        <f>SUM(H6:H28)</f>
        <v>777631.74399999995</v>
      </c>
      <c r="I31" s="71">
        <f>I29-H31</f>
        <v>0</v>
      </c>
    </row>
  </sheetData>
  <mergeCells count="1">
    <mergeCell ref="A4:B4"/>
  </mergeCells>
  <pageMargins left="0.7" right="0.7" top="0.75" bottom="0.75" header="0.3" footer="0.3"/>
  <pageSetup paperSize="9" scale="54" fitToHeight="0"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B7073-5F73-49BC-8B59-EBD15B573CE4}">
  <sheetPr>
    <pageSetUpPr fitToPage="1"/>
  </sheetPr>
  <dimension ref="A1:U72"/>
  <sheetViews>
    <sheetView view="pageBreakPreview" zoomScale="85" zoomScaleNormal="85" zoomScaleSheetLayoutView="85" workbookViewId="0">
      <pane ySplit="4" topLeftCell="A5" activePane="bottomLeft" state="frozen"/>
      <selection pane="bottomLeft" activeCell="G72" sqref="G72:I72"/>
    </sheetView>
  </sheetViews>
  <sheetFormatPr defaultRowHeight="15" x14ac:dyDescent="0.25"/>
  <cols>
    <col min="1" max="1" width="2" style="57" bestFit="1" customWidth="1"/>
    <col min="2" max="2" width="5.7109375" style="57" bestFit="1" customWidth="1"/>
    <col min="3" max="3" width="49" style="61" customWidth="1"/>
    <col min="4" max="4" width="7.42578125" customWidth="1"/>
    <col min="5" max="5" width="7.42578125" style="65" bestFit="1" customWidth="1"/>
    <col min="6" max="6" width="8.28515625" customWidth="1"/>
    <col min="7" max="7" width="14.7109375" style="71" customWidth="1"/>
    <col min="8" max="8" width="18" style="71" customWidth="1"/>
    <col min="9" max="9" width="16.42578125" customWidth="1"/>
    <col min="10" max="10" width="35.7109375" customWidth="1"/>
    <col min="11" max="11" width="1.28515625" customWidth="1"/>
  </cols>
  <sheetData>
    <row r="1" spans="1:21" x14ac:dyDescent="0.25">
      <c r="A1" s="54"/>
      <c r="B1" s="54"/>
    </row>
    <row r="2" spans="1:21" x14ac:dyDescent="0.25">
      <c r="A2" s="58"/>
      <c r="B2" s="55"/>
      <c r="C2" s="4"/>
      <c r="D2" s="4"/>
      <c r="E2" s="66"/>
      <c r="F2" s="3"/>
      <c r="G2" s="72"/>
      <c r="H2" s="72"/>
      <c r="I2" s="5"/>
      <c r="J2" s="255"/>
      <c r="K2" s="12"/>
      <c r="L2" t="s">
        <v>281</v>
      </c>
      <c r="Q2">
        <v>1.28</v>
      </c>
    </row>
    <row r="3" spans="1:21" x14ac:dyDescent="0.25">
      <c r="A3" s="58"/>
      <c r="B3" s="55"/>
      <c r="C3" s="3"/>
      <c r="D3" s="3"/>
      <c r="E3" s="66"/>
      <c r="F3" s="3"/>
      <c r="G3" s="72"/>
      <c r="H3" s="72"/>
      <c r="I3" s="5"/>
      <c r="J3" s="6"/>
      <c r="K3" s="12"/>
    </row>
    <row r="4" spans="1:21" ht="15" customHeight="1" x14ac:dyDescent="0.25">
      <c r="A4" s="270" t="s">
        <v>15</v>
      </c>
      <c r="B4" s="270"/>
      <c r="C4" s="62" t="s">
        <v>16</v>
      </c>
      <c r="D4" s="49"/>
      <c r="E4" s="67" t="s">
        <v>31</v>
      </c>
      <c r="F4" s="14" t="s">
        <v>30</v>
      </c>
      <c r="G4" s="73" t="s">
        <v>17</v>
      </c>
      <c r="H4" s="73" t="s">
        <v>18</v>
      </c>
      <c r="I4" s="14" t="s">
        <v>19</v>
      </c>
      <c r="J4" s="14" t="s">
        <v>20</v>
      </c>
      <c r="K4" s="13"/>
    </row>
    <row r="5" spans="1:21" x14ac:dyDescent="0.25">
      <c r="A5" s="18"/>
      <c r="B5" s="114"/>
      <c r="C5" s="63"/>
      <c r="D5" s="48"/>
      <c r="E5" s="68"/>
      <c r="F5" s="9"/>
      <c r="G5" s="74" t="s">
        <v>21</v>
      </c>
      <c r="H5" s="74" t="s">
        <v>21</v>
      </c>
      <c r="I5" s="20" t="s">
        <v>21</v>
      </c>
      <c r="J5" s="8"/>
      <c r="K5" s="13"/>
      <c r="P5" s="165"/>
      <c r="Q5" s="249" t="s">
        <v>250</v>
      </c>
      <c r="R5" s="249"/>
      <c r="S5" s="249" t="s">
        <v>29</v>
      </c>
      <c r="T5" s="249" t="s">
        <v>251</v>
      </c>
      <c r="U5" s="249" t="s">
        <v>252</v>
      </c>
    </row>
    <row r="6" spans="1:21" ht="15.75" x14ac:dyDescent="0.25">
      <c r="A6" s="59">
        <v>2</v>
      </c>
      <c r="B6" s="114"/>
      <c r="C6" s="23" t="s">
        <v>49</v>
      </c>
      <c r="D6" s="48"/>
      <c r="E6" s="68"/>
      <c r="F6" s="9"/>
      <c r="G6" s="75"/>
      <c r="H6" s="75"/>
      <c r="I6" s="7"/>
      <c r="J6" s="8"/>
      <c r="K6" s="13"/>
      <c r="L6" s="250" t="s">
        <v>254</v>
      </c>
      <c r="P6" s="252"/>
      <c r="Q6" s="253" t="s">
        <v>253</v>
      </c>
      <c r="R6" s="165"/>
      <c r="S6" s="165">
        <v>1069</v>
      </c>
      <c r="T6" s="165">
        <v>97</v>
      </c>
      <c r="U6" s="165">
        <f>(S6*T6)/1000</f>
        <v>103.693</v>
      </c>
    </row>
    <row r="7" spans="1:21" x14ac:dyDescent="0.25">
      <c r="A7" s="59"/>
      <c r="B7" s="114"/>
      <c r="D7" s="48"/>
      <c r="E7" s="68"/>
      <c r="F7" s="9"/>
      <c r="G7" s="75"/>
      <c r="H7" s="75"/>
      <c r="I7" s="7"/>
      <c r="J7" s="8"/>
      <c r="K7" s="13"/>
      <c r="L7" s="252" t="s">
        <v>249</v>
      </c>
      <c r="M7" s="129"/>
      <c r="N7" s="129"/>
      <c r="O7" s="253"/>
      <c r="P7" s="252"/>
      <c r="Q7" s="253" t="s">
        <v>255</v>
      </c>
      <c r="R7" s="165"/>
      <c r="S7" s="165">
        <v>812</v>
      </c>
      <c r="T7" s="165">
        <v>40</v>
      </c>
      <c r="U7" s="165">
        <f>(S7*T7)/1000</f>
        <v>32.479999999999997</v>
      </c>
    </row>
    <row r="8" spans="1:21" x14ac:dyDescent="0.25">
      <c r="A8" s="59"/>
      <c r="B8" s="114" t="s">
        <v>245</v>
      </c>
      <c r="C8" s="137" t="s">
        <v>246</v>
      </c>
      <c r="D8" s="48"/>
      <c r="E8" s="68"/>
      <c r="F8" s="9"/>
      <c r="G8" s="75"/>
      <c r="H8" s="75"/>
      <c r="I8" s="7"/>
      <c r="J8" s="8"/>
      <c r="K8" s="13"/>
      <c r="P8" s="252"/>
      <c r="Q8" s="254" t="s">
        <v>256</v>
      </c>
      <c r="R8" s="250"/>
      <c r="S8" s="250">
        <v>156</v>
      </c>
      <c r="T8" s="250">
        <v>51</v>
      </c>
      <c r="U8" s="250">
        <f>(S8*T8)/1000</f>
        <v>7.9560000000000004</v>
      </c>
    </row>
    <row r="9" spans="1:21" x14ac:dyDescent="0.25">
      <c r="A9" s="59"/>
      <c r="B9" s="114"/>
      <c r="C9" s="137" t="s">
        <v>247</v>
      </c>
      <c r="D9" s="48"/>
      <c r="E9" s="68"/>
      <c r="F9" s="9"/>
      <c r="G9" s="75"/>
      <c r="H9" s="75"/>
      <c r="I9" s="7"/>
      <c r="J9" s="8"/>
      <c r="K9" s="13"/>
      <c r="P9" s="251"/>
      <c r="Q9" s="251"/>
      <c r="R9" s="251"/>
      <c r="S9" s="251"/>
      <c r="T9" s="251"/>
      <c r="U9" s="251"/>
    </row>
    <row r="10" spans="1:21" ht="45" x14ac:dyDescent="0.25">
      <c r="A10" s="59"/>
      <c r="B10" s="114"/>
      <c r="C10" s="182" t="s">
        <v>248</v>
      </c>
      <c r="D10" s="48"/>
      <c r="E10" s="39">
        <f>U10</f>
        <v>144.12899999999999</v>
      </c>
      <c r="F10" s="11" t="s">
        <v>257</v>
      </c>
      <c r="G10" s="78">
        <f>2425*Q2</f>
        <v>3104</v>
      </c>
      <c r="H10" s="257">
        <f>G10*E10</f>
        <v>447376.41599999997</v>
      </c>
      <c r="I10" s="7"/>
      <c r="J10" s="8"/>
      <c r="K10" s="13"/>
      <c r="T10" s="256" t="s">
        <v>63</v>
      </c>
      <c r="U10" s="256">
        <f>SUM(U6:U8)</f>
        <v>144.12899999999999</v>
      </c>
    </row>
    <row r="11" spans="1:21" x14ac:dyDescent="0.25">
      <c r="A11" s="59"/>
      <c r="B11" s="114"/>
      <c r="D11" s="48"/>
      <c r="E11" s="68"/>
      <c r="F11" s="9"/>
      <c r="G11" s="75"/>
      <c r="H11" s="258"/>
      <c r="I11" s="7"/>
      <c r="J11" s="8"/>
      <c r="K11" s="13"/>
      <c r="T11" s="204"/>
      <c r="U11" s="204"/>
    </row>
    <row r="12" spans="1:21" x14ac:dyDescent="0.25">
      <c r="A12" s="59"/>
      <c r="B12" s="114"/>
      <c r="C12" s="137" t="s">
        <v>258</v>
      </c>
      <c r="D12" s="48"/>
      <c r="E12" s="68"/>
      <c r="F12" s="9"/>
      <c r="G12" s="75"/>
      <c r="H12" s="258"/>
      <c r="I12" s="7"/>
      <c r="J12" s="8"/>
      <c r="K12" s="13"/>
    </row>
    <row r="13" spans="1:21" ht="45" x14ac:dyDescent="0.25">
      <c r="A13" s="59"/>
      <c r="B13" s="114"/>
      <c r="C13" s="182" t="s">
        <v>259</v>
      </c>
      <c r="D13" s="48"/>
      <c r="E13" s="39">
        <v>144.13</v>
      </c>
      <c r="F13" s="11" t="s">
        <v>257</v>
      </c>
      <c r="G13" s="78">
        <f>750*Q2</f>
        <v>960</v>
      </c>
      <c r="H13" s="257">
        <f>G13*E13</f>
        <v>138364.79999999999</v>
      </c>
      <c r="I13" s="7"/>
      <c r="J13" s="8"/>
      <c r="K13" s="13"/>
    </row>
    <row r="14" spans="1:21" x14ac:dyDescent="0.25">
      <c r="A14" s="59"/>
      <c r="B14" s="114"/>
      <c r="D14" s="48"/>
      <c r="E14" s="68"/>
      <c r="F14" s="9"/>
      <c r="G14" s="75"/>
      <c r="H14" s="258"/>
      <c r="I14" s="7"/>
      <c r="J14" s="8"/>
      <c r="K14" s="13"/>
    </row>
    <row r="15" spans="1:21" x14ac:dyDescent="0.25">
      <c r="A15" s="59"/>
      <c r="B15" s="114"/>
      <c r="D15" s="48"/>
      <c r="E15" s="68"/>
      <c r="F15" s="9"/>
      <c r="G15" s="75"/>
      <c r="H15" s="75"/>
      <c r="I15" s="7"/>
      <c r="J15" s="8"/>
      <c r="K15" s="13"/>
    </row>
    <row r="16" spans="1:21" x14ac:dyDescent="0.25">
      <c r="A16" s="59"/>
      <c r="B16" s="114" t="s">
        <v>50</v>
      </c>
      <c r="C16" s="82" t="s">
        <v>52</v>
      </c>
      <c r="D16" s="48"/>
      <c r="E16" s="68"/>
      <c r="F16" s="9"/>
      <c r="G16" s="75"/>
      <c r="H16" s="75"/>
      <c r="I16" s="7"/>
      <c r="J16" s="8"/>
      <c r="K16" s="13"/>
    </row>
    <row r="17" spans="1:11" x14ac:dyDescent="0.25">
      <c r="A17" s="60"/>
      <c r="B17" s="112"/>
      <c r="C17" s="82" t="s">
        <v>51</v>
      </c>
      <c r="D17" s="21"/>
      <c r="E17" s="96"/>
      <c r="F17" s="118"/>
      <c r="G17" s="91"/>
      <c r="H17" s="92"/>
      <c r="I17" s="93"/>
      <c r="J17" s="95"/>
      <c r="K17" s="13"/>
    </row>
    <row r="18" spans="1:11" ht="60" x14ac:dyDescent="0.25">
      <c r="A18" s="60"/>
      <c r="B18" s="112"/>
      <c r="C18" s="83" t="s">
        <v>152</v>
      </c>
      <c r="D18" s="21"/>
      <c r="E18" s="96">
        <v>36</v>
      </c>
      <c r="F18" s="118" t="s">
        <v>25</v>
      </c>
      <c r="G18" s="91">
        <f>950*Q2</f>
        <v>1216</v>
      </c>
      <c r="H18" s="119">
        <f>G18*E18</f>
        <v>43776</v>
      </c>
      <c r="I18" s="93"/>
      <c r="J18" s="95"/>
      <c r="K18" s="13"/>
    </row>
    <row r="19" spans="1:11" x14ac:dyDescent="0.25">
      <c r="A19" s="60"/>
      <c r="B19" s="112"/>
      <c r="C19" s="83"/>
      <c r="D19" s="21"/>
      <c r="E19" s="96"/>
      <c r="F19" s="118"/>
      <c r="G19" s="91"/>
      <c r="H19" s="119"/>
      <c r="I19" s="93"/>
      <c r="J19" s="95"/>
      <c r="K19" s="13"/>
    </row>
    <row r="20" spans="1:11" ht="30" x14ac:dyDescent="0.25">
      <c r="A20" s="60"/>
      <c r="B20" s="112"/>
      <c r="C20" s="83" t="s">
        <v>153</v>
      </c>
      <c r="D20" s="21"/>
      <c r="E20" s="96">
        <v>5</v>
      </c>
      <c r="F20" s="118" t="s">
        <v>25</v>
      </c>
      <c r="G20" s="91">
        <f>1750*Q2</f>
        <v>2240</v>
      </c>
      <c r="H20" s="119">
        <f t="shared" ref="H20" si="0">G20*E20</f>
        <v>11200</v>
      </c>
      <c r="I20" s="93"/>
      <c r="J20" s="95"/>
      <c r="K20" s="13"/>
    </row>
    <row r="21" spans="1:11" x14ac:dyDescent="0.25">
      <c r="A21" s="60"/>
      <c r="B21" s="112"/>
      <c r="C21" s="80"/>
      <c r="D21" s="21"/>
      <c r="E21" s="96"/>
      <c r="F21" s="118"/>
      <c r="G21" s="119"/>
      <c r="H21" s="119"/>
      <c r="I21" s="93"/>
      <c r="J21" s="95"/>
      <c r="K21" s="13"/>
    </row>
    <row r="22" spans="1:11" x14ac:dyDescent="0.25">
      <c r="A22" s="60"/>
      <c r="C22" s="80"/>
      <c r="D22" s="21"/>
      <c r="E22" s="96"/>
      <c r="F22" s="118"/>
      <c r="G22" s="119"/>
      <c r="H22" s="119"/>
      <c r="I22" s="93"/>
      <c r="J22" s="95"/>
      <c r="K22" s="13"/>
    </row>
    <row r="23" spans="1:11" x14ac:dyDescent="0.25">
      <c r="A23" s="60"/>
      <c r="B23" s="53">
        <v>2.6</v>
      </c>
      <c r="C23" s="82" t="s">
        <v>154</v>
      </c>
      <c r="D23" s="21"/>
      <c r="E23" s="96"/>
      <c r="F23" s="118"/>
      <c r="G23" s="119"/>
      <c r="H23" s="119"/>
      <c r="I23" s="93"/>
      <c r="J23" s="95"/>
      <c r="K23" s="13"/>
    </row>
    <row r="24" spans="1:11" ht="30" x14ac:dyDescent="0.25">
      <c r="A24" s="60"/>
      <c r="B24" s="112"/>
      <c r="C24" s="86" t="s">
        <v>155</v>
      </c>
      <c r="D24" s="21"/>
      <c r="E24" s="96"/>
      <c r="F24" s="118"/>
      <c r="G24" s="119"/>
      <c r="H24" s="119"/>
      <c r="I24" s="93"/>
      <c r="J24" s="95"/>
      <c r="K24" s="13"/>
    </row>
    <row r="25" spans="1:11" ht="60" x14ac:dyDescent="0.25">
      <c r="A25" s="60"/>
      <c r="B25" s="112"/>
      <c r="C25" s="83" t="s">
        <v>156</v>
      </c>
      <c r="D25" s="21"/>
      <c r="E25" s="96">
        <v>1</v>
      </c>
      <c r="F25" s="118" t="s">
        <v>25</v>
      </c>
      <c r="G25" s="91">
        <f>2500*Q2</f>
        <v>3200</v>
      </c>
      <c r="H25" s="119">
        <f>G25*E25</f>
        <v>3200</v>
      </c>
      <c r="I25" s="93"/>
      <c r="J25" s="95"/>
      <c r="K25" s="13"/>
    </row>
    <row r="26" spans="1:11" x14ac:dyDescent="0.25">
      <c r="A26" s="60"/>
      <c r="B26" s="112"/>
      <c r="C26" s="80"/>
      <c r="D26" s="21"/>
      <c r="E26" s="96"/>
      <c r="F26" s="118"/>
      <c r="G26" s="119"/>
      <c r="H26" s="119"/>
      <c r="I26" s="93"/>
      <c r="J26" s="95"/>
      <c r="K26" s="13"/>
    </row>
    <row r="27" spans="1:11" ht="30" x14ac:dyDescent="0.25">
      <c r="A27" s="60"/>
      <c r="B27" s="112"/>
      <c r="C27" s="83" t="s">
        <v>157</v>
      </c>
      <c r="D27" s="21"/>
      <c r="E27" s="96">
        <v>3</v>
      </c>
      <c r="F27" s="118" t="s">
        <v>25</v>
      </c>
      <c r="G27" s="91">
        <f>4000*Q2</f>
        <v>5120</v>
      </c>
      <c r="H27" s="119">
        <f>G27*E27</f>
        <v>15360</v>
      </c>
      <c r="I27" s="93"/>
      <c r="J27" s="95"/>
      <c r="K27" s="13"/>
    </row>
    <row r="28" spans="1:11" x14ac:dyDescent="0.25">
      <c r="A28" s="60"/>
      <c r="B28" s="112"/>
      <c r="C28" s="83"/>
      <c r="D28" s="21"/>
      <c r="E28" s="96"/>
      <c r="F28" s="118"/>
      <c r="G28" s="119"/>
      <c r="H28" s="119"/>
      <c r="I28" s="93"/>
      <c r="J28" s="95"/>
      <c r="K28" s="13"/>
    </row>
    <row r="29" spans="1:11" x14ac:dyDescent="0.25">
      <c r="A29" s="60"/>
      <c r="B29" s="112"/>
      <c r="C29" s="80"/>
      <c r="D29" s="21"/>
      <c r="E29" s="96"/>
      <c r="F29" s="118"/>
      <c r="G29" s="119"/>
      <c r="H29" s="119"/>
      <c r="I29" s="93"/>
      <c r="J29" s="95"/>
      <c r="K29" s="13"/>
    </row>
    <row r="30" spans="1:11" x14ac:dyDescent="0.25">
      <c r="A30" s="60"/>
      <c r="B30" s="53" t="s">
        <v>57</v>
      </c>
      <c r="C30" s="82" t="s">
        <v>158</v>
      </c>
      <c r="D30" s="21"/>
      <c r="E30" s="96"/>
      <c r="F30" s="118"/>
      <c r="G30" s="119"/>
      <c r="H30" s="119"/>
      <c r="I30" s="93"/>
      <c r="J30" s="95"/>
      <c r="K30" s="13"/>
    </row>
    <row r="31" spans="1:11" x14ac:dyDescent="0.25">
      <c r="A31" s="60"/>
      <c r="B31" s="112"/>
      <c r="C31" s="82" t="s">
        <v>159</v>
      </c>
      <c r="D31" s="21"/>
      <c r="E31" s="96"/>
      <c r="F31" s="118"/>
      <c r="G31" s="119"/>
      <c r="H31" s="119"/>
      <c r="I31" s="93"/>
      <c r="J31" s="95"/>
      <c r="K31" s="13"/>
    </row>
    <row r="32" spans="1:11" x14ac:dyDescent="0.25">
      <c r="A32" s="60"/>
      <c r="B32" s="112"/>
      <c r="C32" s="82" t="s">
        <v>58</v>
      </c>
      <c r="D32" s="21"/>
      <c r="E32" s="96"/>
      <c r="F32" s="118"/>
      <c r="G32" s="119"/>
      <c r="H32" s="119"/>
      <c r="I32" s="93"/>
      <c r="J32" s="95"/>
      <c r="K32" s="13"/>
    </row>
    <row r="33" spans="1:11" ht="45" x14ac:dyDescent="0.25">
      <c r="A33" s="60"/>
      <c r="B33" s="112"/>
      <c r="C33" s="83" t="s">
        <v>160</v>
      </c>
      <c r="D33" s="21"/>
      <c r="E33" s="96">
        <v>5</v>
      </c>
      <c r="F33" s="118" t="s">
        <v>25</v>
      </c>
      <c r="G33" s="91">
        <f>21500*Q2</f>
        <v>27520</v>
      </c>
      <c r="H33" s="119">
        <f>G33*E33</f>
        <v>137600</v>
      </c>
      <c r="I33" s="93"/>
      <c r="J33" s="95"/>
      <c r="K33" s="13"/>
    </row>
    <row r="34" spans="1:11" x14ac:dyDescent="0.25">
      <c r="A34" s="60"/>
      <c r="B34" s="112"/>
      <c r="C34" s="83"/>
      <c r="D34" s="21"/>
      <c r="E34" s="96"/>
      <c r="F34" s="118"/>
      <c r="G34" s="119"/>
      <c r="H34" s="119"/>
      <c r="I34" s="93"/>
      <c r="J34" s="95"/>
      <c r="K34" s="13"/>
    </row>
    <row r="35" spans="1:11" x14ac:dyDescent="0.25">
      <c r="A35" s="60"/>
      <c r="B35" s="53">
        <v>2.5</v>
      </c>
      <c r="C35" s="86" t="s">
        <v>161</v>
      </c>
      <c r="D35" s="21"/>
      <c r="E35" s="96"/>
      <c r="F35" s="118"/>
      <c r="G35" s="119"/>
      <c r="H35" s="119"/>
      <c r="I35" s="93"/>
      <c r="J35" s="95"/>
      <c r="K35" s="13"/>
    </row>
    <row r="36" spans="1:11" x14ac:dyDescent="0.25">
      <c r="A36" s="60"/>
      <c r="B36" s="112"/>
      <c r="C36" s="82" t="s">
        <v>54</v>
      </c>
      <c r="D36" s="21"/>
      <c r="E36" s="96"/>
      <c r="F36" s="118"/>
      <c r="G36" s="119"/>
      <c r="H36" s="119"/>
      <c r="I36" s="93"/>
      <c r="J36" s="95"/>
      <c r="K36" s="13"/>
    </row>
    <row r="37" spans="1:11" x14ac:dyDescent="0.25">
      <c r="A37" s="60"/>
      <c r="B37" s="112"/>
      <c r="C37" s="80" t="s">
        <v>162</v>
      </c>
      <c r="D37" s="21"/>
      <c r="E37" s="96"/>
      <c r="F37" s="118"/>
      <c r="G37" s="119"/>
      <c r="H37" s="119"/>
      <c r="I37" s="93"/>
      <c r="J37" s="95"/>
      <c r="K37" s="13"/>
    </row>
    <row r="38" spans="1:11" ht="60" x14ac:dyDescent="0.25">
      <c r="A38" s="60"/>
      <c r="B38" s="112"/>
      <c r="C38" s="83" t="s">
        <v>163</v>
      </c>
      <c r="D38" s="21"/>
      <c r="E38" s="96">
        <v>1473.03</v>
      </c>
      <c r="F38" s="118" t="s">
        <v>26</v>
      </c>
      <c r="G38" s="91">
        <f>1100*Q2</f>
        <v>1408</v>
      </c>
      <c r="H38" s="119">
        <f>G38*E38</f>
        <v>2074026.24</v>
      </c>
      <c r="I38" s="93"/>
      <c r="J38" s="95"/>
      <c r="K38" s="13"/>
    </row>
    <row r="39" spans="1:11" x14ac:dyDescent="0.25">
      <c r="A39" s="60"/>
      <c r="B39" s="112"/>
      <c r="C39" s="83"/>
      <c r="D39" s="21"/>
      <c r="E39" s="96"/>
      <c r="F39" s="118"/>
      <c r="G39" s="119"/>
      <c r="H39" s="119"/>
      <c r="I39" s="93"/>
      <c r="J39" s="95"/>
      <c r="K39" s="13"/>
    </row>
    <row r="40" spans="1:11" x14ac:dyDescent="0.25">
      <c r="A40" s="60"/>
      <c r="B40" s="112"/>
      <c r="C40" s="83"/>
      <c r="D40" s="21"/>
      <c r="E40" s="96"/>
      <c r="F40" s="118"/>
      <c r="G40" s="119"/>
      <c r="H40" s="119"/>
      <c r="I40" s="93"/>
      <c r="J40" s="95"/>
      <c r="K40" s="13"/>
    </row>
    <row r="41" spans="1:11" x14ac:dyDescent="0.25">
      <c r="A41" s="60"/>
      <c r="B41" s="53" t="s">
        <v>55</v>
      </c>
      <c r="C41" s="82" t="s">
        <v>161</v>
      </c>
      <c r="D41" s="21"/>
      <c r="E41" s="96"/>
      <c r="F41" s="118"/>
      <c r="G41" s="119"/>
      <c r="H41" s="119"/>
      <c r="I41" s="93"/>
      <c r="J41" s="95"/>
      <c r="K41" s="13"/>
    </row>
    <row r="42" spans="1:11" x14ac:dyDescent="0.25">
      <c r="A42" s="60"/>
      <c r="B42" s="112"/>
      <c r="C42" s="82" t="s">
        <v>56</v>
      </c>
      <c r="D42" s="21"/>
      <c r="E42" s="96"/>
      <c r="F42" s="118"/>
      <c r="G42" s="119"/>
      <c r="H42" s="119"/>
      <c r="I42" s="93"/>
      <c r="J42" s="95"/>
      <c r="K42" s="13"/>
    </row>
    <row r="43" spans="1:11" x14ac:dyDescent="0.25">
      <c r="A43" s="60"/>
      <c r="B43" s="112"/>
      <c r="C43" s="80" t="s">
        <v>164</v>
      </c>
      <c r="D43" s="21"/>
      <c r="E43" s="96"/>
      <c r="F43" s="118"/>
      <c r="G43" s="119"/>
      <c r="H43" s="119"/>
      <c r="I43" s="93"/>
      <c r="J43" s="95"/>
      <c r="K43" s="13"/>
    </row>
    <row r="44" spans="1:11" ht="30" x14ac:dyDescent="0.25">
      <c r="A44" s="60"/>
      <c r="B44" s="112"/>
      <c r="C44" s="83" t="s">
        <v>165</v>
      </c>
      <c r="D44" s="21"/>
      <c r="E44" s="96">
        <v>1183.3399999999999</v>
      </c>
      <c r="F44" s="118" t="s">
        <v>26</v>
      </c>
      <c r="G44" s="91">
        <f>300*Q2</f>
        <v>384</v>
      </c>
      <c r="H44" s="119">
        <f>G44*E44</f>
        <v>454402.55999999994</v>
      </c>
      <c r="I44" s="93"/>
      <c r="J44" s="95"/>
      <c r="K44" s="13"/>
    </row>
    <row r="45" spans="1:11" x14ac:dyDescent="0.25">
      <c r="A45" s="60"/>
      <c r="B45" s="112"/>
      <c r="C45" s="80"/>
      <c r="D45" s="21"/>
      <c r="E45" s="69"/>
      <c r="F45" s="10"/>
      <c r="G45" s="76"/>
      <c r="H45" s="76"/>
      <c r="I45" s="10"/>
      <c r="J45" s="16"/>
      <c r="K45" s="13"/>
    </row>
    <row r="46" spans="1:11" x14ac:dyDescent="0.25">
      <c r="A46" s="60"/>
      <c r="B46" s="112"/>
      <c r="C46" s="80" t="s">
        <v>169</v>
      </c>
      <c r="D46" s="21"/>
      <c r="E46" s="69">
        <v>760.86</v>
      </c>
      <c r="F46" s="118" t="s">
        <v>26</v>
      </c>
      <c r="G46" s="38">
        <f>900*Q2</f>
        <v>1152</v>
      </c>
      <c r="H46" s="76">
        <f>G46*E46</f>
        <v>876510.71999999997</v>
      </c>
      <c r="I46" s="10"/>
      <c r="J46" s="16"/>
      <c r="K46" s="13"/>
    </row>
    <row r="47" spans="1:11" x14ac:dyDescent="0.25">
      <c r="A47" s="60"/>
      <c r="B47" s="112"/>
      <c r="C47" s="80"/>
      <c r="D47" s="21"/>
      <c r="E47" s="69"/>
      <c r="F47" s="10"/>
      <c r="G47" s="76"/>
      <c r="H47" s="76"/>
      <c r="I47" s="10"/>
      <c r="J47" s="16"/>
      <c r="K47" s="13"/>
    </row>
    <row r="48" spans="1:11" x14ac:dyDescent="0.25">
      <c r="A48" s="60"/>
      <c r="B48" s="112"/>
      <c r="C48" s="80"/>
      <c r="D48" s="21"/>
      <c r="E48" s="69"/>
      <c r="F48" s="10"/>
      <c r="G48" s="76"/>
      <c r="H48" s="76"/>
      <c r="I48" s="85"/>
      <c r="J48" s="16"/>
      <c r="K48" s="13"/>
    </row>
    <row r="49" spans="1:11" x14ac:dyDescent="0.25">
      <c r="A49" s="60"/>
      <c r="B49" s="228">
        <v>2.7</v>
      </c>
      <c r="C49" s="82" t="s">
        <v>166</v>
      </c>
      <c r="D49" s="21"/>
      <c r="E49" s="69"/>
      <c r="F49" s="10"/>
      <c r="G49" s="76"/>
      <c r="H49" s="76"/>
      <c r="I49" s="85"/>
      <c r="J49" s="16"/>
      <c r="K49" s="13"/>
    </row>
    <row r="50" spans="1:11" x14ac:dyDescent="0.25">
      <c r="A50" s="60"/>
      <c r="B50" s="112"/>
      <c r="C50" s="82" t="s">
        <v>53</v>
      </c>
      <c r="D50" s="21"/>
      <c r="E50" s="69"/>
      <c r="F50" s="10"/>
      <c r="G50" s="76"/>
      <c r="H50" s="76"/>
      <c r="I50" s="85"/>
      <c r="J50" s="16"/>
      <c r="K50" s="13"/>
    </row>
    <row r="51" spans="1:11" x14ac:dyDescent="0.25">
      <c r="A51" s="60"/>
      <c r="B51" s="112"/>
      <c r="C51" s="80" t="s">
        <v>167</v>
      </c>
      <c r="D51" s="21"/>
      <c r="E51" s="69">
        <v>2862.01</v>
      </c>
      <c r="F51" s="230" t="s">
        <v>26</v>
      </c>
      <c r="G51" s="38">
        <f>250*Q2</f>
        <v>320</v>
      </c>
      <c r="H51" s="76">
        <f>G51*E51</f>
        <v>915843.20000000007</v>
      </c>
      <c r="I51" s="85"/>
      <c r="J51" s="16"/>
      <c r="K51" s="13"/>
    </row>
    <row r="52" spans="1:11" x14ac:dyDescent="0.25">
      <c r="A52" s="60"/>
      <c r="B52" s="112"/>
      <c r="C52" s="80"/>
      <c r="D52" s="21"/>
      <c r="E52" s="69"/>
      <c r="F52" s="10"/>
      <c r="G52" s="76"/>
      <c r="H52" s="76"/>
      <c r="I52" s="85"/>
      <c r="J52" s="16"/>
      <c r="K52" s="13"/>
    </row>
    <row r="53" spans="1:11" ht="30" x14ac:dyDescent="0.25">
      <c r="A53" s="60"/>
      <c r="B53" s="228"/>
      <c r="C53" s="83" t="s">
        <v>168</v>
      </c>
      <c r="D53" s="21"/>
      <c r="E53" s="229">
        <v>237.15</v>
      </c>
      <c r="F53" s="231" t="s">
        <v>26</v>
      </c>
      <c r="G53" s="38">
        <f>250*Q2</f>
        <v>320</v>
      </c>
      <c r="H53" s="76">
        <f>G53*E53</f>
        <v>75888</v>
      </c>
      <c r="I53" s="85"/>
      <c r="J53" s="16"/>
      <c r="K53" s="13"/>
    </row>
    <row r="54" spans="1:11" x14ac:dyDescent="0.25">
      <c r="A54" s="60"/>
      <c r="B54" s="112"/>
      <c r="C54" s="82"/>
      <c r="D54" s="21"/>
      <c r="E54" s="69"/>
      <c r="F54" s="10"/>
      <c r="G54" s="76"/>
      <c r="H54" s="76"/>
      <c r="I54" s="85"/>
      <c r="J54" s="16"/>
      <c r="K54" s="13"/>
    </row>
    <row r="55" spans="1:11" x14ac:dyDescent="0.25">
      <c r="A55" s="60"/>
      <c r="B55" s="53">
        <v>2.2999999999999998</v>
      </c>
      <c r="C55" s="82" t="s">
        <v>171</v>
      </c>
      <c r="D55" s="21"/>
      <c r="E55" s="69"/>
      <c r="F55" s="10"/>
      <c r="G55" s="76"/>
      <c r="H55" s="76"/>
      <c r="I55" s="85"/>
      <c r="J55" s="16"/>
      <c r="K55" s="13"/>
    </row>
    <row r="56" spans="1:11" x14ac:dyDescent="0.25">
      <c r="A56" s="60"/>
      <c r="B56" s="112"/>
      <c r="C56" s="82" t="s">
        <v>170</v>
      </c>
      <c r="D56" s="21"/>
      <c r="E56" s="69"/>
      <c r="F56" s="10"/>
      <c r="G56" s="76"/>
      <c r="H56" s="76"/>
      <c r="I56" s="85"/>
      <c r="J56" s="16"/>
      <c r="K56" s="13"/>
    </row>
    <row r="57" spans="1:11" x14ac:dyDescent="0.25">
      <c r="A57" s="60"/>
      <c r="B57" s="112"/>
      <c r="C57" s="80" t="s">
        <v>172</v>
      </c>
      <c r="D57" s="21"/>
      <c r="E57" s="69"/>
      <c r="F57" s="10"/>
      <c r="G57" s="76"/>
      <c r="H57" s="76"/>
      <c r="I57" s="85"/>
      <c r="J57" s="16"/>
      <c r="K57" s="13"/>
    </row>
    <row r="58" spans="1:11" x14ac:dyDescent="0.25">
      <c r="A58" s="60"/>
      <c r="B58" s="112"/>
      <c r="C58" s="80" t="s">
        <v>173</v>
      </c>
      <c r="D58" s="21"/>
      <c r="E58" s="69">
        <v>574.38</v>
      </c>
      <c r="F58" s="231" t="s">
        <v>26</v>
      </c>
      <c r="G58" s="38">
        <f>100*Q2</f>
        <v>128</v>
      </c>
      <c r="H58" s="76">
        <f>G58*E58</f>
        <v>73520.639999999999</v>
      </c>
      <c r="I58" s="85"/>
      <c r="J58" s="16"/>
      <c r="K58" s="13"/>
    </row>
    <row r="59" spans="1:11" x14ac:dyDescent="0.25">
      <c r="A59" s="60"/>
      <c r="B59" s="112"/>
      <c r="C59" s="80"/>
      <c r="D59" s="21"/>
      <c r="E59" s="69"/>
      <c r="F59" s="10"/>
      <c r="G59" s="76"/>
      <c r="H59" s="76"/>
      <c r="I59" s="85"/>
      <c r="J59" s="16"/>
      <c r="K59" s="13"/>
    </row>
    <row r="60" spans="1:11" x14ac:dyDescent="0.25">
      <c r="A60" s="60"/>
      <c r="B60" s="112" t="s">
        <v>174</v>
      </c>
      <c r="C60" s="82" t="s">
        <v>175</v>
      </c>
      <c r="D60" s="21"/>
      <c r="E60" s="69"/>
      <c r="F60" s="10"/>
      <c r="G60" s="76"/>
      <c r="H60" s="76"/>
      <c r="I60" s="85"/>
      <c r="J60" s="16"/>
      <c r="K60" s="13"/>
    </row>
    <row r="61" spans="1:11" x14ac:dyDescent="0.25">
      <c r="A61" s="60"/>
      <c r="B61" s="112"/>
      <c r="C61" s="82" t="s">
        <v>176</v>
      </c>
      <c r="D61" s="21"/>
      <c r="E61" s="69"/>
      <c r="F61" s="10"/>
      <c r="G61" s="76"/>
      <c r="H61" s="76"/>
      <c r="I61" s="85"/>
      <c r="J61" s="16"/>
      <c r="K61" s="13"/>
    </row>
    <row r="62" spans="1:11" ht="135" x14ac:dyDescent="0.25">
      <c r="A62" s="60"/>
      <c r="B62" s="112"/>
      <c r="C62" s="83" t="s">
        <v>177</v>
      </c>
      <c r="D62" s="21"/>
      <c r="E62" s="232">
        <v>574.38</v>
      </c>
      <c r="F62" s="231" t="s">
        <v>26</v>
      </c>
      <c r="G62" s="38">
        <f>235*Q2</f>
        <v>300.8</v>
      </c>
      <c r="H62" s="76">
        <f>G62*E62</f>
        <v>172773.50400000002</v>
      </c>
      <c r="I62" s="85"/>
      <c r="J62" s="16"/>
      <c r="K62" s="13"/>
    </row>
    <row r="63" spans="1:11" x14ac:dyDescent="0.25">
      <c r="A63" s="60"/>
      <c r="B63" s="112"/>
      <c r="C63" s="80"/>
      <c r="D63" s="21"/>
      <c r="E63" s="69"/>
      <c r="F63" s="10"/>
      <c r="G63" s="76"/>
      <c r="H63" s="76"/>
      <c r="I63" s="85"/>
      <c r="J63" s="16"/>
      <c r="K63" s="13"/>
    </row>
    <row r="64" spans="1:11" x14ac:dyDescent="0.25">
      <c r="A64" s="60"/>
      <c r="B64" s="53"/>
      <c r="C64" s="80"/>
      <c r="D64" s="21"/>
      <c r="E64" s="69"/>
      <c r="F64" s="10"/>
      <c r="G64" s="76"/>
      <c r="H64" s="76"/>
      <c r="I64" s="85"/>
      <c r="J64" s="16"/>
      <c r="K64" s="13"/>
    </row>
    <row r="65" spans="1:11" x14ac:dyDescent="0.25">
      <c r="A65" s="60"/>
      <c r="B65" s="53">
        <v>2.2000000000000002</v>
      </c>
      <c r="C65" s="82" t="s">
        <v>178</v>
      </c>
      <c r="D65" s="21"/>
      <c r="E65" s="69"/>
      <c r="F65" s="10"/>
      <c r="G65" s="76"/>
      <c r="H65" s="76"/>
      <c r="I65" s="85"/>
      <c r="J65" s="16"/>
      <c r="K65" s="13"/>
    </row>
    <row r="66" spans="1:11" x14ac:dyDescent="0.25">
      <c r="A66" s="60"/>
      <c r="B66" s="112" t="s">
        <v>59</v>
      </c>
      <c r="C66" s="82" t="s">
        <v>179</v>
      </c>
      <c r="D66" s="21"/>
      <c r="E66" s="69"/>
      <c r="F66" s="10"/>
      <c r="G66" s="76"/>
      <c r="H66" s="76"/>
      <c r="I66" s="85"/>
      <c r="J66" s="16"/>
      <c r="K66" s="13"/>
    </row>
    <row r="67" spans="1:11" ht="75" x14ac:dyDescent="0.25">
      <c r="A67" s="60"/>
      <c r="B67" s="112"/>
      <c r="C67" s="83" t="s">
        <v>60</v>
      </c>
      <c r="D67" s="21"/>
      <c r="E67" s="229">
        <v>1106.93</v>
      </c>
      <c r="F67" s="231" t="s">
        <v>26</v>
      </c>
      <c r="G67" s="38">
        <f>115*Q2</f>
        <v>147.20000000000002</v>
      </c>
      <c r="H67" s="76">
        <f>G67*E67</f>
        <v>162940.09600000002</v>
      </c>
      <c r="I67" s="85"/>
      <c r="J67" s="16"/>
      <c r="K67" s="13"/>
    </row>
    <row r="68" spans="1:11" x14ac:dyDescent="0.25">
      <c r="A68" s="60"/>
      <c r="B68" s="112"/>
      <c r="C68" s="80"/>
      <c r="D68" s="21"/>
      <c r="E68" s="69"/>
      <c r="F68" s="10"/>
      <c r="G68" s="76"/>
      <c r="H68" s="76"/>
      <c r="I68" s="85"/>
      <c r="J68" s="16"/>
      <c r="K68" s="13"/>
    </row>
    <row r="69" spans="1:11" x14ac:dyDescent="0.25">
      <c r="A69" s="60"/>
      <c r="B69" s="112"/>
      <c r="C69" s="80"/>
      <c r="D69" s="21"/>
      <c r="E69" s="69"/>
      <c r="F69" s="10"/>
      <c r="G69" s="76"/>
      <c r="H69" s="76"/>
      <c r="I69" s="85"/>
      <c r="J69" s="16"/>
      <c r="K69" s="13"/>
    </row>
    <row r="70" spans="1:11" x14ac:dyDescent="0.25">
      <c r="A70" s="60"/>
      <c r="B70" s="112"/>
      <c r="C70" s="80"/>
      <c r="D70" s="21"/>
      <c r="E70" s="69"/>
      <c r="F70" s="10"/>
      <c r="G70" s="76"/>
      <c r="H70" s="136" t="s">
        <v>63</v>
      </c>
      <c r="I70" s="85">
        <f>SUM(H67,H62,H58,H53,H51,H46,H44,H38,H33,H27,H25,H20,H18,H13,H10)</f>
        <v>5602782.176</v>
      </c>
      <c r="J70" s="16"/>
      <c r="K70" s="13"/>
    </row>
    <row r="71" spans="1:11" x14ac:dyDescent="0.25">
      <c r="I71" s="71"/>
    </row>
    <row r="72" spans="1:11" x14ac:dyDescent="0.25">
      <c r="G72" s="71" t="s">
        <v>64</v>
      </c>
      <c r="H72" s="71">
        <f>SUM(H6:H67)</f>
        <v>5602782.176</v>
      </c>
      <c r="I72" s="71">
        <f>I70-H72</f>
        <v>0</v>
      </c>
    </row>
  </sheetData>
  <mergeCells count="1">
    <mergeCell ref="A4:B4"/>
  </mergeCells>
  <phoneticPr fontId="23" type="noConversion"/>
  <pageMargins left="0.7" right="0.7" top="0.75" bottom="0.75" header="0.3" footer="0.3"/>
  <pageSetup paperSize="9" scale="54" fitToHeight="0"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D37DB-CA1A-4FFE-91A2-815F5EE1E371}">
  <dimension ref="A1:B1"/>
  <sheetViews>
    <sheetView workbookViewId="0"/>
  </sheetViews>
  <sheetFormatPr defaultRowHeight="15" x14ac:dyDescent="0.25"/>
  <sheetData>
    <row r="1" spans="1:2" ht="285" x14ac:dyDescent="0.25">
      <c r="A1" s="50" t="s">
        <v>32</v>
      </c>
      <c r="B1">
        <v>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6BD57-2BFE-42B7-89AA-97CB456FCDAF}">
  <sheetPr>
    <pageSetUpPr fitToPage="1"/>
  </sheetPr>
  <dimension ref="A1:Q35"/>
  <sheetViews>
    <sheetView view="pageBreakPreview" zoomScale="85" zoomScaleNormal="85" zoomScaleSheetLayoutView="85" workbookViewId="0">
      <pane ySplit="4" topLeftCell="A5" activePane="bottomLeft" state="frozen"/>
      <selection pane="bottomLeft" activeCell="P24" sqref="P24"/>
    </sheetView>
  </sheetViews>
  <sheetFormatPr defaultRowHeight="15" x14ac:dyDescent="0.25"/>
  <cols>
    <col min="1" max="1" width="2" style="57" bestFit="1" customWidth="1"/>
    <col min="2" max="2" width="5.140625" style="57" bestFit="1" customWidth="1"/>
    <col min="3" max="3" width="49" style="61" customWidth="1"/>
    <col min="4" max="4" width="7.42578125" customWidth="1"/>
    <col min="5" max="5" width="7.42578125" style="65" bestFit="1" customWidth="1"/>
    <col min="6" max="6" width="8.28515625" customWidth="1"/>
    <col min="7" max="7" width="14.7109375" style="71" customWidth="1"/>
    <col min="8" max="8" width="18" style="71" customWidth="1"/>
    <col min="9" max="9" width="16.42578125" customWidth="1"/>
    <col min="10" max="10" width="35.7109375" customWidth="1"/>
    <col min="11" max="11" width="1.28515625" customWidth="1"/>
  </cols>
  <sheetData>
    <row r="1" spans="1:17" x14ac:dyDescent="0.25">
      <c r="A1" s="54"/>
      <c r="B1" s="54"/>
    </row>
    <row r="2" spans="1:17" x14ac:dyDescent="0.25">
      <c r="A2" s="58"/>
      <c r="B2" s="55"/>
      <c r="C2" s="4"/>
      <c r="D2" s="4"/>
      <c r="E2" s="66"/>
      <c r="F2" s="3"/>
      <c r="G2" s="72"/>
      <c r="H2" s="72"/>
      <c r="I2" s="5"/>
      <c r="J2" s="6"/>
      <c r="K2" s="12"/>
      <c r="L2" t="s">
        <v>281</v>
      </c>
      <c r="Q2">
        <v>1.28</v>
      </c>
    </row>
    <row r="3" spans="1:17" x14ac:dyDescent="0.25">
      <c r="A3" s="58"/>
      <c r="B3" s="55"/>
      <c r="C3" s="3"/>
      <c r="D3" s="3"/>
      <c r="E3" s="66"/>
      <c r="F3" s="3"/>
      <c r="G3" s="72"/>
      <c r="H3" s="72"/>
      <c r="I3" s="5"/>
      <c r="J3" s="6"/>
      <c r="K3" s="12"/>
    </row>
    <row r="4" spans="1:17" ht="15" customHeight="1" x14ac:dyDescent="0.25">
      <c r="A4" s="270" t="s">
        <v>15</v>
      </c>
      <c r="B4" s="270"/>
      <c r="C4" s="62" t="s">
        <v>16</v>
      </c>
      <c r="D4" s="49"/>
      <c r="E4" s="67" t="s">
        <v>31</v>
      </c>
      <c r="F4" s="14" t="s">
        <v>30</v>
      </c>
      <c r="G4" s="73" t="s">
        <v>17</v>
      </c>
      <c r="H4" s="73" t="s">
        <v>18</v>
      </c>
      <c r="I4" s="14" t="s">
        <v>19</v>
      </c>
      <c r="J4" s="14" t="s">
        <v>20</v>
      </c>
      <c r="K4" s="13"/>
    </row>
    <row r="5" spans="1:17" x14ac:dyDescent="0.25">
      <c r="A5" s="18"/>
      <c r="B5" s="52"/>
      <c r="C5" s="63"/>
      <c r="D5" s="48"/>
      <c r="E5" s="68"/>
      <c r="F5" s="9"/>
      <c r="G5" s="74" t="s">
        <v>21</v>
      </c>
      <c r="H5" s="74" t="s">
        <v>21</v>
      </c>
      <c r="I5" s="20" t="s">
        <v>21</v>
      </c>
      <c r="J5" s="8"/>
      <c r="K5" s="13"/>
    </row>
    <row r="6" spans="1:17" ht="15.75" x14ac:dyDescent="0.25">
      <c r="A6" s="59">
        <v>3</v>
      </c>
      <c r="B6" s="56"/>
      <c r="C6" s="23" t="s">
        <v>34</v>
      </c>
      <c r="D6" s="48"/>
      <c r="E6" s="68"/>
      <c r="F6" s="9"/>
      <c r="G6" s="75"/>
      <c r="H6" s="75"/>
      <c r="I6" s="7"/>
      <c r="J6" s="8"/>
      <c r="K6" s="13"/>
    </row>
    <row r="7" spans="1:17" x14ac:dyDescent="0.25">
      <c r="A7" s="59"/>
      <c r="B7" s="56"/>
      <c r="D7" s="48"/>
      <c r="E7" s="68"/>
      <c r="F7" s="9"/>
      <c r="G7" s="75"/>
      <c r="H7" s="75"/>
      <c r="I7" s="7"/>
      <c r="J7" s="8"/>
      <c r="K7" s="13"/>
    </row>
    <row r="8" spans="1:17" x14ac:dyDescent="0.25">
      <c r="A8" s="59"/>
      <c r="B8" s="52" t="s">
        <v>180</v>
      </c>
      <c r="C8" s="137" t="s">
        <v>181</v>
      </c>
      <c r="D8" s="48"/>
      <c r="E8" s="68"/>
      <c r="F8" s="9"/>
      <c r="G8" s="75"/>
      <c r="H8" s="75"/>
      <c r="I8" s="7"/>
      <c r="J8" s="8"/>
      <c r="K8" s="13"/>
    </row>
    <row r="9" spans="1:17" x14ac:dyDescent="0.25">
      <c r="A9" s="59"/>
      <c r="B9" s="56"/>
      <c r="C9" s="137" t="s">
        <v>182</v>
      </c>
      <c r="D9" s="48"/>
      <c r="E9" s="68"/>
      <c r="F9" s="9"/>
      <c r="G9" s="75"/>
      <c r="H9" s="75"/>
      <c r="I9" s="7"/>
      <c r="J9" s="8"/>
      <c r="K9" s="13"/>
    </row>
    <row r="10" spans="1:17" x14ac:dyDescent="0.25">
      <c r="A10" s="59"/>
      <c r="B10" s="56"/>
      <c r="C10" s="61" t="s">
        <v>183</v>
      </c>
      <c r="D10" s="48"/>
      <c r="E10" s="39">
        <v>801.87</v>
      </c>
      <c r="F10" s="11" t="s">
        <v>26</v>
      </c>
      <c r="G10" s="75">
        <f>62*Q2</f>
        <v>79.36</v>
      </c>
      <c r="H10" s="75">
        <f>G10*E10</f>
        <v>63636.403200000001</v>
      </c>
      <c r="I10" s="7"/>
      <c r="J10" s="8"/>
      <c r="K10" s="13"/>
    </row>
    <row r="11" spans="1:17" x14ac:dyDescent="0.25">
      <c r="A11" s="59"/>
      <c r="B11" s="56"/>
      <c r="D11" s="48"/>
      <c r="E11" s="68"/>
      <c r="F11" s="9"/>
      <c r="G11" s="75"/>
      <c r="H11" s="75"/>
      <c r="I11" s="7"/>
      <c r="J11" s="8"/>
      <c r="K11" s="13"/>
    </row>
    <row r="12" spans="1:17" x14ac:dyDescent="0.25">
      <c r="A12" s="59"/>
      <c r="B12" s="56" t="s">
        <v>184</v>
      </c>
      <c r="C12" s="137" t="s">
        <v>186</v>
      </c>
      <c r="D12" s="48"/>
      <c r="E12" s="68"/>
      <c r="F12" s="9"/>
      <c r="G12" s="75"/>
      <c r="H12" s="75"/>
      <c r="I12" s="7"/>
      <c r="J12" s="8"/>
      <c r="K12" s="13"/>
    </row>
    <row r="13" spans="1:17" ht="60" x14ac:dyDescent="0.25">
      <c r="A13" s="59"/>
      <c r="B13" s="56"/>
      <c r="C13" s="182" t="s">
        <v>185</v>
      </c>
      <c r="D13" s="48"/>
      <c r="E13" s="39">
        <v>1145.68</v>
      </c>
      <c r="F13" s="11" t="s">
        <v>26</v>
      </c>
      <c r="G13" s="78">
        <f>120*Q2</f>
        <v>153.6</v>
      </c>
      <c r="H13" s="78">
        <f>G13*E13</f>
        <v>175976.448</v>
      </c>
      <c r="I13" s="7"/>
      <c r="J13" s="8"/>
      <c r="K13" s="13"/>
    </row>
    <row r="14" spans="1:17" x14ac:dyDescent="0.25">
      <c r="A14" s="59"/>
      <c r="B14" s="56"/>
      <c r="D14" s="48"/>
      <c r="E14" s="68"/>
      <c r="F14" s="9"/>
      <c r="G14" s="75"/>
      <c r="H14" s="75"/>
      <c r="I14" s="7"/>
      <c r="J14" s="8"/>
      <c r="K14" s="13"/>
    </row>
    <row r="15" spans="1:17" x14ac:dyDescent="0.25">
      <c r="A15" s="59"/>
      <c r="B15" s="56"/>
      <c r="D15" s="48"/>
      <c r="E15" s="68"/>
      <c r="F15" s="9"/>
      <c r="G15" s="75"/>
      <c r="H15" s="75"/>
      <c r="I15" s="7"/>
      <c r="J15" s="8"/>
      <c r="K15" s="13"/>
    </row>
    <row r="16" spans="1:17" x14ac:dyDescent="0.25">
      <c r="A16" s="59"/>
      <c r="B16" s="56" t="s">
        <v>33</v>
      </c>
      <c r="C16" s="137" t="s">
        <v>187</v>
      </c>
      <c r="D16" s="48"/>
      <c r="E16" s="68"/>
      <c r="F16" s="9"/>
      <c r="G16" s="75"/>
      <c r="H16" s="75"/>
      <c r="I16" s="7"/>
      <c r="J16" s="8"/>
      <c r="K16" s="13"/>
    </row>
    <row r="17" spans="1:11" x14ac:dyDescent="0.25">
      <c r="A17" s="59"/>
      <c r="B17" s="56"/>
      <c r="C17" s="137" t="s">
        <v>190</v>
      </c>
      <c r="D17" s="48"/>
      <c r="E17" s="68"/>
      <c r="F17" s="9"/>
      <c r="G17" s="75"/>
      <c r="H17" s="75"/>
      <c r="I17" s="7"/>
      <c r="J17" s="8"/>
      <c r="K17" s="13"/>
    </row>
    <row r="18" spans="1:11" ht="45" x14ac:dyDescent="0.25">
      <c r="A18" s="59"/>
      <c r="B18" s="56"/>
      <c r="C18" s="182" t="s">
        <v>189</v>
      </c>
      <c r="D18" s="48"/>
      <c r="E18" s="39">
        <v>237.15</v>
      </c>
      <c r="F18" s="11" t="s">
        <v>26</v>
      </c>
      <c r="G18" s="78">
        <f>50*Q2</f>
        <v>64</v>
      </c>
      <c r="H18" s="78">
        <f>G18*E18</f>
        <v>15177.6</v>
      </c>
      <c r="I18" s="7"/>
      <c r="J18" s="8"/>
      <c r="K18" s="13"/>
    </row>
    <row r="19" spans="1:11" x14ac:dyDescent="0.25">
      <c r="A19" s="59"/>
      <c r="B19" s="56"/>
      <c r="D19" s="48"/>
      <c r="E19" s="68"/>
      <c r="F19" s="9"/>
      <c r="G19" s="75"/>
      <c r="H19" s="75"/>
      <c r="I19" s="7"/>
      <c r="J19" s="8"/>
      <c r="K19" s="13"/>
    </row>
    <row r="20" spans="1:11" x14ac:dyDescent="0.25">
      <c r="A20" s="59"/>
      <c r="B20" s="56"/>
      <c r="C20" s="137" t="s">
        <v>188</v>
      </c>
      <c r="D20" s="48"/>
      <c r="E20" s="68"/>
      <c r="F20" s="9"/>
      <c r="G20" s="75"/>
      <c r="H20" s="75"/>
      <c r="I20" s="7"/>
      <c r="J20" s="8"/>
      <c r="K20" s="13"/>
    </row>
    <row r="21" spans="1:11" x14ac:dyDescent="0.25">
      <c r="A21" s="59"/>
      <c r="B21" s="56"/>
      <c r="C21" s="61" t="s">
        <v>191</v>
      </c>
      <c r="D21" s="48"/>
      <c r="E21" s="68"/>
      <c r="F21" s="9"/>
      <c r="G21" s="75"/>
      <c r="H21" s="75"/>
      <c r="I21" s="7"/>
      <c r="J21" s="8"/>
      <c r="K21" s="13"/>
    </row>
    <row r="22" spans="1:11" ht="30" x14ac:dyDescent="0.25">
      <c r="A22" s="59"/>
      <c r="B22" s="56"/>
      <c r="C22" s="182" t="s">
        <v>192</v>
      </c>
      <c r="D22" s="48"/>
      <c r="E22" s="39">
        <v>1377.31</v>
      </c>
      <c r="F22" s="11" t="s">
        <v>26</v>
      </c>
      <c r="G22" s="233">
        <f>375*Q2</f>
        <v>480</v>
      </c>
      <c r="H22" s="78">
        <f>G22*E22</f>
        <v>661108.79999999993</v>
      </c>
      <c r="I22" s="7"/>
      <c r="J22" s="8"/>
      <c r="K22" s="13"/>
    </row>
    <row r="23" spans="1:11" x14ac:dyDescent="0.25">
      <c r="A23" s="59"/>
      <c r="B23" s="56"/>
      <c r="D23" s="48"/>
      <c r="E23" s="68"/>
      <c r="F23" s="9"/>
      <c r="G23" s="75"/>
      <c r="H23" s="75"/>
      <c r="I23" s="7"/>
      <c r="J23" s="8"/>
      <c r="K23" s="13"/>
    </row>
    <row r="24" spans="1:11" x14ac:dyDescent="0.25">
      <c r="A24" s="59"/>
      <c r="B24" s="56"/>
      <c r="D24" s="48"/>
      <c r="E24" s="68"/>
      <c r="F24" s="9"/>
      <c r="G24" s="75"/>
      <c r="H24" s="75"/>
      <c r="I24" s="7"/>
      <c r="J24" s="8"/>
      <c r="K24" s="13"/>
    </row>
    <row r="25" spans="1:11" x14ac:dyDescent="0.25">
      <c r="A25" s="59"/>
      <c r="B25" s="52" t="s">
        <v>61</v>
      </c>
      <c r="C25" s="137" t="s">
        <v>193</v>
      </c>
      <c r="D25" s="48"/>
      <c r="E25" s="68"/>
      <c r="F25" s="9"/>
      <c r="G25" s="75"/>
      <c r="H25" s="75"/>
      <c r="I25" s="7"/>
      <c r="J25" s="8"/>
      <c r="K25" s="13"/>
    </row>
    <row r="26" spans="1:11" x14ac:dyDescent="0.25">
      <c r="A26" s="59"/>
      <c r="B26" s="56"/>
      <c r="C26" s="137" t="s">
        <v>62</v>
      </c>
      <c r="D26" s="48"/>
      <c r="E26" s="68"/>
      <c r="F26" s="9"/>
      <c r="G26" s="75"/>
      <c r="H26" s="75"/>
      <c r="I26" s="7"/>
      <c r="J26" s="8"/>
      <c r="K26" s="13"/>
    </row>
    <row r="27" spans="1:11" x14ac:dyDescent="0.25">
      <c r="A27" s="59"/>
      <c r="B27" s="56"/>
      <c r="C27" s="137" t="s">
        <v>194</v>
      </c>
      <c r="D27" s="48"/>
      <c r="E27" s="68"/>
      <c r="F27" s="9"/>
      <c r="G27" s="75"/>
      <c r="H27" s="75"/>
      <c r="I27" s="7"/>
      <c r="J27" s="8"/>
      <c r="K27" s="13"/>
    </row>
    <row r="28" spans="1:11" x14ac:dyDescent="0.25">
      <c r="A28" s="59"/>
      <c r="B28" s="56"/>
      <c r="C28" s="182" t="s">
        <v>270</v>
      </c>
      <c r="D28" s="48"/>
      <c r="E28" s="39">
        <v>1900.23</v>
      </c>
      <c r="F28" s="11" t="s">
        <v>26</v>
      </c>
      <c r="G28" s="75">
        <f>67*Q2</f>
        <v>85.76</v>
      </c>
      <c r="H28" s="75">
        <f>G28*E28</f>
        <v>162963.72480000003</v>
      </c>
      <c r="I28" s="7"/>
      <c r="J28" s="8"/>
      <c r="K28" s="13"/>
    </row>
    <row r="29" spans="1:11" x14ac:dyDescent="0.25">
      <c r="A29" s="59"/>
      <c r="B29" s="56"/>
      <c r="D29" s="48"/>
      <c r="E29" s="68"/>
      <c r="F29" s="9"/>
      <c r="G29" s="75"/>
      <c r="H29" s="75"/>
      <c r="I29" s="7"/>
      <c r="J29" s="8"/>
      <c r="K29" s="13"/>
    </row>
    <row r="30" spans="1:11" x14ac:dyDescent="0.25">
      <c r="A30" s="59"/>
      <c r="B30" s="56"/>
      <c r="D30" s="48"/>
      <c r="E30" s="68"/>
      <c r="F30" s="9"/>
      <c r="G30" s="75"/>
      <c r="H30" s="75"/>
      <c r="I30" s="234">
        <f>SUM(H18,H22,H28,H13,H10)</f>
        <v>1078862.9759999998</v>
      </c>
      <c r="J30" s="8"/>
      <c r="K30" s="13"/>
    </row>
    <row r="31" spans="1:11" x14ac:dyDescent="0.25">
      <c r="A31" s="59"/>
      <c r="B31" s="56"/>
      <c r="D31" s="48"/>
      <c r="E31" s="68"/>
      <c r="F31" s="9"/>
      <c r="G31" s="75"/>
      <c r="H31" s="75"/>
      <c r="I31" s="7"/>
      <c r="J31" s="8"/>
      <c r="K31" s="13"/>
    </row>
    <row r="32" spans="1:11" x14ac:dyDescent="0.25">
      <c r="A32" s="59"/>
      <c r="B32" s="56"/>
      <c r="D32" s="48"/>
      <c r="E32" s="68"/>
      <c r="F32" s="9"/>
      <c r="G32" s="75"/>
      <c r="H32" s="75"/>
      <c r="I32" s="7"/>
      <c r="J32" s="8"/>
      <c r="K32" s="13"/>
    </row>
    <row r="33" spans="1:11" x14ac:dyDescent="0.25">
      <c r="A33" s="120"/>
      <c r="B33" s="121"/>
      <c r="C33" s="122"/>
      <c r="D33" s="123"/>
      <c r="E33" s="124"/>
      <c r="F33" s="125"/>
      <c r="G33" s="126"/>
      <c r="H33" s="127" t="s">
        <v>63</v>
      </c>
      <c r="I33" s="127">
        <f>SUM(I6:I32)</f>
        <v>1078862.9759999998</v>
      </c>
      <c r="J33" s="128"/>
      <c r="K33" s="13"/>
    </row>
    <row r="35" spans="1:11" x14ac:dyDescent="0.25">
      <c r="G35" s="71" t="s">
        <v>64</v>
      </c>
      <c r="H35" s="71">
        <f>SUM(H6:H28)</f>
        <v>1078862.976</v>
      </c>
      <c r="I35" s="71">
        <f>I33-H35</f>
        <v>0</v>
      </c>
    </row>
  </sheetData>
  <mergeCells count="1">
    <mergeCell ref="A4:B4"/>
  </mergeCells>
  <pageMargins left="0.7" right="0.7" top="0.75" bottom="0.75" header="0.3" footer="0.3"/>
  <pageSetup paperSize="9" scale="54" fitToHeight="0"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27627-9883-42E0-A8E4-B21F780B81CE}">
  <sheetPr>
    <pageSetUpPr fitToPage="1"/>
  </sheetPr>
  <dimension ref="A1:Q24"/>
  <sheetViews>
    <sheetView view="pageBreakPreview" topLeftCell="B1" zoomScale="85" zoomScaleNormal="85" zoomScaleSheetLayoutView="85" workbookViewId="0">
      <pane ySplit="4" topLeftCell="A5" activePane="bottomLeft" state="frozen"/>
      <selection pane="bottomLeft" activeCell="G10" sqref="G10"/>
    </sheetView>
  </sheetViews>
  <sheetFormatPr defaultRowHeight="15" x14ac:dyDescent="0.25"/>
  <cols>
    <col min="1" max="1" width="2" style="57" bestFit="1" customWidth="1"/>
    <col min="2" max="2" width="5.140625" style="57" bestFit="1" customWidth="1"/>
    <col min="3" max="3" width="49" style="61" customWidth="1"/>
    <col min="4" max="4" width="7.42578125" customWidth="1"/>
    <col min="5" max="5" width="7.42578125" style="65" bestFit="1" customWidth="1"/>
    <col min="6" max="6" width="8.28515625" customWidth="1"/>
    <col min="7" max="7" width="14.7109375" style="71" customWidth="1"/>
    <col min="8" max="8" width="18" style="71" customWidth="1"/>
    <col min="9" max="9" width="16.42578125" customWidth="1"/>
    <col min="10" max="10" width="35.7109375" customWidth="1"/>
    <col min="11" max="11" width="1.28515625" customWidth="1"/>
  </cols>
  <sheetData>
    <row r="1" spans="1:17" x14ac:dyDescent="0.25">
      <c r="A1" s="54"/>
      <c r="B1" s="54"/>
    </row>
    <row r="2" spans="1:17" x14ac:dyDescent="0.25">
      <c r="A2" s="58"/>
      <c r="B2" s="55"/>
      <c r="C2" s="4"/>
      <c r="D2" s="4"/>
      <c r="E2" s="66"/>
      <c r="F2" s="3"/>
      <c r="G2" s="72"/>
      <c r="H2" s="72"/>
      <c r="I2" s="5"/>
      <c r="J2" s="6"/>
      <c r="K2" s="12"/>
      <c r="L2" t="s">
        <v>281</v>
      </c>
      <c r="Q2">
        <v>1.28</v>
      </c>
    </row>
    <row r="3" spans="1:17" x14ac:dyDescent="0.25">
      <c r="A3" s="58"/>
      <c r="B3" s="55"/>
      <c r="C3" s="3"/>
      <c r="D3" s="3"/>
      <c r="E3" s="66"/>
      <c r="F3" s="3"/>
      <c r="G3" s="72"/>
      <c r="H3" s="72"/>
      <c r="I3" s="5"/>
      <c r="J3" s="6"/>
      <c r="K3" s="12"/>
    </row>
    <row r="4" spans="1:17" ht="15" customHeight="1" x14ac:dyDescent="0.25">
      <c r="A4" s="270" t="s">
        <v>15</v>
      </c>
      <c r="B4" s="270"/>
      <c r="C4" s="62" t="s">
        <v>16</v>
      </c>
      <c r="D4" s="49"/>
      <c r="E4" s="67" t="s">
        <v>31</v>
      </c>
      <c r="F4" s="14" t="s">
        <v>30</v>
      </c>
      <c r="G4" s="73" t="s">
        <v>17</v>
      </c>
      <c r="H4" s="73" t="s">
        <v>18</v>
      </c>
      <c r="I4" s="14" t="s">
        <v>19</v>
      </c>
      <c r="J4" s="14" t="s">
        <v>20</v>
      </c>
      <c r="K4" s="13"/>
    </row>
    <row r="5" spans="1:17" x14ac:dyDescent="0.25">
      <c r="A5" s="18"/>
      <c r="B5" s="52"/>
      <c r="C5" s="63"/>
      <c r="D5" s="48"/>
      <c r="E5" s="68"/>
      <c r="F5" s="9"/>
      <c r="G5" s="74" t="s">
        <v>21</v>
      </c>
      <c r="H5" s="74" t="s">
        <v>21</v>
      </c>
      <c r="I5" s="20" t="s">
        <v>21</v>
      </c>
      <c r="J5" s="8"/>
      <c r="K5" s="13"/>
    </row>
    <row r="6" spans="1:17" ht="15.75" x14ac:dyDescent="0.25">
      <c r="A6" s="59">
        <v>4</v>
      </c>
      <c r="B6" s="56"/>
      <c r="C6" s="23" t="s">
        <v>35</v>
      </c>
      <c r="D6" s="48"/>
      <c r="E6" s="68"/>
      <c r="F6" s="9"/>
      <c r="G6" s="75"/>
      <c r="H6" s="75"/>
      <c r="I6" s="7"/>
      <c r="J6" s="8"/>
      <c r="K6" s="13"/>
    </row>
    <row r="7" spans="1:17" ht="15.75" x14ac:dyDescent="0.25">
      <c r="A7" s="59">
        <v>4</v>
      </c>
      <c r="B7" s="56"/>
      <c r="C7" s="23"/>
      <c r="D7" s="48"/>
      <c r="E7" s="68"/>
      <c r="F7" s="9"/>
      <c r="G7" s="75"/>
      <c r="H7" s="75"/>
      <c r="I7" s="7"/>
      <c r="J7" s="8"/>
      <c r="K7" s="13"/>
    </row>
    <row r="8" spans="1:17" x14ac:dyDescent="0.25">
      <c r="A8" s="59">
        <v>4</v>
      </c>
      <c r="B8" s="56" t="s">
        <v>144</v>
      </c>
      <c r="C8" s="137" t="s">
        <v>145</v>
      </c>
      <c r="D8" s="48"/>
      <c r="E8" s="68"/>
      <c r="F8" s="9"/>
      <c r="G8" s="75"/>
      <c r="H8" s="75"/>
      <c r="I8" s="7"/>
      <c r="J8" s="8"/>
      <c r="K8" s="13"/>
    </row>
    <row r="9" spans="1:17" x14ac:dyDescent="0.25">
      <c r="A9" s="59">
        <v>4</v>
      </c>
      <c r="B9" s="56"/>
      <c r="C9" s="137" t="s">
        <v>196</v>
      </c>
      <c r="D9" s="48"/>
      <c r="E9" s="68"/>
      <c r="F9" s="9"/>
      <c r="G9" s="75"/>
      <c r="H9" s="75"/>
      <c r="I9" s="7"/>
      <c r="J9" s="8"/>
      <c r="K9" s="13"/>
    </row>
    <row r="10" spans="1:17" ht="60" x14ac:dyDescent="0.25">
      <c r="A10" s="59">
        <v>4</v>
      </c>
      <c r="B10" s="56"/>
      <c r="C10" s="236" t="s">
        <v>200</v>
      </c>
      <c r="D10" s="237"/>
      <c r="E10" s="238">
        <v>1</v>
      </c>
      <c r="F10" s="239" t="s">
        <v>25</v>
      </c>
      <c r="G10" s="240">
        <v>35000</v>
      </c>
      <c r="H10" s="240">
        <f>G10*E10</f>
        <v>35000</v>
      </c>
      <c r="I10" s="241"/>
      <c r="J10" s="235" t="s">
        <v>195</v>
      </c>
      <c r="K10" s="13"/>
    </row>
    <row r="11" spans="1:17" x14ac:dyDescent="0.25">
      <c r="A11" s="59">
        <v>4</v>
      </c>
      <c r="B11" s="56"/>
      <c r="C11" s="182"/>
      <c r="D11" s="48"/>
      <c r="E11" s="68"/>
      <c r="F11" s="9"/>
      <c r="G11" s="75"/>
      <c r="H11" s="75"/>
      <c r="I11" s="7"/>
      <c r="J11" s="8"/>
      <c r="K11" s="13"/>
    </row>
    <row r="12" spans="1:17" ht="45" x14ac:dyDescent="0.25">
      <c r="A12" s="59">
        <v>4</v>
      </c>
      <c r="B12" s="56"/>
      <c r="C12" s="236" t="s">
        <v>197</v>
      </c>
      <c r="D12" s="237"/>
      <c r="E12" s="238">
        <v>1</v>
      </c>
      <c r="F12" s="239" t="s">
        <v>25</v>
      </c>
      <c r="G12" s="242">
        <v>200000</v>
      </c>
      <c r="H12" s="242">
        <f>G12*E12</f>
        <v>200000</v>
      </c>
      <c r="I12" s="241"/>
      <c r="J12" s="235" t="s">
        <v>195</v>
      </c>
      <c r="K12" s="13"/>
    </row>
    <row r="13" spans="1:17" x14ac:dyDescent="0.25">
      <c r="A13" s="59">
        <v>4</v>
      </c>
      <c r="B13" s="56"/>
      <c r="C13" s="182"/>
      <c r="D13" s="48"/>
      <c r="E13" s="68"/>
      <c r="F13" s="9"/>
      <c r="G13" s="75"/>
      <c r="H13" s="75"/>
      <c r="I13" s="7"/>
      <c r="J13" s="8"/>
      <c r="K13" s="13"/>
    </row>
    <row r="14" spans="1:17" ht="45" x14ac:dyDescent="0.25">
      <c r="A14" s="59">
        <v>4</v>
      </c>
      <c r="B14" s="56"/>
      <c r="C14" s="236" t="s">
        <v>199</v>
      </c>
      <c r="D14" s="237"/>
      <c r="E14" s="238">
        <v>1</v>
      </c>
      <c r="F14" s="239" t="s">
        <v>25</v>
      </c>
      <c r="G14" s="243">
        <v>165000</v>
      </c>
      <c r="H14" s="243">
        <f>G14*E14</f>
        <v>165000</v>
      </c>
      <c r="I14" s="241"/>
      <c r="J14" s="235" t="s">
        <v>195</v>
      </c>
      <c r="K14" s="13"/>
    </row>
    <row r="15" spans="1:17" x14ac:dyDescent="0.25">
      <c r="A15" s="59">
        <v>4</v>
      </c>
      <c r="B15" s="56"/>
      <c r="C15" s="182"/>
      <c r="D15" s="48"/>
      <c r="E15" s="68"/>
      <c r="F15" s="9"/>
      <c r="G15" s="75"/>
      <c r="H15" s="75"/>
      <c r="I15" s="7"/>
      <c r="J15" s="8"/>
      <c r="K15" s="13"/>
    </row>
    <row r="16" spans="1:17" x14ac:dyDescent="0.25">
      <c r="A16" s="59">
        <v>4</v>
      </c>
      <c r="B16" s="56"/>
      <c r="C16" s="236" t="s">
        <v>198</v>
      </c>
      <c r="D16" s="237"/>
      <c r="E16" s="238">
        <v>1</v>
      </c>
      <c r="F16" s="239" t="s">
        <v>25</v>
      </c>
      <c r="G16" s="243">
        <v>100</v>
      </c>
      <c r="H16" s="243">
        <f>G16*E16</f>
        <v>100</v>
      </c>
      <c r="I16" s="241"/>
      <c r="J16" s="219" t="s">
        <v>195</v>
      </c>
      <c r="K16" s="13"/>
    </row>
    <row r="17" spans="1:11" x14ac:dyDescent="0.25">
      <c r="A17" s="59">
        <v>4</v>
      </c>
      <c r="B17" s="56"/>
      <c r="C17" s="182"/>
      <c r="D17" s="48"/>
      <c r="E17" s="68"/>
      <c r="F17" s="9"/>
      <c r="G17" s="75"/>
      <c r="H17" s="75"/>
      <c r="I17" s="7"/>
      <c r="J17" s="8"/>
      <c r="K17" s="13"/>
    </row>
    <row r="18" spans="1:11" x14ac:dyDescent="0.25">
      <c r="A18" s="59"/>
      <c r="B18" s="56"/>
      <c r="D18" s="48"/>
      <c r="E18" s="68"/>
      <c r="F18" s="9"/>
      <c r="G18" s="75"/>
      <c r="H18" s="75"/>
      <c r="I18" s="7"/>
      <c r="J18" s="8"/>
      <c r="K18" s="13"/>
    </row>
    <row r="19" spans="1:11" x14ac:dyDescent="0.25">
      <c r="A19" s="120"/>
      <c r="B19" s="121"/>
      <c r="C19" s="122"/>
      <c r="D19" s="123"/>
      <c r="E19" s="124"/>
      <c r="F19" s="125"/>
      <c r="G19" s="126"/>
      <c r="H19" s="127" t="s">
        <v>63</v>
      </c>
      <c r="I19" s="127">
        <f>SUM(H16,H14,H12,H10)</f>
        <v>400100</v>
      </c>
      <c r="J19" s="128"/>
      <c r="K19" s="13"/>
    </row>
    <row r="21" spans="1:11" x14ac:dyDescent="0.25">
      <c r="G21" s="156" t="s">
        <v>64</v>
      </c>
      <c r="H21" s="156">
        <f>SUM(H6:H17)</f>
        <v>400100</v>
      </c>
      <c r="I21" s="156">
        <f>H21-I19</f>
        <v>0</v>
      </c>
    </row>
    <row r="22" spans="1:11" x14ac:dyDescent="0.25">
      <c r="C22" s="167"/>
      <c r="G22" s="168"/>
      <c r="H22" s="169"/>
      <c r="I22" s="169"/>
    </row>
    <row r="24" spans="1:11" x14ac:dyDescent="0.25">
      <c r="I24" s="71"/>
    </row>
  </sheetData>
  <mergeCells count="1">
    <mergeCell ref="A4:B4"/>
  </mergeCells>
  <pageMargins left="0.7" right="0.7" top="0.75" bottom="0.75" header="0.3" footer="0.3"/>
  <pageSetup paperSize="9" scale="54" fitToHeight="0"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1119E-E06B-47EB-826A-B9E886CB7BE3}">
  <sheetPr>
    <pageSetUpPr fitToPage="1"/>
  </sheetPr>
  <dimension ref="A1:Q43"/>
  <sheetViews>
    <sheetView view="pageBreakPreview" zoomScale="85" zoomScaleNormal="85" zoomScaleSheetLayoutView="85" workbookViewId="0">
      <pane ySplit="4" topLeftCell="A5" activePane="bottomLeft" state="frozen"/>
      <selection pane="bottomLeft" activeCell="L43" sqref="L43"/>
    </sheetView>
  </sheetViews>
  <sheetFormatPr defaultRowHeight="15" x14ac:dyDescent="0.25"/>
  <cols>
    <col min="1" max="1" width="2" style="57" bestFit="1" customWidth="1"/>
    <col min="2" max="2" width="6.140625" style="57" bestFit="1" customWidth="1"/>
    <col min="3" max="3" width="49" style="61" customWidth="1"/>
    <col min="4" max="4" width="7.42578125" customWidth="1"/>
    <col min="5" max="5" width="7.7109375" style="65" bestFit="1" customWidth="1"/>
    <col min="6" max="6" width="8.28515625" customWidth="1"/>
    <col min="7" max="7" width="14.7109375" style="71" customWidth="1"/>
    <col min="8" max="8" width="18" style="71" customWidth="1"/>
    <col min="9" max="9" width="16.42578125" customWidth="1"/>
    <col min="10" max="10" width="35.7109375" customWidth="1"/>
    <col min="11" max="11" width="1.28515625" customWidth="1"/>
  </cols>
  <sheetData>
    <row r="1" spans="1:17" x14ac:dyDescent="0.25">
      <c r="A1" s="54"/>
      <c r="B1" s="54"/>
    </row>
    <row r="2" spans="1:17" x14ac:dyDescent="0.25">
      <c r="A2" s="58"/>
      <c r="B2" s="55"/>
      <c r="C2" s="109"/>
      <c r="D2" s="4"/>
      <c r="E2" s="66"/>
      <c r="F2" s="3"/>
      <c r="G2" s="72"/>
      <c r="H2" s="72"/>
      <c r="I2" s="5"/>
      <c r="J2" s="6"/>
      <c r="K2" s="12"/>
      <c r="L2" t="s">
        <v>281</v>
      </c>
      <c r="Q2">
        <v>1.28</v>
      </c>
    </row>
    <row r="3" spans="1:17" x14ac:dyDescent="0.25">
      <c r="A3" s="58"/>
      <c r="B3" s="55"/>
      <c r="C3" s="51"/>
      <c r="D3" s="3"/>
      <c r="E3" s="66"/>
      <c r="F3" s="3"/>
      <c r="G3" s="72"/>
      <c r="H3" s="72"/>
      <c r="I3" s="5"/>
      <c r="J3" s="6"/>
      <c r="K3" s="12"/>
    </row>
    <row r="4" spans="1:17" ht="15" customHeight="1" x14ac:dyDescent="0.25">
      <c r="A4" s="270" t="s">
        <v>15</v>
      </c>
      <c r="B4" s="270"/>
      <c r="C4" s="110" t="s">
        <v>16</v>
      </c>
      <c r="D4" s="49"/>
      <c r="E4" s="67" t="s">
        <v>31</v>
      </c>
      <c r="F4" s="14" t="s">
        <v>30</v>
      </c>
      <c r="G4" s="73" t="s">
        <v>17</v>
      </c>
      <c r="H4" s="73" t="s">
        <v>18</v>
      </c>
      <c r="I4" s="14" t="s">
        <v>19</v>
      </c>
      <c r="J4" s="14" t="s">
        <v>20</v>
      </c>
      <c r="K4" s="13"/>
    </row>
    <row r="5" spans="1:17" x14ac:dyDescent="0.25">
      <c r="A5" s="18"/>
      <c r="B5" s="52"/>
      <c r="C5" s="21"/>
      <c r="D5" s="48"/>
      <c r="E5" s="68"/>
      <c r="F5" s="9"/>
      <c r="G5" s="74" t="s">
        <v>21</v>
      </c>
      <c r="H5" s="74" t="s">
        <v>21</v>
      </c>
      <c r="I5" s="20" t="s">
        <v>21</v>
      </c>
      <c r="J5" s="8"/>
      <c r="K5" s="13"/>
    </row>
    <row r="6" spans="1:17" ht="15.75" x14ac:dyDescent="0.25">
      <c r="A6" s="59">
        <v>5</v>
      </c>
      <c r="B6" s="56"/>
      <c r="C6" s="23" t="s">
        <v>36</v>
      </c>
      <c r="D6" s="48"/>
      <c r="E6" s="68"/>
      <c r="F6" s="9"/>
      <c r="G6" s="75"/>
      <c r="H6" s="75"/>
      <c r="I6" s="7"/>
      <c r="J6" s="8"/>
      <c r="K6" s="13"/>
    </row>
    <row r="7" spans="1:17" x14ac:dyDescent="0.25">
      <c r="A7" s="59"/>
      <c r="B7" s="56"/>
      <c r="D7" s="48"/>
      <c r="E7" s="68"/>
      <c r="F7" s="9"/>
      <c r="G7" s="75"/>
      <c r="H7" s="75"/>
      <c r="I7" s="7"/>
      <c r="J7" s="8"/>
      <c r="K7" s="13"/>
    </row>
    <row r="8" spans="1:17" ht="38.25" x14ac:dyDescent="0.25">
      <c r="A8" s="59"/>
      <c r="B8" s="56" t="s">
        <v>202</v>
      </c>
      <c r="C8" s="137" t="s">
        <v>201</v>
      </c>
      <c r="D8" s="48"/>
      <c r="E8" s="195">
        <v>1782</v>
      </c>
      <c r="F8" s="11" t="s">
        <v>26</v>
      </c>
      <c r="G8" s="78">
        <f>21.5*Q2</f>
        <v>27.52</v>
      </c>
      <c r="H8" s="78">
        <f>G8*E8</f>
        <v>49040.639999999999</v>
      </c>
      <c r="I8" s="7"/>
      <c r="J8" s="219" t="s">
        <v>203</v>
      </c>
      <c r="K8" s="13"/>
    </row>
    <row r="9" spans="1:17" x14ac:dyDescent="0.25">
      <c r="A9" s="59"/>
      <c r="B9" s="56"/>
      <c r="D9" s="48"/>
      <c r="E9" s="68"/>
      <c r="F9" s="9"/>
      <c r="G9" s="75"/>
      <c r="H9" s="75"/>
      <c r="I9" s="7"/>
      <c r="J9" s="8"/>
      <c r="K9" s="13"/>
    </row>
    <row r="10" spans="1:17" x14ac:dyDescent="0.25">
      <c r="A10" s="59"/>
      <c r="B10" s="56"/>
      <c r="D10" s="48"/>
      <c r="E10" s="68"/>
      <c r="F10" s="9"/>
      <c r="G10" s="75"/>
      <c r="H10" s="75"/>
      <c r="I10" s="7"/>
      <c r="J10" s="8"/>
      <c r="K10" s="13"/>
    </row>
    <row r="11" spans="1:17" ht="38.25" x14ac:dyDescent="0.25">
      <c r="A11" s="59"/>
      <c r="B11" s="52" t="s">
        <v>37</v>
      </c>
      <c r="C11" s="137" t="s">
        <v>38</v>
      </c>
      <c r="D11" s="48"/>
      <c r="E11" s="195">
        <v>1782</v>
      </c>
      <c r="F11" s="11" t="s">
        <v>26</v>
      </c>
      <c r="G11" s="78">
        <f>31*Q2</f>
        <v>39.68</v>
      </c>
      <c r="H11" s="78">
        <f>G11*E11</f>
        <v>70709.759999999995</v>
      </c>
      <c r="I11" s="7"/>
      <c r="J11" s="219" t="s">
        <v>203</v>
      </c>
      <c r="K11" s="13"/>
    </row>
    <row r="12" spans="1:17" x14ac:dyDescent="0.25">
      <c r="A12" s="59"/>
      <c r="B12" s="56"/>
      <c r="D12" s="48"/>
      <c r="E12" s="68"/>
      <c r="F12" s="9"/>
      <c r="G12" s="75"/>
      <c r="H12" s="75"/>
      <c r="I12" s="7"/>
      <c r="J12" s="8"/>
      <c r="K12" s="13"/>
    </row>
    <row r="13" spans="1:17" x14ac:dyDescent="0.25">
      <c r="A13" s="59"/>
      <c r="B13" s="56"/>
      <c r="D13" s="48"/>
      <c r="E13" s="68"/>
      <c r="F13" s="9"/>
      <c r="G13" s="75"/>
      <c r="H13" s="75"/>
      <c r="I13" s="7"/>
      <c r="J13" s="8"/>
      <c r="K13" s="13"/>
    </row>
    <row r="14" spans="1:17" ht="38.25" x14ac:dyDescent="0.25">
      <c r="A14" s="59"/>
      <c r="B14" s="56" t="s">
        <v>45</v>
      </c>
      <c r="C14" s="137" t="s">
        <v>46</v>
      </c>
      <c r="D14" s="48"/>
      <c r="E14" s="195">
        <v>1782</v>
      </c>
      <c r="F14" s="11" t="s">
        <v>26</v>
      </c>
      <c r="G14" s="78">
        <f>315*Q2</f>
        <v>403.2</v>
      </c>
      <c r="H14" s="78">
        <f>G14*E14</f>
        <v>718502.40000000002</v>
      </c>
      <c r="I14" s="7"/>
      <c r="J14" s="219" t="s">
        <v>203</v>
      </c>
      <c r="K14" s="13"/>
    </row>
    <row r="15" spans="1:17" x14ac:dyDescent="0.25">
      <c r="A15" s="59"/>
      <c r="B15" s="56"/>
      <c r="D15" s="48"/>
      <c r="E15" s="68"/>
      <c r="F15" s="9"/>
      <c r="G15" s="75"/>
      <c r="H15" s="75"/>
      <c r="I15" s="7"/>
      <c r="J15" s="8"/>
      <c r="K15" s="13"/>
    </row>
    <row r="16" spans="1:17" x14ac:dyDescent="0.25">
      <c r="A16" s="59"/>
      <c r="B16" s="56"/>
      <c r="D16" s="48"/>
      <c r="E16" s="68"/>
      <c r="F16" s="9"/>
      <c r="G16" s="75"/>
      <c r="H16" s="75"/>
      <c r="I16" s="7"/>
      <c r="J16" s="8"/>
      <c r="K16" s="13"/>
    </row>
    <row r="17" spans="1:11" ht="38.25" x14ac:dyDescent="0.25">
      <c r="A17" s="59"/>
      <c r="B17" s="56" t="s">
        <v>39</v>
      </c>
      <c r="C17" s="137" t="s">
        <v>40</v>
      </c>
      <c r="D17" s="48"/>
      <c r="E17" s="195">
        <v>1782</v>
      </c>
      <c r="F17" s="11" t="s">
        <v>26</v>
      </c>
      <c r="G17" s="78">
        <f>21.5*Q2</f>
        <v>27.52</v>
      </c>
      <c r="H17" s="78">
        <f>G17*E17</f>
        <v>49040.639999999999</v>
      </c>
      <c r="I17" s="7"/>
      <c r="J17" s="219" t="s">
        <v>203</v>
      </c>
      <c r="K17" s="13"/>
    </row>
    <row r="18" spans="1:11" x14ac:dyDescent="0.25">
      <c r="A18" s="59"/>
      <c r="B18" s="56"/>
      <c r="D18" s="48"/>
      <c r="E18" s="68"/>
      <c r="F18" s="9"/>
      <c r="G18" s="75"/>
      <c r="H18" s="75"/>
      <c r="I18" s="7"/>
      <c r="J18" s="8"/>
      <c r="K18" s="13"/>
    </row>
    <row r="19" spans="1:11" x14ac:dyDescent="0.25">
      <c r="A19" s="59"/>
      <c r="B19" s="56"/>
      <c r="D19" s="48"/>
      <c r="E19" s="68"/>
      <c r="F19" s="9"/>
      <c r="G19" s="75"/>
      <c r="H19" s="75"/>
      <c r="I19" s="7"/>
      <c r="J19" s="8"/>
      <c r="K19" s="13"/>
    </row>
    <row r="20" spans="1:11" ht="63.75" x14ac:dyDescent="0.25">
      <c r="A20" s="59"/>
      <c r="B20" s="56" t="s">
        <v>41</v>
      </c>
      <c r="C20" s="137" t="s">
        <v>42</v>
      </c>
      <c r="D20" s="48"/>
      <c r="E20" s="195">
        <v>1782</v>
      </c>
      <c r="F20" s="11" t="s">
        <v>26</v>
      </c>
      <c r="G20" s="78">
        <f>290*Q2</f>
        <v>371.2</v>
      </c>
      <c r="H20" s="78">
        <f>G20*E20</f>
        <v>661478.40000000002</v>
      </c>
      <c r="I20" s="7"/>
      <c r="J20" s="219" t="s">
        <v>204</v>
      </c>
      <c r="K20" s="13"/>
    </row>
    <row r="21" spans="1:11" x14ac:dyDescent="0.25">
      <c r="A21" s="59"/>
      <c r="B21" s="56"/>
      <c r="D21" s="48"/>
      <c r="E21" s="68"/>
      <c r="F21" s="9"/>
      <c r="G21" s="75"/>
      <c r="H21" s="75"/>
      <c r="I21" s="7"/>
      <c r="J21" s="8"/>
      <c r="K21" s="13"/>
    </row>
    <row r="22" spans="1:11" x14ac:dyDescent="0.25">
      <c r="A22" s="59"/>
      <c r="B22" s="56"/>
      <c r="D22" s="48"/>
      <c r="E22" s="68"/>
      <c r="F22" s="9"/>
      <c r="G22" s="75"/>
      <c r="H22" s="75"/>
      <c r="I22" s="7"/>
      <c r="J22" s="8"/>
      <c r="K22" s="13"/>
    </row>
    <row r="23" spans="1:11" ht="38.25" x14ac:dyDescent="0.25">
      <c r="A23" s="59"/>
      <c r="B23" s="56" t="s">
        <v>205</v>
      </c>
      <c r="C23" s="137" t="s">
        <v>206</v>
      </c>
      <c r="D23" s="48"/>
      <c r="E23" s="195">
        <v>1782</v>
      </c>
      <c r="F23" s="11" t="s">
        <v>26</v>
      </c>
      <c r="G23" s="78">
        <f>2.05*Q2</f>
        <v>2.6239999999999997</v>
      </c>
      <c r="H23" s="78">
        <f>G23*E23</f>
        <v>4675.9679999999998</v>
      </c>
      <c r="I23" s="7"/>
      <c r="J23" s="219" t="s">
        <v>207</v>
      </c>
      <c r="K23" s="13"/>
    </row>
    <row r="24" spans="1:11" x14ac:dyDescent="0.25">
      <c r="A24" s="59"/>
      <c r="B24" s="56"/>
      <c r="D24" s="48"/>
      <c r="E24" s="68"/>
      <c r="F24" s="9"/>
      <c r="G24" s="75"/>
      <c r="H24" s="75"/>
      <c r="I24" s="7"/>
      <c r="J24" s="8"/>
      <c r="K24" s="13"/>
    </row>
    <row r="25" spans="1:11" x14ac:dyDescent="0.25">
      <c r="A25" s="59"/>
      <c r="B25" s="56"/>
      <c r="D25" s="48"/>
      <c r="E25" s="68"/>
      <c r="F25" s="9"/>
      <c r="G25" s="75"/>
      <c r="H25" s="75"/>
      <c r="I25" s="7"/>
      <c r="J25" s="8"/>
      <c r="K25" s="13"/>
    </row>
    <row r="26" spans="1:11" x14ac:dyDescent="0.25">
      <c r="A26" s="59"/>
      <c r="B26" s="56" t="s">
        <v>43</v>
      </c>
      <c r="C26" s="137" t="s">
        <v>44</v>
      </c>
      <c r="D26" s="48"/>
      <c r="E26" s="39">
        <v>2</v>
      </c>
      <c r="F26" s="11" t="s">
        <v>25</v>
      </c>
      <c r="G26" s="75">
        <f>110000*Q2</f>
        <v>140800</v>
      </c>
      <c r="H26" s="75">
        <f>G26*E26</f>
        <v>281600</v>
      </c>
      <c r="I26" s="7"/>
      <c r="J26" s="8"/>
      <c r="K26" s="13"/>
    </row>
    <row r="27" spans="1:11" x14ac:dyDescent="0.25">
      <c r="A27" s="59"/>
      <c r="B27" s="56"/>
      <c r="D27" s="48"/>
      <c r="E27" s="68"/>
      <c r="F27" s="9"/>
      <c r="G27" s="75"/>
      <c r="H27" s="75"/>
      <c r="I27" s="7"/>
      <c r="J27" s="8"/>
      <c r="K27" s="13"/>
    </row>
    <row r="28" spans="1:11" x14ac:dyDescent="0.25">
      <c r="A28" s="59"/>
      <c r="B28" s="56"/>
      <c r="D28" s="48"/>
      <c r="E28" s="68"/>
      <c r="F28" s="9"/>
      <c r="G28" s="75"/>
      <c r="H28" s="75"/>
      <c r="I28" s="7"/>
      <c r="J28" s="8"/>
      <c r="K28" s="13"/>
    </row>
    <row r="29" spans="1:11" ht="63.75" x14ac:dyDescent="0.25">
      <c r="A29" s="59"/>
      <c r="B29" s="56" t="s">
        <v>83</v>
      </c>
      <c r="C29" s="137" t="s">
        <v>84</v>
      </c>
      <c r="D29" s="48"/>
      <c r="E29" s="195">
        <v>1782</v>
      </c>
      <c r="F29" s="11" t="s">
        <v>26</v>
      </c>
      <c r="G29" s="78">
        <f>23*Q2</f>
        <v>29.44</v>
      </c>
      <c r="H29" s="78">
        <f>G29*E29</f>
        <v>52462.080000000002</v>
      </c>
      <c r="I29" s="7"/>
      <c r="J29" s="219" t="s">
        <v>208</v>
      </c>
      <c r="K29" s="13"/>
    </row>
    <row r="30" spans="1:11" x14ac:dyDescent="0.25">
      <c r="A30" s="59"/>
      <c r="B30" s="56"/>
      <c r="D30" s="48"/>
      <c r="E30" s="68"/>
      <c r="F30" s="9"/>
      <c r="G30" s="75"/>
      <c r="H30" s="75"/>
      <c r="I30" s="7"/>
      <c r="J30" s="8"/>
      <c r="K30" s="13"/>
    </row>
    <row r="31" spans="1:11" x14ac:dyDescent="0.25">
      <c r="A31" s="59"/>
      <c r="B31" s="56"/>
      <c r="D31" s="48"/>
      <c r="E31" s="68"/>
      <c r="F31" s="9"/>
      <c r="G31" s="75"/>
      <c r="H31" s="75"/>
      <c r="I31" s="7"/>
      <c r="J31" s="8"/>
      <c r="K31" s="13"/>
    </row>
    <row r="32" spans="1:11" ht="63.75" x14ac:dyDescent="0.25">
      <c r="A32" s="59"/>
      <c r="B32" s="56" t="s">
        <v>209</v>
      </c>
      <c r="C32" s="137" t="s">
        <v>210</v>
      </c>
      <c r="D32" s="48"/>
      <c r="E32" s="195">
        <v>1782</v>
      </c>
      <c r="F32" s="11" t="s">
        <v>26</v>
      </c>
      <c r="G32" s="78">
        <f>130*Q2</f>
        <v>166.4</v>
      </c>
      <c r="H32" s="78">
        <f>G32*E32</f>
        <v>296524.79999999999</v>
      </c>
      <c r="I32" s="7"/>
      <c r="J32" s="219" t="s">
        <v>211</v>
      </c>
      <c r="K32" s="13"/>
    </row>
    <row r="33" spans="1:11" x14ac:dyDescent="0.25">
      <c r="A33" s="59"/>
      <c r="B33" s="56"/>
      <c r="D33" s="48"/>
      <c r="E33" s="68"/>
      <c r="F33" s="9"/>
      <c r="G33" s="75"/>
      <c r="H33" s="75"/>
      <c r="I33" s="7"/>
      <c r="J33" s="8"/>
      <c r="K33" s="13"/>
    </row>
    <row r="34" spans="1:11" x14ac:dyDescent="0.25">
      <c r="A34" s="59"/>
      <c r="B34" s="56"/>
      <c r="D34" s="48"/>
      <c r="E34" s="68"/>
      <c r="F34" s="9"/>
      <c r="G34" s="75"/>
      <c r="H34" s="75"/>
      <c r="I34" s="7"/>
      <c r="J34" s="8"/>
      <c r="K34" s="13"/>
    </row>
    <row r="35" spans="1:11" x14ac:dyDescent="0.25">
      <c r="A35" s="59"/>
      <c r="B35" s="56" t="s">
        <v>212</v>
      </c>
      <c r="C35" s="137" t="s">
        <v>213</v>
      </c>
      <c r="D35" s="48"/>
      <c r="E35" s="195"/>
      <c r="F35" s="11"/>
      <c r="G35" s="78"/>
      <c r="H35" s="78"/>
      <c r="I35" s="7"/>
      <c r="J35" s="16"/>
      <c r="K35" s="13"/>
    </row>
    <row r="36" spans="1:11" ht="30" x14ac:dyDescent="0.25">
      <c r="A36" s="59"/>
      <c r="B36" s="56"/>
      <c r="C36" s="182" t="s">
        <v>215</v>
      </c>
      <c r="D36" s="48"/>
      <c r="E36" s="195">
        <v>1782</v>
      </c>
      <c r="F36" s="11" t="s">
        <v>26</v>
      </c>
      <c r="G36" s="78">
        <f>46.5*Q2</f>
        <v>59.52</v>
      </c>
      <c r="H36" s="78">
        <f>G36*E36</f>
        <v>106064.64</v>
      </c>
      <c r="I36" s="7"/>
      <c r="J36" s="219" t="s">
        <v>214</v>
      </c>
      <c r="K36" s="13"/>
    </row>
    <row r="37" spans="1:11" x14ac:dyDescent="0.25">
      <c r="A37" s="59"/>
      <c r="B37" s="56"/>
      <c r="D37" s="48"/>
      <c r="E37" s="68"/>
      <c r="F37" s="9"/>
      <c r="G37" s="75"/>
      <c r="H37" s="75"/>
      <c r="I37" s="7"/>
      <c r="J37" s="8"/>
      <c r="K37" s="13"/>
    </row>
    <row r="38" spans="1:11" x14ac:dyDescent="0.25">
      <c r="A38" s="18"/>
      <c r="B38" s="53"/>
      <c r="C38" s="111"/>
      <c r="D38" s="105"/>
      <c r="E38" s="88"/>
      <c r="F38" s="90"/>
      <c r="G38" s="106"/>
      <c r="H38" s="106"/>
      <c r="I38" s="113">
        <f>SUM(H36,H32,H29,H26,H23,H20,H17,H14,H11,H8,)</f>
        <v>2290099.3279999997</v>
      </c>
      <c r="J38" s="107"/>
      <c r="K38" s="13"/>
    </row>
    <row r="39" spans="1:11" x14ac:dyDescent="0.25">
      <c r="A39" s="18"/>
      <c r="B39" s="53"/>
      <c r="C39" s="111"/>
      <c r="D39" s="105"/>
      <c r="E39" s="88"/>
      <c r="F39" s="90"/>
      <c r="G39" s="106"/>
      <c r="H39" s="106"/>
      <c r="I39" s="104"/>
      <c r="J39" s="107"/>
      <c r="K39" s="13"/>
    </row>
    <row r="40" spans="1:11" x14ac:dyDescent="0.25">
      <c r="A40" s="18"/>
      <c r="B40" s="53"/>
      <c r="C40" s="111"/>
      <c r="D40" s="105"/>
      <c r="E40" s="88"/>
      <c r="F40" s="90"/>
      <c r="G40" s="106"/>
      <c r="H40" s="106"/>
      <c r="I40" s="104"/>
      <c r="J40" s="107"/>
      <c r="K40" s="13"/>
    </row>
    <row r="41" spans="1:11" x14ac:dyDescent="0.25">
      <c r="A41" s="120"/>
      <c r="B41" s="121"/>
      <c r="C41" s="158"/>
      <c r="D41" s="123"/>
      <c r="E41" s="124"/>
      <c r="F41" s="125"/>
      <c r="G41" s="126"/>
      <c r="H41" s="127" t="s">
        <v>76</v>
      </c>
      <c r="I41" s="159">
        <f>SUM(I6:I40)</f>
        <v>2290099.3279999997</v>
      </c>
      <c r="J41" s="128"/>
      <c r="K41" s="13"/>
    </row>
    <row r="42" spans="1:11" x14ac:dyDescent="0.25">
      <c r="F42" s="54"/>
      <c r="G42" s="156"/>
      <c r="H42" s="156"/>
      <c r="I42" s="54"/>
    </row>
    <row r="43" spans="1:11" x14ac:dyDescent="0.25">
      <c r="F43" s="54"/>
      <c r="G43" s="156" t="s">
        <v>64</v>
      </c>
      <c r="H43" s="156">
        <f>SUM(H6:H40)</f>
        <v>2290099.3280000002</v>
      </c>
      <c r="I43" s="170">
        <f>I41-H43</f>
        <v>0</v>
      </c>
    </row>
  </sheetData>
  <mergeCells count="1">
    <mergeCell ref="A4:B4"/>
  </mergeCells>
  <pageMargins left="0.7" right="0.7" top="0.75" bottom="0.75" header="0.3" footer="0.3"/>
  <pageSetup paperSize="9" scale="54" fitToHeight="0"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733A9-3C54-4989-9F33-FCEF8F7B3C51}">
  <sheetPr>
    <pageSetUpPr fitToPage="1"/>
  </sheetPr>
  <dimension ref="A1:Q14"/>
  <sheetViews>
    <sheetView view="pageBreakPreview" zoomScale="85" zoomScaleNormal="85" zoomScaleSheetLayoutView="85" workbookViewId="0">
      <pane ySplit="4" topLeftCell="A5" activePane="bottomLeft" state="frozen"/>
      <selection pane="bottomLeft" activeCell="I14" sqref="I14"/>
    </sheetView>
  </sheetViews>
  <sheetFormatPr defaultRowHeight="15" x14ac:dyDescent="0.25"/>
  <cols>
    <col min="1" max="1" width="2" style="57" bestFit="1" customWidth="1"/>
    <col min="2" max="2" width="5.140625" style="57" bestFit="1" customWidth="1"/>
    <col min="3" max="3" width="49" style="61" customWidth="1"/>
    <col min="4" max="4" width="7.42578125" customWidth="1"/>
    <col min="5" max="5" width="7.42578125" style="65" bestFit="1" customWidth="1"/>
    <col min="6" max="6" width="8.28515625" customWidth="1"/>
    <col min="7" max="7" width="14.7109375" style="71" customWidth="1"/>
    <col min="8" max="8" width="18" style="71" customWidth="1"/>
    <col min="9" max="9" width="16.42578125" customWidth="1"/>
    <col min="10" max="10" width="35.7109375" customWidth="1"/>
    <col min="11" max="11" width="1.28515625" customWidth="1"/>
  </cols>
  <sheetData>
    <row r="1" spans="1:17" x14ac:dyDescent="0.25">
      <c r="A1" s="54"/>
      <c r="B1" s="54"/>
    </row>
    <row r="2" spans="1:17" x14ac:dyDescent="0.25">
      <c r="A2" s="58"/>
      <c r="B2" s="55"/>
      <c r="C2" s="4"/>
      <c r="D2" s="4"/>
      <c r="E2" s="66"/>
      <c r="F2" s="3"/>
      <c r="G2" s="72"/>
      <c r="H2" s="72"/>
      <c r="I2" s="5"/>
      <c r="J2" s="6"/>
      <c r="K2" s="12"/>
      <c r="L2" t="s">
        <v>281</v>
      </c>
      <c r="Q2">
        <v>1.28</v>
      </c>
    </row>
    <row r="3" spans="1:17" x14ac:dyDescent="0.25">
      <c r="A3" s="58"/>
      <c r="B3" s="55"/>
      <c r="C3" s="3"/>
      <c r="D3" s="3"/>
      <c r="E3" s="66"/>
      <c r="F3" s="3"/>
      <c r="G3" s="72"/>
      <c r="H3" s="72"/>
      <c r="I3" s="5"/>
      <c r="J3" s="6"/>
      <c r="K3" s="12"/>
    </row>
    <row r="4" spans="1:17" ht="15" customHeight="1" x14ac:dyDescent="0.25">
      <c r="A4" s="270" t="s">
        <v>15</v>
      </c>
      <c r="B4" s="270"/>
      <c r="C4" s="62" t="s">
        <v>16</v>
      </c>
      <c r="D4" s="49"/>
      <c r="E4" s="67" t="s">
        <v>31</v>
      </c>
      <c r="F4" s="14" t="s">
        <v>30</v>
      </c>
      <c r="G4" s="73" t="s">
        <v>17</v>
      </c>
      <c r="H4" s="73" t="s">
        <v>18</v>
      </c>
      <c r="I4" s="14" t="s">
        <v>19</v>
      </c>
      <c r="J4" s="14" t="s">
        <v>20</v>
      </c>
      <c r="K4" s="13"/>
    </row>
    <row r="5" spans="1:17" x14ac:dyDescent="0.25">
      <c r="A5" s="18"/>
      <c r="B5" s="52"/>
      <c r="C5" s="63"/>
      <c r="D5" s="48"/>
      <c r="E5" s="68"/>
      <c r="F5" s="9"/>
      <c r="G5" s="74" t="s">
        <v>21</v>
      </c>
      <c r="H5" s="74" t="s">
        <v>21</v>
      </c>
      <c r="I5" s="20" t="s">
        <v>21</v>
      </c>
      <c r="J5" s="8"/>
      <c r="K5" s="13"/>
    </row>
    <row r="6" spans="1:17" ht="15.75" x14ac:dyDescent="0.25">
      <c r="A6" s="59">
        <v>6</v>
      </c>
      <c r="B6" s="56"/>
      <c r="C6" s="23" t="s">
        <v>85</v>
      </c>
      <c r="D6" s="48"/>
      <c r="E6" s="68"/>
      <c r="F6" s="9"/>
      <c r="G6" s="75"/>
      <c r="H6" s="75"/>
      <c r="I6" s="15"/>
      <c r="J6" s="8"/>
      <c r="K6" s="13"/>
    </row>
    <row r="7" spans="1:17" x14ac:dyDescent="0.25">
      <c r="A7" s="59"/>
      <c r="B7" s="56"/>
      <c r="D7" s="48"/>
      <c r="E7" s="68"/>
      <c r="F7" s="9"/>
      <c r="G7" s="75"/>
      <c r="H7" s="75"/>
      <c r="I7" s="15"/>
      <c r="J7" s="8"/>
      <c r="K7" s="13"/>
    </row>
    <row r="8" spans="1:17" x14ac:dyDescent="0.25">
      <c r="A8" s="18"/>
      <c r="B8" s="53"/>
      <c r="C8" s="64"/>
      <c r="D8" s="17"/>
      <c r="E8" s="39"/>
      <c r="F8" s="11"/>
      <c r="G8" s="38"/>
      <c r="H8" s="78"/>
      <c r="I8" s="10"/>
      <c r="J8" s="16"/>
      <c r="K8" s="13"/>
    </row>
    <row r="9" spans="1:17" x14ac:dyDescent="0.25">
      <c r="A9" s="18"/>
      <c r="B9" s="53"/>
      <c r="C9" s="45"/>
      <c r="D9" s="40"/>
      <c r="E9" s="69"/>
      <c r="F9" s="10"/>
      <c r="G9" s="75"/>
      <c r="H9" s="85"/>
      <c r="I9" s="79"/>
      <c r="J9" s="16"/>
      <c r="K9" s="13"/>
    </row>
    <row r="10" spans="1:17" x14ac:dyDescent="0.25">
      <c r="A10" s="18"/>
      <c r="B10" s="53"/>
      <c r="C10" s="46"/>
      <c r="D10" s="41"/>
      <c r="E10" s="70"/>
      <c r="F10" s="42"/>
      <c r="G10" s="77"/>
      <c r="H10" s="77"/>
      <c r="I10" s="43"/>
      <c r="J10" s="44"/>
      <c r="K10" s="13"/>
    </row>
    <row r="11" spans="1:17" x14ac:dyDescent="0.25">
      <c r="A11" s="18"/>
      <c r="B11" s="53"/>
      <c r="C11" s="47"/>
      <c r="D11" s="41"/>
      <c r="E11" s="70"/>
      <c r="F11" s="42"/>
      <c r="G11" s="77"/>
      <c r="H11" s="77"/>
      <c r="I11" s="43"/>
      <c r="J11" s="44"/>
      <c r="K11" s="13"/>
    </row>
    <row r="12" spans="1:17" x14ac:dyDescent="0.25">
      <c r="A12" s="120"/>
      <c r="B12" s="121"/>
      <c r="C12" s="160"/>
      <c r="D12" s="161"/>
      <c r="E12" s="162"/>
      <c r="F12" s="163"/>
      <c r="G12" s="126"/>
      <c r="H12" s="127" t="s">
        <v>76</v>
      </c>
      <c r="I12" s="177">
        <f>SUM(I6:I11)</f>
        <v>0</v>
      </c>
      <c r="J12" s="164"/>
      <c r="K12" s="13"/>
    </row>
    <row r="13" spans="1:17" x14ac:dyDescent="0.25">
      <c r="G13" s="156"/>
      <c r="H13" s="156"/>
      <c r="I13" s="54"/>
    </row>
    <row r="14" spans="1:17" x14ac:dyDescent="0.25">
      <c r="G14" s="156" t="s">
        <v>64</v>
      </c>
      <c r="H14" s="156">
        <f>SUM(H6:H11)</f>
        <v>0</v>
      </c>
      <c r="I14" s="170">
        <f>I12-H14</f>
        <v>0</v>
      </c>
    </row>
  </sheetData>
  <mergeCells count="1">
    <mergeCell ref="A4:B4"/>
  </mergeCells>
  <pageMargins left="0.7" right="0.7" top="0.75" bottom="0.75" header="0.3" footer="0.3"/>
  <pageSetup paperSize="9" scale="54" fitToHeight="0"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77D89-F016-4F74-BEC2-8BB84C705720}">
  <sheetPr>
    <pageSetUpPr fitToPage="1"/>
  </sheetPr>
  <dimension ref="A1:Q17"/>
  <sheetViews>
    <sheetView view="pageBreakPreview" zoomScale="85" zoomScaleNormal="85" zoomScaleSheetLayoutView="85" workbookViewId="0">
      <pane ySplit="4" topLeftCell="A5" activePane="bottomLeft" state="frozen"/>
      <selection pane="bottomLeft" activeCell="I16" sqref="I16"/>
    </sheetView>
  </sheetViews>
  <sheetFormatPr defaultRowHeight="15" x14ac:dyDescent="0.25"/>
  <cols>
    <col min="1" max="1" width="2" style="57" bestFit="1" customWidth="1"/>
    <col min="2" max="2" width="5.140625" style="57" bestFit="1" customWidth="1"/>
    <col min="3" max="3" width="49" style="61" customWidth="1"/>
    <col min="4" max="4" width="7.42578125" customWidth="1"/>
    <col min="5" max="5" width="7.42578125" style="65" bestFit="1" customWidth="1"/>
    <col min="6" max="6" width="8.28515625" customWidth="1"/>
    <col min="7" max="7" width="14.7109375" style="71" customWidth="1"/>
    <col min="8" max="8" width="18" style="71" customWidth="1"/>
    <col min="9" max="9" width="16.42578125" customWidth="1"/>
    <col min="10" max="10" width="35.7109375" customWidth="1"/>
    <col min="11" max="11" width="1.28515625" customWidth="1"/>
  </cols>
  <sheetData>
    <row r="1" spans="1:17" x14ac:dyDescent="0.25">
      <c r="A1" s="54"/>
      <c r="B1" s="54"/>
    </row>
    <row r="2" spans="1:17" x14ac:dyDescent="0.25">
      <c r="A2" s="58"/>
      <c r="B2" s="55"/>
      <c r="C2" s="4"/>
      <c r="D2" s="4"/>
      <c r="E2" s="66"/>
      <c r="F2" s="3"/>
      <c r="G2" s="72"/>
      <c r="H2" s="72"/>
      <c r="I2" s="5"/>
      <c r="J2" s="6"/>
      <c r="K2" s="12"/>
      <c r="L2" t="s">
        <v>281</v>
      </c>
      <c r="Q2">
        <v>1.28</v>
      </c>
    </row>
    <row r="3" spans="1:17" x14ac:dyDescent="0.25">
      <c r="A3" s="58"/>
      <c r="B3" s="55"/>
      <c r="C3" s="3"/>
      <c r="D3" s="3"/>
      <c r="E3" s="66"/>
      <c r="F3" s="3"/>
      <c r="G3" s="72"/>
      <c r="H3" s="72"/>
      <c r="I3" s="5"/>
      <c r="J3" s="6"/>
      <c r="K3" s="12"/>
    </row>
    <row r="4" spans="1:17" ht="15" customHeight="1" x14ac:dyDescent="0.25">
      <c r="A4" s="270" t="s">
        <v>15</v>
      </c>
      <c r="B4" s="270"/>
      <c r="C4" s="62" t="s">
        <v>16</v>
      </c>
      <c r="D4" s="49"/>
      <c r="E4" s="67" t="s">
        <v>31</v>
      </c>
      <c r="F4" s="14" t="s">
        <v>30</v>
      </c>
      <c r="G4" s="73" t="s">
        <v>17</v>
      </c>
      <c r="H4" s="73" t="s">
        <v>18</v>
      </c>
      <c r="I4" s="14" t="s">
        <v>19</v>
      </c>
      <c r="J4" s="14" t="s">
        <v>20</v>
      </c>
      <c r="K4" s="13"/>
    </row>
    <row r="5" spans="1:17" x14ac:dyDescent="0.25">
      <c r="A5" s="18"/>
      <c r="B5" s="52"/>
      <c r="C5" s="63"/>
      <c r="D5" s="48"/>
      <c r="E5" s="68"/>
      <c r="F5" s="9"/>
      <c r="G5" s="74" t="s">
        <v>21</v>
      </c>
      <c r="H5" s="74" t="s">
        <v>21</v>
      </c>
      <c r="I5" s="20" t="s">
        <v>21</v>
      </c>
      <c r="J5" s="8"/>
      <c r="K5" s="13"/>
    </row>
    <row r="6" spans="1:17" ht="15.75" x14ac:dyDescent="0.25">
      <c r="A6" s="59">
        <v>7</v>
      </c>
      <c r="B6" s="56"/>
      <c r="C6" s="23" t="s">
        <v>48</v>
      </c>
      <c r="D6" s="48"/>
      <c r="E6" s="68"/>
      <c r="F6" s="9"/>
      <c r="G6" s="75"/>
      <c r="H6" s="75"/>
      <c r="I6" s="15"/>
      <c r="J6" s="8" t="s">
        <v>151</v>
      </c>
      <c r="K6" s="13"/>
    </row>
    <row r="7" spans="1:17" x14ac:dyDescent="0.25">
      <c r="A7" s="59"/>
      <c r="B7" s="56"/>
      <c r="D7" s="48"/>
      <c r="E7" s="68"/>
      <c r="F7" s="9"/>
      <c r="G7" s="75"/>
      <c r="H7" s="75"/>
      <c r="I7" s="15"/>
      <c r="J7" s="8"/>
      <c r="K7" s="13"/>
    </row>
    <row r="8" spans="1:17" x14ac:dyDescent="0.25">
      <c r="A8" s="59"/>
      <c r="B8" s="56"/>
      <c r="D8" s="48"/>
      <c r="E8" s="68"/>
      <c r="F8" s="9"/>
      <c r="G8" s="75"/>
      <c r="H8" s="75"/>
      <c r="I8" s="15"/>
      <c r="J8" s="8"/>
      <c r="K8" s="13"/>
    </row>
    <row r="9" spans="1:17" x14ac:dyDescent="0.25">
      <c r="A9" s="60"/>
      <c r="B9" s="53"/>
      <c r="C9" s="80"/>
      <c r="D9" s="21"/>
      <c r="E9" s="69"/>
      <c r="F9" s="10"/>
      <c r="G9" s="76"/>
      <c r="H9" s="76"/>
      <c r="I9" s="10"/>
      <c r="J9" s="16"/>
      <c r="K9" s="13"/>
    </row>
    <row r="10" spans="1:17" x14ac:dyDescent="0.25">
      <c r="A10" s="18"/>
      <c r="B10" s="53"/>
      <c r="C10" s="80"/>
      <c r="D10" s="22"/>
      <c r="E10" s="39"/>
      <c r="F10" s="11"/>
      <c r="G10" s="38"/>
      <c r="H10" s="78"/>
      <c r="I10" s="10"/>
      <c r="J10" s="16"/>
      <c r="K10" s="13"/>
    </row>
    <row r="11" spans="1:17" x14ac:dyDescent="0.25">
      <c r="A11" s="18"/>
      <c r="B11" s="53"/>
      <c r="C11" s="82"/>
      <c r="D11" s="22"/>
      <c r="E11" s="39"/>
      <c r="F11" s="11"/>
      <c r="G11" s="38"/>
      <c r="H11" s="78"/>
      <c r="I11" s="10"/>
      <c r="J11" s="16"/>
      <c r="K11" s="13"/>
    </row>
    <row r="12" spans="1:17" x14ac:dyDescent="0.25">
      <c r="A12" s="18"/>
      <c r="B12" s="53"/>
      <c r="C12" s="81"/>
      <c r="D12" s="22"/>
      <c r="E12" s="39"/>
      <c r="F12" s="11"/>
      <c r="G12" s="38"/>
      <c r="H12" s="78"/>
      <c r="I12" s="10"/>
      <c r="J12" s="16"/>
      <c r="K12" s="13"/>
    </row>
    <row r="13" spans="1:17" x14ac:dyDescent="0.25">
      <c r="A13" s="18"/>
      <c r="B13" s="53"/>
      <c r="C13" s="83"/>
      <c r="D13" s="22"/>
      <c r="E13" s="39"/>
      <c r="F13" s="11"/>
      <c r="G13" s="38"/>
      <c r="H13" s="78"/>
      <c r="I13" s="10"/>
      <c r="J13" s="16"/>
      <c r="K13" s="13"/>
    </row>
    <row r="14" spans="1:17" x14ac:dyDescent="0.25">
      <c r="A14" s="120"/>
      <c r="B14" s="121"/>
      <c r="C14" s="160"/>
      <c r="D14" s="161"/>
      <c r="E14" s="162"/>
      <c r="F14" s="163"/>
      <c r="G14" s="126"/>
      <c r="H14" s="127" t="s">
        <v>76</v>
      </c>
      <c r="I14" s="127">
        <f>SUM(I6:I13)</f>
        <v>0</v>
      </c>
      <c r="J14" s="164"/>
      <c r="K14" s="13"/>
    </row>
    <row r="15" spans="1:17" x14ac:dyDescent="0.25">
      <c r="G15" s="156"/>
      <c r="H15" s="156"/>
      <c r="I15" s="54"/>
    </row>
    <row r="16" spans="1:17" x14ac:dyDescent="0.25">
      <c r="G16" s="156" t="s">
        <v>64</v>
      </c>
      <c r="H16" s="156">
        <f>SUM(H6:H13)</f>
        <v>0</v>
      </c>
      <c r="I16" s="170">
        <f>I14-H16</f>
        <v>0</v>
      </c>
    </row>
    <row r="17" spans="1:11" x14ac:dyDescent="0.25">
      <c r="A17" s="18"/>
      <c r="B17" s="53"/>
      <c r="C17" s="171"/>
      <c r="D17" s="22"/>
      <c r="E17" s="172"/>
      <c r="F17" s="173"/>
      <c r="G17" s="174"/>
      <c r="H17" s="175"/>
      <c r="I17" s="176"/>
      <c r="J17" s="16"/>
      <c r="K17" s="13"/>
    </row>
  </sheetData>
  <mergeCells count="1">
    <mergeCell ref="A4:B4"/>
  </mergeCells>
  <pageMargins left="0.7" right="0.7" top="0.75" bottom="0.75" header="0.3" footer="0.3"/>
  <pageSetup paperSize="9" scale="54" fitToHeight="0"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77FFC-0F5D-4931-BC36-F9E5567E1AEA}">
  <sheetPr>
    <pageSetUpPr fitToPage="1"/>
  </sheetPr>
  <dimension ref="A1:S30"/>
  <sheetViews>
    <sheetView view="pageBreakPreview" zoomScale="85" zoomScaleNormal="85" zoomScaleSheetLayoutView="85" workbookViewId="0">
      <pane ySplit="4" topLeftCell="A5" activePane="bottomLeft" state="frozen"/>
      <selection pane="bottomLeft" activeCell="N24" sqref="N24"/>
    </sheetView>
  </sheetViews>
  <sheetFormatPr defaultRowHeight="15" x14ac:dyDescent="0.25"/>
  <cols>
    <col min="1" max="1" width="2.140625" style="57" bestFit="1" customWidth="1"/>
    <col min="2" max="2" width="5.7109375" style="57" bestFit="1" customWidth="1"/>
    <col min="3" max="3" width="49" style="61" customWidth="1"/>
    <col min="4" max="4" width="7.42578125" customWidth="1"/>
    <col min="5" max="5" width="7.42578125" style="65" bestFit="1" customWidth="1"/>
    <col min="6" max="6" width="8.28515625" customWidth="1"/>
    <col min="7" max="7" width="14.7109375" style="71" customWidth="1"/>
    <col min="8" max="8" width="18" style="71" customWidth="1"/>
    <col min="9" max="9" width="16.42578125" customWidth="1"/>
    <col min="10" max="10" width="35.7109375" customWidth="1"/>
    <col min="11" max="11" width="1.28515625" customWidth="1"/>
    <col min="13" max="13" width="10.85546875" bestFit="1" customWidth="1"/>
    <col min="14" max="14" width="27.140625" bestFit="1" customWidth="1"/>
    <col min="17" max="17" width="17.28515625" bestFit="1" customWidth="1"/>
    <col min="18" max="18" width="6" bestFit="1" customWidth="1"/>
  </cols>
  <sheetData>
    <row r="1" spans="1:19" x14ac:dyDescent="0.25">
      <c r="A1" s="54"/>
      <c r="B1" s="54"/>
    </row>
    <row r="2" spans="1:19" x14ac:dyDescent="0.25">
      <c r="A2" s="58"/>
      <c r="B2" s="55"/>
      <c r="C2" s="4"/>
      <c r="D2" s="4"/>
      <c r="E2" s="66"/>
      <c r="F2" s="3"/>
      <c r="G2" s="72"/>
      <c r="H2" s="72"/>
      <c r="I2" s="5"/>
      <c r="J2" s="6"/>
      <c r="K2" s="12"/>
      <c r="L2" t="s">
        <v>281</v>
      </c>
      <c r="O2">
        <v>1.28</v>
      </c>
    </row>
    <row r="3" spans="1:19" x14ac:dyDescent="0.25">
      <c r="A3" s="58"/>
      <c r="B3" s="55"/>
      <c r="C3" s="3"/>
      <c r="D3" s="3"/>
      <c r="E3" s="66"/>
      <c r="F3" s="3"/>
      <c r="G3" s="72"/>
      <c r="H3" s="72"/>
      <c r="I3" s="5"/>
      <c r="J3" s="6"/>
      <c r="K3" s="12"/>
    </row>
    <row r="4" spans="1:19" ht="15" customHeight="1" x14ac:dyDescent="0.25">
      <c r="A4" s="270" t="s">
        <v>15</v>
      </c>
      <c r="B4" s="270"/>
      <c r="C4" s="62" t="s">
        <v>16</v>
      </c>
      <c r="D4" s="49"/>
      <c r="E4" s="67" t="s">
        <v>31</v>
      </c>
      <c r="F4" s="14" t="s">
        <v>30</v>
      </c>
      <c r="G4" s="73" t="s">
        <v>17</v>
      </c>
      <c r="H4" s="73" t="s">
        <v>18</v>
      </c>
      <c r="I4" s="14" t="s">
        <v>19</v>
      </c>
      <c r="J4" s="14" t="s">
        <v>20</v>
      </c>
      <c r="K4" s="13"/>
    </row>
    <row r="5" spans="1:19" x14ac:dyDescent="0.25">
      <c r="A5" s="115"/>
      <c r="B5" s="114"/>
      <c r="C5" s="63"/>
      <c r="D5" s="48"/>
      <c r="E5" s="68"/>
      <c r="F5" s="9"/>
      <c r="G5" s="74" t="s">
        <v>21</v>
      </c>
      <c r="H5" s="74" t="s">
        <v>21</v>
      </c>
      <c r="I5" s="20" t="s">
        <v>21</v>
      </c>
      <c r="J5" s="8"/>
      <c r="K5" s="13"/>
    </row>
    <row r="6" spans="1:19" ht="15.75" x14ac:dyDescent="0.25">
      <c r="A6" s="59">
        <v>8</v>
      </c>
      <c r="B6" s="114"/>
      <c r="C6" s="23" t="s">
        <v>47</v>
      </c>
      <c r="D6" s="48"/>
      <c r="E6" s="68"/>
      <c r="F6" s="9"/>
      <c r="G6" s="75"/>
      <c r="H6" s="75"/>
      <c r="I6" s="15"/>
      <c r="J6" s="8"/>
      <c r="K6" s="13"/>
    </row>
    <row r="7" spans="1:19" x14ac:dyDescent="0.25">
      <c r="A7" s="59"/>
      <c r="B7" s="114"/>
      <c r="D7" s="48"/>
      <c r="E7" s="68"/>
      <c r="F7" s="9"/>
      <c r="G7" s="75"/>
      <c r="H7" s="75"/>
      <c r="I7" s="15"/>
      <c r="J7" s="8"/>
      <c r="K7" s="13"/>
    </row>
    <row r="8" spans="1:19" x14ac:dyDescent="0.25">
      <c r="A8" s="59"/>
      <c r="B8" s="114" t="s">
        <v>78</v>
      </c>
      <c r="C8" s="137" t="s">
        <v>79</v>
      </c>
      <c r="D8" s="48"/>
      <c r="E8" s="39"/>
      <c r="F8" s="11"/>
      <c r="G8" s="245"/>
      <c r="H8" s="245"/>
      <c r="I8" s="15"/>
      <c r="J8" s="16"/>
      <c r="K8" s="13"/>
    </row>
    <row r="9" spans="1:19" ht="38.25" x14ac:dyDescent="0.25">
      <c r="A9" s="59"/>
      <c r="B9" s="114"/>
      <c r="C9" s="246" t="s">
        <v>216</v>
      </c>
      <c r="D9" s="237"/>
      <c r="E9" s="238">
        <v>336.56</v>
      </c>
      <c r="F9" s="239" t="s">
        <v>26</v>
      </c>
      <c r="G9" s="244">
        <v>192</v>
      </c>
      <c r="H9" s="244">
        <f>G9*E9</f>
        <v>64619.520000000004</v>
      </c>
      <c r="I9" s="241"/>
      <c r="J9" s="219" t="s">
        <v>217</v>
      </c>
      <c r="K9" s="13"/>
    </row>
    <row r="10" spans="1:19" x14ac:dyDescent="0.25">
      <c r="A10" s="59"/>
      <c r="B10" s="114"/>
      <c r="D10" s="48"/>
      <c r="E10" s="68"/>
      <c r="F10" s="9"/>
      <c r="G10" s="75"/>
      <c r="H10" s="75"/>
      <c r="I10" s="15"/>
      <c r="J10" s="8"/>
      <c r="K10" s="13"/>
    </row>
    <row r="11" spans="1:19" x14ac:dyDescent="0.25">
      <c r="A11" s="59"/>
      <c r="B11" s="114"/>
      <c r="D11" s="48"/>
      <c r="E11" s="68"/>
      <c r="F11" s="9"/>
      <c r="G11" s="75"/>
      <c r="H11" s="75"/>
      <c r="I11" s="15"/>
      <c r="J11" s="8"/>
      <c r="K11" s="13"/>
      <c r="M11" s="259" t="s">
        <v>269</v>
      </c>
      <c r="N11" s="254"/>
    </row>
    <row r="12" spans="1:19" x14ac:dyDescent="0.25">
      <c r="A12" s="59"/>
      <c r="B12" s="114" t="s">
        <v>260</v>
      </c>
      <c r="C12" s="137" t="s">
        <v>261</v>
      </c>
      <c r="D12" s="48"/>
      <c r="E12" s="68"/>
      <c r="F12" s="9"/>
      <c r="G12" s="75"/>
      <c r="H12" s="75"/>
      <c r="I12" s="15"/>
      <c r="J12" s="8"/>
      <c r="K12" s="13"/>
      <c r="M12" s="165" t="s">
        <v>264</v>
      </c>
      <c r="N12" s="165" t="s">
        <v>265</v>
      </c>
      <c r="O12" s="165">
        <v>1</v>
      </c>
      <c r="P12" s="165" t="s">
        <v>266</v>
      </c>
      <c r="Q12" s="165" t="s">
        <v>267</v>
      </c>
      <c r="R12" s="165" t="s">
        <v>268</v>
      </c>
      <c r="S12" s="165" t="s">
        <v>172</v>
      </c>
    </row>
    <row r="13" spans="1:19" x14ac:dyDescent="0.25">
      <c r="A13" s="59"/>
      <c r="B13" s="114"/>
      <c r="C13" s="137" t="s">
        <v>262</v>
      </c>
      <c r="D13" s="48"/>
      <c r="E13" s="68"/>
      <c r="F13" s="9"/>
      <c r="G13" s="75"/>
      <c r="H13" s="75"/>
      <c r="I13" s="15"/>
      <c r="J13" s="8"/>
      <c r="K13" s="13"/>
    </row>
    <row r="14" spans="1:19" ht="60" x14ac:dyDescent="0.25">
      <c r="A14" s="59"/>
      <c r="B14" s="114"/>
      <c r="C14" s="182" t="s">
        <v>263</v>
      </c>
      <c r="D14" s="48"/>
      <c r="E14" s="39">
        <v>53</v>
      </c>
      <c r="F14" s="11" t="s">
        <v>26</v>
      </c>
      <c r="G14" s="245">
        <f>325*O2</f>
        <v>416</v>
      </c>
      <c r="H14" s="245">
        <f>G14*E14</f>
        <v>22048</v>
      </c>
      <c r="I14" s="15"/>
      <c r="J14" s="8"/>
      <c r="K14" s="13"/>
    </row>
    <row r="15" spans="1:19" x14ac:dyDescent="0.25">
      <c r="A15" s="59"/>
      <c r="B15" s="114"/>
      <c r="D15" s="48"/>
      <c r="E15" s="68"/>
      <c r="F15" s="9"/>
      <c r="G15" s="75"/>
      <c r="H15" s="75"/>
      <c r="I15" s="15"/>
      <c r="J15" s="8"/>
      <c r="K15" s="13"/>
    </row>
    <row r="16" spans="1:19" x14ac:dyDescent="0.25">
      <c r="A16" s="59"/>
      <c r="B16" s="114"/>
      <c r="D16" s="48"/>
      <c r="E16" s="68"/>
      <c r="F16" s="9"/>
      <c r="G16" s="75"/>
      <c r="H16" s="75"/>
      <c r="I16" s="15"/>
      <c r="J16" s="8"/>
      <c r="K16" s="13"/>
    </row>
    <row r="17" spans="1:11" x14ac:dyDescent="0.25">
      <c r="A17" s="59"/>
      <c r="B17" s="114"/>
      <c r="D17" s="48"/>
      <c r="E17" s="68"/>
      <c r="F17" s="9"/>
      <c r="G17" s="75"/>
      <c r="H17" s="75"/>
      <c r="I17" s="15"/>
      <c r="J17" s="8"/>
      <c r="K17" s="13"/>
    </row>
    <row r="18" spans="1:11" x14ac:dyDescent="0.25">
      <c r="A18" s="59"/>
      <c r="B18" s="114"/>
      <c r="D18" s="48"/>
      <c r="E18" s="68"/>
      <c r="F18" s="9"/>
      <c r="G18" s="75"/>
      <c r="H18" s="75"/>
      <c r="I18" s="15"/>
      <c r="J18" s="8"/>
      <c r="K18" s="13"/>
    </row>
    <row r="19" spans="1:11" x14ac:dyDescent="0.25">
      <c r="A19" s="59"/>
      <c r="B19" s="114"/>
      <c r="D19" s="48"/>
      <c r="E19" s="68"/>
      <c r="F19" s="9"/>
      <c r="G19" s="75"/>
      <c r="H19" s="75"/>
      <c r="I19" s="15"/>
      <c r="J19" s="8"/>
      <c r="K19" s="13"/>
    </row>
    <row r="20" spans="1:11" x14ac:dyDescent="0.25">
      <c r="A20" s="59"/>
      <c r="B20" s="114"/>
      <c r="D20" s="48"/>
      <c r="E20" s="68"/>
      <c r="F20" s="9"/>
      <c r="G20" s="75"/>
      <c r="H20" s="75"/>
      <c r="I20" s="15"/>
      <c r="J20" s="8"/>
      <c r="K20" s="13"/>
    </row>
    <row r="21" spans="1:11" x14ac:dyDescent="0.25">
      <c r="A21" s="59"/>
      <c r="B21" s="114"/>
      <c r="D21" s="48"/>
      <c r="E21" s="68"/>
      <c r="F21" s="9"/>
      <c r="G21" s="75"/>
      <c r="H21" s="75"/>
      <c r="I21" s="15"/>
      <c r="J21" s="8"/>
      <c r="K21" s="13"/>
    </row>
    <row r="22" spans="1:11" x14ac:dyDescent="0.25">
      <c r="A22" s="59"/>
      <c r="B22" s="114"/>
      <c r="D22" s="48"/>
      <c r="E22" s="68"/>
      <c r="F22" s="9"/>
      <c r="G22" s="75"/>
      <c r="H22" s="75"/>
      <c r="I22" s="15"/>
      <c r="J22" s="8"/>
      <c r="K22" s="13"/>
    </row>
    <row r="23" spans="1:11" x14ac:dyDescent="0.25">
      <c r="A23" s="115"/>
      <c r="B23" s="112"/>
      <c r="C23" s="80"/>
      <c r="D23" s="147"/>
      <c r="E23" s="88"/>
      <c r="F23" s="90"/>
      <c r="G23" s="91"/>
      <c r="H23" s="146"/>
      <c r="I23" s="157">
        <f>SUM(H9,H14)</f>
        <v>86667.520000000004</v>
      </c>
      <c r="J23" s="102"/>
      <c r="K23" s="13"/>
    </row>
    <row r="24" spans="1:11" x14ac:dyDescent="0.25">
      <c r="A24" s="115"/>
      <c r="B24" s="112"/>
      <c r="C24" s="80"/>
      <c r="D24" s="147"/>
      <c r="E24" s="88"/>
      <c r="F24" s="90"/>
      <c r="G24" s="91"/>
      <c r="H24" s="146"/>
      <c r="I24" s="118"/>
      <c r="J24" s="102"/>
      <c r="K24" s="13"/>
    </row>
    <row r="25" spans="1:11" x14ac:dyDescent="0.25">
      <c r="A25" s="115"/>
      <c r="B25" s="112"/>
      <c r="C25" s="80"/>
      <c r="D25" s="147"/>
      <c r="E25" s="88"/>
      <c r="F25" s="90"/>
      <c r="G25" s="91"/>
      <c r="H25" s="146"/>
      <c r="I25" s="148"/>
      <c r="J25" s="102"/>
      <c r="K25" s="13"/>
    </row>
    <row r="26" spans="1:11" x14ac:dyDescent="0.25">
      <c r="A26" s="115"/>
      <c r="B26" s="112"/>
      <c r="C26" s="80"/>
      <c r="D26" s="147"/>
      <c r="E26" s="88"/>
      <c r="F26" s="90"/>
      <c r="G26" s="91"/>
      <c r="H26" s="146"/>
      <c r="I26" s="118"/>
      <c r="J26" s="102"/>
      <c r="K26" s="13"/>
    </row>
    <row r="27" spans="1:11" x14ac:dyDescent="0.25">
      <c r="A27" s="115"/>
      <c r="B27" s="112"/>
      <c r="C27" s="80"/>
      <c r="D27" s="142"/>
      <c r="E27" s="99"/>
      <c r="F27" s="143"/>
      <c r="G27" s="100"/>
      <c r="H27" s="92"/>
      <c r="I27" s="93"/>
      <c r="J27" s="102"/>
      <c r="K27" s="13"/>
    </row>
    <row r="28" spans="1:11" x14ac:dyDescent="0.25">
      <c r="A28" s="149"/>
      <c r="B28" s="131"/>
      <c r="C28" s="132"/>
      <c r="D28" s="150"/>
      <c r="E28" s="151"/>
      <c r="F28" s="152"/>
      <c r="G28" s="178"/>
      <c r="H28" s="180" t="s">
        <v>63</v>
      </c>
      <c r="I28" s="179">
        <f>SUM(I6:I27)</f>
        <v>86667.520000000004</v>
      </c>
      <c r="J28" s="153"/>
      <c r="K28" s="13"/>
    </row>
    <row r="29" spans="1:11" x14ac:dyDescent="0.25">
      <c r="G29" s="156"/>
      <c r="H29" s="156"/>
      <c r="I29" s="54"/>
    </row>
    <row r="30" spans="1:11" x14ac:dyDescent="0.25">
      <c r="G30" s="156" t="s">
        <v>64</v>
      </c>
      <c r="H30" s="156">
        <f>SUM(H6:H27)</f>
        <v>86667.520000000004</v>
      </c>
      <c r="I30" s="156">
        <f>I28-H30</f>
        <v>0</v>
      </c>
    </row>
  </sheetData>
  <mergeCells count="1">
    <mergeCell ref="A4:B4"/>
  </mergeCells>
  <pageMargins left="0.7" right="0.7" top="0.75" bottom="0.75" header="0.3" footer="0.3"/>
  <pageSetup paperSize="9" scale="54" fitToHeight="0"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47E61F-C67E-4969-AFAD-0965952CF55A}">
  <sheetPr>
    <pageSetUpPr fitToPage="1"/>
  </sheetPr>
  <dimension ref="A1:R37"/>
  <sheetViews>
    <sheetView view="pageBreakPreview" topLeftCell="C1" zoomScale="85" zoomScaleNormal="85" zoomScaleSheetLayoutView="85" workbookViewId="0">
      <pane ySplit="4" topLeftCell="A5" activePane="bottomLeft" state="frozen"/>
      <selection pane="bottomLeft" activeCell="P17" sqref="P17"/>
    </sheetView>
  </sheetViews>
  <sheetFormatPr defaultRowHeight="15" x14ac:dyDescent="0.25"/>
  <cols>
    <col min="1" max="1" width="2.140625" style="57" bestFit="1" customWidth="1"/>
    <col min="2" max="2" width="5.7109375" style="57" bestFit="1" customWidth="1"/>
    <col min="3" max="3" width="51.5703125" style="61" bestFit="1" customWidth="1"/>
    <col min="4" max="4" width="7.42578125" customWidth="1"/>
    <col min="5" max="5" width="7.42578125" style="65" hidden="1" customWidth="1"/>
    <col min="6" max="6" width="8.28515625" hidden="1" customWidth="1"/>
    <col min="7" max="7" width="14.7109375" style="71" customWidth="1"/>
    <col min="8" max="8" width="20.28515625" style="71" bestFit="1" customWidth="1"/>
    <col min="9" max="9" width="16.42578125" hidden="1" customWidth="1"/>
    <col min="10" max="10" width="35.7109375" customWidth="1"/>
    <col min="11" max="11" width="1.28515625" customWidth="1"/>
    <col min="13" max="13" width="20.28515625" bestFit="1" customWidth="1"/>
    <col min="14" max="14" width="16.42578125" customWidth="1"/>
    <col min="15" max="16" width="9.140625" customWidth="1"/>
    <col min="17" max="17" width="13.85546875" bestFit="1" customWidth="1"/>
  </cols>
  <sheetData>
    <row r="1" spans="1:18" x14ac:dyDescent="0.25">
      <c r="A1" s="54"/>
      <c r="B1" s="54"/>
      <c r="O1" s="194"/>
      <c r="P1" s="194"/>
      <c r="Q1" s="194"/>
    </row>
    <row r="2" spans="1:18" x14ac:dyDescent="0.25">
      <c r="A2" s="58"/>
      <c r="B2" s="55"/>
      <c r="C2" s="4"/>
      <c r="D2" s="4"/>
      <c r="E2" s="66"/>
      <c r="F2" s="3"/>
      <c r="M2" s="250" t="s">
        <v>92</v>
      </c>
      <c r="N2" s="260">
        <f>Summary!D30</f>
        <v>10236143.743999999</v>
      </c>
    </row>
    <row r="3" spans="1:18" x14ac:dyDescent="0.25">
      <c r="A3" s="58"/>
      <c r="B3" s="55"/>
      <c r="C3" s="3"/>
      <c r="D3" s="3"/>
      <c r="E3" s="66"/>
      <c r="F3" s="3"/>
      <c r="G3" s="72"/>
      <c r="H3" s="72"/>
      <c r="I3" s="5"/>
      <c r="J3" s="6"/>
      <c r="K3" s="12"/>
      <c r="M3" s="165" t="s">
        <v>286</v>
      </c>
      <c r="N3" s="129" t="s">
        <v>285</v>
      </c>
      <c r="O3" s="129"/>
      <c r="P3" s="253"/>
      <c r="Q3" s="165" t="s">
        <v>76</v>
      </c>
    </row>
    <row r="4" spans="1:18" ht="15" customHeight="1" x14ac:dyDescent="0.25">
      <c r="A4" s="270" t="s">
        <v>15</v>
      </c>
      <c r="B4" s="270"/>
      <c r="C4" s="62" t="s">
        <v>16</v>
      </c>
      <c r="D4" s="49"/>
      <c r="E4" s="67" t="s">
        <v>31</v>
      </c>
      <c r="F4" s="14" t="s">
        <v>30</v>
      </c>
      <c r="G4" s="73" t="s">
        <v>17</v>
      </c>
      <c r="H4" s="73" t="s">
        <v>18</v>
      </c>
      <c r="I4" s="14" t="s">
        <v>19</v>
      </c>
      <c r="J4" s="14" t="s">
        <v>20</v>
      </c>
      <c r="K4" s="13"/>
      <c r="M4" s="265">
        <f>N2</f>
        <v>10236143.743999999</v>
      </c>
      <c r="N4" s="267">
        <f>H33</f>
        <v>1427942.0522879998</v>
      </c>
      <c r="O4" s="268"/>
      <c r="P4" s="266"/>
      <c r="Q4" s="265">
        <f>M4+N4</f>
        <v>11664085.796287999</v>
      </c>
    </row>
    <row r="5" spans="1:18" x14ac:dyDescent="0.25">
      <c r="A5" s="115"/>
      <c r="B5" s="114"/>
      <c r="C5" s="63"/>
      <c r="D5" s="48"/>
      <c r="E5" s="68"/>
      <c r="F5" s="9"/>
      <c r="G5" s="192" t="s">
        <v>114</v>
      </c>
      <c r="H5" s="74" t="s">
        <v>21</v>
      </c>
      <c r="I5" s="20" t="s">
        <v>21</v>
      </c>
      <c r="J5" s="8"/>
      <c r="K5" s="13"/>
    </row>
    <row r="6" spans="1:18" ht="15.75" x14ac:dyDescent="0.25">
      <c r="A6" s="59">
        <v>9</v>
      </c>
      <c r="B6" s="114"/>
      <c r="C6" s="23" t="s">
        <v>86</v>
      </c>
      <c r="D6" s="48"/>
      <c r="E6" s="68"/>
      <c r="F6" s="9"/>
      <c r="G6" s="75"/>
      <c r="H6" s="75"/>
      <c r="I6" s="15"/>
      <c r="J6" s="8"/>
      <c r="K6" s="13"/>
    </row>
    <row r="7" spans="1:18" x14ac:dyDescent="0.25">
      <c r="A7" s="59"/>
      <c r="B7" s="114"/>
      <c r="D7" s="48"/>
      <c r="E7" s="68"/>
      <c r="F7" s="9"/>
      <c r="G7" s="75"/>
      <c r="H7" s="75"/>
      <c r="I7" s="15"/>
      <c r="J7" s="8"/>
      <c r="K7" s="13"/>
      <c r="R7" s="191"/>
    </row>
    <row r="8" spans="1:18" x14ac:dyDescent="0.25">
      <c r="A8" s="59"/>
      <c r="B8" s="114">
        <v>9.1</v>
      </c>
      <c r="C8" s="137" t="s">
        <v>94</v>
      </c>
      <c r="D8" s="48"/>
      <c r="E8" s="68"/>
      <c r="F8" s="9"/>
      <c r="G8" s="185"/>
      <c r="H8" s="146"/>
      <c r="I8" s="15"/>
      <c r="J8" s="8"/>
      <c r="K8" s="13"/>
      <c r="O8" s="195"/>
      <c r="P8" s="195"/>
    </row>
    <row r="9" spans="1:18" x14ac:dyDescent="0.25">
      <c r="A9" s="116"/>
      <c r="B9" s="112"/>
      <c r="C9" s="83" t="s">
        <v>95</v>
      </c>
      <c r="D9" s="144"/>
      <c r="E9" s="145"/>
      <c r="F9" s="145"/>
      <c r="G9" s="220">
        <v>1.8E-3</v>
      </c>
      <c r="H9" s="119">
        <f>Q4*G9</f>
        <v>20995.354433318396</v>
      </c>
      <c r="I9" s="93"/>
      <c r="J9" s="87" t="s">
        <v>284</v>
      </c>
      <c r="K9" s="13"/>
      <c r="M9" s="182"/>
      <c r="O9" s="54"/>
      <c r="P9" s="54"/>
    </row>
    <row r="10" spans="1:18" x14ac:dyDescent="0.25">
      <c r="A10" s="116"/>
      <c r="B10" s="112"/>
      <c r="C10" s="80" t="s">
        <v>96</v>
      </c>
      <c r="D10" s="144"/>
      <c r="E10" s="145"/>
      <c r="F10" s="118"/>
      <c r="G10" s="186">
        <v>1.5E-3</v>
      </c>
      <c r="H10" s="119">
        <f>Q4*G10</f>
        <v>17496.128694431998</v>
      </c>
      <c r="I10" s="93"/>
      <c r="J10" s="87" t="s">
        <v>284</v>
      </c>
      <c r="K10" s="13"/>
      <c r="M10" s="61"/>
      <c r="O10" s="54"/>
      <c r="P10" s="54"/>
    </row>
    <row r="11" spans="1:18" x14ac:dyDescent="0.25">
      <c r="A11" s="116"/>
      <c r="B11" s="112"/>
      <c r="C11" s="80" t="s">
        <v>109</v>
      </c>
      <c r="D11" s="144"/>
      <c r="E11" s="145"/>
      <c r="F11" s="118"/>
      <c r="G11" s="186">
        <v>2E-3</v>
      </c>
      <c r="H11" s="119">
        <f>Q4*G11</f>
        <v>23328.171592575996</v>
      </c>
      <c r="I11" s="93"/>
      <c r="J11" s="87" t="s">
        <v>284</v>
      </c>
      <c r="K11" s="13"/>
      <c r="M11" s="61"/>
      <c r="O11" s="196"/>
      <c r="Q11" s="156"/>
    </row>
    <row r="12" spans="1:18" x14ac:dyDescent="0.25">
      <c r="A12" s="116"/>
      <c r="B12" s="112"/>
      <c r="C12" s="80"/>
      <c r="D12" s="141"/>
      <c r="E12" s="96"/>
      <c r="F12" s="93"/>
      <c r="G12" s="186"/>
      <c r="H12" s="119"/>
      <c r="I12" s="93"/>
      <c r="J12" s="102"/>
      <c r="K12" s="13"/>
      <c r="O12" s="54"/>
      <c r="P12" s="54"/>
    </row>
    <row r="13" spans="1:18" x14ac:dyDescent="0.25">
      <c r="A13" s="116"/>
      <c r="B13" s="112"/>
      <c r="C13" s="80"/>
      <c r="D13" s="141"/>
      <c r="E13" s="96"/>
      <c r="F13" s="93"/>
      <c r="G13" s="193" t="s">
        <v>76</v>
      </c>
      <c r="H13" s="119">
        <f>SUM(H9:H11)</f>
        <v>61819.654720326391</v>
      </c>
      <c r="I13" s="93"/>
      <c r="J13" s="102"/>
      <c r="K13" s="13"/>
      <c r="O13" s="54"/>
      <c r="P13" s="54"/>
    </row>
    <row r="14" spans="1:18" x14ac:dyDescent="0.25">
      <c r="A14" s="116"/>
      <c r="B14" s="112"/>
      <c r="C14" s="80"/>
      <c r="D14" s="141"/>
      <c r="E14" s="96"/>
      <c r="F14" s="93"/>
      <c r="G14" s="186"/>
      <c r="H14" s="119"/>
      <c r="I14" s="93"/>
      <c r="J14" s="102"/>
      <c r="K14" s="13"/>
      <c r="O14" s="54"/>
      <c r="P14" s="54"/>
    </row>
    <row r="15" spans="1:18" x14ac:dyDescent="0.25">
      <c r="A15" s="116"/>
      <c r="B15" s="112">
        <v>9.1999999999999993</v>
      </c>
      <c r="C15" s="82" t="s">
        <v>97</v>
      </c>
      <c r="D15" s="141"/>
      <c r="E15" s="96"/>
      <c r="F15" s="93"/>
      <c r="G15" s="186"/>
      <c r="H15" s="119"/>
      <c r="I15" s="93"/>
      <c r="J15" s="102"/>
      <c r="K15" s="13"/>
    </row>
    <row r="16" spans="1:18" x14ac:dyDescent="0.25">
      <c r="A16" s="116"/>
      <c r="B16" s="112"/>
      <c r="C16" s="80" t="s">
        <v>98</v>
      </c>
      <c r="D16" s="141"/>
      <c r="E16" s="96"/>
      <c r="F16" s="93"/>
      <c r="G16" s="186">
        <v>0.06</v>
      </c>
      <c r="H16" s="119">
        <f t="shared" ref="H16:H23" si="0">$N$2*G16</f>
        <v>614168.62463999994</v>
      </c>
      <c r="I16" s="93"/>
      <c r="J16" s="102"/>
      <c r="K16" s="13"/>
      <c r="M16" s="61"/>
      <c r="O16" s="54"/>
      <c r="P16" s="197"/>
      <c r="Q16" s="71"/>
    </row>
    <row r="17" spans="1:17" x14ac:dyDescent="0.25">
      <c r="A17" s="116"/>
      <c r="B17" s="112"/>
      <c r="C17" s="80" t="s">
        <v>99</v>
      </c>
      <c r="D17" s="141"/>
      <c r="E17" s="96"/>
      <c r="F17" s="93"/>
      <c r="G17" s="186">
        <v>3.5000000000000001E-3</v>
      </c>
      <c r="H17" s="119">
        <f t="shared" si="0"/>
        <v>35826.503103999996</v>
      </c>
      <c r="I17" s="93"/>
      <c r="J17" s="102"/>
      <c r="K17" s="13"/>
      <c r="M17" s="61"/>
      <c r="O17" s="54"/>
      <c r="P17" s="196"/>
      <c r="Q17" s="71"/>
    </row>
    <row r="18" spans="1:17" x14ac:dyDescent="0.25">
      <c r="A18" s="116"/>
      <c r="B18" s="112"/>
      <c r="C18" s="80" t="s">
        <v>100</v>
      </c>
      <c r="D18" s="141"/>
      <c r="E18" s="96"/>
      <c r="F18" s="93"/>
      <c r="G18" s="186">
        <v>0.01</v>
      </c>
      <c r="H18" s="119">
        <f t="shared" si="0"/>
        <v>102361.43743999999</v>
      </c>
      <c r="I18" s="93"/>
      <c r="J18" s="102"/>
      <c r="K18" s="13"/>
      <c r="M18" s="61"/>
      <c r="O18" s="54"/>
      <c r="P18" s="197"/>
      <c r="Q18" s="71"/>
    </row>
    <row r="19" spans="1:17" x14ac:dyDescent="0.25">
      <c r="A19" s="116"/>
      <c r="B19" s="112"/>
      <c r="C19" s="80" t="s">
        <v>101</v>
      </c>
      <c r="D19" s="141"/>
      <c r="E19" s="96"/>
      <c r="F19" s="93"/>
      <c r="G19" s="186">
        <v>1.5E-3</v>
      </c>
      <c r="H19" s="119">
        <f t="shared" si="0"/>
        <v>15354.215615999999</v>
      </c>
      <c r="I19" s="93"/>
      <c r="J19" s="102"/>
      <c r="K19" s="13"/>
      <c r="M19" s="61"/>
      <c r="O19" s="54"/>
      <c r="P19" s="196"/>
      <c r="Q19" s="71"/>
    </row>
    <row r="20" spans="1:17" x14ac:dyDescent="0.25">
      <c r="A20" s="116"/>
      <c r="B20" s="112"/>
      <c r="C20" s="80" t="s">
        <v>110</v>
      </c>
      <c r="D20" s="141"/>
      <c r="E20" s="96"/>
      <c r="F20" s="93"/>
      <c r="G20" s="186">
        <v>1E-3</v>
      </c>
      <c r="H20" s="119">
        <f t="shared" si="0"/>
        <v>10236.143743999999</v>
      </c>
      <c r="I20" s="93"/>
      <c r="J20" s="102"/>
      <c r="K20" s="13"/>
      <c r="M20" s="61"/>
      <c r="O20" s="54"/>
      <c r="P20" s="196"/>
      <c r="Q20" s="71"/>
    </row>
    <row r="21" spans="1:17" x14ac:dyDescent="0.25">
      <c r="A21" s="116"/>
      <c r="B21" s="112"/>
      <c r="C21" s="80" t="s">
        <v>102</v>
      </c>
      <c r="D21" s="141"/>
      <c r="E21" s="96"/>
      <c r="F21" s="189"/>
      <c r="G21" s="186">
        <f>0.1%+0.03%</f>
        <v>1.2999999999999999E-3</v>
      </c>
      <c r="H21" s="119">
        <f t="shared" si="0"/>
        <v>13306.986867199998</v>
      </c>
      <c r="I21" s="93"/>
      <c r="J21" s="102"/>
      <c r="K21" s="13"/>
      <c r="M21" s="61"/>
      <c r="O21" s="54"/>
      <c r="P21" s="54"/>
      <c r="Q21" s="71"/>
    </row>
    <row r="22" spans="1:17" x14ac:dyDescent="0.25">
      <c r="A22" s="116"/>
      <c r="B22" s="112"/>
      <c r="C22" s="80" t="s">
        <v>103</v>
      </c>
      <c r="D22" s="141"/>
      <c r="E22" s="96"/>
      <c r="F22" s="93"/>
      <c r="G22" s="186">
        <f>2%+0.2%</f>
        <v>2.1999999999999999E-2</v>
      </c>
      <c r="H22" s="119">
        <f t="shared" si="0"/>
        <v>225195.16236799996</v>
      </c>
      <c r="I22" s="93"/>
      <c r="J22" s="102"/>
      <c r="K22" s="13"/>
      <c r="M22" s="61"/>
      <c r="O22" s="54"/>
      <c r="P22" s="198"/>
      <c r="Q22" s="71"/>
    </row>
    <row r="23" spans="1:17" x14ac:dyDescent="0.25">
      <c r="A23" s="116"/>
      <c r="B23" s="112"/>
      <c r="C23" s="80" t="s">
        <v>104</v>
      </c>
      <c r="D23" s="141"/>
      <c r="E23" s="96"/>
      <c r="F23" s="93"/>
      <c r="G23" s="186">
        <v>7.4999999999999997E-3</v>
      </c>
      <c r="H23" s="119">
        <f t="shared" si="0"/>
        <v>76771.078079999992</v>
      </c>
      <c r="I23" s="93"/>
      <c r="J23" s="102"/>
      <c r="K23" s="13"/>
      <c r="M23" s="61"/>
      <c r="O23" s="54"/>
      <c r="P23" s="196"/>
      <c r="Q23" s="71"/>
    </row>
    <row r="24" spans="1:17" x14ac:dyDescent="0.25">
      <c r="A24" s="116"/>
      <c r="B24" s="112"/>
      <c r="C24" s="80" t="s">
        <v>105</v>
      </c>
      <c r="D24" s="141"/>
      <c r="E24" s="96"/>
      <c r="F24" s="93"/>
      <c r="G24" s="186">
        <v>5.0000000000000001E-3</v>
      </c>
      <c r="H24" s="119">
        <f t="shared" ref="H24:H29" si="1">$N$2*G24</f>
        <v>51180.718719999997</v>
      </c>
      <c r="I24" s="93"/>
      <c r="J24" s="102"/>
      <c r="K24" s="13"/>
      <c r="M24" s="61"/>
      <c r="O24" s="54"/>
      <c r="P24" s="54"/>
      <c r="Q24" s="71"/>
    </row>
    <row r="25" spans="1:17" x14ac:dyDescent="0.25">
      <c r="A25" s="116"/>
      <c r="B25" s="112"/>
      <c r="C25" s="80" t="s">
        <v>111</v>
      </c>
      <c r="D25" s="141"/>
      <c r="E25" s="96"/>
      <c r="F25" s="93"/>
      <c r="G25" s="186">
        <v>7.0000000000000001E-3</v>
      </c>
      <c r="H25" s="119">
        <f t="shared" si="1"/>
        <v>71653.006207999992</v>
      </c>
      <c r="I25" s="93"/>
      <c r="J25" s="102"/>
      <c r="K25" s="13"/>
      <c r="M25" s="61"/>
      <c r="O25" s="54"/>
      <c r="P25" s="54"/>
      <c r="Q25" s="71"/>
    </row>
    <row r="26" spans="1:17" x14ac:dyDescent="0.25">
      <c r="A26" s="116"/>
      <c r="B26" s="112"/>
      <c r="C26" s="80" t="s">
        <v>106</v>
      </c>
      <c r="D26" s="141"/>
      <c r="E26" s="96"/>
      <c r="F26" s="93"/>
      <c r="G26" s="186">
        <v>1.5E-3</v>
      </c>
      <c r="H26" s="119">
        <f t="shared" si="1"/>
        <v>15354.215615999999</v>
      </c>
      <c r="I26" s="93"/>
      <c r="J26" s="102"/>
      <c r="K26" s="13"/>
      <c r="M26" s="61"/>
      <c r="O26" s="54"/>
      <c r="P26" s="196"/>
      <c r="Q26" s="71"/>
    </row>
    <row r="27" spans="1:17" x14ac:dyDescent="0.25">
      <c r="A27" s="116"/>
      <c r="B27" s="112"/>
      <c r="C27" s="80" t="s">
        <v>107</v>
      </c>
      <c r="D27" s="141"/>
      <c r="E27" s="96"/>
      <c r="F27" s="93"/>
      <c r="G27" s="186">
        <v>8.0000000000000002E-3</v>
      </c>
      <c r="H27" s="119">
        <f>$N$2*G27</f>
        <v>81889.149951999992</v>
      </c>
      <c r="I27" s="93"/>
      <c r="J27" s="102"/>
      <c r="K27" s="13"/>
      <c r="M27" s="61"/>
      <c r="O27" s="54"/>
      <c r="P27" s="54"/>
    </row>
    <row r="28" spans="1:17" x14ac:dyDescent="0.25">
      <c r="A28" s="116"/>
      <c r="B28" s="112"/>
      <c r="C28" s="80" t="s">
        <v>108</v>
      </c>
      <c r="D28" s="141"/>
      <c r="E28" s="96"/>
      <c r="F28" s="93"/>
      <c r="G28" s="186">
        <v>9.1999999999999998E-3</v>
      </c>
      <c r="H28" s="119">
        <f t="shared" si="1"/>
        <v>94172.522444799994</v>
      </c>
      <c r="I28" s="93"/>
      <c r="J28" s="102"/>
      <c r="K28" s="13"/>
      <c r="M28" s="61"/>
      <c r="O28" s="54"/>
      <c r="P28" s="54"/>
    </row>
    <row r="29" spans="1:17" x14ac:dyDescent="0.25">
      <c r="A29" s="115"/>
      <c r="B29" s="112"/>
      <c r="C29" s="80" t="s">
        <v>112</v>
      </c>
      <c r="D29" s="142"/>
      <c r="E29" s="99"/>
      <c r="F29" s="143"/>
      <c r="G29" s="186">
        <v>2E-3</v>
      </c>
      <c r="H29" s="119">
        <f t="shared" si="1"/>
        <v>20472.287487999998</v>
      </c>
      <c r="I29" s="93"/>
      <c r="J29" s="102"/>
      <c r="K29" s="13"/>
      <c r="M29" s="61"/>
      <c r="O29" s="54"/>
      <c r="P29" s="54"/>
    </row>
    <row r="30" spans="1:17" x14ac:dyDescent="0.25">
      <c r="A30" s="115"/>
      <c r="B30" s="112"/>
      <c r="C30" s="80"/>
      <c r="D30" s="147"/>
      <c r="E30" s="88"/>
      <c r="F30" s="90"/>
      <c r="G30" s="91"/>
      <c r="H30" s="145"/>
      <c r="I30" s="118"/>
      <c r="J30" s="102"/>
      <c r="K30" s="13"/>
      <c r="M30" s="61"/>
      <c r="O30" s="54"/>
      <c r="P30" s="54"/>
    </row>
    <row r="31" spans="1:17" x14ac:dyDescent="0.25">
      <c r="A31" s="115"/>
      <c r="B31" s="112"/>
      <c r="C31" s="80"/>
      <c r="D31" s="147"/>
      <c r="E31" s="88"/>
      <c r="F31" s="90"/>
      <c r="G31" s="117"/>
      <c r="H31" s="146"/>
      <c r="I31" s="118"/>
      <c r="J31" s="102"/>
      <c r="K31" s="13"/>
    </row>
    <row r="32" spans="1:17" x14ac:dyDescent="0.25">
      <c r="A32" s="115"/>
      <c r="B32" s="112"/>
      <c r="C32" s="80"/>
      <c r="D32" s="142"/>
      <c r="E32" s="99"/>
      <c r="F32" s="143"/>
      <c r="G32" s="100"/>
      <c r="H32" s="92"/>
      <c r="I32" s="93"/>
      <c r="J32" s="102"/>
      <c r="K32" s="13"/>
    </row>
    <row r="33" spans="1:11" x14ac:dyDescent="0.25">
      <c r="A33" s="149"/>
      <c r="B33" s="131"/>
      <c r="C33" s="132"/>
      <c r="D33" s="150"/>
      <c r="E33" s="151"/>
      <c r="F33" s="152"/>
      <c r="G33" s="178" t="s">
        <v>63</v>
      </c>
      <c r="H33" s="180">
        <f>SUM(H16:I32)</f>
        <v>1427942.0522879998</v>
      </c>
      <c r="I33" s="179">
        <f>SUM(I6:I32)</f>
        <v>0</v>
      </c>
      <c r="J33" s="153"/>
      <c r="K33" s="13"/>
    </row>
    <row r="34" spans="1:11" x14ac:dyDescent="0.25">
      <c r="G34" s="156"/>
      <c r="H34" s="156"/>
      <c r="I34" s="54"/>
    </row>
    <row r="35" spans="1:11" x14ac:dyDescent="0.25">
      <c r="D35" s="204" t="s">
        <v>287</v>
      </c>
      <c r="E35" s="261"/>
      <c r="F35" s="204"/>
      <c r="G35" s="262">
        <f>SUM(G9:G29)</f>
        <v>0.14480000000000004</v>
      </c>
      <c r="H35" s="156"/>
      <c r="I35" s="156"/>
    </row>
    <row r="37" spans="1:11" x14ac:dyDescent="0.25">
      <c r="H37" s="71">
        <f>H33+H13</f>
        <v>1489761.7070083262</v>
      </c>
    </row>
  </sheetData>
  <mergeCells count="1">
    <mergeCell ref="A4:B4"/>
  </mergeCells>
  <pageMargins left="0.7" right="0.7" top="0.75" bottom="0.75" header="0.3" footer="0.3"/>
  <pageSetup paperSize="9" scale="64" fitToHeight="0"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F0FE9-F69D-449B-A563-8D513FD2B030}">
  <sheetPr>
    <pageSetUpPr fitToPage="1"/>
  </sheetPr>
  <dimension ref="A1:N18"/>
  <sheetViews>
    <sheetView view="pageBreakPreview" zoomScale="85" zoomScaleNormal="85" zoomScaleSheetLayoutView="85" workbookViewId="0">
      <pane ySplit="4" topLeftCell="A5" activePane="bottomLeft" state="frozen"/>
      <selection pane="bottomLeft" activeCell="H15" sqref="H15"/>
    </sheetView>
  </sheetViews>
  <sheetFormatPr defaultRowHeight="15" x14ac:dyDescent="0.25"/>
  <cols>
    <col min="1" max="1" width="3.140625" style="57" bestFit="1" customWidth="1"/>
    <col min="2" max="2" width="5.7109375" style="57" bestFit="1" customWidth="1"/>
    <col min="3" max="3" width="49" style="61" customWidth="1"/>
    <col min="4" max="4" width="7.42578125" customWidth="1"/>
    <col min="5" max="5" width="7.42578125" style="65" hidden="1" customWidth="1"/>
    <col min="6" max="6" width="8.28515625" hidden="1" customWidth="1"/>
    <col min="7" max="7" width="14.7109375" style="71" customWidth="1"/>
    <col min="8" max="8" width="20.28515625" style="71" bestFit="1" customWidth="1"/>
    <col min="9" max="9" width="12.7109375" hidden="1" customWidth="1"/>
    <col min="10" max="10" width="26" customWidth="1"/>
    <col min="11" max="11" width="1.28515625" customWidth="1"/>
    <col min="13" max="13" width="20.28515625" bestFit="1" customWidth="1"/>
    <col min="14" max="14" width="13.42578125" customWidth="1"/>
  </cols>
  <sheetData>
    <row r="1" spans="1:14" x14ac:dyDescent="0.25">
      <c r="A1" s="54"/>
      <c r="B1" s="54"/>
    </row>
    <row r="2" spans="1:14" x14ac:dyDescent="0.25">
      <c r="A2" s="58"/>
      <c r="B2" s="55"/>
      <c r="C2" s="4"/>
      <c r="D2" s="4"/>
      <c r="E2" s="66"/>
      <c r="F2" s="3"/>
      <c r="G2" s="72"/>
      <c r="J2" s="6"/>
      <c r="K2" s="12"/>
      <c r="M2" s="165" t="s">
        <v>92</v>
      </c>
      <c r="N2" s="183">
        <f>Summary!D30</f>
        <v>10236143.743999999</v>
      </c>
    </row>
    <row r="3" spans="1:14" x14ac:dyDescent="0.25">
      <c r="A3" s="58"/>
      <c r="B3" s="55"/>
      <c r="C3" s="3"/>
      <c r="D3" s="3"/>
      <c r="E3" s="66"/>
      <c r="F3" s="3"/>
      <c r="G3" s="72"/>
      <c r="H3" s="72"/>
      <c r="I3" s="5"/>
      <c r="J3" s="6"/>
      <c r="K3" s="12"/>
    </row>
    <row r="4" spans="1:14" ht="15" customHeight="1" x14ac:dyDescent="0.25">
      <c r="A4" s="270" t="s">
        <v>15</v>
      </c>
      <c r="B4" s="270"/>
      <c r="C4" s="62" t="s">
        <v>16</v>
      </c>
      <c r="D4" s="49"/>
      <c r="E4" s="67" t="s">
        <v>31</v>
      </c>
      <c r="F4" s="14" t="s">
        <v>30</v>
      </c>
      <c r="G4" s="73" t="s">
        <v>17</v>
      </c>
      <c r="H4" s="73" t="s">
        <v>18</v>
      </c>
      <c r="I4" s="14" t="s">
        <v>19</v>
      </c>
      <c r="J4" s="14" t="s">
        <v>20</v>
      </c>
      <c r="K4" s="14"/>
    </row>
    <row r="5" spans="1:14" x14ac:dyDescent="0.25">
      <c r="A5" s="115"/>
      <c r="B5" s="114"/>
      <c r="C5" s="63"/>
      <c r="D5" s="48"/>
      <c r="E5" s="68"/>
      <c r="F5" s="9"/>
      <c r="G5" s="74" t="s">
        <v>114</v>
      </c>
      <c r="H5" s="74" t="s">
        <v>21</v>
      </c>
      <c r="I5" s="20" t="s">
        <v>21</v>
      </c>
      <c r="J5" s="8"/>
      <c r="K5" s="13"/>
    </row>
    <row r="6" spans="1:14" ht="15.75" x14ac:dyDescent="0.25">
      <c r="A6" s="59">
        <v>10</v>
      </c>
      <c r="B6" s="114"/>
      <c r="C6" s="23" t="s">
        <v>88</v>
      </c>
      <c r="D6" s="48"/>
      <c r="E6" s="68"/>
      <c r="F6" s="9"/>
      <c r="G6" s="75"/>
      <c r="H6" s="75"/>
      <c r="I6" s="15"/>
      <c r="J6" s="8"/>
      <c r="K6" s="13"/>
    </row>
    <row r="7" spans="1:14" x14ac:dyDescent="0.25">
      <c r="A7" s="59"/>
      <c r="B7" s="114"/>
      <c r="D7" s="48"/>
      <c r="E7" s="68"/>
      <c r="F7" s="9"/>
      <c r="G7" s="75"/>
      <c r="H7" s="75"/>
      <c r="I7" s="15"/>
      <c r="J7" s="8"/>
      <c r="K7" s="13"/>
    </row>
    <row r="8" spans="1:14" x14ac:dyDescent="0.25">
      <c r="A8" s="59"/>
      <c r="B8" s="114">
        <v>10.1</v>
      </c>
      <c r="C8" s="137" t="s">
        <v>113</v>
      </c>
      <c r="D8" s="48"/>
      <c r="E8" s="68"/>
      <c r="F8" s="9"/>
      <c r="G8" s="193">
        <v>7.4999999999999997E-2</v>
      </c>
      <c r="H8" s="146">
        <f>$N$2*G8</f>
        <v>767710.78079999995</v>
      </c>
      <c r="I8" s="15"/>
      <c r="J8" s="8"/>
      <c r="K8" s="13"/>
    </row>
    <row r="9" spans="1:14" x14ac:dyDescent="0.25">
      <c r="A9" s="116"/>
      <c r="B9" s="112"/>
      <c r="C9" s="83"/>
      <c r="D9" s="144"/>
      <c r="E9" s="145"/>
      <c r="F9" s="145"/>
      <c r="G9" s="117"/>
      <c r="H9" s="117"/>
      <c r="I9" s="118"/>
      <c r="J9" s="95"/>
      <c r="K9" s="13"/>
    </row>
    <row r="10" spans="1:14" x14ac:dyDescent="0.25">
      <c r="A10" s="116"/>
      <c r="C10" s="80"/>
      <c r="D10" s="141"/>
      <c r="E10" s="96"/>
      <c r="F10" s="93"/>
      <c r="G10" s="187"/>
      <c r="H10" s="103"/>
      <c r="I10" s="93"/>
      <c r="J10" s="102"/>
      <c r="K10" s="13"/>
    </row>
    <row r="11" spans="1:14" x14ac:dyDescent="0.25">
      <c r="A11" s="115"/>
      <c r="B11" s="112"/>
      <c r="C11" s="82"/>
      <c r="D11" s="142"/>
      <c r="E11" s="99"/>
      <c r="F11" s="143"/>
      <c r="G11" s="188"/>
      <c r="H11" s="92"/>
      <c r="I11" s="93"/>
      <c r="J11" s="102"/>
      <c r="K11" s="13"/>
    </row>
    <row r="12" spans="1:14" x14ac:dyDescent="0.25">
      <c r="A12" s="115"/>
      <c r="B12" s="112">
        <v>10.199999999999999</v>
      </c>
      <c r="C12" s="82" t="s">
        <v>115</v>
      </c>
      <c r="D12" s="147"/>
      <c r="E12" s="88"/>
      <c r="F12" s="90"/>
      <c r="G12" s="193">
        <v>0.08</v>
      </c>
      <c r="H12" s="146">
        <f>$N$2*G12</f>
        <v>818891.49951999995</v>
      </c>
      <c r="I12" s="118"/>
      <c r="J12" s="102"/>
      <c r="K12" s="13"/>
    </row>
    <row r="13" spans="1:14" x14ac:dyDescent="0.25">
      <c r="A13" s="115"/>
      <c r="B13" s="112"/>
      <c r="C13" s="83"/>
      <c r="D13" s="147"/>
      <c r="E13" s="88"/>
      <c r="F13" s="90"/>
      <c r="G13" s="117"/>
      <c r="H13" s="117"/>
      <c r="I13" s="118"/>
      <c r="J13" s="102"/>
      <c r="K13" s="13"/>
    </row>
    <row r="14" spans="1:14" x14ac:dyDescent="0.25">
      <c r="A14" s="115"/>
      <c r="B14" s="112"/>
      <c r="C14" s="80"/>
      <c r="D14" s="142"/>
      <c r="E14" s="99"/>
      <c r="F14" s="143"/>
      <c r="G14" s="188"/>
      <c r="H14" s="92"/>
      <c r="I14" s="93"/>
      <c r="J14" s="102"/>
      <c r="K14" s="13"/>
    </row>
    <row r="15" spans="1:14" x14ac:dyDescent="0.25">
      <c r="A15" s="149"/>
      <c r="B15" s="131"/>
      <c r="C15" s="132"/>
      <c r="D15" s="150"/>
      <c r="E15" s="151"/>
      <c r="F15" s="152"/>
      <c r="G15" s="180" t="s">
        <v>63</v>
      </c>
      <c r="H15" s="179">
        <f>SUM(H6:H14)</f>
        <v>1586602.2803199999</v>
      </c>
      <c r="I15" s="221"/>
      <c r="J15" s="153"/>
      <c r="K15" s="13"/>
    </row>
    <row r="16" spans="1:14" x14ac:dyDescent="0.25">
      <c r="G16" s="156"/>
      <c r="H16" s="156"/>
      <c r="I16" s="54"/>
    </row>
    <row r="17" spans="7:9" x14ac:dyDescent="0.25">
      <c r="G17" s="156"/>
      <c r="H17" s="156"/>
      <c r="I17" s="156"/>
    </row>
    <row r="18" spans="7:9" x14ac:dyDescent="0.25">
      <c r="G18" s="156"/>
      <c r="H18" s="156"/>
      <c r="I18" s="54"/>
    </row>
  </sheetData>
  <mergeCells count="1">
    <mergeCell ref="A4:B4"/>
  </mergeCells>
  <pageMargins left="0.7" right="0.7" top="0.75" bottom="0.75" header="0.3" footer="0.3"/>
  <pageSetup paperSize="9" scale="70" fitToHeight="0"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C0FC1-B021-4C45-B614-A21BCBB21FB3}">
  <sheetPr>
    <pageSetUpPr fitToPage="1"/>
  </sheetPr>
  <dimension ref="A1:N14"/>
  <sheetViews>
    <sheetView view="pageBreakPreview" zoomScale="85" zoomScaleNormal="85" zoomScaleSheetLayoutView="85" workbookViewId="0">
      <pane ySplit="4" topLeftCell="A5" activePane="bottomLeft" state="frozen"/>
      <selection pane="bottomLeft" activeCell="O10" sqref="O10"/>
    </sheetView>
  </sheetViews>
  <sheetFormatPr defaultRowHeight="15" x14ac:dyDescent="0.25"/>
  <cols>
    <col min="1" max="1" width="3.140625" style="57" bestFit="1" customWidth="1"/>
    <col min="2" max="2" width="5.7109375" style="57" bestFit="1" customWidth="1"/>
    <col min="3" max="3" width="49" style="61" customWidth="1"/>
    <col min="4" max="4" width="7.42578125" customWidth="1"/>
    <col min="5" max="5" width="7.42578125" style="65" hidden="1" customWidth="1"/>
    <col min="6" max="6" width="8.28515625" hidden="1" customWidth="1"/>
    <col min="7" max="7" width="14.7109375" style="71" customWidth="1"/>
    <col min="8" max="8" width="18.5703125" style="71" customWidth="1"/>
    <col min="9" max="9" width="0.5703125" hidden="1" customWidth="1"/>
    <col min="10" max="10" width="30.5703125" customWidth="1"/>
    <col min="11" max="11" width="1.28515625" customWidth="1"/>
    <col min="13" max="13" width="20.28515625" bestFit="1" customWidth="1"/>
    <col min="14" max="14" width="14.28515625" customWidth="1"/>
  </cols>
  <sheetData>
    <row r="1" spans="1:14" x14ac:dyDescent="0.25">
      <c r="A1" s="54"/>
      <c r="B1" s="54"/>
    </row>
    <row r="2" spans="1:14" x14ac:dyDescent="0.25">
      <c r="A2" s="58"/>
      <c r="B2" s="55"/>
      <c r="C2" s="4"/>
      <c r="D2" s="4"/>
      <c r="E2" s="66"/>
      <c r="F2" s="3"/>
      <c r="G2" s="72"/>
      <c r="J2" s="6"/>
      <c r="K2" s="12"/>
      <c r="M2" s="165" t="s">
        <v>92</v>
      </c>
      <c r="N2" s="183">
        <f>Summary!D30</f>
        <v>10236143.743999999</v>
      </c>
    </row>
    <row r="3" spans="1:14" x14ac:dyDescent="0.25">
      <c r="A3" s="58"/>
      <c r="B3" s="55"/>
      <c r="C3" s="3"/>
      <c r="D3" s="3"/>
      <c r="E3" s="66"/>
      <c r="F3" s="3"/>
      <c r="G3" s="72"/>
      <c r="H3" s="72"/>
      <c r="I3" s="5"/>
      <c r="J3" s="6"/>
      <c r="K3" s="12"/>
    </row>
    <row r="4" spans="1:14" ht="15" customHeight="1" x14ac:dyDescent="0.25">
      <c r="A4" s="270" t="s">
        <v>15</v>
      </c>
      <c r="B4" s="270"/>
      <c r="C4" s="62" t="s">
        <v>16</v>
      </c>
      <c r="D4" s="49"/>
      <c r="E4" s="67" t="s">
        <v>31</v>
      </c>
      <c r="F4" s="14" t="s">
        <v>30</v>
      </c>
      <c r="G4" s="73" t="s">
        <v>17</v>
      </c>
      <c r="H4" s="73" t="s">
        <v>18</v>
      </c>
      <c r="I4" s="14" t="s">
        <v>19</v>
      </c>
      <c r="J4" s="14" t="s">
        <v>20</v>
      </c>
      <c r="K4" s="49"/>
      <c r="L4" s="222"/>
      <c r="M4" s="71"/>
    </row>
    <row r="5" spans="1:14" x14ac:dyDescent="0.25">
      <c r="A5" s="115"/>
      <c r="B5" s="114"/>
      <c r="C5" s="63"/>
      <c r="D5" s="48"/>
      <c r="E5" s="68"/>
      <c r="F5" s="9"/>
      <c r="G5" s="74" t="s">
        <v>114</v>
      </c>
      <c r="H5" s="74" t="s">
        <v>21</v>
      </c>
      <c r="I5" s="20" t="s">
        <v>21</v>
      </c>
      <c r="J5" s="8"/>
      <c r="K5" s="13"/>
    </row>
    <row r="6" spans="1:14" ht="15.75" x14ac:dyDescent="0.25">
      <c r="A6" s="59">
        <v>11</v>
      </c>
      <c r="B6" s="114"/>
      <c r="C6" s="23" t="s">
        <v>87</v>
      </c>
      <c r="D6" s="48"/>
      <c r="E6" s="68"/>
      <c r="F6" s="9"/>
      <c r="G6" s="184"/>
      <c r="H6" s="75"/>
      <c r="I6" s="15"/>
      <c r="J6" s="8"/>
      <c r="K6" s="13"/>
    </row>
    <row r="7" spans="1:14" x14ac:dyDescent="0.25">
      <c r="A7" s="59"/>
      <c r="B7" s="114"/>
      <c r="D7" s="48"/>
      <c r="E7" s="68"/>
      <c r="F7" s="9"/>
      <c r="G7" s="184"/>
      <c r="H7" s="75"/>
      <c r="I7" s="15"/>
      <c r="J7" s="8"/>
      <c r="K7" s="13"/>
    </row>
    <row r="8" spans="1:14" x14ac:dyDescent="0.25">
      <c r="A8" s="59"/>
      <c r="B8" s="114">
        <v>11.1</v>
      </c>
      <c r="C8" s="137" t="s">
        <v>116</v>
      </c>
      <c r="D8" s="48"/>
      <c r="E8" s="68"/>
      <c r="F8" s="9"/>
      <c r="G8" s="184">
        <v>0.09</v>
      </c>
      <c r="H8" s="75">
        <f>N2*G8</f>
        <v>921252.93695999985</v>
      </c>
      <c r="I8" s="15"/>
      <c r="J8" s="8"/>
      <c r="K8" s="13"/>
    </row>
    <row r="9" spans="1:14" x14ac:dyDescent="0.25">
      <c r="A9" s="116"/>
      <c r="B9" s="112"/>
      <c r="C9" s="83"/>
      <c r="D9" s="144"/>
      <c r="E9" s="145"/>
      <c r="F9" s="145"/>
      <c r="G9" s="185"/>
      <c r="H9" s="145"/>
      <c r="I9" s="118"/>
      <c r="J9" s="95"/>
      <c r="K9" s="13"/>
    </row>
    <row r="10" spans="1:14" x14ac:dyDescent="0.25">
      <c r="A10" s="116"/>
      <c r="B10" s="112"/>
      <c r="C10" s="83"/>
      <c r="D10" s="144"/>
      <c r="E10" s="145"/>
      <c r="F10" s="145"/>
      <c r="G10" s="185"/>
      <c r="H10" s="145"/>
      <c r="I10" s="118"/>
      <c r="J10" s="95"/>
      <c r="K10" s="13"/>
    </row>
    <row r="11" spans="1:14" x14ac:dyDescent="0.25">
      <c r="A11" s="115"/>
      <c r="B11" s="112"/>
      <c r="C11" s="80"/>
      <c r="D11" s="142"/>
      <c r="E11" s="99"/>
      <c r="F11" s="143"/>
      <c r="G11" s="100"/>
      <c r="H11" s="92"/>
      <c r="I11" s="93"/>
      <c r="J11" s="102"/>
      <c r="K11" s="13"/>
    </row>
    <row r="12" spans="1:14" x14ac:dyDescent="0.25">
      <c r="A12" s="149"/>
      <c r="B12" s="131"/>
      <c r="C12" s="132"/>
      <c r="D12" s="150"/>
      <c r="E12" s="151"/>
      <c r="F12" s="152"/>
      <c r="G12" s="180" t="s">
        <v>63</v>
      </c>
      <c r="H12" s="179">
        <f>SUM(H6:H11)</f>
        <v>921252.93695999985</v>
      </c>
      <c r="I12" s="179"/>
      <c r="J12" s="153"/>
      <c r="K12" s="13"/>
    </row>
    <row r="13" spans="1:14" x14ac:dyDescent="0.25">
      <c r="G13" s="156"/>
      <c r="H13" s="156"/>
      <c r="I13" s="54"/>
    </row>
    <row r="14" spans="1:14" x14ac:dyDescent="0.25">
      <c r="G14" s="156"/>
      <c r="H14" s="156"/>
      <c r="I14" s="156"/>
    </row>
  </sheetData>
  <mergeCells count="1">
    <mergeCell ref="A4:B4"/>
  </mergeCells>
  <pageMargins left="0.7" right="0.7" top="0.75" bottom="0.75" header="0.3" footer="0.3"/>
  <pageSetup paperSize="9" scale="68" fitToHeight="0"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773CAF-9A1F-4046-9907-9B82C0D72448}">
  <sheetPr>
    <pageSetUpPr fitToPage="1"/>
  </sheetPr>
  <dimension ref="A1:N14"/>
  <sheetViews>
    <sheetView view="pageBreakPreview" zoomScale="85" zoomScaleNormal="85" zoomScaleSheetLayoutView="85" workbookViewId="0">
      <pane ySplit="4" topLeftCell="A5" activePane="bottomLeft" state="frozen"/>
      <selection pane="bottomLeft" activeCell="H12" sqref="H12"/>
    </sheetView>
  </sheetViews>
  <sheetFormatPr defaultRowHeight="15" x14ac:dyDescent="0.25"/>
  <cols>
    <col min="1" max="1" width="3.140625" style="57" bestFit="1" customWidth="1"/>
    <col min="2" max="2" width="5.7109375" style="57" bestFit="1" customWidth="1"/>
    <col min="3" max="3" width="49" style="61" customWidth="1"/>
    <col min="4" max="4" width="7.42578125" customWidth="1"/>
    <col min="5" max="5" width="7.42578125" style="65" hidden="1" customWidth="1"/>
    <col min="6" max="6" width="8.28515625" hidden="1" customWidth="1"/>
    <col min="7" max="7" width="14.7109375" style="71" customWidth="1"/>
    <col min="8" max="8" width="20.28515625" style="71" bestFit="1" customWidth="1"/>
    <col min="9" max="9" width="16.42578125" hidden="1" customWidth="1"/>
    <col min="10" max="10" width="35.7109375" customWidth="1"/>
    <col min="11" max="11" width="1.28515625" customWidth="1"/>
    <col min="13" max="13" width="20.28515625" bestFit="1" customWidth="1"/>
    <col min="14" max="14" width="14.28515625" customWidth="1"/>
  </cols>
  <sheetData>
    <row r="1" spans="1:14" x14ac:dyDescent="0.25">
      <c r="A1" s="54"/>
      <c r="B1" s="54"/>
    </row>
    <row r="2" spans="1:14" x14ac:dyDescent="0.25">
      <c r="A2" s="58"/>
      <c r="B2" s="55"/>
      <c r="C2" s="4"/>
      <c r="D2" s="4"/>
      <c r="E2" s="66"/>
      <c r="F2" s="3"/>
      <c r="G2" s="72"/>
      <c r="J2" s="6"/>
      <c r="K2" s="12"/>
      <c r="M2" s="165" t="s">
        <v>92</v>
      </c>
      <c r="N2" s="183">
        <f>Summary!D30</f>
        <v>10236143.743999999</v>
      </c>
    </row>
    <row r="3" spans="1:14" x14ac:dyDescent="0.25">
      <c r="A3" s="58"/>
      <c r="B3" s="55"/>
      <c r="C3" s="3"/>
      <c r="D3" s="3"/>
      <c r="E3" s="66"/>
      <c r="F3" s="3"/>
      <c r="G3" s="72"/>
      <c r="H3" s="72"/>
      <c r="I3" s="5"/>
      <c r="J3" s="6"/>
      <c r="K3" s="12"/>
    </row>
    <row r="4" spans="1:14" ht="15" customHeight="1" x14ac:dyDescent="0.25">
      <c r="A4" s="270" t="s">
        <v>15</v>
      </c>
      <c r="B4" s="270"/>
      <c r="C4" s="62" t="s">
        <v>16</v>
      </c>
      <c r="D4" s="49"/>
      <c r="E4" s="67" t="s">
        <v>31</v>
      </c>
      <c r="F4" s="14" t="s">
        <v>30</v>
      </c>
      <c r="G4" s="73" t="s">
        <v>17</v>
      </c>
      <c r="H4" s="73" t="s">
        <v>18</v>
      </c>
      <c r="I4" s="14" t="s">
        <v>19</v>
      </c>
      <c r="J4" s="14" t="s">
        <v>20</v>
      </c>
      <c r="K4" s="13"/>
    </row>
    <row r="5" spans="1:14" x14ac:dyDescent="0.25">
      <c r="A5" s="115"/>
      <c r="B5" s="114"/>
      <c r="C5" s="63"/>
      <c r="D5" s="48"/>
      <c r="E5" s="68"/>
      <c r="F5" s="9"/>
      <c r="G5" s="74" t="s">
        <v>21</v>
      </c>
      <c r="H5" s="74" t="s">
        <v>21</v>
      </c>
      <c r="I5" s="20" t="s">
        <v>21</v>
      </c>
      <c r="J5" s="8"/>
      <c r="K5" s="13"/>
    </row>
    <row r="6" spans="1:14" ht="15.75" x14ac:dyDescent="0.25">
      <c r="A6" s="59">
        <v>12</v>
      </c>
      <c r="B6" s="114"/>
      <c r="C6" s="23" t="s">
        <v>89</v>
      </c>
      <c r="D6" s="48"/>
      <c r="E6" s="68"/>
      <c r="F6" s="9"/>
      <c r="G6" s="75"/>
      <c r="H6" s="75"/>
      <c r="I6" s="15"/>
      <c r="J6" s="8"/>
      <c r="K6" s="13"/>
    </row>
    <row r="7" spans="1:14" x14ac:dyDescent="0.25">
      <c r="A7" s="59"/>
      <c r="B7" s="114"/>
      <c r="D7" s="48"/>
      <c r="E7" s="68"/>
      <c r="F7" s="9"/>
      <c r="G7" s="75"/>
      <c r="H7" s="75"/>
      <c r="I7" s="15"/>
      <c r="J7" s="8"/>
      <c r="K7" s="13"/>
    </row>
    <row r="8" spans="1:14" x14ac:dyDescent="0.25">
      <c r="A8" s="59"/>
      <c r="B8" s="114">
        <v>12.1</v>
      </c>
      <c r="C8" s="137" t="s">
        <v>117</v>
      </c>
      <c r="D8" s="48"/>
      <c r="E8" s="68"/>
      <c r="F8" s="9"/>
      <c r="G8" s="223" t="s">
        <v>146</v>
      </c>
      <c r="H8" s="75"/>
      <c r="I8" s="15"/>
      <c r="J8" s="8" t="s">
        <v>148</v>
      </c>
      <c r="K8" s="13"/>
    </row>
    <row r="9" spans="1:14" x14ac:dyDescent="0.25">
      <c r="A9" s="116"/>
      <c r="B9" s="112"/>
      <c r="C9" s="83"/>
      <c r="D9" s="144"/>
      <c r="E9" s="145"/>
      <c r="F9" s="145"/>
      <c r="G9" s="145"/>
      <c r="H9" s="145"/>
      <c r="I9" s="118"/>
      <c r="J9" s="95"/>
      <c r="K9" s="13"/>
    </row>
    <row r="10" spans="1:14" x14ac:dyDescent="0.25">
      <c r="A10" s="116"/>
      <c r="B10" s="112"/>
      <c r="C10" s="80"/>
      <c r="D10" s="144"/>
      <c r="E10" s="145"/>
      <c r="F10" s="118"/>
      <c r="G10" s="119"/>
      <c r="H10" s="119"/>
      <c r="I10" s="118"/>
      <c r="J10" s="95"/>
      <c r="K10" s="13"/>
    </row>
    <row r="11" spans="1:14" x14ac:dyDescent="0.25">
      <c r="A11" s="115"/>
      <c r="B11" s="112"/>
      <c r="C11" s="80"/>
      <c r="D11" s="142"/>
      <c r="E11" s="99"/>
      <c r="F11" s="143"/>
      <c r="G11" s="100"/>
      <c r="H11" s="92"/>
      <c r="I11" s="93"/>
      <c r="J11" s="102"/>
      <c r="K11" s="13"/>
    </row>
    <row r="12" spans="1:14" x14ac:dyDescent="0.25">
      <c r="A12" s="149"/>
      <c r="B12" s="131"/>
      <c r="C12" s="132"/>
      <c r="D12" s="150"/>
      <c r="E12" s="151"/>
      <c r="F12" s="152"/>
      <c r="G12" s="180" t="s">
        <v>63</v>
      </c>
      <c r="H12" s="179">
        <f>SUM(H6:H11)</f>
        <v>0</v>
      </c>
      <c r="I12" s="179"/>
      <c r="J12" s="153"/>
      <c r="K12" s="13"/>
    </row>
    <row r="13" spans="1:14" x14ac:dyDescent="0.25">
      <c r="G13" s="156"/>
      <c r="H13" s="156"/>
      <c r="I13" s="54"/>
    </row>
    <row r="14" spans="1:14" x14ac:dyDescent="0.25">
      <c r="G14" s="156"/>
      <c r="H14" s="156"/>
      <c r="I14" s="156"/>
    </row>
  </sheetData>
  <mergeCells count="1">
    <mergeCell ref="A4:B4"/>
  </mergeCells>
  <pageMargins left="0.7" right="0.7" top="0.75" bottom="0.75" header="0.3" footer="0.3"/>
  <pageSetup paperSize="9" scale="65" fitToHeight="0" orientation="portrait"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752BF-DF12-4020-A2D9-02772BE5581E}">
  <sheetPr>
    <pageSetUpPr fitToPage="1"/>
  </sheetPr>
  <dimension ref="A1:N19"/>
  <sheetViews>
    <sheetView view="pageBreakPreview" zoomScale="85" zoomScaleNormal="85" zoomScaleSheetLayoutView="85" workbookViewId="0">
      <pane ySplit="4" topLeftCell="A5" activePane="bottomLeft" state="frozen"/>
      <selection pane="bottomLeft" activeCell="O6" sqref="O6"/>
    </sheetView>
  </sheetViews>
  <sheetFormatPr defaultRowHeight="15" x14ac:dyDescent="0.25"/>
  <cols>
    <col min="1" max="1" width="3.140625" style="57" bestFit="1" customWidth="1"/>
    <col min="2" max="2" width="5.7109375" style="57" bestFit="1" customWidth="1"/>
    <col min="3" max="3" width="49" style="61" customWidth="1"/>
    <col min="4" max="4" width="7.42578125" customWidth="1"/>
    <col min="5" max="5" width="7.42578125" style="65" hidden="1" customWidth="1"/>
    <col min="6" max="6" width="8.28515625" hidden="1" customWidth="1"/>
    <col min="7" max="7" width="14.7109375" style="71" customWidth="1"/>
    <col min="8" max="8" width="20.28515625" style="71" bestFit="1" customWidth="1"/>
    <col min="9" max="9" width="16.42578125" hidden="1" customWidth="1"/>
    <col min="10" max="10" width="35.7109375" customWidth="1"/>
    <col min="11" max="11" width="1.28515625" customWidth="1"/>
    <col min="13" max="13" width="20.28515625" bestFit="1" customWidth="1"/>
    <col min="14" max="14" width="14.42578125" customWidth="1"/>
  </cols>
  <sheetData>
    <row r="1" spans="1:14" x14ac:dyDescent="0.25">
      <c r="A1" s="54"/>
      <c r="B1" s="54"/>
    </row>
    <row r="2" spans="1:14" x14ac:dyDescent="0.25">
      <c r="A2" s="58"/>
      <c r="B2" s="55"/>
      <c r="C2" s="4"/>
      <c r="D2" s="4"/>
      <c r="E2" s="66"/>
      <c r="F2" s="3"/>
      <c r="G2" s="72"/>
      <c r="J2" s="6"/>
      <c r="K2" s="12"/>
      <c r="M2" s="165" t="s">
        <v>92</v>
      </c>
      <c r="N2" s="183">
        <f>Summary!D30</f>
        <v>10236143.743999999</v>
      </c>
    </row>
    <row r="3" spans="1:14" x14ac:dyDescent="0.25">
      <c r="A3" s="58"/>
      <c r="B3" s="55"/>
      <c r="C3" s="3"/>
      <c r="D3" s="3"/>
      <c r="E3" s="66"/>
      <c r="F3" s="3"/>
      <c r="G3" s="72"/>
      <c r="H3" s="72"/>
      <c r="I3" s="5"/>
      <c r="J3" s="6"/>
      <c r="K3" s="12"/>
    </row>
    <row r="4" spans="1:14" ht="15" customHeight="1" x14ac:dyDescent="0.25">
      <c r="A4" s="270" t="s">
        <v>15</v>
      </c>
      <c r="B4" s="270"/>
      <c r="C4" s="62" t="s">
        <v>16</v>
      </c>
      <c r="D4" s="49"/>
      <c r="E4" s="67" t="s">
        <v>31</v>
      </c>
      <c r="F4" s="14" t="s">
        <v>30</v>
      </c>
      <c r="G4" s="73" t="s">
        <v>17</v>
      </c>
      <c r="H4" s="73" t="s">
        <v>18</v>
      </c>
      <c r="I4" s="14" t="s">
        <v>19</v>
      </c>
      <c r="J4" s="14" t="s">
        <v>20</v>
      </c>
      <c r="K4" s="13"/>
    </row>
    <row r="5" spans="1:14" x14ac:dyDescent="0.25">
      <c r="A5" s="115"/>
      <c r="B5" s="114"/>
      <c r="C5" s="63"/>
      <c r="D5" s="48"/>
      <c r="E5" s="68"/>
      <c r="F5" s="9"/>
      <c r="G5" s="74" t="s">
        <v>114</v>
      </c>
      <c r="H5" s="74" t="s">
        <v>21</v>
      </c>
      <c r="I5" s="20" t="s">
        <v>21</v>
      </c>
      <c r="J5" s="8"/>
      <c r="K5" s="13"/>
    </row>
    <row r="6" spans="1:14" ht="15.75" x14ac:dyDescent="0.25">
      <c r="A6" s="59">
        <v>13</v>
      </c>
      <c r="B6" s="114"/>
      <c r="C6" s="23" t="s">
        <v>90</v>
      </c>
      <c r="D6" s="48"/>
      <c r="E6" s="68"/>
      <c r="F6" s="9"/>
      <c r="G6" s="217"/>
      <c r="H6" s="75"/>
      <c r="I6" s="15"/>
      <c r="J6" s="8"/>
      <c r="K6" s="13"/>
    </row>
    <row r="7" spans="1:14" x14ac:dyDescent="0.25">
      <c r="A7" s="59"/>
      <c r="B7" s="114"/>
      <c r="D7" s="48"/>
      <c r="E7" s="68"/>
      <c r="F7" s="9"/>
      <c r="G7" s="217"/>
      <c r="H7" s="75"/>
      <c r="I7" s="15"/>
      <c r="J7" s="8"/>
      <c r="K7" s="13"/>
    </row>
    <row r="8" spans="1:14" x14ac:dyDescent="0.25">
      <c r="A8" s="59"/>
      <c r="B8" s="114">
        <v>13.1</v>
      </c>
      <c r="C8" s="137" t="s">
        <v>118</v>
      </c>
      <c r="D8" s="48"/>
      <c r="E8" s="68"/>
      <c r="F8" s="9"/>
      <c r="G8" s="217">
        <v>2.5000000000000001E-2</v>
      </c>
      <c r="H8" s="75">
        <f>$N$2*G8</f>
        <v>255903.59359999999</v>
      </c>
      <c r="I8" s="15"/>
      <c r="J8" s="8"/>
      <c r="K8" s="13"/>
    </row>
    <row r="9" spans="1:14" x14ac:dyDescent="0.25">
      <c r="A9" s="116"/>
      <c r="B9" s="112"/>
      <c r="C9" s="83"/>
      <c r="D9" s="144"/>
      <c r="E9" s="145"/>
      <c r="F9" s="145"/>
      <c r="G9" s="185"/>
      <c r="H9" s="75"/>
      <c r="I9" s="118"/>
      <c r="J9" s="95"/>
      <c r="K9" s="13"/>
    </row>
    <row r="10" spans="1:14" x14ac:dyDescent="0.25">
      <c r="A10" s="116"/>
      <c r="B10" s="112">
        <v>13.2</v>
      </c>
      <c r="C10" s="82" t="s">
        <v>119</v>
      </c>
      <c r="D10" s="144"/>
      <c r="E10" s="145"/>
      <c r="F10" s="118"/>
      <c r="G10" s="193">
        <v>2.5000000000000001E-2</v>
      </c>
      <c r="H10" s="75">
        <f>$N$2*G10</f>
        <v>255903.59359999999</v>
      </c>
      <c r="I10" s="118"/>
      <c r="J10" s="95"/>
      <c r="K10" s="13"/>
    </row>
    <row r="11" spans="1:14" x14ac:dyDescent="0.25">
      <c r="A11" s="116"/>
      <c r="B11" s="112"/>
      <c r="C11" s="80"/>
      <c r="D11" s="144"/>
      <c r="E11" s="145"/>
      <c r="F11" s="118"/>
      <c r="G11" s="193"/>
      <c r="H11" s="75"/>
      <c r="I11" s="118"/>
      <c r="J11" s="95"/>
      <c r="K11" s="13"/>
    </row>
    <row r="12" spans="1:14" x14ac:dyDescent="0.25">
      <c r="A12" s="116"/>
      <c r="B12" s="112">
        <v>13.3</v>
      </c>
      <c r="C12" s="82" t="s">
        <v>120</v>
      </c>
      <c r="D12" s="144"/>
      <c r="E12" s="145"/>
      <c r="F12" s="118"/>
      <c r="G12" s="193">
        <v>2.5000000000000001E-2</v>
      </c>
      <c r="H12" s="75">
        <f>$N$2*G12</f>
        <v>255903.59359999999</v>
      </c>
      <c r="I12" s="148"/>
      <c r="J12" s="95"/>
      <c r="K12" s="13"/>
    </row>
    <row r="13" spans="1:14" x14ac:dyDescent="0.25">
      <c r="A13" s="116"/>
      <c r="B13" s="112"/>
      <c r="C13" s="80"/>
      <c r="D13" s="141"/>
      <c r="E13" s="96"/>
      <c r="F13" s="93"/>
      <c r="G13" s="193"/>
      <c r="H13" s="75"/>
      <c r="I13" s="93"/>
      <c r="J13" s="102"/>
      <c r="K13" s="13"/>
    </row>
    <row r="14" spans="1:14" x14ac:dyDescent="0.25">
      <c r="A14" s="116"/>
      <c r="B14" s="112">
        <v>13.4</v>
      </c>
      <c r="C14" s="82" t="s">
        <v>121</v>
      </c>
      <c r="D14" s="141"/>
      <c r="E14" s="96"/>
      <c r="F14" s="93"/>
      <c r="G14" s="193">
        <v>2.5000000000000001E-2</v>
      </c>
      <c r="H14" s="75">
        <f>$N$2*G14</f>
        <v>255903.59359999999</v>
      </c>
      <c r="I14" s="93"/>
      <c r="J14" s="102"/>
      <c r="K14" s="13"/>
    </row>
    <row r="15" spans="1:14" x14ac:dyDescent="0.25">
      <c r="A15" s="115"/>
      <c r="B15" s="112"/>
      <c r="C15" s="80"/>
      <c r="D15" s="147"/>
      <c r="E15" s="88"/>
      <c r="F15" s="90"/>
      <c r="G15" s="193"/>
      <c r="H15" s="146"/>
      <c r="I15" s="118"/>
      <c r="J15" s="102"/>
      <c r="K15" s="13"/>
    </row>
    <row r="16" spans="1:14" x14ac:dyDescent="0.25">
      <c r="A16" s="115"/>
      <c r="B16" s="112"/>
      <c r="C16" s="80"/>
      <c r="D16" s="142"/>
      <c r="E16" s="99"/>
      <c r="F16" s="143"/>
      <c r="G16" s="188"/>
      <c r="H16" s="92"/>
      <c r="I16" s="93"/>
      <c r="J16" s="102"/>
      <c r="K16" s="13"/>
    </row>
    <row r="17" spans="1:11" x14ac:dyDescent="0.25">
      <c r="A17" s="149"/>
      <c r="B17" s="131"/>
      <c r="C17" s="132"/>
      <c r="D17" s="150"/>
      <c r="E17" s="151"/>
      <c r="F17" s="152"/>
      <c r="G17" s="180" t="s">
        <v>63</v>
      </c>
      <c r="H17" s="179">
        <f>SUM(H6:H16)</f>
        <v>1023614.3744</v>
      </c>
      <c r="I17" s="179"/>
      <c r="J17" s="153"/>
      <c r="K17" s="13"/>
    </row>
    <row r="18" spans="1:11" x14ac:dyDescent="0.25">
      <c r="G18" s="156"/>
      <c r="H18" s="156"/>
      <c r="I18" s="54"/>
    </row>
    <row r="19" spans="1:11" x14ac:dyDescent="0.25">
      <c r="D19" s="156" t="s">
        <v>76</v>
      </c>
      <c r="G19" s="263">
        <f>SUM(G8:G14)</f>
        <v>0.1</v>
      </c>
      <c r="H19" s="156"/>
      <c r="I19" s="156"/>
    </row>
  </sheetData>
  <mergeCells count="1">
    <mergeCell ref="A4:B4"/>
  </mergeCells>
  <pageMargins left="0.7" right="0.7" top="0.75" bottom="0.75" header="0.3" footer="0.3"/>
  <pageSetup paperSize="9" scale="65" fitToHeight="0" orientation="portrait" horizontalDpi="300"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B0EE3-5C75-4D77-B59C-2529CEE57386}">
  <sheetPr>
    <pageSetUpPr fitToPage="1"/>
  </sheetPr>
  <dimension ref="A1:N16"/>
  <sheetViews>
    <sheetView view="pageBreakPreview" zoomScale="85" zoomScaleNormal="85" zoomScaleSheetLayoutView="85" workbookViewId="0">
      <pane ySplit="4" topLeftCell="A5" activePane="bottomLeft" state="frozen"/>
      <selection pane="bottomLeft" activeCell="P12" sqref="P12"/>
    </sheetView>
  </sheetViews>
  <sheetFormatPr defaultRowHeight="15" x14ac:dyDescent="0.25"/>
  <cols>
    <col min="1" max="1" width="3.140625" style="57" bestFit="1" customWidth="1"/>
    <col min="2" max="2" width="5.7109375" style="57" bestFit="1" customWidth="1"/>
    <col min="3" max="3" width="49" style="61" customWidth="1"/>
    <col min="4" max="4" width="7.42578125" customWidth="1"/>
    <col min="5" max="5" width="7.42578125" style="65" hidden="1" customWidth="1"/>
    <col min="6" max="6" width="8.28515625" hidden="1" customWidth="1"/>
    <col min="7" max="7" width="14.7109375" style="71" customWidth="1"/>
    <col min="8" max="8" width="20.28515625" style="71" bestFit="1" customWidth="1"/>
    <col min="9" max="9" width="16.42578125" hidden="1" customWidth="1"/>
    <col min="10" max="10" width="35.7109375" customWidth="1"/>
    <col min="11" max="11" width="1.28515625" customWidth="1"/>
    <col min="13" max="13" width="20.28515625" bestFit="1" customWidth="1"/>
    <col min="14" max="14" width="14.28515625" customWidth="1"/>
  </cols>
  <sheetData>
    <row r="1" spans="1:14" x14ac:dyDescent="0.25">
      <c r="A1" s="54"/>
      <c r="B1" s="54"/>
    </row>
    <row r="2" spans="1:14" x14ac:dyDescent="0.25">
      <c r="A2" s="58"/>
      <c r="B2" s="55"/>
      <c r="C2" s="4"/>
      <c r="D2" s="4"/>
      <c r="E2" s="66"/>
      <c r="F2" s="3"/>
      <c r="G2" s="72"/>
      <c r="J2" s="6"/>
      <c r="K2" s="12"/>
      <c r="M2" s="165" t="s">
        <v>92</v>
      </c>
      <c r="N2" s="183">
        <f>Summary!D30</f>
        <v>10236143.743999999</v>
      </c>
    </row>
    <row r="3" spans="1:14" x14ac:dyDescent="0.25">
      <c r="A3" s="58"/>
      <c r="B3" s="55"/>
      <c r="C3" s="3"/>
      <c r="D3" s="3"/>
      <c r="E3" s="66"/>
      <c r="F3" s="3"/>
      <c r="G3" s="72"/>
      <c r="H3" s="72"/>
      <c r="I3" s="5"/>
      <c r="J3" s="6"/>
      <c r="K3" s="12"/>
    </row>
    <row r="4" spans="1:14" ht="15" customHeight="1" x14ac:dyDescent="0.25">
      <c r="A4" s="270" t="s">
        <v>15</v>
      </c>
      <c r="B4" s="270"/>
      <c r="C4" s="62" t="s">
        <v>16</v>
      </c>
      <c r="D4" s="49"/>
      <c r="E4" s="67" t="s">
        <v>31</v>
      </c>
      <c r="F4" s="14" t="s">
        <v>30</v>
      </c>
      <c r="G4" s="73" t="s">
        <v>17</v>
      </c>
      <c r="H4" s="73" t="s">
        <v>18</v>
      </c>
      <c r="I4" s="14" t="s">
        <v>19</v>
      </c>
      <c r="J4" s="14" t="s">
        <v>20</v>
      </c>
      <c r="K4" s="13"/>
    </row>
    <row r="5" spans="1:14" x14ac:dyDescent="0.25">
      <c r="A5" s="115"/>
      <c r="B5" s="114"/>
      <c r="C5" s="63"/>
      <c r="D5" s="48"/>
      <c r="E5" s="68"/>
      <c r="F5" s="9"/>
      <c r="G5" s="74" t="s">
        <v>21</v>
      </c>
      <c r="H5" s="74" t="s">
        <v>21</v>
      </c>
      <c r="I5" s="20" t="s">
        <v>21</v>
      </c>
      <c r="J5" s="8"/>
      <c r="K5" s="13"/>
    </row>
    <row r="6" spans="1:14" ht="15.75" x14ac:dyDescent="0.25">
      <c r="A6" s="59">
        <v>14</v>
      </c>
      <c r="B6" s="114"/>
      <c r="C6" s="23" t="s">
        <v>91</v>
      </c>
      <c r="D6" s="48"/>
      <c r="E6" s="68"/>
      <c r="F6" s="9"/>
      <c r="G6" s="223"/>
      <c r="H6" s="75"/>
      <c r="I6" s="15"/>
      <c r="J6" s="8"/>
      <c r="K6" s="13"/>
    </row>
    <row r="7" spans="1:14" x14ac:dyDescent="0.25">
      <c r="A7" s="59"/>
      <c r="B7" s="114"/>
      <c r="D7" s="48"/>
      <c r="E7" s="68"/>
      <c r="F7" s="9"/>
      <c r="G7" s="223"/>
      <c r="H7" s="75"/>
      <c r="I7" s="15"/>
      <c r="J7" s="8"/>
      <c r="K7" s="13"/>
    </row>
    <row r="8" spans="1:14" x14ac:dyDescent="0.25">
      <c r="A8" s="59"/>
      <c r="B8" s="114">
        <v>14.1</v>
      </c>
      <c r="C8" s="137" t="s">
        <v>122</v>
      </c>
      <c r="D8" s="48"/>
      <c r="E8" s="68"/>
      <c r="F8" s="9"/>
      <c r="G8" s="117"/>
      <c r="H8" s="75"/>
      <c r="I8" s="15"/>
      <c r="J8" s="223" t="s">
        <v>148</v>
      </c>
      <c r="K8" s="13"/>
    </row>
    <row r="9" spans="1:14" x14ac:dyDescent="0.25">
      <c r="A9" s="116"/>
      <c r="B9" s="112"/>
      <c r="C9" s="83"/>
      <c r="D9" s="144"/>
      <c r="E9" s="145"/>
      <c r="F9" s="145"/>
      <c r="G9" s="117"/>
      <c r="H9" s="145"/>
      <c r="I9" s="118"/>
      <c r="J9" s="145"/>
      <c r="K9" s="13"/>
    </row>
    <row r="10" spans="1:14" x14ac:dyDescent="0.25">
      <c r="A10" s="116"/>
      <c r="B10" s="112">
        <v>14.2</v>
      </c>
      <c r="C10" s="82" t="s">
        <v>123</v>
      </c>
      <c r="D10" s="144"/>
      <c r="E10" s="145"/>
      <c r="F10" s="118"/>
      <c r="G10" s="117"/>
      <c r="H10" s="119"/>
      <c r="I10" s="118"/>
      <c r="J10" s="91" t="s">
        <v>148</v>
      </c>
      <c r="K10" s="13"/>
    </row>
    <row r="11" spans="1:14" x14ac:dyDescent="0.25">
      <c r="A11" s="116"/>
      <c r="B11" s="112"/>
      <c r="C11" s="80"/>
      <c r="D11" s="144"/>
      <c r="E11" s="145"/>
      <c r="F11" s="118"/>
      <c r="G11" s="91"/>
      <c r="H11" s="119"/>
      <c r="I11" s="118"/>
      <c r="J11" s="95"/>
      <c r="K11" s="13"/>
    </row>
    <row r="12" spans="1:14" x14ac:dyDescent="0.25">
      <c r="A12" s="116"/>
      <c r="B12" s="112"/>
      <c r="C12" s="80"/>
      <c r="D12" s="144"/>
      <c r="E12" s="145"/>
      <c r="F12" s="118"/>
      <c r="G12" s="91"/>
      <c r="H12" s="119"/>
      <c r="I12" s="148"/>
      <c r="J12" s="95"/>
      <c r="K12" s="13"/>
    </row>
    <row r="13" spans="1:14" x14ac:dyDescent="0.25">
      <c r="A13" s="115"/>
      <c r="B13" s="112"/>
      <c r="C13" s="80"/>
      <c r="D13" s="142"/>
      <c r="E13" s="99"/>
      <c r="F13" s="143"/>
      <c r="G13" s="100"/>
      <c r="H13" s="92"/>
      <c r="I13" s="93"/>
      <c r="J13" s="102"/>
      <c r="K13" s="13"/>
    </row>
    <row r="14" spans="1:14" x14ac:dyDescent="0.25">
      <c r="A14" s="149"/>
      <c r="B14" s="131"/>
      <c r="C14" s="132"/>
      <c r="D14" s="150"/>
      <c r="E14" s="151"/>
      <c r="F14" s="152"/>
      <c r="G14" s="180" t="s">
        <v>63</v>
      </c>
      <c r="H14" s="179">
        <f>SUM(H6:H13)</f>
        <v>0</v>
      </c>
      <c r="I14" s="179"/>
      <c r="J14" s="153"/>
      <c r="K14" s="13"/>
    </row>
    <row r="15" spans="1:14" x14ac:dyDescent="0.25">
      <c r="G15" s="156"/>
      <c r="H15" s="156"/>
      <c r="I15" s="54"/>
    </row>
    <row r="16" spans="1:14" x14ac:dyDescent="0.25">
      <c r="G16" s="156"/>
      <c r="H16" s="156"/>
      <c r="I16" s="156"/>
    </row>
  </sheetData>
  <mergeCells count="1">
    <mergeCell ref="A4:B4"/>
  </mergeCells>
  <pageMargins left="0.7" right="0.7" top="0.75" bottom="0.75" header="0.3" footer="0.3"/>
  <pageSetup paperSize="9" scale="65" fitToHeight="0" orientation="portrait"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2B33C-56D9-401F-907E-AAA37D6CE7C8}">
  <sheetPr>
    <pageSetUpPr fitToPage="1"/>
  </sheetPr>
  <dimension ref="A1:S58"/>
  <sheetViews>
    <sheetView showGridLines="0" view="pageBreakPreview" zoomScale="80" zoomScaleNormal="100" zoomScaleSheetLayoutView="80" workbookViewId="0">
      <selection activeCell="U27" sqref="U27"/>
    </sheetView>
  </sheetViews>
  <sheetFormatPr defaultRowHeight="15" x14ac:dyDescent="0.25"/>
  <cols>
    <col min="1" max="1" width="26.7109375" customWidth="1"/>
    <col min="2" max="2" width="0.85546875" style="19" customWidth="1"/>
    <col min="3" max="3" width="8.85546875" customWidth="1"/>
    <col min="16" max="16" width="3" customWidth="1"/>
  </cols>
  <sheetData>
    <row r="1" spans="1:19" x14ac:dyDescent="0.25">
      <c r="B1"/>
    </row>
    <row r="2" spans="1:19" ht="18.75" x14ac:dyDescent="0.3">
      <c r="B2"/>
      <c r="E2" s="31" t="s">
        <v>218</v>
      </c>
      <c r="F2" s="2"/>
      <c r="G2" s="2"/>
      <c r="H2" s="2"/>
    </row>
    <row r="3" spans="1:19" x14ac:dyDescent="0.25">
      <c r="B3"/>
    </row>
    <row r="4" spans="1:19" x14ac:dyDescent="0.25">
      <c r="B4"/>
    </row>
    <row r="5" spans="1:19" ht="4.1500000000000004" customHeight="1" x14ac:dyDescent="0.25">
      <c r="A5" s="25"/>
      <c r="B5" s="25"/>
      <c r="C5" s="25"/>
      <c r="D5" s="19"/>
      <c r="E5" s="19"/>
      <c r="F5" s="19"/>
      <c r="G5" s="19"/>
      <c r="H5" s="19"/>
      <c r="I5" s="19"/>
      <c r="J5" s="19"/>
      <c r="K5" s="19"/>
      <c r="L5" s="19"/>
      <c r="M5" s="19"/>
      <c r="N5" s="19"/>
      <c r="O5" s="19"/>
    </row>
    <row r="6" spans="1:19" ht="15.75" x14ac:dyDescent="0.25">
      <c r="A6" s="28" t="s">
        <v>24</v>
      </c>
      <c r="B6" s="25"/>
      <c r="C6" s="29" t="s">
        <v>23</v>
      </c>
      <c r="D6" s="30"/>
      <c r="E6" s="30"/>
      <c r="F6" s="30"/>
      <c r="G6" s="30"/>
      <c r="H6" s="30"/>
      <c r="I6" s="30"/>
      <c r="J6" s="30"/>
      <c r="K6" s="30"/>
      <c r="L6" s="30"/>
      <c r="M6" s="30"/>
      <c r="N6" s="30"/>
      <c r="O6" s="30"/>
    </row>
    <row r="7" spans="1:19" ht="4.1500000000000004" customHeight="1" x14ac:dyDescent="0.25">
      <c r="A7" s="25"/>
      <c r="B7" s="25"/>
      <c r="C7" s="25"/>
      <c r="D7" s="19"/>
      <c r="E7" s="19"/>
      <c r="F7" s="19"/>
      <c r="G7" s="19"/>
      <c r="H7" s="19"/>
      <c r="I7" s="19"/>
      <c r="J7" s="19"/>
      <c r="K7" s="19"/>
      <c r="L7" s="19"/>
      <c r="M7" s="19"/>
      <c r="N7" s="19"/>
      <c r="O7" s="19"/>
    </row>
    <row r="8" spans="1:19" x14ac:dyDescent="0.25">
      <c r="A8" s="24"/>
      <c r="B8" s="25"/>
      <c r="C8" s="1"/>
    </row>
    <row r="9" spans="1:19" x14ac:dyDescent="0.25">
      <c r="A9" s="32"/>
      <c r="B9" s="25"/>
      <c r="C9" s="1"/>
      <c r="S9" t="s">
        <v>22</v>
      </c>
    </row>
    <row r="10" spans="1:19" x14ac:dyDescent="0.25">
      <c r="A10" s="24"/>
      <c r="B10" s="25"/>
      <c r="C10" s="1"/>
    </row>
    <row r="11" spans="1:19" x14ac:dyDescent="0.25">
      <c r="A11" s="24"/>
      <c r="B11" s="25"/>
      <c r="C11" s="1"/>
    </row>
    <row r="12" spans="1:19" x14ac:dyDescent="0.25">
      <c r="A12" s="24"/>
      <c r="B12" s="25"/>
      <c r="C12" s="1"/>
    </row>
    <row r="13" spans="1:19" x14ac:dyDescent="0.25">
      <c r="A13" s="24"/>
      <c r="B13" s="25"/>
      <c r="C13" s="1"/>
    </row>
    <row r="14" spans="1:19" x14ac:dyDescent="0.25">
      <c r="A14" s="24"/>
      <c r="B14" s="25"/>
      <c r="C14" s="1"/>
    </row>
    <row r="15" spans="1:19" x14ac:dyDescent="0.25">
      <c r="A15" s="24"/>
      <c r="B15" s="25"/>
      <c r="C15" s="1"/>
    </row>
    <row r="16" spans="1:19" x14ac:dyDescent="0.25">
      <c r="A16" s="24"/>
      <c r="B16" s="25"/>
      <c r="C16" s="1"/>
    </row>
    <row r="17" spans="1:15" x14ac:dyDescent="0.25">
      <c r="A17" s="24"/>
      <c r="B17" s="25"/>
      <c r="C17" s="1"/>
    </row>
    <row r="18" spans="1:15" x14ac:dyDescent="0.25">
      <c r="A18" s="24"/>
      <c r="B18" s="25"/>
      <c r="C18" s="1"/>
    </row>
    <row r="19" spans="1:15" x14ac:dyDescent="0.25">
      <c r="A19" s="24"/>
      <c r="B19" s="25"/>
      <c r="C19" s="1"/>
    </row>
    <row r="20" spans="1:15" x14ac:dyDescent="0.25">
      <c r="A20" s="24"/>
      <c r="B20" s="25"/>
      <c r="C20" s="1"/>
    </row>
    <row r="21" spans="1:15" x14ac:dyDescent="0.25">
      <c r="A21" s="26"/>
    </row>
    <row r="22" spans="1:15" x14ac:dyDescent="0.25">
      <c r="A22" s="26"/>
    </row>
    <row r="23" spans="1:15" x14ac:dyDescent="0.25">
      <c r="A23" s="26"/>
    </row>
    <row r="24" spans="1:15" x14ac:dyDescent="0.25">
      <c r="A24" s="26"/>
    </row>
    <row r="25" spans="1:15" x14ac:dyDescent="0.25">
      <c r="A25" s="26"/>
      <c r="C25" s="27"/>
    </row>
    <row r="26" spans="1:15" ht="4.1500000000000004" customHeight="1" x14ac:dyDescent="0.25">
      <c r="A26" s="25"/>
      <c r="B26" s="25"/>
      <c r="C26" s="25"/>
      <c r="D26" s="19"/>
      <c r="E26" s="19"/>
      <c r="F26" s="19"/>
      <c r="G26" s="19"/>
      <c r="H26" s="19"/>
      <c r="I26" s="19"/>
      <c r="J26" s="19"/>
      <c r="K26" s="19"/>
      <c r="L26" s="19"/>
      <c r="M26" s="19"/>
      <c r="N26" s="19"/>
      <c r="O26" s="19"/>
    </row>
    <row r="27" spans="1:15" x14ac:dyDescent="0.25">
      <c r="A27" s="26"/>
    </row>
    <row r="28" spans="1:15" x14ac:dyDescent="0.25">
      <c r="A28" s="26"/>
    </row>
    <row r="29" spans="1:15" x14ac:dyDescent="0.25">
      <c r="A29" s="26"/>
    </row>
    <row r="30" spans="1:15" x14ac:dyDescent="0.25">
      <c r="A30" s="26"/>
    </row>
    <row r="31" spans="1:15" x14ac:dyDescent="0.25">
      <c r="A31" s="26"/>
    </row>
    <row r="32" spans="1:15" x14ac:dyDescent="0.25">
      <c r="A32" s="26"/>
    </row>
    <row r="57" spans="1:15" x14ac:dyDescent="0.25">
      <c r="C57" s="27"/>
    </row>
    <row r="58" spans="1:15" ht="4.1500000000000004" customHeight="1" x14ac:dyDescent="0.25">
      <c r="A58" s="25"/>
      <c r="B58" s="25"/>
      <c r="C58" s="25"/>
      <c r="D58" s="19"/>
      <c r="E58" s="19"/>
      <c r="F58" s="19"/>
      <c r="G58" s="19"/>
      <c r="H58" s="19"/>
      <c r="I58" s="19"/>
      <c r="J58" s="19"/>
      <c r="K58" s="19"/>
      <c r="L58" s="19"/>
      <c r="M58" s="19"/>
      <c r="N58" s="19"/>
      <c r="O58" s="19"/>
    </row>
  </sheetData>
  <pageMargins left="0.19685039370078741" right="0.19685039370078741" top="0.19685039370078741" bottom="0.19685039370078741" header="0.19685039370078741" footer="0.19685039370078741"/>
  <pageSetup paperSize="9" scale="57" fitToHeight="2"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46F33DCD-CE06-449D-B5C6-DBAC53F8F8C6}">
  <ds:schemaRefs>
    <ds:schemaRef ds:uri="http://www.w3.org/2001/XMLSchema"/>
    <ds:schemaRef ds:uri="http://microsoft.data.visualization.engine.tours/1.0"/>
  </ds:schemaRefs>
</ds:datastoreItem>
</file>

<file path=customXml/itemProps2.xml><?xml version="1.0" encoding="utf-8"?>
<ds:datastoreItem xmlns:ds="http://schemas.openxmlformats.org/officeDocument/2006/customXml" ds:itemID="{873E2DDA-60A4-4DC0-A700-BD197A26364F}">
  <ds:schemaRefs>
    <ds:schemaRef ds:uri="http://www.w3.org/2001/XMLSchema"/>
    <ds:schemaRef ds:uri="http://microsoft.data.visualization.Client.Excel/1.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19</vt:i4>
      </vt:variant>
    </vt:vector>
  </HeadingPairs>
  <TitlesOfParts>
    <vt:vector size="38" baseType="lpstr">
      <vt:lpstr>Front</vt:lpstr>
      <vt:lpstr>Summary</vt:lpstr>
      <vt:lpstr>Allowance &amp; notes</vt:lpstr>
      <vt:lpstr>0 - Facilitating works</vt:lpstr>
      <vt:lpstr>1 - Substructure</vt:lpstr>
      <vt:lpstr>2 - Superstructure</vt:lpstr>
      <vt:lpstr>3 - Internal finishes</vt:lpstr>
      <vt:lpstr>4 - FF&amp;E</vt:lpstr>
      <vt:lpstr>5 - Services</vt:lpstr>
      <vt:lpstr>6 - Prefabricated Buildings</vt:lpstr>
      <vt:lpstr>7 - Work to existing buildings</vt:lpstr>
      <vt:lpstr>8 - External works</vt:lpstr>
      <vt:lpstr>9 - Main Contr Prelims</vt:lpstr>
      <vt:lpstr>10 - Main Contr O &amp; P</vt:lpstr>
      <vt:lpstr>11 - Project &amp; Design Team fee</vt:lpstr>
      <vt:lpstr>12 - Other development costs</vt:lpstr>
      <vt:lpstr>13 - Risks</vt:lpstr>
      <vt:lpstr>14 - Inflation</vt:lpstr>
      <vt:lpstr>Appendix</vt:lpstr>
      <vt:lpstr>'0 - Facilitating works'!Print_Area</vt:lpstr>
      <vt:lpstr>'1 - Substructure'!Print_Area</vt:lpstr>
      <vt:lpstr>'10 - Main Contr O &amp; P'!Print_Area</vt:lpstr>
      <vt:lpstr>'11 - Project &amp; Design Team fee'!Print_Area</vt:lpstr>
      <vt:lpstr>'12 - Other development costs'!Print_Area</vt:lpstr>
      <vt:lpstr>'13 - Risks'!Print_Area</vt:lpstr>
      <vt:lpstr>'14 - Inflation'!Print_Area</vt:lpstr>
      <vt:lpstr>'2 - Superstructure'!Print_Area</vt:lpstr>
      <vt:lpstr>'3 - Internal finishes'!Print_Area</vt:lpstr>
      <vt:lpstr>'4 - FF&amp;E'!Print_Area</vt:lpstr>
      <vt:lpstr>'5 - Services'!Print_Area</vt:lpstr>
      <vt:lpstr>'6 - Prefabricated Buildings'!Print_Area</vt:lpstr>
      <vt:lpstr>'7 - Work to existing buildings'!Print_Area</vt:lpstr>
      <vt:lpstr>'8 - External works'!Print_Area</vt:lpstr>
      <vt:lpstr>'9 - Main Contr Prelims'!Print_Area</vt:lpstr>
      <vt:lpstr>'Allowance &amp; notes'!Print_Area</vt:lpstr>
      <vt:lpstr>Appendix!Print_Area</vt:lpstr>
      <vt:lpstr>Front!Print_Area</vt:lpstr>
      <vt:lpstr>Summary!Print_Area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Niki Hunwick (2016441)</dc:creator>
  <cp:lastModifiedBy>Niki Hunwick (2016441)</cp:lastModifiedBy>
  <cp:lastPrinted>2023-11-23T18:42:26Z</cp:lastPrinted>
  <dcterms:created xsi:type="dcterms:W3CDTF">2023-10-13T11:23:20Z</dcterms:created>
  <dcterms:modified xsi:type="dcterms:W3CDTF">2025-05-10T22:33:38Z</dcterms:modified>
</cp:coreProperties>
</file>