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 firstSheet="7" activeTab="11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Year 320" sheetId="11" r:id="rId8"/>
    <sheet name="Year 319" sheetId="12" r:id="rId9"/>
    <sheet name="Year 318" sheetId="13" r:id="rId10"/>
    <sheet name="Year 317" sheetId="14" r:id="rId11"/>
    <sheet name="Year 316" sheetId="15" r:id="rId12"/>
    <sheet name="Trade deals" sheetId="10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5" l="1"/>
  <c r="K4" i="15"/>
  <c r="K5" i="15"/>
  <c r="K6" i="15"/>
  <c r="L6" i="15" s="1"/>
  <c r="P6" i="15" s="1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L22" i="15" s="1"/>
  <c r="P22" i="15" s="1"/>
  <c r="K23" i="15"/>
  <c r="K24" i="15"/>
  <c r="K25" i="15"/>
  <c r="K26" i="15"/>
  <c r="L26" i="15" s="1"/>
  <c r="P26" i="15" s="1"/>
  <c r="K27" i="15"/>
  <c r="K28" i="15"/>
  <c r="K29" i="15"/>
  <c r="J29" i="15"/>
  <c r="L29" i="15" s="1"/>
  <c r="P29" i="15" s="1"/>
  <c r="I29" i="15"/>
  <c r="G29" i="15"/>
  <c r="L28" i="15"/>
  <c r="P28" i="15" s="1"/>
  <c r="J28" i="15"/>
  <c r="I28" i="15"/>
  <c r="G28" i="15"/>
  <c r="J27" i="15"/>
  <c r="L27" i="15" s="1"/>
  <c r="P27" i="15" s="1"/>
  <c r="I27" i="15"/>
  <c r="G27" i="15"/>
  <c r="J26" i="15"/>
  <c r="I26" i="15"/>
  <c r="G26" i="15"/>
  <c r="J25" i="15"/>
  <c r="L25" i="15" s="1"/>
  <c r="P25" i="15" s="1"/>
  <c r="I25" i="15"/>
  <c r="G25" i="15"/>
  <c r="L24" i="15"/>
  <c r="P24" i="15" s="1"/>
  <c r="J24" i="15"/>
  <c r="I24" i="15"/>
  <c r="G24" i="15"/>
  <c r="J23" i="15"/>
  <c r="L23" i="15" s="1"/>
  <c r="P23" i="15" s="1"/>
  <c r="I23" i="15"/>
  <c r="G23" i="15"/>
  <c r="E23" i="15"/>
  <c r="J22" i="15"/>
  <c r="I22" i="15"/>
  <c r="G22" i="15"/>
  <c r="L21" i="15"/>
  <c r="P21" i="15" s="1"/>
  <c r="J21" i="15"/>
  <c r="I21" i="15"/>
  <c r="G21" i="15"/>
  <c r="P20" i="15"/>
  <c r="L20" i="15"/>
  <c r="J20" i="15"/>
  <c r="I20" i="15"/>
  <c r="G20" i="15"/>
  <c r="L19" i="15"/>
  <c r="P19" i="15" s="1"/>
  <c r="J19" i="15"/>
  <c r="I19" i="15"/>
  <c r="G19" i="15"/>
  <c r="L18" i="15"/>
  <c r="P18" i="15" s="1"/>
  <c r="J18" i="15"/>
  <c r="I18" i="15"/>
  <c r="G18" i="15"/>
  <c r="L17" i="15"/>
  <c r="P17" i="15" s="1"/>
  <c r="J17" i="15"/>
  <c r="I17" i="15"/>
  <c r="G17" i="15"/>
  <c r="J16" i="15"/>
  <c r="I16" i="15"/>
  <c r="L16" i="15" s="1"/>
  <c r="P16" i="15" s="1"/>
  <c r="G16" i="15"/>
  <c r="L15" i="15"/>
  <c r="P15" i="15" s="1"/>
  <c r="J15" i="15"/>
  <c r="I15" i="15"/>
  <c r="G15" i="15"/>
  <c r="J14" i="15"/>
  <c r="I14" i="15"/>
  <c r="L14" i="15" s="1"/>
  <c r="P14" i="15" s="1"/>
  <c r="G14" i="15"/>
  <c r="L13" i="15"/>
  <c r="P13" i="15" s="1"/>
  <c r="J13" i="15"/>
  <c r="I13" i="15"/>
  <c r="G13" i="15"/>
  <c r="P12" i="15"/>
  <c r="L12" i="15"/>
  <c r="J12" i="15"/>
  <c r="I12" i="15"/>
  <c r="G12" i="15"/>
  <c r="L11" i="15"/>
  <c r="P11" i="15" s="1"/>
  <c r="J11" i="15"/>
  <c r="I11" i="15"/>
  <c r="G11" i="15"/>
  <c r="L10" i="15"/>
  <c r="P10" i="15" s="1"/>
  <c r="J10" i="15"/>
  <c r="I10" i="15"/>
  <c r="G10" i="15"/>
  <c r="L9" i="15"/>
  <c r="P9" i="15" s="1"/>
  <c r="J9" i="15"/>
  <c r="I9" i="15"/>
  <c r="G9" i="15"/>
  <c r="P8" i="15"/>
  <c r="L8" i="15"/>
  <c r="J8" i="15"/>
  <c r="I8" i="15"/>
  <c r="G8" i="15"/>
  <c r="L7" i="15"/>
  <c r="P7" i="15" s="1"/>
  <c r="J7" i="15"/>
  <c r="I7" i="15"/>
  <c r="G7" i="15"/>
  <c r="J6" i="15"/>
  <c r="I6" i="15"/>
  <c r="G6" i="15"/>
  <c r="L5" i="15"/>
  <c r="P5" i="15" s="1"/>
  <c r="J5" i="15"/>
  <c r="I5" i="15"/>
  <c r="G5" i="15"/>
  <c r="P4" i="15"/>
  <c r="L4" i="15"/>
  <c r="J4" i="15"/>
  <c r="I4" i="15"/>
  <c r="G4" i="15"/>
  <c r="L3" i="15"/>
  <c r="P3" i="15" s="1"/>
  <c r="J3" i="15"/>
  <c r="I3" i="15"/>
  <c r="G3" i="15"/>
  <c r="P2" i="15"/>
  <c r="L2" i="15"/>
  <c r="K2" i="15"/>
  <c r="J2" i="15"/>
  <c r="I2" i="15"/>
  <c r="G2" i="15"/>
  <c r="E4" i="1"/>
  <c r="E3" i="1"/>
  <c r="G17" i="14"/>
  <c r="J29" i="14"/>
  <c r="I29" i="14"/>
  <c r="G29" i="14"/>
  <c r="J28" i="14"/>
  <c r="K28" i="14" s="1"/>
  <c r="L28" i="14" s="1"/>
  <c r="P28" i="14" s="1"/>
  <c r="I28" i="14"/>
  <c r="G28" i="14"/>
  <c r="J27" i="14"/>
  <c r="K27" i="14" s="1"/>
  <c r="I27" i="14"/>
  <c r="G27" i="14"/>
  <c r="J26" i="14"/>
  <c r="K26" i="14" s="1"/>
  <c r="L26" i="14" s="1"/>
  <c r="P26" i="14" s="1"/>
  <c r="I26" i="14"/>
  <c r="G26" i="14"/>
  <c r="J25" i="14"/>
  <c r="K25" i="14" s="1"/>
  <c r="I25" i="14"/>
  <c r="G25" i="14"/>
  <c r="J24" i="14"/>
  <c r="K24" i="14" s="1"/>
  <c r="L24" i="14" s="1"/>
  <c r="P24" i="14" s="1"/>
  <c r="I24" i="14"/>
  <c r="G24" i="14"/>
  <c r="J23" i="14"/>
  <c r="K23" i="14" s="1"/>
  <c r="I23" i="14"/>
  <c r="G23" i="14"/>
  <c r="E23" i="14"/>
  <c r="J22" i="14"/>
  <c r="K22" i="14" s="1"/>
  <c r="L22" i="14" s="1"/>
  <c r="P22" i="14" s="1"/>
  <c r="I22" i="14"/>
  <c r="G22" i="14"/>
  <c r="J21" i="14"/>
  <c r="K21" i="14" s="1"/>
  <c r="L21" i="14" s="1"/>
  <c r="P21" i="14" s="1"/>
  <c r="I21" i="14"/>
  <c r="G21" i="14"/>
  <c r="J20" i="14"/>
  <c r="K20" i="14" s="1"/>
  <c r="I20" i="14"/>
  <c r="G20" i="14"/>
  <c r="J19" i="14"/>
  <c r="K19" i="14" s="1"/>
  <c r="L19" i="14" s="1"/>
  <c r="P19" i="14" s="1"/>
  <c r="I19" i="14"/>
  <c r="G19" i="14"/>
  <c r="J18" i="14"/>
  <c r="K18" i="14" s="1"/>
  <c r="L18" i="14" s="1"/>
  <c r="P18" i="14" s="1"/>
  <c r="I18" i="14"/>
  <c r="G18" i="14"/>
  <c r="J17" i="14"/>
  <c r="I17" i="14"/>
  <c r="K17" i="14" s="1"/>
  <c r="J16" i="14"/>
  <c r="I16" i="14"/>
  <c r="G16" i="14"/>
  <c r="J15" i="14"/>
  <c r="I15" i="14"/>
  <c r="G15" i="14"/>
  <c r="J14" i="14"/>
  <c r="I14" i="14"/>
  <c r="K14" i="14" s="1"/>
  <c r="G14" i="14"/>
  <c r="J13" i="14"/>
  <c r="K13" i="14" s="1"/>
  <c r="L13" i="14" s="1"/>
  <c r="P13" i="14" s="1"/>
  <c r="I13" i="14"/>
  <c r="G13" i="14"/>
  <c r="J12" i="14"/>
  <c r="K12" i="14" s="1"/>
  <c r="L12" i="14" s="1"/>
  <c r="P12" i="14" s="1"/>
  <c r="I12" i="14"/>
  <c r="G12" i="14"/>
  <c r="J11" i="14"/>
  <c r="K11" i="14" s="1"/>
  <c r="L11" i="14" s="1"/>
  <c r="P11" i="14" s="1"/>
  <c r="I11" i="14"/>
  <c r="G11" i="14"/>
  <c r="J10" i="14"/>
  <c r="K10" i="14" s="1"/>
  <c r="L10" i="14" s="1"/>
  <c r="P10" i="14" s="1"/>
  <c r="I10" i="14"/>
  <c r="G10" i="14"/>
  <c r="J9" i="14"/>
  <c r="K9" i="14" s="1"/>
  <c r="L9" i="14" s="1"/>
  <c r="P9" i="14" s="1"/>
  <c r="I9" i="14"/>
  <c r="G9" i="14"/>
  <c r="J8" i="14"/>
  <c r="K8" i="14" s="1"/>
  <c r="I8" i="14"/>
  <c r="G8" i="14"/>
  <c r="J7" i="14"/>
  <c r="K7" i="14" s="1"/>
  <c r="L7" i="14" s="1"/>
  <c r="P7" i="14" s="1"/>
  <c r="I7" i="14"/>
  <c r="G7" i="14"/>
  <c r="J6" i="14"/>
  <c r="K6" i="14" s="1"/>
  <c r="L6" i="14" s="1"/>
  <c r="P6" i="14" s="1"/>
  <c r="I6" i="14"/>
  <c r="G6" i="14"/>
  <c r="J5" i="14"/>
  <c r="K5" i="14" s="1"/>
  <c r="L5" i="14" s="1"/>
  <c r="P5" i="14" s="1"/>
  <c r="I5" i="14"/>
  <c r="G5" i="14"/>
  <c r="J4" i="14"/>
  <c r="K4" i="14" s="1"/>
  <c r="L4" i="14" s="1"/>
  <c r="P4" i="14" s="1"/>
  <c r="I4" i="14"/>
  <c r="G4" i="14"/>
  <c r="J3" i="14"/>
  <c r="K3" i="14" s="1"/>
  <c r="L3" i="14" s="1"/>
  <c r="P3" i="14" s="1"/>
  <c r="I3" i="14"/>
  <c r="G3" i="14"/>
  <c r="J2" i="14"/>
  <c r="K2" i="14" s="1"/>
  <c r="L2" i="14" s="1"/>
  <c r="P2" i="14" s="1"/>
  <c r="I2" i="14"/>
  <c r="G2" i="14"/>
  <c r="K16" i="14" l="1"/>
  <c r="K15" i="14"/>
  <c r="L15" i="14" s="1"/>
  <c r="P15" i="14" s="1"/>
  <c r="L16" i="14"/>
  <c r="P16" i="14" s="1"/>
  <c r="L27" i="14"/>
  <c r="P27" i="14" s="1"/>
  <c r="L20" i="14"/>
  <c r="P20" i="14" s="1"/>
  <c r="K29" i="14"/>
  <c r="L29" i="14" s="1"/>
  <c r="P29" i="14" s="1"/>
  <c r="L8" i="14"/>
  <c r="P8" i="14" s="1"/>
  <c r="L23" i="14"/>
  <c r="P23" i="14" s="1"/>
  <c r="L17" i="14"/>
  <c r="P17" i="14" s="1"/>
  <c r="L14" i="14"/>
  <c r="P14" i="14" s="1"/>
  <c r="L25" i="14"/>
  <c r="P25" i="14" s="1"/>
  <c r="J29" i="13"/>
  <c r="K29" i="13" s="1"/>
  <c r="L29" i="13" s="1"/>
  <c r="P29" i="13" s="1"/>
  <c r="I29" i="13"/>
  <c r="G29" i="13"/>
  <c r="J28" i="13"/>
  <c r="I28" i="13"/>
  <c r="G28" i="13"/>
  <c r="J27" i="13"/>
  <c r="I27" i="13"/>
  <c r="K27" i="13" s="1"/>
  <c r="L27" i="13" s="1"/>
  <c r="P27" i="13" s="1"/>
  <c r="G27" i="13"/>
  <c r="J26" i="13"/>
  <c r="K26" i="13" s="1"/>
  <c r="L26" i="13" s="1"/>
  <c r="P26" i="13" s="1"/>
  <c r="I26" i="13"/>
  <c r="G26" i="13"/>
  <c r="J25" i="13"/>
  <c r="K25" i="13" s="1"/>
  <c r="I25" i="13"/>
  <c r="G25" i="13"/>
  <c r="J24" i="13"/>
  <c r="K24" i="13" s="1"/>
  <c r="L24" i="13" s="1"/>
  <c r="P24" i="13" s="1"/>
  <c r="I24" i="13"/>
  <c r="G24" i="13"/>
  <c r="I23" i="13"/>
  <c r="G23" i="13"/>
  <c r="K23" i="13" s="1"/>
  <c r="E23" i="13"/>
  <c r="J23" i="13" s="1"/>
  <c r="J22" i="13"/>
  <c r="K22" i="13" s="1"/>
  <c r="L22" i="13" s="1"/>
  <c r="P22" i="13" s="1"/>
  <c r="I22" i="13"/>
  <c r="G22" i="13"/>
  <c r="J21" i="13"/>
  <c r="K21" i="13" s="1"/>
  <c r="L21" i="13" s="1"/>
  <c r="P21" i="13" s="1"/>
  <c r="I21" i="13"/>
  <c r="G21" i="13"/>
  <c r="J20" i="13"/>
  <c r="I20" i="13"/>
  <c r="G20" i="13"/>
  <c r="J19" i="13"/>
  <c r="I19" i="13"/>
  <c r="G19" i="13"/>
  <c r="J18" i="13"/>
  <c r="K18" i="13" s="1"/>
  <c r="L18" i="13" s="1"/>
  <c r="P18" i="13" s="1"/>
  <c r="I18" i="13"/>
  <c r="G18" i="13"/>
  <c r="J17" i="13"/>
  <c r="K17" i="13" s="1"/>
  <c r="L17" i="13" s="1"/>
  <c r="P17" i="13" s="1"/>
  <c r="I17" i="13"/>
  <c r="G17" i="13"/>
  <c r="J16" i="13"/>
  <c r="I16" i="13"/>
  <c r="G16" i="13"/>
  <c r="J15" i="13"/>
  <c r="K15" i="13" s="1"/>
  <c r="L15" i="13" s="1"/>
  <c r="P15" i="13" s="1"/>
  <c r="I15" i="13"/>
  <c r="G15" i="13"/>
  <c r="J14" i="13"/>
  <c r="I14" i="13"/>
  <c r="G14" i="13"/>
  <c r="K14" i="13" s="1"/>
  <c r="L14" i="13" s="1"/>
  <c r="P14" i="13" s="1"/>
  <c r="J13" i="13"/>
  <c r="K13" i="13" s="1"/>
  <c r="L13" i="13" s="1"/>
  <c r="P13" i="13" s="1"/>
  <c r="I13" i="13"/>
  <c r="G13" i="13"/>
  <c r="J12" i="13"/>
  <c r="K12" i="13" s="1"/>
  <c r="L12" i="13" s="1"/>
  <c r="P12" i="13" s="1"/>
  <c r="I12" i="13"/>
  <c r="G12" i="13"/>
  <c r="J11" i="13"/>
  <c r="K11" i="13" s="1"/>
  <c r="L11" i="13" s="1"/>
  <c r="P11" i="13" s="1"/>
  <c r="I11" i="13"/>
  <c r="G11" i="13"/>
  <c r="J10" i="13"/>
  <c r="K10" i="13" s="1"/>
  <c r="L10" i="13" s="1"/>
  <c r="P10" i="13" s="1"/>
  <c r="I10" i="13"/>
  <c r="G10" i="13"/>
  <c r="J9" i="13"/>
  <c r="K9" i="13" s="1"/>
  <c r="L9" i="13" s="1"/>
  <c r="P9" i="13" s="1"/>
  <c r="I9" i="13"/>
  <c r="G9" i="13"/>
  <c r="J8" i="13"/>
  <c r="I8" i="13"/>
  <c r="G8" i="13"/>
  <c r="J7" i="13"/>
  <c r="I7" i="13"/>
  <c r="G7" i="13"/>
  <c r="J6" i="13"/>
  <c r="K6" i="13" s="1"/>
  <c r="L6" i="13" s="1"/>
  <c r="P6" i="13" s="1"/>
  <c r="I6" i="13"/>
  <c r="G6" i="13"/>
  <c r="J5" i="13"/>
  <c r="K5" i="13" s="1"/>
  <c r="L5" i="13" s="1"/>
  <c r="P5" i="13" s="1"/>
  <c r="I5" i="13"/>
  <c r="G5" i="13"/>
  <c r="J4" i="13"/>
  <c r="K4" i="13" s="1"/>
  <c r="L4" i="13" s="1"/>
  <c r="P4" i="13" s="1"/>
  <c r="I4" i="13"/>
  <c r="G4" i="13"/>
  <c r="J3" i="13"/>
  <c r="K3" i="13" s="1"/>
  <c r="L3" i="13" s="1"/>
  <c r="P3" i="13" s="1"/>
  <c r="I3" i="13"/>
  <c r="G3" i="13"/>
  <c r="J2" i="13"/>
  <c r="K2" i="13" s="1"/>
  <c r="L2" i="13" s="1"/>
  <c r="P2" i="13" s="1"/>
  <c r="I2" i="13"/>
  <c r="G2" i="13"/>
  <c r="K7" i="13" l="1"/>
  <c r="K19" i="13"/>
  <c r="L19" i="13" s="1"/>
  <c r="P19" i="13" s="1"/>
  <c r="K28" i="13"/>
  <c r="L28" i="13" s="1"/>
  <c r="P28" i="13" s="1"/>
  <c r="L7" i="13"/>
  <c r="P7" i="13" s="1"/>
  <c r="K8" i="13"/>
  <c r="L8" i="13" s="1"/>
  <c r="P8" i="13" s="1"/>
  <c r="K16" i="13"/>
  <c r="L16" i="13" s="1"/>
  <c r="P16" i="13" s="1"/>
  <c r="L25" i="13"/>
  <c r="P25" i="13" s="1"/>
  <c r="K20" i="13"/>
  <c r="L20" i="13" s="1"/>
  <c r="P20" i="13" s="1"/>
  <c r="L23" i="13"/>
  <c r="P23" i="13" s="1"/>
  <c r="J30" i="12"/>
  <c r="K30" i="12" s="1"/>
  <c r="I30" i="12"/>
  <c r="G30" i="12"/>
  <c r="J29" i="12"/>
  <c r="K29" i="12" s="1"/>
  <c r="L29" i="12" s="1"/>
  <c r="P29" i="12" s="1"/>
  <c r="I29" i="12"/>
  <c r="G29" i="12"/>
  <c r="J28" i="12"/>
  <c r="K28" i="12" s="1"/>
  <c r="I28" i="12"/>
  <c r="G28" i="12"/>
  <c r="J27" i="12"/>
  <c r="I27" i="12"/>
  <c r="G27" i="12"/>
  <c r="J26" i="12"/>
  <c r="K26" i="12" s="1"/>
  <c r="I26" i="12"/>
  <c r="G26" i="12"/>
  <c r="J25" i="12"/>
  <c r="I25" i="12"/>
  <c r="G25" i="12"/>
  <c r="J24" i="12"/>
  <c r="K24" i="12" s="1"/>
  <c r="I24" i="12"/>
  <c r="G24" i="12"/>
  <c r="I23" i="12"/>
  <c r="G23" i="12"/>
  <c r="E23" i="12"/>
  <c r="J23" i="12" s="1"/>
  <c r="K23" i="12" s="1"/>
  <c r="J22" i="12"/>
  <c r="I22" i="12"/>
  <c r="G22" i="12"/>
  <c r="J21" i="12"/>
  <c r="K21" i="12" s="1"/>
  <c r="L21" i="12" s="1"/>
  <c r="P21" i="12" s="1"/>
  <c r="I21" i="12"/>
  <c r="G21" i="12"/>
  <c r="J20" i="12"/>
  <c r="I20" i="12"/>
  <c r="K20" i="12" s="1"/>
  <c r="G20" i="12"/>
  <c r="J19" i="12"/>
  <c r="K19" i="12" s="1"/>
  <c r="I19" i="12"/>
  <c r="G19" i="12"/>
  <c r="J18" i="12"/>
  <c r="I18" i="12"/>
  <c r="G18" i="12"/>
  <c r="J17" i="12"/>
  <c r="K17" i="12" s="1"/>
  <c r="I17" i="12"/>
  <c r="G17" i="12"/>
  <c r="J16" i="12"/>
  <c r="I16" i="12"/>
  <c r="G16" i="12"/>
  <c r="K16" i="12" s="1"/>
  <c r="J15" i="12"/>
  <c r="K15" i="12" s="1"/>
  <c r="I15" i="12"/>
  <c r="G15" i="12"/>
  <c r="J14" i="12"/>
  <c r="I14" i="12"/>
  <c r="G14" i="12"/>
  <c r="K14" i="12" s="1"/>
  <c r="J13" i="12"/>
  <c r="K13" i="12" s="1"/>
  <c r="I13" i="12"/>
  <c r="G13" i="12"/>
  <c r="J12" i="12"/>
  <c r="K12" i="12" s="1"/>
  <c r="I12" i="12"/>
  <c r="G12" i="12"/>
  <c r="J11" i="12"/>
  <c r="K11" i="12" s="1"/>
  <c r="I11" i="12"/>
  <c r="G11" i="12"/>
  <c r="J10" i="12"/>
  <c r="I10" i="12"/>
  <c r="G10" i="12"/>
  <c r="J9" i="12"/>
  <c r="K9" i="12" s="1"/>
  <c r="I9" i="12"/>
  <c r="G9" i="12"/>
  <c r="J8" i="12"/>
  <c r="K8" i="12" s="1"/>
  <c r="I8" i="12"/>
  <c r="G8" i="12"/>
  <c r="J7" i="12"/>
  <c r="K7" i="12" s="1"/>
  <c r="L7" i="12" s="1"/>
  <c r="P7" i="12" s="1"/>
  <c r="I7" i="12"/>
  <c r="G7" i="12"/>
  <c r="J6" i="12"/>
  <c r="K6" i="12" s="1"/>
  <c r="I6" i="12"/>
  <c r="G6" i="12"/>
  <c r="J5" i="12"/>
  <c r="K5" i="12" s="1"/>
  <c r="L5" i="12" s="1"/>
  <c r="P5" i="12" s="1"/>
  <c r="I5" i="12"/>
  <c r="G5" i="12"/>
  <c r="J4" i="12"/>
  <c r="K4" i="12" s="1"/>
  <c r="I4" i="12"/>
  <c r="G4" i="12"/>
  <c r="J3" i="12"/>
  <c r="K3" i="12" s="1"/>
  <c r="I3" i="12"/>
  <c r="G3" i="12"/>
  <c r="J2" i="12"/>
  <c r="K2" i="12" s="1"/>
  <c r="L2" i="12" s="1"/>
  <c r="P2" i="12" s="1"/>
  <c r="I2" i="12"/>
  <c r="G2" i="12"/>
  <c r="K25" i="12" l="1"/>
  <c r="L25" i="12" s="1"/>
  <c r="P25" i="12" s="1"/>
  <c r="K27" i="12"/>
  <c r="L27" i="12" s="1"/>
  <c r="P27" i="12" s="1"/>
  <c r="L26" i="12"/>
  <c r="P26" i="12" s="1"/>
  <c r="L9" i="12"/>
  <c r="P9" i="12" s="1"/>
  <c r="L17" i="12"/>
  <c r="P17" i="12" s="1"/>
  <c r="K22" i="12"/>
  <c r="L22" i="12" s="1"/>
  <c r="P22" i="12" s="1"/>
  <c r="K18" i="12"/>
  <c r="L18" i="12" s="1"/>
  <c r="P18" i="12" s="1"/>
  <c r="K10" i="12"/>
  <c r="L10" i="12" s="1"/>
  <c r="P10" i="12" s="1"/>
  <c r="L19" i="12"/>
  <c r="P19" i="12" s="1"/>
  <c r="L3" i="12"/>
  <c r="P3" i="12" s="1"/>
  <c r="L6" i="12"/>
  <c r="P6" i="12" s="1"/>
  <c r="L13" i="12"/>
  <c r="P13" i="12" s="1"/>
  <c r="L14" i="12"/>
  <c r="P14" i="12" s="1"/>
  <c r="L30" i="12"/>
  <c r="P30" i="12" s="1"/>
  <c r="L12" i="12"/>
  <c r="P12" i="12" s="1"/>
  <c r="L16" i="12"/>
  <c r="P16" i="12" s="1"/>
  <c r="L8" i="12"/>
  <c r="P8" i="12" s="1"/>
  <c r="L11" i="12"/>
  <c r="P11" i="12" s="1"/>
  <c r="L15" i="12"/>
  <c r="P15" i="12" s="1"/>
  <c r="L20" i="12"/>
  <c r="L23" i="12"/>
  <c r="P23" i="12" s="1"/>
  <c r="L24" i="12"/>
  <c r="P24" i="12" s="1"/>
  <c r="L4" i="12"/>
  <c r="P4" i="12" s="1"/>
  <c r="L28" i="12"/>
  <c r="P28" i="12" s="1"/>
  <c r="D5" i="1"/>
  <c r="I18" i="11"/>
  <c r="D4" i="1"/>
  <c r="J30" i="11"/>
  <c r="K30" i="11" s="1"/>
  <c r="I30" i="11"/>
  <c r="G30" i="11"/>
  <c r="G21" i="11"/>
  <c r="I21" i="11"/>
  <c r="J21" i="11"/>
  <c r="K21" i="11" s="1"/>
  <c r="J29" i="11"/>
  <c r="K29" i="11" s="1"/>
  <c r="I29" i="11"/>
  <c r="G29" i="11"/>
  <c r="I27" i="11"/>
  <c r="G27" i="11"/>
  <c r="J27" i="11"/>
  <c r="K27" i="11" s="1"/>
  <c r="J25" i="11"/>
  <c r="G24" i="11"/>
  <c r="I24" i="11"/>
  <c r="J24" i="11"/>
  <c r="E23" i="11"/>
  <c r="I22" i="11"/>
  <c r="G23" i="11"/>
  <c r="I23" i="11"/>
  <c r="J23" i="11"/>
  <c r="J16" i="11"/>
  <c r="I16" i="11"/>
  <c r="G16" i="11"/>
  <c r="J26" i="11"/>
  <c r="I26" i="11"/>
  <c r="G26" i="11"/>
  <c r="J28" i="11"/>
  <c r="I28" i="11"/>
  <c r="G28" i="11"/>
  <c r="I25" i="11"/>
  <c r="G25" i="11"/>
  <c r="J22" i="11"/>
  <c r="K22" i="11" s="1"/>
  <c r="G22" i="11"/>
  <c r="J20" i="11"/>
  <c r="K20" i="11" s="1"/>
  <c r="I20" i="11"/>
  <c r="G20" i="11"/>
  <c r="J19" i="11"/>
  <c r="I19" i="11"/>
  <c r="G19" i="11"/>
  <c r="J18" i="11"/>
  <c r="G18" i="11"/>
  <c r="J17" i="11"/>
  <c r="I17" i="11"/>
  <c r="G17" i="11"/>
  <c r="J15" i="11"/>
  <c r="I15" i="11"/>
  <c r="G15" i="11"/>
  <c r="J14" i="11"/>
  <c r="I14" i="11"/>
  <c r="G14" i="11"/>
  <c r="J13" i="11"/>
  <c r="J12" i="11"/>
  <c r="I12" i="11"/>
  <c r="G12" i="11"/>
  <c r="J11" i="11"/>
  <c r="I11" i="11"/>
  <c r="G11" i="11"/>
  <c r="J10" i="11"/>
  <c r="I10" i="11"/>
  <c r="G10" i="11"/>
  <c r="J9" i="11"/>
  <c r="I9" i="11"/>
  <c r="G9" i="11"/>
  <c r="J8" i="11"/>
  <c r="K8" i="11" s="1"/>
  <c r="L8" i="11" s="1"/>
  <c r="P8" i="11" s="1"/>
  <c r="I8" i="11"/>
  <c r="G8" i="11"/>
  <c r="J7" i="11"/>
  <c r="K7" i="11" s="1"/>
  <c r="L7" i="11" s="1"/>
  <c r="P7" i="11" s="1"/>
  <c r="I7" i="11"/>
  <c r="G7" i="11"/>
  <c r="J6" i="11"/>
  <c r="K6" i="11" s="1"/>
  <c r="L6" i="11" s="1"/>
  <c r="P6" i="11" s="1"/>
  <c r="I6" i="11"/>
  <c r="G6" i="11"/>
  <c r="J5" i="11"/>
  <c r="K5" i="11" s="1"/>
  <c r="L5" i="11" s="1"/>
  <c r="P5" i="11" s="1"/>
  <c r="I5" i="11"/>
  <c r="G5" i="11"/>
  <c r="J4" i="11"/>
  <c r="K4" i="11" s="1"/>
  <c r="L4" i="11" s="1"/>
  <c r="P4" i="11" s="1"/>
  <c r="I4" i="11"/>
  <c r="G4" i="11"/>
  <c r="J3" i="11"/>
  <c r="I3" i="11"/>
  <c r="G3" i="11"/>
  <c r="J2" i="11"/>
  <c r="K2" i="11" s="1"/>
  <c r="L2" i="11" s="1"/>
  <c r="P2" i="11" s="1"/>
  <c r="I2" i="11"/>
  <c r="G2" i="11"/>
  <c r="P35" i="12" l="1"/>
  <c r="P20" i="12"/>
  <c r="K17" i="11"/>
  <c r="K12" i="11"/>
  <c r="L12" i="11" s="1"/>
  <c r="P12" i="11" s="1"/>
  <c r="K15" i="11"/>
  <c r="K23" i="11"/>
  <c r="L23" i="11" s="1"/>
  <c r="P23" i="11" s="1"/>
  <c r="K14" i="11"/>
  <c r="L14" i="11" s="1"/>
  <c r="P14" i="11" s="1"/>
  <c r="K18" i="11"/>
  <c r="L18" i="11" s="1"/>
  <c r="P18" i="11" s="1"/>
  <c r="K26" i="11"/>
  <c r="L26" i="11" s="1"/>
  <c r="P26" i="11" s="1"/>
  <c r="K25" i="11"/>
  <c r="L25" i="11" s="1"/>
  <c r="P25" i="11" s="1"/>
  <c r="K16" i="11"/>
  <c r="L16" i="11" s="1"/>
  <c r="P16" i="11" s="1"/>
  <c r="K24" i="11"/>
  <c r="L24" i="11" s="1"/>
  <c r="P24" i="11" s="1"/>
  <c r="K19" i="11"/>
  <c r="L19" i="11" s="1"/>
  <c r="P19" i="11" s="1"/>
  <c r="K28" i="11"/>
  <c r="L28" i="11" s="1"/>
  <c r="P28" i="11" s="1"/>
  <c r="L30" i="11"/>
  <c r="P30" i="11" s="1"/>
  <c r="L17" i="11"/>
  <c r="P17" i="11" s="1"/>
  <c r="L15" i="11"/>
  <c r="P15" i="11" s="1"/>
  <c r="L20" i="11"/>
  <c r="P20" i="11" s="1"/>
  <c r="L27" i="11"/>
  <c r="P27" i="11" s="1"/>
  <c r="L29" i="11"/>
  <c r="L21" i="11"/>
  <c r="P21" i="11" s="1"/>
  <c r="K10" i="11"/>
  <c r="L10" i="11" s="1"/>
  <c r="P10" i="11" s="1"/>
  <c r="K11" i="11"/>
  <c r="L11" i="11" s="1"/>
  <c r="P11" i="11" s="1"/>
  <c r="K3" i="11"/>
  <c r="L3" i="11" s="1"/>
  <c r="P3" i="11" s="1"/>
  <c r="L22" i="11"/>
  <c r="P22" i="11" s="1"/>
  <c r="K9" i="11"/>
  <c r="L9" i="11" s="1"/>
  <c r="P9" i="11" s="1"/>
  <c r="I13" i="11"/>
  <c r="G13" i="11"/>
  <c r="K13" i="11" s="1"/>
  <c r="L13" i="11" s="1"/>
  <c r="P13" i="11" s="1"/>
  <c r="K9" i="9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P29" i="11" l="1"/>
  <c r="L11" i="9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K11" i="8"/>
  <c r="P8" i="8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F5" i="1"/>
  <c r="F4" i="1"/>
  <c r="D3" i="1"/>
  <c r="G5" i="3" l="1"/>
  <c r="G9" i="3"/>
  <c r="G2" i="3"/>
  <c r="G13" i="3"/>
  <c r="G6" i="3"/>
  <c r="G10" i="3"/>
  <c r="G12" i="3"/>
  <c r="G3" i="3"/>
  <c r="G7" i="3"/>
  <c r="G11" i="3"/>
  <c r="G4" i="3"/>
  <c r="G8" i="3"/>
  <c r="F3" i="1"/>
  <c r="F6" i="1" s="1"/>
</calcChain>
</file>

<file path=xl/sharedStrings.xml><?xml version="1.0" encoding="utf-8"?>
<sst xmlns="http://schemas.openxmlformats.org/spreadsheetml/2006/main" count="762" uniqueCount="143">
  <si>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</si>
  <si>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</si>
  <si>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</si>
  <si>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</si>
  <si>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</si>
  <si>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</si>
  <si>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</si>
  <si>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</si>
  <si>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</si>
  <si>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</si>
  <si>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</si>
  <si>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</si>
  <si>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</si>
  <si>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</si>
  <si>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</si>
  <si>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</si>
  <si>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</si>
  <si>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</si>
  <si>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</si>
  <si>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</si>
  <si>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</si>
  <si>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</si>
  <si>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</si>
  <si>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</si>
  <si>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</si>
  <si>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</si>
  <si>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</si>
  <si>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</si>
  <si>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</si>
  <si>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</si>
  <si>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</si>
  <si>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</si>
  <si>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</si>
  <si>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</si>
  <si>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</si>
  <si>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</si>
  <si>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</si>
  <si>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</si>
  <si>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</si>
  <si>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</si>
  <si>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</si>
  <si>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</si>
  <si>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</si>
  <si>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</si>
  <si>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</si>
  <si>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</si>
  <si>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</si>
  <si>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</si>
  <si>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</si>
  <si>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</si>
  <si>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</si>
  <si>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</si>
  <si>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</si>
  <si>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</si>
  <si>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</si>
  <si>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</si>
  <si>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</si>
  <si>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</si>
  <si>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</si>
  <si>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</si>
  <si>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</si>
  <si>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</si>
  <si>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</si>
  <si>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</si>
  <si>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</si>
  <si>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</si>
  <si>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</si>
  <si>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</si>
  <si>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</si>
  <si>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</si>
  <si>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</si>
  <si>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</si>
  <si>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</si>
  <si>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</si>
  <si>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</si>
  <si>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</si>
  <si>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</si>
  <si>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</si>
  <si>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</si>
  <si>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</si>
  <si>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</si>
  <si>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</si>
  <si>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</si>
  <si>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</si>
  <si>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</si>
  <si>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</si>
  <si>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</si>
  <si>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</si>
  <si>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</si>
  <si>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</si>
  <si>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</si>
  <si>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</si>
  <si>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</si>
  <si>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</si>
  <si>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</si>
  <si>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</si>
  <si>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</si>
  <si>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</si>
  <si>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</si>
  <si>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</si>
  <si>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</si>
  <si>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</si>
  <si>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</si>
  <si>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</si>
  <si>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</si>
  <si>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</si>
  <si>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</si>
  <si>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</si>
  <si>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</si>
  <si>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</si>
  <si>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</si>
  <si>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</si>
  <si>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</si>
  <si>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</si>
  <si>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</si>
  <si>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</si>
  <si>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</si>
  <si>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</si>
  <si>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</si>
  <si>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Bosphorus</t>
  </si>
  <si>
    <t>Koile Syria</t>
  </si>
  <si>
    <t>Tax on persian tribes</t>
  </si>
  <si>
    <t>Cost per year in Talents</t>
  </si>
  <si>
    <t>Arachosia</t>
  </si>
  <si>
    <t>Baktria</t>
  </si>
  <si>
    <t>Cyprus</t>
  </si>
  <si>
    <t>timber, copper</t>
  </si>
  <si>
    <t>Drangiane</t>
  </si>
  <si>
    <t>Parthia</t>
  </si>
  <si>
    <t>Aria</t>
  </si>
  <si>
    <t>Hyrcania</t>
  </si>
  <si>
    <t>Gedrosia</t>
  </si>
  <si>
    <t>Elymais</t>
  </si>
  <si>
    <t>Indian</t>
  </si>
  <si>
    <t>Leonnatus</t>
  </si>
  <si>
    <t>Chandragupta</t>
  </si>
  <si>
    <t xml:space="preserve">Armenia </t>
  </si>
  <si>
    <t>5000 talents</t>
  </si>
  <si>
    <t>Syracuse</t>
  </si>
  <si>
    <t>(timber)</t>
  </si>
  <si>
    <t>Polyperchon</t>
  </si>
  <si>
    <t>Demetrios</t>
  </si>
  <si>
    <t>Meleagros/Peithon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</si>
</sst>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  <xf numFmtId="3" fontId="0" fillId="3" borderId="1" xfId="0" applyNumberFormat="1" applyFont="1" applyFill="1" applyBorder="1"/>
    <xf numFmtId="0" fontId="0" fillId="3" borderId="1" xfId="0" applyFont="1" applyFill="1" applyBorder="1"/>
  </cellXfs>
  <cellStyles count="1">
    <cellStyle name="Normal" xfId="0" builtinId="0"/>
  </cellStyles>
  <dxfs count="56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55">
      <calculatedColumnFormula>Table1[[#This Row],[Normal Grain Harvest]]*0.6</calculatedColumnFormula>
    </tableColumn>
    <tableColumn id="7" name="Normal Grain Harvest" dataDxfId="54"/>
    <tableColumn id="8" name="High Grain Harvest" dataDxfId="53">
      <calculatedColumnFormula>Table1[[#This Row],[Normal Grain Harvest]]*1.3</calculatedColumnFormula>
    </tableColumn>
    <tableColumn id="9" name="Required Grain" dataDxfId="52">
      <calculatedColumnFormula>(Table1[[#This Row],[Population]]*365)/1000</calculatedColumnFormula>
    </tableColumn>
    <tableColumn id="14" name="Suplus Grain" dataDxfId="51">
      <calculatedColumnFormula>Table1[[#This Row],[Normal Grain Harvest]]-Table1[[#This Row],[Required Grain]]</calculatedColumnFormula>
    </tableColumn>
    <tableColumn id="10" name="Tax Income in Talents" dataDxfId="50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49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48">
      <calculatedColumnFormula>Table13[[#This Row],[Normal Grain Harvest]]*0.6</calculatedColumnFormula>
    </tableColumn>
    <tableColumn id="7" name="Normal Grain Harvest" dataDxfId="47"/>
    <tableColumn id="8" name="High Grain Harvest" dataDxfId="46">
      <calculatedColumnFormula>Table13[[#This Row],[Normal Grain Harvest]]*1.3</calculatedColumnFormula>
    </tableColumn>
    <tableColumn id="9" name="Required Grain" dataDxfId="45">
      <calculatedColumnFormula>(Table13[[#This Row],[Population]]*365)/1000</calculatedColumnFormula>
    </tableColumn>
    <tableColumn id="14" name="Suplus Grain" dataDxfId="44">
      <calculatedColumnFormula>Table13[[#This Row],[Normal Grain Harvest]]-Table13[[#This Row],[Required Grain]]</calculatedColumnFormula>
    </tableColumn>
    <tableColumn id="10" name="Tax Income in Talents" dataDxfId="43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42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41">
      <calculatedColumnFormula>Table134[[#This Row],[Normal Grain Harvest]]*0.6</calculatedColumnFormula>
    </tableColumn>
    <tableColumn id="7" name="Normal Grain Harvest" dataDxfId="40"/>
    <tableColumn id="8" name="High Grain Harvest" dataDxfId="39">
      <calculatedColumnFormula>Table134[[#This Row],[Normal Grain Harvest]]*1.3</calculatedColumnFormula>
    </tableColumn>
    <tableColumn id="9" name="Required Grain" dataDxfId="38">
      <calculatedColumnFormula>(Table134[[#This Row],[Population]]*365)/1000</calculatedColumnFormula>
    </tableColumn>
    <tableColumn id="14" name="Suplus Grain" dataDxfId="37">
      <calculatedColumnFormula>Table134[[#This Row],[Normal Grain Harvest]]-Table134[[#This Row],[Required Grain]]</calculatedColumnFormula>
    </tableColumn>
    <tableColumn id="10" name="Tax Income in Talents" dataDxfId="36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35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34">
      <calculatedColumnFormula>Table1345[[#This Row],[Normal Grain Harvest]]*0.6</calculatedColumnFormula>
    </tableColumn>
    <tableColumn id="7" name="Normal Grain Harvest" dataDxfId="33"/>
    <tableColumn id="8" name="High Grain Harvest" dataDxfId="32">
      <calculatedColumnFormula>Table1345[[#This Row],[Normal Grain Harvest]]*1.3</calculatedColumnFormula>
    </tableColumn>
    <tableColumn id="9" name="Required Grain" dataDxfId="31">
      <calculatedColumnFormula>(Table1345[[#This Row],[Population]]*365)/1000</calculatedColumnFormula>
    </tableColumn>
    <tableColumn id="14" name="Suplus Grain" dataDxfId="30">
      <calculatedColumnFormula>Table1345[[#This Row],[Normal Grain Harvest]]-Table1345[[#This Row],[Required Grain]]</calculatedColumnFormula>
    </tableColumn>
    <tableColumn id="10" name="Tax Income in Talents" dataDxfId="29">
      <calculatedColumnFormula>(Table1345[[#This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8">
      <calculatedColumnFormula>(Table1345[[#This Row],[Tax Income in Talents]]+Table1345[[#This Row],[Trade Income]]-Table1345[[#This Row],[Other Expenditure]]-Table1345[[#This Row],[Garrisoned Soldier Cost]])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13456" displayName="Table13456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7">
      <calculatedColumnFormula>Table13456[[#This Row],[Normal Grain Harvest]]*0.6</calculatedColumnFormula>
    </tableColumn>
    <tableColumn id="7" name="Normal Grain Harvest" dataDxfId="26"/>
    <tableColumn id="8" name="High Grain Harvest" dataDxfId="25">
      <calculatedColumnFormula>Table13456[[#This Row],[Normal Grain Harvest]]*1.3</calculatedColumnFormula>
    </tableColumn>
    <tableColumn id="9" name="Required Grain" dataDxfId="24">
      <calculatedColumnFormula>(Table13456[[#This Row],[Population]]*365)/1000</calculatedColumnFormula>
    </tableColumn>
    <tableColumn id="14" name="Suplus Grain" dataDxfId="23">
      <calculatedColumnFormula>Table13456[[#This Row],[Normal Grain Harvest]]-Table13456[[#This Row],[Required Grain]]</calculatedColumnFormula>
    </tableColumn>
    <tableColumn id="10" name="Tax Income in Talents" dataDxfId="22">
      <calculatedColumnFormula>(Table13456[[#This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1">
      <calculatedColumnFormula>(Table13456[[#This Row],[Tax Income in Talents]]+Table13456[[#This Row],[Trade Income]]-Table13456[[#This Row],[Other Expenditure]]-Table13456[[#This Row],[Garrisoned Soldier Cost]])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134567" displayName="Table134567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0">
      <calculatedColumnFormula>Table134567[[#This Row],[Normal Grain Harvest]]*0.6</calculatedColumnFormula>
    </tableColumn>
    <tableColumn id="7" name="Normal Grain Harvest" dataDxfId="14"/>
    <tableColumn id="8" name="High Grain Harvest" dataDxfId="19">
      <calculatedColumnFormula>Table134567[[#This Row],[Normal Grain Harvest]]*1.3</calculatedColumnFormula>
    </tableColumn>
    <tableColumn id="9" name="Required Grain" dataDxfId="18">
      <calculatedColumnFormula>(Table134567[[#This Row],[Population]]*365)/1000</calculatedColumnFormula>
    </tableColumn>
    <tableColumn id="14" name="Suplus Grain" dataDxfId="17">
      <calculatedColumnFormula>Table134567[[#This Row],[Normal Grain Harvest]]-Table134567[[#This Row],[Required Grain]]</calculatedColumnFormula>
    </tableColumn>
    <tableColumn id="10" name="Tax Income in Talents" dataDxfId="16">
      <calculatedColumnFormula>(Table134567[[#This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5">
      <calculatedColumnFormula>(Table134567[[#This Row],[Tax Income in Talents]]+Table134567[[#This Row],[Trade Income]]-Table134567[[#This Row],[Other Expenditure]]-Table134567[[#This Row],[Garrisoned Soldier Cost]])</calculatedColumnFormula>
    </tableColumn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1345678" displayName="Table1345678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13">
      <calculatedColumnFormula>Table1345678[[#This Row],[Normal Grain Harvest]]*0.6</calculatedColumnFormula>
    </tableColumn>
    <tableColumn id="7" name="Normal Grain Harvest" dataDxfId="12"/>
    <tableColumn id="8" name="High Grain Harvest" dataDxfId="11">
      <calculatedColumnFormula>Table1345678[[#This Row],[Normal Grain Harvest]]*1.3</calculatedColumnFormula>
    </tableColumn>
    <tableColumn id="9" name="Required Grain" dataDxfId="10">
      <calculatedColumnFormula>(Table1345678[[#This Row],[Population]]*365)/1000</calculatedColumnFormula>
    </tableColumn>
    <tableColumn id="14" name="Suplus Grain" dataDxfId="9">
      <calculatedColumnFormula>Table1345678[[#This Row],[Normal Grain Harvest]]-Table1345678[[#This Row],[Required Grain]]</calculatedColumnFormula>
    </tableColumn>
    <tableColumn id="10" name="Tax Income in Talents" dataDxfId="8">
      <calculatedColumnFormula>(Table1345678[[#This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">
      <calculatedColumnFormula>(Table1345678[[#This Row],[Tax Income in Talents]]+Table1345678[[#This Row],[Trade Income]]-Table1345678[[#This Row],[Other Expenditure]]-Table1345678[[#This Row],[Garrisoned Soldier Cost]])</calculatedColumnFormula>
    </tableColumn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13456789" displayName="Table13456789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Table13456789[[#This Row],[Normal Grain Harvest]]*0.6</calculatedColumnFormula>
    </tableColumn>
    <tableColumn id="7" name="Normal Grain Harvest" dataDxfId="5"/>
    <tableColumn id="8" name="High Grain Harvest" dataDxfId="4">
      <calculatedColumnFormula>Table13456789[[#This Row],[Normal Grain Harvest]]*1.3</calculatedColumnFormula>
    </tableColumn>
    <tableColumn id="9" name="Required Grain" dataDxfId="3">
      <calculatedColumnFormula>(Table13456789[[#This Row],[Population]]*365)/1000</calculatedColumnFormula>
    </tableColumn>
    <tableColumn id="14" name="Suplus Grain" dataDxfId="2">
      <calculatedColumnFormula>Table13456789[[#This Row],[Normal Grain Harvest]]-Table13456789[[#This Row],[Required Grain]]</calculatedColumnFormula>
    </tableColumn>
    <tableColumn id="10" name="Tax Income in Talents" dataDxfId="1">
      <calculatedColumnFormula>(Table13456789[[#This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(Table13456789[[#This Row],[Tax Income in Talents]]+Table13456789[[#This Row],[Trade Income]]-Table13456789[[#This Row],[Other Expenditure]]-Table13456789[[#This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F5" sqref="F5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12</v>
      </c>
      <c r="C2">
        <v>150</v>
      </c>
      <c r="D2">
        <f>(C2/6000)*B2</f>
        <v>0.30000000000000004</v>
      </c>
      <c r="E2" s="1"/>
      <c r="F2">
        <f>E2*D2</f>
        <v>0</v>
      </c>
    </row>
    <row r="3" spans="1:6" x14ac:dyDescent="0.25">
      <c r="A3" t="s">
        <v>0</v>
      </c>
      <c r="B3">
        <v>12</v>
      </c>
      <c r="C3">
        <v>250</v>
      </c>
      <c r="D3">
        <f>(C3/6000)*B3</f>
        <v>0.5</v>
      </c>
      <c r="E3" s="1">
        <f>11500*0.98</f>
        <v>11270</v>
      </c>
      <c r="F3">
        <f>E3*D3</f>
        <v>5635</v>
      </c>
    </row>
    <row r="4" spans="1:6" x14ac:dyDescent="0.25">
      <c r="A4" t="s">
        <v>2</v>
      </c>
      <c r="B4">
        <v>12</v>
      </c>
      <c r="C4">
        <v>500</v>
      </c>
      <c r="D4">
        <f>(C4/6000)*B4</f>
        <v>1</v>
      </c>
      <c r="E4">
        <f>3550*0.98</f>
        <v>3479</v>
      </c>
      <c r="F4">
        <f t="shared" ref="F4:F5" si="0">E4*D4</f>
        <v>3479</v>
      </c>
    </row>
    <row r="5" spans="1:6" x14ac:dyDescent="0.25">
      <c r="A5" t="s">
        <v>3</v>
      </c>
      <c r="B5">
        <v>12</v>
      </c>
      <c r="C5">
        <v>6000</v>
      </c>
      <c r="D5">
        <f>(C5/6000)*B5</f>
        <v>12</v>
      </c>
      <c r="F5">
        <f t="shared" si="0"/>
        <v>0</v>
      </c>
    </row>
    <row r="6" spans="1:6" x14ac:dyDescent="0.25">
      <c r="A6" t="s">
        <v>7</v>
      </c>
      <c r="F6">
        <f>SUM(F2:F5)</f>
        <v>9114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A9" sqref="A9"/>
    </sheetView>
  </sheetViews>
  <sheetFormatPr defaultRowHeight="15" x14ac:dyDescent="0.25"/>
  <sheetData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  <row r="8" spans="1:2" x14ac:dyDescent="0.25">
      <c r="A8" t="s">
        <v>137</v>
      </c>
      <c r="B8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0" sqref="D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2" sqref="E12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122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1620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6435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11500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235</v>
      </c>
    </row>
    <row r="6" spans="1:7" x14ac:dyDescent="0.25">
      <c r="A6" t="s">
        <v>42</v>
      </c>
      <c r="B6" t="s">
        <v>100</v>
      </c>
      <c r="F6">
        <v>3500</v>
      </c>
      <c r="G6">
        <f>(D6*'Army Costs'!$D$3)+(E6*'Army Costs'!$D$4)+('Distribution of Troops'!F6*'Army Costs'!$D$5)+(C6*'Army Costs'!$D$2)</f>
        <v>42000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2100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800</v>
      </c>
    </row>
    <row r="12" spans="1:7" x14ac:dyDescent="0.25">
      <c r="A12" t="s">
        <v>48</v>
      </c>
      <c r="B12" t="s">
        <v>96</v>
      </c>
      <c r="D12" s="1">
        <v>5000</v>
      </c>
      <c r="E12" s="1">
        <v>800</v>
      </c>
      <c r="F12">
        <v>500</v>
      </c>
      <c r="G12">
        <f>(D12*'Army Costs'!$D$3)+(E12*'Army Costs'!$D$4)+('Distribution of Troops'!F12*'Army Costs'!$D$5)+(C12*'Army Costs'!$D$2)</f>
        <v>9300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P22" sqref="A1:P22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120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1" workbookViewId="0">
      <pane xSplit="1" topLeftCell="B1" activePane="topRight" state="frozen"/>
      <selection activeCell="A13" sqref="A13"/>
      <selection pane="topRight" activeCell="B19" sqref="B19"/>
    </sheetView>
  </sheetViews>
  <sheetFormatPr defaultRowHeight="15" x14ac:dyDescent="0.25"/>
  <cols>
    <col min="1" max="1" width="23.85546875" customWidth="1"/>
    <col min="2" max="2" width="33.42578125" customWidth="1"/>
    <col min="8" max="8" width="10.140625" bestFit="1" customWidth="1"/>
    <col min="9" max="9" width="11.710937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Table1345[[#This Row],[Normal Grain Harvest]]*0.6</f>
        <v>1500000</v>
      </c>
      <c r="H2" s="1">
        <v>2500000</v>
      </c>
      <c r="I2" s="1">
        <f>Table1345[[#This Row],[Normal Grain Harvest]]*1.3</f>
        <v>3250000</v>
      </c>
      <c r="J2" s="1">
        <f>(Table1345[[#This Row],[Population]]*365)/1000</f>
        <v>73000</v>
      </c>
      <c r="K2" s="1">
        <f>Table1345[[#This Row],[Normal Grain Harvest]]-Table1345[[#This Row],[Required Grain]]</f>
        <v>2427000</v>
      </c>
      <c r="L2" s="3">
        <f>(Table1345[[#This Row],[Suplus Grain]]/2)/2000</f>
        <v>606.75</v>
      </c>
      <c r="M2" t="s">
        <v>41</v>
      </c>
      <c r="P2" s="4">
        <f>(Table1345[[#This Row],[Tax Income in Talents]]+Table1345[[#This Row],[Trade Income]]-Table1345[[#This Row],[Other Expenditure]]-Table1345[[#This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Table1345[[#This Row],[Normal Grain Harvest]]*0.6</f>
        <v>1500000</v>
      </c>
      <c r="H3" s="1">
        <v>2500000</v>
      </c>
      <c r="I3" s="1">
        <f>Table1345[[#This Row],[Normal Grain Harvest]]*1.3</f>
        <v>3250000</v>
      </c>
      <c r="J3" s="1">
        <f>(Table1345[[#This Row],[Population]]*365)/1000</f>
        <v>73000</v>
      </c>
      <c r="K3" s="1">
        <f>Table1345[[#This Row],[Low Grain Harvest]]-Table1345[[#This Row],[Required Grain]]</f>
        <v>1427000</v>
      </c>
      <c r="L3" s="3">
        <f>(Table1345[[#This Row],[Suplus Grain]]/2)/2000</f>
        <v>356.75</v>
      </c>
      <c r="M3" t="s">
        <v>43</v>
      </c>
      <c r="P3" s="4">
        <f>(Table1345[[#This Row],[Tax Income in Talents]]+Table1345[[#This Row],[Trade Income]]-Table1345[[#This Row],[Other Expenditure]]-Table1345[[#This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Table1345[[#This Row],[Normal Grain Harvest]]*0.6</f>
        <v>4050000</v>
      </c>
      <c r="H4" s="1">
        <v>6750000</v>
      </c>
      <c r="I4" s="1">
        <f>Table1345[[#This Row],[Normal Grain Harvest]]*1.3</f>
        <v>8775000</v>
      </c>
      <c r="J4" s="1">
        <f>(Table1345[[#This Row],[Population]]*365)/1000</f>
        <v>182500</v>
      </c>
      <c r="K4" s="1">
        <f>Table1345[[#This Row],[Normal Grain Harvest]]-Table1345[[#This Row],[Required Grain]]</f>
        <v>6567500</v>
      </c>
      <c r="L4" s="3">
        <f>(Table1345[[#This Row],[Suplus Grain]]/2)/2000</f>
        <v>1641.875</v>
      </c>
      <c r="M4" t="s">
        <v>93</v>
      </c>
      <c r="P4" s="4">
        <f>(Table1345[[#This Row],[Tax Income in Talents]]+Table1345[[#This Row],[Trade Income]]-Table1345[[#This Row],[Other Expenditure]]-Table1345[[#This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Table1345[[#This Row],[Normal Grain Harvest]]*0.6</f>
        <v>4050000</v>
      </c>
      <c r="H5" s="1">
        <v>6750000</v>
      </c>
      <c r="I5" s="1">
        <f>Table1345[[#This Row],[Normal Grain Harvest]]*1.3</f>
        <v>8775000</v>
      </c>
      <c r="J5" s="1">
        <f>(Table1345[[#This Row],[Population]]*365)/1000</f>
        <v>164250</v>
      </c>
      <c r="K5" s="1">
        <f>Table1345[[#This Row],[Normal Grain Harvest]]-Table1345[[#This Row],[Required Grain]]</f>
        <v>6585750</v>
      </c>
      <c r="L5" s="3">
        <f>(Table1345[[#This Row],[Suplus Grain]]/2)/2000</f>
        <v>1646.4375</v>
      </c>
      <c r="M5" t="s">
        <v>93</v>
      </c>
      <c r="N5">
        <v>200</v>
      </c>
      <c r="P5" s="4">
        <f>(Table1345[[#This Row],[Tax Income in Talents]]+Table1345[[#This Row],[Trade Income]]-Table1345[[#This Row],[Other Expenditure]]-Table1345[[#This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Table1345[[#This Row],[Normal Grain Harvest]]*0.6</f>
        <v>4050000</v>
      </c>
      <c r="H6" s="1">
        <v>6750000</v>
      </c>
      <c r="I6" s="1">
        <f>Table1345[[#This Row],[Normal Grain Harvest]]*1.3</f>
        <v>8775000</v>
      </c>
      <c r="J6" s="1">
        <f>(Table1345[[#This Row],[Population]]*365)/1000</f>
        <v>182500</v>
      </c>
      <c r="K6" s="1">
        <f>Table1345[[#This Row],[Normal Grain Harvest]]-Table1345[[#This Row],[Required Grain]]</f>
        <v>6567500</v>
      </c>
      <c r="L6" s="3">
        <f>(Table1345[[#This Row],[Suplus Grain]]/2)/2000</f>
        <v>1641.875</v>
      </c>
      <c r="M6" t="s">
        <v>93</v>
      </c>
      <c r="P6" s="4">
        <f>(Table1345[[#This Row],[Tax Income in Talents]]+Table1345[[#This Row],[Trade Income]]-Table1345[[#This Row],[Other Expenditure]]-Table1345[[#This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Table1345[[#This Row],[Normal Grain Harvest]]*0.6</f>
        <v>4050000</v>
      </c>
      <c r="H7" s="1">
        <v>6750000</v>
      </c>
      <c r="I7" s="1">
        <f>Table1345[[#This Row],[Normal Grain Harvest]]*1.3</f>
        <v>8775000</v>
      </c>
      <c r="J7" s="1">
        <f>(Table1345[[#This Row],[Population]]*365)/1000</f>
        <v>182500</v>
      </c>
      <c r="K7" s="1">
        <f>Table1345[[#This Row],[Normal Grain Harvest]]-Table1345[[#This Row],[Required Grain]]</f>
        <v>6567500</v>
      </c>
      <c r="L7" s="3">
        <f>(Table1345[[#This Row],[Suplus Grain]]/2)/2000</f>
        <v>1641.875</v>
      </c>
      <c r="M7" t="s">
        <v>93</v>
      </c>
      <c r="P7" s="4">
        <f>(Table1345[[#This Row],[Tax Income in Talents]]+Table1345[[#This Row],[Trade Income]]-Table1345[[#This Row],[Other Expenditure]]-Table1345[[#This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Table1345[[#This Row],[Normal Grain Harvest]]*0.6</f>
        <v>4050000</v>
      </c>
      <c r="H8" s="1">
        <v>6750000</v>
      </c>
      <c r="I8" s="1">
        <f>Table1345[[#This Row],[Normal Grain Harvest]]*1.3</f>
        <v>8775000</v>
      </c>
      <c r="J8" s="1">
        <f>(Table1345[[#This Row],[Population]]*365)/1000</f>
        <v>182500</v>
      </c>
      <c r="K8" s="1">
        <f>Table1345[[#This Row],[Normal Grain Harvest]]-Table1345[[#This Row],[Required Grain]]</f>
        <v>6567500</v>
      </c>
      <c r="L8" s="3">
        <f>(Table1345[[#This Row],[Suplus Grain]]/2)/2000</f>
        <v>1641.875</v>
      </c>
      <c r="M8" t="s">
        <v>90</v>
      </c>
      <c r="P8" s="4">
        <f>(Table1345[[#This Row],[Tax Income in Talents]]+Table1345[[#This Row],[Trade Income]]-Table1345[[#This Row],[Other Expenditure]]-Table1345[[#This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Table1345[[#This Row],[Normal Grain Harvest]]*0.6</f>
        <v>4050000</v>
      </c>
      <c r="H9" s="1">
        <v>6750000</v>
      </c>
      <c r="I9" s="1">
        <f>Table1345[[#This Row],[Normal Grain Harvest]]*1.3</f>
        <v>8775000</v>
      </c>
      <c r="J9" s="1">
        <f>(Table1345[[#This Row],[Population]]*365)/1000</f>
        <v>182500</v>
      </c>
      <c r="K9" s="1">
        <f>Table1345[[#This Row],[High Grain Harvest]]-Table1345[[#This Row],[Required Grain]]</f>
        <v>8592500</v>
      </c>
      <c r="L9" s="3">
        <f>(Table1345[[#This Row],[Suplus Grain]]/2)/2000</f>
        <v>2148.125</v>
      </c>
      <c r="M9" t="s">
        <v>89</v>
      </c>
      <c r="P9" s="4">
        <f>(Table1345[[#This Row],[Tax Income in Talents]]+Table1345[[#This Row],[Trade Income]]-Table1345[[#This Row],[Other Expenditure]]-Table1345[[#This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Table1345[[#This Row],[Normal Grain Harvest]]*0.6</f>
        <v>4050000</v>
      </c>
      <c r="H10" s="1">
        <v>6750000</v>
      </c>
      <c r="I10" s="1">
        <f>Table1345[[#This Row],[Normal Grain Harvest]]*1.3</f>
        <v>8775000</v>
      </c>
      <c r="J10" s="1">
        <f>(Table1345[[#This Row],[Population]]*365)/1000</f>
        <v>182500</v>
      </c>
      <c r="K10" s="1">
        <f>Table1345[[#This Row],[Low Grain Harvest]]-Table1345[[#This Row],[Required Grain]]</f>
        <v>3867500</v>
      </c>
      <c r="L10" s="3">
        <f>(Table1345[[#This Row],[Suplus Grain]]/2)/2000</f>
        <v>966.875</v>
      </c>
      <c r="M10" t="s">
        <v>88</v>
      </c>
      <c r="P10" s="4">
        <f>(Table1345[[#This Row],[Tax Income in Talents]]+Table1345[[#This Row],[Trade Income]]-Table1345[[#This Row],[Other Expenditure]]-Table1345[[#This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Table1345[[#This Row],[Normal Grain Harvest]]*0.6</f>
        <v>4050000</v>
      </c>
      <c r="H11" s="1">
        <v>6750000</v>
      </c>
      <c r="I11" s="1">
        <f>Table1345[[#This Row],[Normal Grain Harvest]]*1.3</f>
        <v>8775000</v>
      </c>
      <c r="J11" s="1">
        <f>(Table1345[[#This Row],[Population]]*365)/1000</f>
        <v>146000</v>
      </c>
      <c r="K11" s="1">
        <f>Table1345[[#This Row],[High Grain Harvest]]-Table1345[[#This Row],[Required Grain]]</f>
        <v>8629000</v>
      </c>
      <c r="L11" s="3">
        <f>(Table1345[[#This Row],[Suplus Grain]]/2)/2000</f>
        <v>2157.25</v>
      </c>
      <c r="M11" t="s">
        <v>91</v>
      </c>
      <c r="P11" s="4">
        <f>(Table1345[[#This Row],[Tax Income in Talents]]+Table1345[[#This Row],[Trade Income]]-Table1345[[#This Row],[Other Expenditure]]-Table1345[[#This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Table1345[[#This Row],[Normal Grain Harvest]]*0.6</f>
        <v>4050000</v>
      </c>
      <c r="H12" s="1">
        <v>6750000</v>
      </c>
      <c r="I12" s="1">
        <f>Table1345[[#This Row],[Normal Grain Harvest]]*1.3</f>
        <v>8775000</v>
      </c>
      <c r="J12" s="1">
        <f>(Table1345[[#This Row],[Population]]*365)/1000</f>
        <v>273750</v>
      </c>
      <c r="K12" s="1">
        <f>Table1345[[#This Row],[High Grain Harvest]]-Table1345[[#This Row],[Required Grain]]</f>
        <v>8501250</v>
      </c>
      <c r="L12" s="3">
        <f>(Table1345[[#This Row],[Suplus Grain]]/2)/2000</f>
        <v>2125.3125</v>
      </c>
      <c r="M12" t="s">
        <v>87</v>
      </c>
      <c r="P12" s="4">
        <f>(Table1345[[#This Row],[Tax Income in Talents]]+Table1345[[#This Row],[Trade Income]]-Table1345[[#This Row],[Other Expenditure]]-Table1345[[#This Row],[Garrisoned Soldier Cost]])</f>
        <v>325.3125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Table1345[[#This Row],[Normal Grain Harvest]]*0.6</f>
        <v>2925000</v>
      </c>
      <c r="H13" s="1">
        <v>4875000</v>
      </c>
      <c r="I13" s="1">
        <f>Table1345[[#This Row],[Normal Grain Harvest]]*1.3</f>
        <v>6337500</v>
      </c>
      <c r="J13" s="1">
        <f>(Table1345[[#This Row],[Population]]*365)/1000</f>
        <v>182500</v>
      </c>
      <c r="K13" s="1">
        <f>Table1345[[#This Row],[Low Grain Harvest]]-Table1345[[#This Row],[Normal Grain Harvest]]</f>
        <v>-1950000</v>
      </c>
      <c r="L13" s="3">
        <f>(Table1345[[#This Row],[Suplus Grain]]/2)/2000</f>
        <v>-487.5</v>
      </c>
      <c r="M13" t="s">
        <v>86</v>
      </c>
      <c r="P13" s="4">
        <f>(Table1345[[#This Row],[Tax Income in Talents]]+Table1345[[#This Row],[Trade Income]]-Table1345[[#This Row],[Other Expenditure]]-Table1345[[#This Row],[Garrisoned Soldier Cost]])</f>
        <v>-1487.5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Table1345[[#This Row],[Normal Grain Harvest]]*0.6</f>
        <v>2250000</v>
      </c>
      <c r="H14" s="1">
        <v>3750000</v>
      </c>
      <c r="I14" s="1">
        <f>Table1345[[#This Row],[Normal Grain Harvest]]*1.3</f>
        <v>4875000</v>
      </c>
      <c r="J14" s="1">
        <f>(Table1345[[#This Row],[Population]]*365)/1000</f>
        <v>182500</v>
      </c>
      <c r="K14" s="1">
        <f>Table1345[[#This Row],[High Grain Harvest]]-Table1345[[#This Row],[Required Grain]]</f>
        <v>4692500</v>
      </c>
      <c r="L14" s="3">
        <f>(Table1345[[#This Row],[Suplus Grain]]/2)/2000</f>
        <v>1173.125</v>
      </c>
      <c r="M14" t="s">
        <v>86</v>
      </c>
      <c r="P14" s="4">
        <f>(Table1345[[#This Row],[Tax Income in Talents]]+Table1345[[#This Row],[Trade Income]]-Table1345[[#This Row],[Other Expenditure]]-Table1345[[#This Row],[Garrisoned Soldier Cost]])</f>
        <v>-826.875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Table1345[[#This Row],[Normal Grain Harvest]]*0.6</f>
        <v>4500000</v>
      </c>
      <c r="H15" s="1">
        <v>7500000</v>
      </c>
      <c r="I15" s="1">
        <f>Table1345[[#This Row],[Normal Grain Harvest]]*1.3</f>
        <v>9750000</v>
      </c>
      <c r="J15" s="1">
        <f>(Table1345[[#This Row],[Population]]*365)/1000</f>
        <v>365000</v>
      </c>
      <c r="K15" s="1">
        <f>Table1345[[#This Row],[High Grain Harvest]]-Table1345[[#This Row],[Required Grain]]</f>
        <v>9385000</v>
      </c>
      <c r="L15" s="3">
        <f>(Table1345[[#This Row],[Suplus Grain]]/2)/2000</f>
        <v>2346.25</v>
      </c>
      <c r="M15" t="s">
        <v>86</v>
      </c>
      <c r="P15" s="4">
        <f>(Table1345[[#This Row],[Tax Income in Talents]]+Table1345[[#This Row],[Trade Income]]-Table1345[[#This Row],[Other Expenditure]]-Table1345[[#This Row],[Garrisoned Soldier Cost]])</f>
        <v>2096.25</v>
      </c>
    </row>
    <row r="16" spans="1:16" x14ac:dyDescent="0.25">
      <c r="A16" t="s">
        <v>125</v>
      </c>
      <c r="C16" s="1">
        <v>500</v>
      </c>
      <c r="D16">
        <v>250</v>
      </c>
      <c r="E16" s="1">
        <v>500000</v>
      </c>
      <c r="F16" s="1">
        <v>10000</v>
      </c>
      <c r="G16" s="1">
        <f>Table1345[[#This Row],[Normal Grain Harvest]]*0.6</f>
        <v>2250000</v>
      </c>
      <c r="H16" s="1">
        <v>3750000</v>
      </c>
      <c r="I16" s="1">
        <f>Table1345[[#This Row],[Normal Grain Harvest]]*1.3</f>
        <v>4875000</v>
      </c>
      <c r="J16" s="1">
        <f>(Table1345[[#This Row],[Population]]*365)/1000</f>
        <v>182500</v>
      </c>
      <c r="K16" s="1">
        <f>Table1345[[#This Row],[High Grain Harvest]]-Table1345[[#This Row],[Required Grain]]</f>
        <v>4692500</v>
      </c>
      <c r="L16" s="3">
        <f>(Table1345[[#This Row],[Suplus Grain]]/2)/2000</f>
        <v>1173.125</v>
      </c>
      <c r="M16" t="s">
        <v>126</v>
      </c>
      <c r="P16" s="4">
        <f>(Table1345[[#This Row],[Tax Income in Talents]]+Table1345[[#This Row],[Trade Income]]-Table1345[[#This Row],[Other Expenditure]]-Table1345[[#This Row],[Garrisoned Soldier Cost]])</f>
        <v>923.125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Table1345[[#This Row],[Normal Grain Harvest]]*0.6</f>
        <v>14322150</v>
      </c>
      <c r="H17" s="1">
        <v>23870250</v>
      </c>
      <c r="I17" s="6">
        <f>Table1345[[#This Row],[Normal Grain Harvest]]*1.3</f>
        <v>31031325</v>
      </c>
      <c r="J17" s="1">
        <f>(Table1345[[#This Row],[Population]]*365)/1000</f>
        <v>1277500</v>
      </c>
      <c r="K17" s="1">
        <f>Table1345[[#This Row],[High Grain Harvest]]-Table1345[[#This Row],[Required Grain]]</f>
        <v>29753825</v>
      </c>
      <c r="L17" s="3">
        <f>(Table1345[[#This Row],[Suplus Grain]]/2)/2000</f>
        <v>7438.4562500000002</v>
      </c>
      <c r="P17" s="4">
        <f>(Table1345[[#This Row],[Tax Income in Talents]]+Table1345[[#This Row],[Trade Income]]-Table1345[[#This Row],[Other Expenditure]]-Table1345[[#This Row],[Garrisoned Soldier Cost]])</f>
        <v>3438.4562500000002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Table1345[[#This Row],[Normal Grain Harvest]]*0.6</f>
        <v>10140000</v>
      </c>
      <c r="H18" s="1">
        <v>16900000</v>
      </c>
      <c r="I18" s="6">
        <f>Table1345[[#This Row],[Normal Grain Harvest]]*1.3</f>
        <v>21970000</v>
      </c>
      <c r="J18" s="1">
        <f>(Table1345[[#This Row],[Population]]*365)/1000</f>
        <v>730000</v>
      </c>
      <c r="K18" s="1">
        <f>Table1345[[#This Row],[Low Grain Harvest]]-Table1345[[#This Row],[Required Grain]]</f>
        <v>9410000</v>
      </c>
      <c r="L18" s="3">
        <f>(Table1345[[#This Row],[Suplus Grain]]/2)/2000</f>
        <v>2352.5</v>
      </c>
      <c r="M18" t="s">
        <v>85</v>
      </c>
      <c r="P18" s="4">
        <f>(Table1345[[#This Row],[Tax Income in Talents]]+Table1345[[#This Row],[Trade Income]]-Table1345[[#This Row],[Other Expenditure]]-Table1345[[#This Row],[Garrisoned Soldier Cost]])</f>
        <v>1852.5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Table1345[[#This Row],[Normal Grain Harvest]]*0.6</f>
        <v>9360000</v>
      </c>
      <c r="H19" s="1">
        <v>15600000</v>
      </c>
      <c r="I19" s="1">
        <f>Table1345[[#This Row],[Normal Grain Harvest]]*1.3</f>
        <v>20280000</v>
      </c>
      <c r="J19" s="1">
        <f>(Table1345[[#This Row],[Population]]*365)/1000</f>
        <v>474500</v>
      </c>
      <c r="K19" s="1">
        <f>Table1345[[#This Row],[Low Grain Harvest]]-Table1345[[#This Row],[Required Grain]]</f>
        <v>8885500</v>
      </c>
      <c r="L19" s="3">
        <f>(Table1345[[#This Row],[Suplus Grain]]/2)/2000</f>
        <v>2221.375</v>
      </c>
      <c r="M19" t="s">
        <v>85</v>
      </c>
      <c r="N19">
        <v>10</v>
      </c>
      <c r="P19" s="4">
        <f>(Table1345[[#This Row],[Tax Income in Talents]]+Table1345[[#This Row],[Trade Income]]-Table1345[[#This Row],[Other Expenditure]]-Table1345[[#This Row],[Garrisoned Soldier Cost]])</f>
        <v>1231.375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Table1345[[#This Row],[Normal Grain Harvest]]*0.6</f>
        <v>5850000</v>
      </c>
      <c r="H20" s="1">
        <v>9750000</v>
      </c>
      <c r="I20" s="1">
        <f>Table1345[[#This Row],[Normal Grain Harvest]]*1.3</f>
        <v>12675000</v>
      </c>
      <c r="J20" s="1">
        <f>(Table1345[[#This Row],[Population]]*365)/1000</f>
        <v>219000</v>
      </c>
      <c r="K20" s="1">
        <f>Table1345[[#This Row],[Normal Grain Harvest]]-Table1345[[#This Row],[Required Grain]]</f>
        <v>9531000</v>
      </c>
      <c r="L20" s="3">
        <f>(Table1345[[#This Row],[Suplus Grain]]/2)/2000</f>
        <v>2382.75</v>
      </c>
      <c r="M20" t="s">
        <v>56</v>
      </c>
      <c r="P20" s="4">
        <f>(Table1345[[#This Row],[Tax Income in Talents]]+Table1345[[#This Row],[Trade Income]]-Table1345[[#This Row],[Other Expenditure]]-Table1345[[#This Row],[Garrisoned Soldier Cost]])</f>
        <v>1632.75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Table1345[[#This Row],[Normal Grain Harvest]]*0.6</f>
        <v>4500000</v>
      </c>
      <c r="H21" s="1">
        <v>7500000</v>
      </c>
      <c r="I21" s="1">
        <f>Table1345[[#This Row],[Normal Grain Harvest]]*1.3</f>
        <v>9750000</v>
      </c>
      <c r="J21" s="1">
        <f>(Table1345[[#This Row],[Population]]*365)/1000</f>
        <v>219000</v>
      </c>
      <c r="K21" s="1">
        <f>Table1345[[#This Row],[Normal Grain Harvest]]-Table1345[[#This Row],[Required Grain]]</f>
        <v>7281000</v>
      </c>
      <c r="L21" s="3">
        <f>(Table1345[[#This Row],[Suplus Grain]]/2)/2000</f>
        <v>1820.25</v>
      </c>
      <c r="P21" s="4">
        <f>(Table1345[[#This Row],[Tax Income in Talents]]+Table1345[[#This Row],[Trade Income]]-Table1345[[#This Row],[Other Expenditure]]-Table1345[[#This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Table1345[[#This Row],[Normal Grain Harvest]]*0.6</f>
        <v>6084000</v>
      </c>
      <c r="H22">
        <v>10140000</v>
      </c>
      <c r="I22" s="1">
        <f>Table1345[[#This Row],[Normal Grain Harvest]]*1.3</f>
        <v>13182000</v>
      </c>
      <c r="J22" s="1">
        <f>(Table1345[[#This Row],[Population]]*365)/1000</f>
        <v>492750</v>
      </c>
      <c r="K22" s="1">
        <f>Table1345[[#This Row],[Normal Grain Harvest]]-Table1345[[#This Row],[Required Grain]]</f>
        <v>9647250</v>
      </c>
      <c r="L22" s="3">
        <f>(Table1345[[#This Row],[Suplus Grain]]/2)/2000</f>
        <v>2411.8125</v>
      </c>
      <c r="M22" t="s">
        <v>57</v>
      </c>
      <c r="P22" s="4">
        <f>(Table1345[[#This Row],[Tax Income in Talents]]+Table1345[[#This Row],[Trade Income]]-Table1345[[#This Row],[Other Expenditure]]-Table1345[[#This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Table1345[[#This Row],[Normal Grain Harvest]]*0.6</f>
        <v>4056000</v>
      </c>
      <c r="H23">
        <v>6760000</v>
      </c>
      <c r="I23" s="1">
        <f>Table1345[[#This Row],[Normal Grain Harvest]]*1.3</f>
        <v>8788000</v>
      </c>
      <c r="J23" s="1">
        <f>(Table1345[[#This Row],[Population]]*365)/1000</f>
        <v>328500</v>
      </c>
      <c r="K23" s="1">
        <f>Table1345[[#This Row],[High Grain Harvest]]-Table1345[[#This Row],[Required Grain]]</f>
        <v>8459500</v>
      </c>
      <c r="L23" s="3">
        <f>(Table1345[[#This Row],[Suplus Grain]]/2)/2000</f>
        <v>2114.875</v>
      </c>
      <c r="P23" s="4">
        <f>(Table1345[[#This Row],[Tax Income in Talents]]+Table1345[[#This Row],[Trade Income]]-Table1345[[#This Row],[Other Expenditure]]-Table1345[[#This Row],[Garrisoned Soldier Cost]])</f>
        <v>2114.875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Table1345[[#This Row],[Normal Grain Harvest]]*0.6</f>
        <v>2535000</v>
      </c>
      <c r="H24" s="1">
        <v>4225000</v>
      </c>
      <c r="I24" s="1">
        <f>Table1345[[#This Row],[Normal Grain Harvest]]*1.3</f>
        <v>5492500</v>
      </c>
      <c r="J24" s="1">
        <f>(Table1345[[#This Row],[Population]]*365)/1000</f>
        <v>136875</v>
      </c>
      <c r="K24" s="1">
        <f>Table1345[[#This Row],[High Grain Harvest]]-Table1345[[#This Row],[Required Grain]]</f>
        <v>5355625</v>
      </c>
      <c r="L24" s="3">
        <f>(Table1345[[#This Row],[Suplus Grain]]/2)/2000</f>
        <v>1338.90625</v>
      </c>
      <c r="P24" s="4">
        <f>(Table1345[[#This Row],[Tax Income in Talents]]+Table1345[[#This Row],[Trade Income]]-Table1345[[#This Row],[Other Expenditure]]-Table1345[[#This Row],[Garrisoned Soldier Cost]])</f>
        <v>1338.90625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Table1345[[#This Row],[Normal Grain Harvest]]*0.6</f>
        <v>2535000</v>
      </c>
      <c r="H25" s="7">
        <v>4225000</v>
      </c>
      <c r="I25" s="1">
        <f>Table1345[[#This Row],[Normal Grain Harvest]]*1.3</f>
        <v>5492500</v>
      </c>
      <c r="J25" s="1">
        <f>(Table1345[[#This Row],[Population]]*365)/1000</f>
        <v>136875</v>
      </c>
      <c r="K25" s="1">
        <f>Table1345[[#This Row],[High Grain Harvest]]-Table1345[[#This Row],[Required Grain]]</f>
        <v>5355625</v>
      </c>
      <c r="L25" s="3">
        <f>(Table1345[[#This Row],[Suplus Grain]]/2)/2000</f>
        <v>1338.90625</v>
      </c>
      <c r="M25" t="s">
        <v>88</v>
      </c>
      <c r="P25" s="4">
        <f>(Table1345[[#This Row],[Tax Income in Talents]]+Table1345[[#This Row],[Trade Income]]-Table1345[[#This Row],[Other Expenditure]]-Table1345[[#This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Table1345[[#This Row],[Normal Grain Harvest]]*0.6</f>
        <v>1950000</v>
      </c>
      <c r="H26" s="1">
        <v>3250000</v>
      </c>
      <c r="I26" s="1">
        <f>Table1345[[#This Row],[Normal Grain Harvest]]*1.3</f>
        <v>4225000</v>
      </c>
      <c r="J26" s="1">
        <f>(Table1345[[#This Row],[Population]]*365)/1000</f>
        <v>73000</v>
      </c>
      <c r="K26" s="1">
        <f>Table1345[[#This Row],[High Grain Harvest]]-Table1345[[#This Row],[Required Grain]]</f>
        <v>4152000</v>
      </c>
      <c r="L26" s="3">
        <f>(Table1345[[#This Row],[Suplus Grain]]/2)/2000</f>
        <v>1038</v>
      </c>
      <c r="P26" s="4">
        <f>(Table1345[[#This Row],[Tax Income in Talents]]+Table1345[[#This Row],[Trade Income]]-Table1345[[#This Row],[Other Expenditure]]-Table1345[[#This Row],[Garrisoned Soldier Cost]])</f>
        <v>1038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Table1345[[#This Row],[Normal Grain Harvest]]*0.6</f>
        <v>1170000</v>
      </c>
      <c r="H27" s="1">
        <v>1950000</v>
      </c>
      <c r="I27" s="1">
        <f>Table1345[[#This Row],[Normal Grain Harvest]]*1.3</f>
        <v>2535000</v>
      </c>
      <c r="J27" s="1">
        <f>(Table1345[[#This Row],[Population]]*365)/1000</f>
        <v>73000</v>
      </c>
      <c r="K27" s="1">
        <f>Table1345[[#This Row],[Normal Grain Harvest]]-Table1345[[#This Row],[Required Grain]]</f>
        <v>1877000</v>
      </c>
      <c r="L27" s="3">
        <f>(Table1345[[#This Row],[Suplus Grain]]/2)/2000</f>
        <v>469.25</v>
      </c>
      <c r="P27" s="4">
        <f>(Table1345[[#This Row],[Tax Income in Talents]]+Table1345[[#This Row],[Trade Income]]-Table1345[[#This Row],[Other Expenditure]]-Table1345[[#This Row],[Garrisoned Soldier Cost]])</f>
        <v>219.25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Table1345[[#This Row],[Normal Grain Harvest]]*0.6</f>
        <v>4680000</v>
      </c>
      <c r="H28" s="1">
        <v>7800000</v>
      </c>
      <c r="I28" s="6">
        <f>Table1345[[#This Row],[Normal Grain Harvest]]*1.3</f>
        <v>10140000</v>
      </c>
      <c r="J28" s="1">
        <f>(Table1345[[#This Row],[Population]]*365)/1000</f>
        <v>292000</v>
      </c>
      <c r="K28" s="1">
        <f>Table1345[[#This Row],[High Grain Harvest]]-Table1345[[#This Row],[Required Grain]]</f>
        <v>9848000</v>
      </c>
      <c r="L28" s="3">
        <f>(Table1345[[#This Row],[Suplus Grain]]/2)/2000</f>
        <v>2462</v>
      </c>
      <c r="M28" t="s">
        <v>92</v>
      </c>
      <c r="P28" s="4">
        <f>(Table1345[[#This Row],[Tax Income in Talents]]+Table1345[[#This Row],[Trade Income]]-Table1345[[#This Row],[Other Expenditure]]-Table1345[[#This Row],[Garrisoned Soldier Cost]])</f>
        <v>962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Table1345[[#This Row],[Normal Grain Harvest]]*0.6</f>
        <v>7800</v>
      </c>
      <c r="H29" s="1">
        <v>13000</v>
      </c>
      <c r="I29" s="1">
        <f>Table1345[[#This Row],[Normal Grain Harvest]]*1.3</f>
        <v>16900</v>
      </c>
      <c r="J29" s="1">
        <f>(Table1345[[#This Row],[Population]]*365)/1000</f>
        <v>2555</v>
      </c>
      <c r="K29" s="1">
        <f>Table1345[[#This Row],[Normal Grain Harvest]]-Table1345[[#This Row],[Required Grain]]</f>
        <v>10445</v>
      </c>
      <c r="L29" s="3">
        <f>(Table1345[[#This Row],[Suplus Grain]]/2)/2000</f>
        <v>2.6112500000000001</v>
      </c>
      <c r="P29" s="4">
        <f>(Table1345[[#This Row],[Tax Income in Talents]]+Table1345[[#This Row],[Trade Income]]-Table1345[[#This Row],[Other Expenditure]]-Table1345[[#This Row],[Garrisoned Soldier Cost]])</f>
        <v>2.6112500000000001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Table1345[[#This Row],[Normal Grain Harvest]]*0.6</f>
        <v>1500000</v>
      </c>
      <c r="H30" s="1">
        <v>2500000</v>
      </c>
      <c r="I30" s="1">
        <f>Table1345[[#This Row],[Normal Grain Harvest]]*1.3</f>
        <v>3250000</v>
      </c>
      <c r="J30" s="1">
        <f>(Table1345[[#This Row],[Population]]*365)/1000</f>
        <v>73000</v>
      </c>
      <c r="K30" s="1">
        <f>Table1345[[#This Row],[Normal Grain Harvest]]-Table1345[[#This Row],[Required Grain]]</f>
        <v>2427000</v>
      </c>
      <c r="L30" s="3">
        <f>(Table1345[[#This Row],[Suplus Grain]]/2)/2000</f>
        <v>606.75</v>
      </c>
      <c r="P30" s="4">
        <f>(Table1345[[#This Row],[Tax Income in Talents]]+Table1345[[#This Row],[Trade Income]]-Table1345[[#This Row],[Other Expenditure]]-Table1345[[#This Row],[Garrisoned Soldier Cost]])</f>
        <v>106.75</v>
      </c>
    </row>
    <row r="33" spans="8:12" x14ac:dyDescent="0.25">
      <c r="H33" s="7"/>
      <c r="L33" s="3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2" zoomScaleNormal="100" workbookViewId="0">
      <pane xSplit="1" topLeftCell="K1" activePane="topRight" state="frozen"/>
      <selection pane="topRight" sqref="A1:P30"/>
    </sheetView>
  </sheetViews>
  <sheetFormatPr defaultRowHeight="15" x14ac:dyDescent="0.25"/>
  <cols>
    <col min="1" max="1" width="14.5703125" customWidth="1"/>
    <col min="2" max="2" width="17.7109375" customWidth="1"/>
    <col min="6" max="6" width="12.7109375" customWidth="1"/>
    <col min="7" max="7" width="11.5703125" customWidth="1"/>
    <col min="8" max="8" width="12.42578125" customWidth="1"/>
    <col min="9" max="9" width="10.85546875" customWidth="1"/>
    <col min="10" max="10" width="10.42578125" customWidth="1"/>
    <col min="11" max="11" width="10.7109375" customWidth="1"/>
    <col min="12" max="12" width="10.5703125" customWidth="1"/>
    <col min="13" max="13" width="11.42578125" customWidth="1"/>
    <col min="16" max="16" width="27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Table13456[[#This Row],[Normal Grain Harvest]]*0.6</f>
        <v>1950000</v>
      </c>
      <c r="H2" s="1">
        <v>3250000</v>
      </c>
      <c r="I2" s="1">
        <f>Table13456[[#This Row],[Normal Grain Harvest]]*1.3</f>
        <v>4225000</v>
      </c>
      <c r="J2" s="1">
        <f>(Table13456[[#This Row],[Population]]*365)/1000</f>
        <v>73000</v>
      </c>
      <c r="K2" s="1">
        <f>Table13456[[#This Row],[Normal Grain Harvest]]-Table13456[[#This Row],[Required Grain]]</f>
        <v>3177000</v>
      </c>
      <c r="L2" s="3">
        <f>(Table13456[[#This Row],[Suplus Grain]]/2)/2000</f>
        <v>794.25</v>
      </c>
      <c r="M2" t="s">
        <v>41</v>
      </c>
      <c r="P2" s="4">
        <f>(Table13456[[#This Row],[Tax Income in Talents]]+Table13456[[#This Row],[Trade Income]]-Table13456[[#This Row],[Other Expenditure]]-Table13456[[#This Row],[Garrisoned Soldier Cost]])</f>
        <v>294.25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Table13456[[#This Row],[Normal Grain Harvest]]*0.6</f>
        <v>1950000</v>
      </c>
      <c r="H3" s="1">
        <v>3250000</v>
      </c>
      <c r="I3" s="1">
        <f>Table13456[[#This Row],[Normal Grain Harvest]]*1.3</f>
        <v>4225000</v>
      </c>
      <c r="J3" s="1">
        <f>(Table13456[[#This Row],[Population]]*365)/1000</f>
        <v>73000</v>
      </c>
      <c r="K3" s="1">
        <f>Table13456[[#This Row],[Normal Grain Harvest]]-Table13456[[#This Row],[Required Grain]]</f>
        <v>3177000</v>
      </c>
      <c r="L3" s="3">
        <f>(Table13456[[#This Row],[Suplus Grain]]/2)/2000</f>
        <v>794.25</v>
      </c>
      <c r="M3" t="s">
        <v>43</v>
      </c>
      <c r="P3" s="4">
        <f>(Table13456[[#This Row],[Tax Income in Talents]]+Table13456[[#This Row],[Trade Income]]-Table13456[[#This Row],[Other Expenditure]]-Table13456[[#This Row],[Garrisoned Soldier Cost]])</f>
        <v>294.25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Table13456[[#This Row],[Normal Grain Harvest]]*0.6</f>
        <v>4050000</v>
      </c>
      <c r="H4" s="1">
        <v>6750000</v>
      </c>
      <c r="I4" s="1">
        <f>Table13456[[#This Row],[Normal Grain Harvest]]*1.3</f>
        <v>8775000</v>
      </c>
      <c r="J4" s="1">
        <f>(Table13456[[#This Row],[Population]]*365)/1000</f>
        <v>182500</v>
      </c>
      <c r="K4" s="1">
        <f>Table13456[[#This Row],[Normal Grain Harvest]]-Table13456[[#This Row],[Required Grain]]</f>
        <v>6567500</v>
      </c>
      <c r="L4" s="3">
        <f>(Table13456[[#This Row],[Suplus Grain]]/2)/2000</f>
        <v>1641.875</v>
      </c>
      <c r="M4" t="s">
        <v>93</v>
      </c>
      <c r="P4" s="4">
        <f>(Table13456[[#This Row],[Tax Income in Talents]]+Table13456[[#This Row],[Trade Income]]-Table13456[[#This Row],[Other Expenditure]]-Table13456[[#This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Table13456[[#This Row],[Normal Grain Harvest]]*0.6</f>
        <v>5265000</v>
      </c>
      <c r="H5" s="1">
        <v>8775000</v>
      </c>
      <c r="I5" s="1">
        <f>Table13456[[#This Row],[Normal Grain Harvest]]*1.3</f>
        <v>11407500</v>
      </c>
      <c r="J5" s="1">
        <f>(Table13456[[#This Row],[Population]]*365)/1000</f>
        <v>164250</v>
      </c>
      <c r="K5" s="1">
        <f>Table13456[[#This Row],[Normal Grain Harvest]]-Table13456[[#This Row],[Required Grain]]</f>
        <v>8610750</v>
      </c>
      <c r="L5" s="3">
        <f>(Table13456[[#This Row],[Suplus Grain]]/2)/2000</f>
        <v>2152.6875</v>
      </c>
      <c r="M5" t="s">
        <v>93</v>
      </c>
      <c r="N5">
        <v>200</v>
      </c>
      <c r="P5" s="4">
        <f>(Table13456[[#This Row],[Tax Income in Talents]]+Table13456[[#This Row],[Trade Income]]-Table13456[[#This Row],[Other Expenditure]]-Table13456[[#This Row],[Garrisoned Soldier Cost]])</f>
        <v>1002.6875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Table13456[[#This Row],[Normal Grain Harvest]]*0.6</f>
        <v>4050000</v>
      </c>
      <c r="H6" s="1">
        <v>6750000</v>
      </c>
      <c r="I6" s="1">
        <f>Table13456[[#This Row],[Normal Grain Harvest]]*1.3</f>
        <v>8775000</v>
      </c>
      <c r="J6" s="1">
        <f>(Table13456[[#This Row],[Population]]*365)/1000</f>
        <v>182500</v>
      </c>
      <c r="K6" s="1">
        <f>Table13456[[#This Row],[Normal Grain Harvest]]-Table13456[[#This Row],[Required Grain]]</f>
        <v>6567500</v>
      </c>
      <c r="L6" s="3">
        <f>(Table13456[[#This Row],[Suplus Grain]]/2)/2000</f>
        <v>1641.875</v>
      </c>
      <c r="M6" t="s">
        <v>93</v>
      </c>
      <c r="P6" s="4">
        <f>(Table13456[[#This Row],[Tax Income in Talents]]+Table13456[[#This Row],[Trade Income]]-Table13456[[#This Row],[Other Expenditure]]-Table13456[[#This Row],[Garrisoned Soldier Cost]])</f>
        <v>141.875</v>
      </c>
    </row>
    <row r="7" spans="1:16" x14ac:dyDescent="0.25">
      <c r="A7" t="s">
        <v>52</v>
      </c>
      <c r="B7" t="s">
        <v>15</v>
      </c>
      <c r="C7" s="1">
        <v>3000</v>
      </c>
      <c r="D7">
        <v>1500</v>
      </c>
      <c r="E7" s="1">
        <v>500000</v>
      </c>
      <c r="F7" s="1">
        <v>13000</v>
      </c>
      <c r="G7" s="1">
        <f>Table13456[[#This Row],[Normal Grain Harvest]]*0.6</f>
        <v>4050000</v>
      </c>
      <c r="H7" s="1">
        <v>6750000</v>
      </c>
      <c r="I7" s="1">
        <f>Table13456[[#This Row],[Normal Grain Harvest]]*1.3</f>
        <v>8775000</v>
      </c>
      <c r="J7" s="1">
        <f>(Table13456[[#This Row],[Population]]*365)/1000</f>
        <v>182500</v>
      </c>
      <c r="K7" s="1">
        <f>Table13456[[#This Row],[Normal Grain Harvest]]-Table13456[[#This Row],[Required Grain]]</f>
        <v>6567500</v>
      </c>
      <c r="L7" s="3">
        <f>(Table13456[[#This Row],[Suplus Grain]]/2)/2000</f>
        <v>1641.875</v>
      </c>
      <c r="M7" t="s">
        <v>93</v>
      </c>
      <c r="P7" s="4">
        <f>(Table13456[[#This Row],[Tax Income in Talents]]+Table13456[[#This Row],[Trade Income]]-Table13456[[#This Row],[Other Expenditure]]-Table13456[[#This Row],[Garrisoned Soldier Cost]])</f>
        <v>141.875</v>
      </c>
    </row>
    <row r="8" spans="1:16" x14ac:dyDescent="0.25">
      <c r="A8" t="s">
        <v>44</v>
      </c>
      <c r="C8" s="1">
        <v>3000</v>
      </c>
      <c r="D8">
        <v>1500</v>
      </c>
      <c r="E8" s="1">
        <v>500000</v>
      </c>
      <c r="F8" s="1">
        <v>10000</v>
      </c>
      <c r="G8" s="6">
        <f>Table13456[[#This Row],[Normal Grain Harvest]]*0.6</f>
        <v>4050000</v>
      </c>
      <c r="H8" s="1">
        <v>6750000</v>
      </c>
      <c r="I8" s="1">
        <f>Table13456[[#This Row],[Normal Grain Harvest]]*1.3</f>
        <v>8775000</v>
      </c>
      <c r="J8" s="1">
        <f>(Table13456[[#This Row],[Population]]*365)/1000</f>
        <v>182500</v>
      </c>
      <c r="K8" s="1">
        <f>Table13456[[#This Row],[Normal Grain Harvest]]-Table13456[[#This Row],[Required Grain]]</f>
        <v>6567500</v>
      </c>
      <c r="L8" s="3">
        <f>(Table13456[[#This Row],[Suplus Grain]]/2)/2000</f>
        <v>1641.875</v>
      </c>
      <c r="M8" t="s">
        <v>90</v>
      </c>
      <c r="P8" s="4">
        <f>(Table13456[[#This Row],[Tax Income in Talents]]+Table13456[[#This Row],[Trade Income]]-Table13456[[#This Row],[Other Expenditure]]-Table13456[[#This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Table13456[[#This Row],[Normal Grain Harvest]]*0.6</f>
        <v>4050000</v>
      </c>
      <c r="H9" s="1">
        <v>6750000</v>
      </c>
      <c r="I9" s="1">
        <f>Table13456[[#This Row],[Normal Grain Harvest]]*1.3</f>
        <v>8775000</v>
      </c>
      <c r="J9" s="1">
        <f>(Table13456[[#This Row],[Population]]*365)/1000</f>
        <v>182500</v>
      </c>
      <c r="K9" s="1">
        <f>Table13456[[#This Row],[Normal Grain Harvest]]-Table13456[[#This Row],[Required Grain]]</f>
        <v>6567500</v>
      </c>
      <c r="L9" s="3">
        <f>(Table13456[[#This Row],[Suplus Grain]]/2)/2000</f>
        <v>1641.875</v>
      </c>
      <c r="M9" t="s">
        <v>89</v>
      </c>
      <c r="P9" s="4">
        <f>(Table13456[[#This Row],[Tax Income in Talents]]+Table13456[[#This Row],[Trade Income]]-Table13456[[#This Row],[Other Expenditure]]-Table13456[[#This Row],[Garrisoned Soldier Cost]])</f>
        <v>-158.125</v>
      </c>
    </row>
    <row r="10" spans="1:16" x14ac:dyDescent="0.25">
      <c r="A10" t="s">
        <v>46</v>
      </c>
      <c r="C10" s="1">
        <v>3000</v>
      </c>
      <c r="D10">
        <v>1500</v>
      </c>
      <c r="E10" s="1">
        <v>500000</v>
      </c>
      <c r="F10" s="1">
        <v>20000</v>
      </c>
      <c r="G10" s="1">
        <f>Table13456[[#This Row],[Normal Grain Harvest]]*0.6</f>
        <v>4050000</v>
      </c>
      <c r="H10" s="1">
        <v>6750000</v>
      </c>
      <c r="I10" s="1">
        <f>Table13456[[#This Row],[Normal Grain Harvest]]*1.3</f>
        <v>8775000</v>
      </c>
      <c r="J10" s="1">
        <f>(Table13456[[#This Row],[Population]]*365)/1000</f>
        <v>182500</v>
      </c>
      <c r="K10" s="1">
        <f>Table13456[[#This Row],[Normal Grain Harvest]]-Table13456[[#This Row],[Required Grain]]</f>
        <v>6567500</v>
      </c>
      <c r="L10" s="3">
        <f>(Table13456[[#This Row],[Suplus Grain]]/2)/2000</f>
        <v>1641.875</v>
      </c>
      <c r="M10" t="s">
        <v>88</v>
      </c>
      <c r="P10" s="4">
        <f>(Table13456[[#This Row],[Tax Income in Talents]]+Table13456[[#This Row],[Trade Income]]-Table13456[[#This Row],[Other Expenditure]]-Table13456[[#This Row],[Garrisoned Soldier Cost]])</f>
        <v>141.875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Table13456[[#This Row],[Normal Grain Harvest]]*0.6</f>
        <v>4050000</v>
      </c>
      <c r="H11" s="1">
        <v>6750000</v>
      </c>
      <c r="I11" s="1">
        <f>Table13456[[#This Row],[Normal Grain Harvest]]*1.3</f>
        <v>8775000</v>
      </c>
      <c r="J11" s="1">
        <f>(Table13456[[#This Row],[Population]]*365)/1000</f>
        <v>146000</v>
      </c>
      <c r="K11" s="1">
        <f>Table13456[[#This Row],[Normal Grain Harvest]]-Table13456[[#This Row],[Required Grain]]</f>
        <v>6604000</v>
      </c>
      <c r="L11" s="3">
        <f>(Table13456[[#This Row],[Suplus Grain]]/2)/2000</f>
        <v>1651</v>
      </c>
      <c r="M11" t="s">
        <v>91</v>
      </c>
      <c r="P11" s="4">
        <f>(Table13456[[#This Row],[Tax Income in Talents]]+Table13456[[#This Row],[Trade Income]]-Table13456[[#This Row],[Other Expenditure]]-Table13456[[#This Row],[Garrisoned Soldier Cost]])</f>
        <v>-149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Table13456[[#This Row],[Normal Grain Harvest]]*0.6</f>
        <v>4050000</v>
      </c>
      <c r="H12" s="1">
        <v>6750000</v>
      </c>
      <c r="I12" s="1">
        <f>Table13456[[#This Row],[Normal Grain Harvest]]*1.3</f>
        <v>8775000</v>
      </c>
      <c r="J12" s="1">
        <f>(Table13456[[#This Row],[Population]]*365)/1000</f>
        <v>273750</v>
      </c>
      <c r="K12" s="1">
        <f>Table13456[[#This Row],[Normal Grain Harvest]]-Table13456[[#This Row],[Required Grain]]</f>
        <v>6476250</v>
      </c>
      <c r="L12" s="3">
        <f>(Table13456[[#This Row],[Suplus Grain]]/2)/2000</f>
        <v>1619.0625</v>
      </c>
      <c r="M12" t="s">
        <v>87</v>
      </c>
      <c r="P12" s="4">
        <f>(Table13456[[#This Row],[Tax Income in Talents]]+Table13456[[#This Row],[Trade Income]]-Table13456[[#This Row],[Other Expenditure]]-Table13456[[#This Row],[Garrisoned Soldier Cost]])</f>
        <v>-180.9375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Table13456[[#This Row],[Normal Grain Harvest]]*0.6</f>
        <v>2925000</v>
      </c>
      <c r="H13" s="1">
        <v>4875000</v>
      </c>
      <c r="I13" s="1">
        <f>Table13456[[#This Row],[Normal Grain Harvest]]*1.3</f>
        <v>6337500</v>
      </c>
      <c r="J13" s="1">
        <f>(Table13456[[#This Row],[Population]]*365)/1000</f>
        <v>182500</v>
      </c>
      <c r="K13" s="1">
        <f>Table13456[[#This Row],[Normal Grain Harvest]]-Table13456[[#This Row],[Required Grain]]</f>
        <v>4692500</v>
      </c>
      <c r="L13" s="3">
        <f>(Table13456[[#This Row],[Suplus Grain]]/2)/2000</f>
        <v>1173.125</v>
      </c>
      <c r="M13" t="s">
        <v>86</v>
      </c>
      <c r="P13" s="4">
        <f>(Table13456[[#This Row],[Tax Income in Talents]]+Table13456[[#This Row],[Trade Income]]-Table13456[[#This Row],[Other Expenditure]]-Table13456[[#This Row],[Garrisoned Soldier Cost]])</f>
        <v>173.125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Table13456[[#This Row],[Normal Grain Harvest]]*0.6</f>
        <v>2250000</v>
      </c>
      <c r="H14" s="1">
        <v>3750000</v>
      </c>
      <c r="I14" s="1">
        <f>Table13456[[#This Row],[Normal Grain Harvest]]*1.3</f>
        <v>4875000</v>
      </c>
      <c r="J14" s="1">
        <f>(Table13456[[#This Row],[Population]]*365)/1000</f>
        <v>182500</v>
      </c>
      <c r="K14" s="1">
        <f>Table13456[[#This Row],[Low Grain Harvest]]-Table13456[[#This Row],[Required Grain]]</f>
        <v>2067500</v>
      </c>
      <c r="L14" s="3">
        <f>(Table13456[[#This Row],[Suplus Grain]]/2)/2000</f>
        <v>516.875</v>
      </c>
      <c r="M14" t="s">
        <v>86</v>
      </c>
      <c r="P14" s="4">
        <f>(Table13456[[#This Row],[Tax Income in Talents]]+Table13456[[#This Row],[Trade Income]]-Table13456[[#This Row],[Other Expenditure]]-Table13456[[#This Row],[Garrisoned Soldier Cost]])</f>
        <v>-1483.125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Table13456[[#This Row],[Normal Grain Harvest]]*0.6</f>
        <v>4500000</v>
      </c>
      <c r="H15" s="1">
        <v>7500000</v>
      </c>
      <c r="I15" s="1">
        <f>Table13456[[#This Row],[Normal Grain Harvest]]*1.3</f>
        <v>9750000</v>
      </c>
      <c r="J15" s="1">
        <f>(Table13456[[#This Row],[Population]]*365)/1000</f>
        <v>365000</v>
      </c>
      <c r="K15" s="1">
        <f>Table13456[[#This Row],[Normal Grain Harvest]]-Table13456[[#This Row],[Required Grain]]</f>
        <v>7135000</v>
      </c>
      <c r="L15" s="3">
        <f>(Table13456[[#This Row],[Suplus Grain]]/2)/2000</f>
        <v>1783.75</v>
      </c>
      <c r="M15" t="s">
        <v>86</v>
      </c>
      <c r="P15" s="4">
        <f>(Table13456[[#This Row],[Tax Income in Talents]]+Table13456[[#This Row],[Trade Income]]-Table13456[[#This Row],[Other Expenditure]]-Table13456[[#This Row],[Garrisoned Soldier Cost]])</f>
        <v>1533.75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Table13456[[#This Row],[Normal Grain Harvest]]*0.6</f>
        <v>2250000</v>
      </c>
      <c r="H16" s="1">
        <v>3750000</v>
      </c>
      <c r="I16" s="1">
        <f>Table13456[[#This Row],[Normal Grain Harvest]]*1.3</f>
        <v>4875000</v>
      </c>
      <c r="J16" s="1">
        <f>(Table13456[[#This Row],[Population]]*365)/1000</f>
        <v>182500</v>
      </c>
      <c r="K16" s="1">
        <f>Table13456[[#This Row],[Low Grain Harvest]]-Table13456[[#This Row],[Required Grain]]</f>
        <v>2067500</v>
      </c>
      <c r="L16" s="3">
        <f>(Table13456[[#This Row],[Suplus Grain]]/2)/2000</f>
        <v>516.875</v>
      </c>
      <c r="M16" t="s">
        <v>126</v>
      </c>
      <c r="P16" s="4">
        <f>(Table13456[[#This Row],[Tax Income in Talents]]+Table13456[[#This Row],[Trade Income]]-Table13456[[#This Row],[Other Expenditure]]-Table13456[[#This Row],[Garrisoned Soldier Cost]])</f>
        <v>266.875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Table13456[[#This Row],[Normal Grain Harvest]]*0.6</f>
        <v>14751814.799999999</v>
      </c>
      <c r="H17" s="1">
        <v>24586358</v>
      </c>
      <c r="I17" s="6">
        <f>Table13456[[#This Row],[Normal Grain Harvest]]*1.3</f>
        <v>31962265.400000002</v>
      </c>
      <c r="J17" s="1">
        <f>(Table13456[[#This Row],[Population]]*365)/1000</f>
        <v>1277500</v>
      </c>
      <c r="K17" s="1">
        <f>Table13456[[#This Row],[Normal Grain Harvest]]-Table13456[[#This Row],[Required Grain]]</f>
        <v>23308858</v>
      </c>
      <c r="L17" s="3">
        <f>(Table13456[[#This Row],[Suplus Grain]]/2)/2000</f>
        <v>5827.2145</v>
      </c>
      <c r="P17" s="4">
        <f>(Table13456[[#This Row],[Tax Income in Talents]]+Table13456[[#This Row],[Trade Income]]-Table13456[[#This Row],[Other Expenditure]]-Table13456[[#This Row],[Garrisoned Soldier Cost]])</f>
        <v>1827.2145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Table13456[[#This Row],[Normal Grain Harvest]]*0.6</f>
        <v>10140000</v>
      </c>
      <c r="H18" s="1">
        <v>16900000</v>
      </c>
      <c r="I18" s="6">
        <f>Table13456[[#This Row],[Normal Grain Harvest]]*1.3</f>
        <v>21970000</v>
      </c>
      <c r="J18" s="1">
        <f>(Table13456[[#This Row],[Population]]*365)/1000</f>
        <v>730000</v>
      </c>
      <c r="K18" s="1">
        <f>Table13456[[#This Row],[Normal Grain Harvest]]-Table13456[[#This Row],[Required Grain]]</f>
        <v>16170000</v>
      </c>
      <c r="L18" s="3">
        <f>(Table13456[[#This Row],[Suplus Grain]]/2)/2000</f>
        <v>4042.5</v>
      </c>
      <c r="M18" t="s">
        <v>85</v>
      </c>
      <c r="P18" s="4">
        <f>(Table13456[[#This Row],[Tax Income in Talents]]+Table13456[[#This Row],[Trade Income]]-Table13456[[#This Row],[Other Expenditure]]-Table13456[[#This Row],[Garrisoned Soldier Cost]])</f>
        <v>3542.5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Table13456[[#This Row],[Normal Grain Harvest]]*0.6</f>
        <v>9360000</v>
      </c>
      <c r="H19" s="1">
        <v>15600000</v>
      </c>
      <c r="I19" s="1">
        <f>Table13456[[#This Row],[Normal Grain Harvest]]*1.3</f>
        <v>20280000</v>
      </c>
      <c r="J19" s="1">
        <f>(Table13456[[#This Row],[Population]]*365)/1000</f>
        <v>474500</v>
      </c>
      <c r="K19" s="1">
        <f>Table13456[[#This Row],[Normal Grain Harvest]]-Table13456[[#This Row],[Required Grain]]</f>
        <v>15125500</v>
      </c>
      <c r="L19" s="3">
        <f>(Table13456[[#This Row],[Suplus Grain]]/2)/2000</f>
        <v>3781.375</v>
      </c>
      <c r="M19" t="s">
        <v>85</v>
      </c>
      <c r="N19">
        <v>10</v>
      </c>
      <c r="P19" s="4">
        <f>(Table13456[[#This Row],[Tax Income in Talents]]+Table13456[[#This Row],[Trade Income]]-Table13456[[#This Row],[Other Expenditure]]-Table13456[[#This Row],[Garrisoned Soldier Cost]])</f>
        <v>2791.375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Table13456[[#This Row],[Normal Grain Harvest]]*0.6</f>
        <v>5850000</v>
      </c>
      <c r="H20" s="1">
        <v>9750000</v>
      </c>
      <c r="I20" s="1">
        <f>Table13456[[#This Row],[Normal Grain Harvest]]*1.3</f>
        <v>12675000</v>
      </c>
      <c r="J20" s="1">
        <f>(Table13456[[#This Row],[Population]]*365)/1000</f>
        <v>219000</v>
      </c>
      <c r="K20" s="1">
        <f>Table13456[[#This Row],[High Grain Harvest]]-Table13456[[#This Row],[Required Grain]]</f>
        <v>12456000</v>
      </c>
      <c r="L20" s="3">
        <f>(Table13456[[#This Row],[Suplus Grain]]/2)/2000</f>
        <v>3114</v>
      </c>
      <c r="M20" t="s">
        <v>56</v>
      </c>
      <c r="P20" s="4">
        <f>(Table13456[[#This Row],[Tax Income in Talents]]+Table13456[[#This Row],[Trade Income]]-Table13456[[#This Row],[Other Expenditure]]-Table13456[[#This Row],[Garrisoned Soldier Cost]])</f>
        <v>2364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Table13456[[#This Row],[Normal Grain Harvest]]*0.6</f>
        <v>4500000</v>
      </c>
      <c r="H21" s="1">
        <v>7500000</v>
      </c>
      <c r="I21" s="1">
        <f>Table13456[[#This Row],[Normal Grain Harvest]]*1.3</f>
        <v>9750000</v>
      </c>
      <c r="J21" s="1">
        <f>(Table13456[[#This Row],[Population]]*365)/1000</f>
        <v>219000</v>
      </c>
      <c r="K21" s="1">
        <f>Table13456[[#This Row],[Normal Grain Harvest]]-Table13456[[#This Row],[Required Grain]]</f>
        <v>7281000</v>
      </c>
      <c r="L21" s="3">
        <f>(Table13456[[#This Row],[Suplus Grain]]/2)/2000</f>
        <v>1820.25</v>
      </c>
      <c r="P21" s="4">
        <f>(Table13456[[#This Row],[Tax Income in Talents]]+Table13456[[#This Row],[Trade Income]]-Table13456[[#This Row],[Other Expenditure]]-Table13456[[#This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Table13456[[#This Row],[Normal Grain Harvest]]*0.6</f>
        <v>6084000</v>
      </c>
      <c r="H22">
        <v>10140000</v>
      </c>
      <c r="I22" s="1">
        <f>Table13456[[#This Row],[Normal Grain Harvest]]*1.3</f>
        <v>13182000</v>
      </c>
      <c r="J22" s="1">
        <f>(Table13456[[#This Row],[Population]]*365)/1000</f>
        <v>492750</v>
      </c>
      <c r="K22" s="1">
        <f>Table13456[[#This Row],[Normal Grain Harvest]]-Table13456[[#This Row],[Required Grain]]</f>
        <v>9647250</v>
      </c>
      <c r="L22" s="3">
        <f>(Table13456[[#This Row],[Suplus Grain]]/2)/2000</f>
        <v>2411.8125</v>
      </c>
      <c r="M22" t="s">
        <v>57</v>
      </c>
      <c r="P22" s="4">
        <f>(Table13456[[#This Row],[Tax Income in Talents]]+Table13456[[#This Row],[Trade Income]]-Table13456[[#This Row],[Other Expenditure]]-Table13456[[#This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Table13456[[#This Row],[Normal Grain Harvest]]*0.6</f>
        <v>4056000</v>
      </c>
      <c r="H23">
        <v>6760000</v>
      </c>
      <c r="I23" s="1">
        <f>Table13456[[#This Row],[Normal Grain Harvest]]*1.3</f>
        <v>8788000</v>
      </c>
      <c r="J23" s="1">
        <f>(Table13456[[#This Row],[Population]]*365)/1000</f>
        <v>328500</v>
      </c>
      <c r="K23" s="1">
        <f>Table13456[[#This Row],[Normal Grain Harvest]]-Table13456[[#This Row],[Required Grain]]</f>
        <v>6431500</v>
      </c>
      <c r="L23" s="3">
        <f>(Table13456[[#This Row],[Suplus Grain]]/2)/2000</f>
        <v>1607.875</v>
      </c>
      <c r="P23" s="4">
        <f>(Table13456[[#This Row],[Tax Income in Talents]]+Table13456[[#This Row],[Trade Income]]-Table13456[[#This Row],[Other Expenditure]]-Table13456[[#This Row],[Garrisoned Soldier Cost]])</f>
        <v>1607.875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Table13456[[#This Row],[Normal Grain Harvest]]*0.6</f>
        <v>2535000</v>
      </c>
      <c r="H24" s="1">
        <v>4225000</v>
      </c>
      <c r="I24" s="1">
        <f>Table13456[[#This Row],[Normal Grain Harvest]]*1.3</f>
        <v>5492500</v>
      </c>
      <c r="J24" s="1">
        <f>(Table13456[[#This Row],[Population]]*365)/1000</f>
        <v>136875</v>
      </c>
      <c r="K24" s="1">
        <f>Table13456[[#This Row],[Normal Grain Harvest]]-Table13456[[#This Row],[Required Grain]]</f>
        <v>4088125</v>
      </c>
      <c r="L24" s="3">
        <f>(Table13456[[#This Row],[Suplus Grain]]/2)/2000</f>
        <v>1022.03125</v>
      </c>
      <c r="P24" s="4">
        <f>(Table13456[[#This Row],[Tax Income in Talents]]+Table13456[[#This Row],[Trade Income]]-Table13456[[#This Row],[Other Expenditure]]-Table13456[[#This Row],[Garrisoned Soldier Cost]])</f>
        <v>1022.03125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Table13456[[#This Row],[Normal Grain Harvest]]*0.6</f>
        <v>2535000</v>
      </c>
      <c r="H25" s="7">
        <v>4225000</v>
      </c>
      <c r="I25" s="1">
        <f>Table13456[[#This Row],[Normal Grain Harvest]]*1.3</f>
        <v>5492500</v>
      </c>
      <c r="J25" s="1">
        <f>(Table13456[[#This Row],[Population]]*365)/1000</f>
        <v>136875</v>
      </c>
      <c r="K25" s="1">
        <f>Table13456[[#This Row],[High Grain Harvest]]-Table13456[[#This Row],[Required Grain]]</f>
        <v>5355625</v>
      </c>
      <c r="L25" s="3">
        <f>(Table13456[[#This Row],[Suplus Grain]]/2)/2000</f>
        <v>1338.90625</v>
      </c>
      <c r="M25" t="s">
        <v>88</v>
      </c>
      <c r="P25" s="4">
        <f>(Table13456[[#This Row],[Tax Income in Talents]]+Table13456[[#This Row],[Trade Income]]-Table13456[[#This Row],[Other Expenditure]]-Table13456[[#This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Table13456[[#This Row],[Normal Grain Harvest]]*0.6</f>
        <v>1950000</v>
      </c>
      <c r="H26" s="1">
        <v>3250000</v>
      </c>
      <c r="I26" s="1">
        <f>Table13456[[#This Row],[Normal Grain Harvest]]*1.3</f>
        <v>4225000</v>
      </c>
      <c r="J26" s="1">
        <f>(Table13456[[#This Row],[Population]]*365)/1000</f>
        <v>73000</v>
      </c>
      <c r="K26" s="1">
        <f>Table13456[[#This Row],[Normal Grain Harvest]]-Table13456[[#This Row],[Required Grain]]</f>
        <v>3177000</v>
      </c>
      <c r="L26" s="3">
        <f>(Table13456[[#This Row],[Suplus Grain]]/2)/2000</f>
        <v>794.25</v>
      </c>
      <c r="P26" s="4">
        <f>(Table13456[[#This Row],[Tax Income in Talents]]+Table13456[[#This Row],[Trade Income]]-Table13456[[#This Row],[Other Expenditure]]-Table13456[[#This Row],[Garrisoned Soldier Cost]])</f>
        <v>794.25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Table13456[[#This Row],[Normal Grain Harvest]]*0.6</f>
        <v>1170000</v>
      </c>
      <c r="H27" s="1">
        <v>1950000</v>
      </c>
      <c r="I27" s="1">
        <f>Table13456[[#This Row],[Normal Grain Harvest]]*1.3</f>
        <v>2535000</v>
      </c>
      <c r="J27" s="1">
        <f>(Table13456[[#This Row],[Population]]*365)/1000</f>
        <v>73000</v>
      </c>
      <c r="K27" s="1">
        <f>Table13456[[#This Row],[High Grain Harvest]]-Table13456[[#This Row],[Required Grain]]</f>
        <v>2462000</v>
      </c>
      <c r="L27" s="3">
        <f>(Table13456[[#This Row],[Suplus Grain]]/2)/2000</f>
        <v>615.5</v>
      </c>
      <c r="P27" s="4">
        <f>(Table13456[[#This Row],[Tax Income in Talents]]+Table13456[[#This Row],[Trade Income]]-Table13456[[#This Row],[Other Expenditure]]-Table13456[[#This Row],[Garrisoned Soldier Cost]])</f>
        <v>365.5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Table13456[[#This Row],[Normal Grain Harvest]]*0.6</f>
        <v>4680000</v>
      </c>
      <c r="H28" s="1">
        <v>7800000</v>
      </c>
      <c r="I28" s="6">
        <f>Table13456[[#This Row],[Normal Grain Harvest]]*1.3</f>
        <v>10140000</v>
      </c>
      <c r="J28" s="1">
        <f>(Table13456[[#This Row],[Population]]*365)/1000</f>
        <v>292000</v>
      </c>
      <c r="K28" s="1">
        <f>Table13456[[#This Row],[Normal Grain Harvest]]-Table13456[[#This Row],[Required Grain]]</f>
        <v>7508000</v>
      </c>
      <c r="L28" s="3">
        <f>(Table13456[[#This Row],[Suplus Grain]]/2)/2000</f>
        <v>1877</v>
      </c>
      <c r="M28" t="s">
        <v>92</v>
      </c>
      <c r="P28" s="4">
        <f>(Table13456[[#This Row],[Tax Income in Talents]]+Table13456[[#This Row],[Trade Income]]-Table13456[[#This Row],[Other Expenditure]]-Table13456[[#This Row],[Garrisoned Soldier Cost]])</f>
        <v>377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Table13456[[#This Row],[Normal Grain Harvest]]*0.6</f>
        <v>7800</v>
      </c>
      <c r="H29" s="1">
        <v>13000</v>
      </c>
      <c r="I29" s="1">
        <f>Table13456[[#This Row],[Normal Grain Harvest]]*1.3</f>
        <v>16900</v>
      </c>
      <c r="J29" s="1">
        <f>(Table13456[[#This Row],[Population]]*365)/1000</f>
        <v>2555</v>
      </c>
      <c r="K29" s="1">
        <f>Table13456[[#This Row],[Normal Grain Harvest]]-Table13456[[#This Row],[Required Grain]]</f>
        <v>10445</v>
      </c>
      <c r="L29" s="3">
        <f>(Table13456[[#This Row],[Suplus Grain]]/2)/2000</f>
        <v>2.6112500000000001</v>
      </c>
      <c r="N29">
        <v>2</v>
      </c>
      <c r="P29" s="4">
        <f>(Table13456[[#This Row],[Tax Income in Talents]]+Table13456[[#This Row],[Trade Income]]-Table13456[[#This Row],[Other Expenditure]]-Table13456[[#This Row],[Garrisoned Soldier Cost]])</f>
        <v>4.6112500000000001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Table13456[[#This Row],[Normal Grain Harvest]]*0.6</f>
        <v>1500000</v>
      </c>
      <c r="H30" s="1">
        <v>2500000</v>
      </c>
      <c r="I30" s="1">
        <f>Table13456[[#This Row],[Normal Grain Harvest]]*1.3</f>
        <v>3250000</v>
      </c>
      <c r="J30" s="1">
        <f>(Table13456[[#This Row],[Population]]*365)/1000</f>
        <v>73000</v>
      </c>
      <c r="K30" s="1">
        <f>Table13456[[#This Row],[Normal Grain Harvest]]-Table13456[[#This Row],[Required Grain]]</f>
        <v>2427000</v>
      </c>
      <c r="L30" s="3">
        <f>(Table13456[[#This Row],[Suplus Grain]]/2)/2000</f>
        <v>606.75</v>
      </c>
      <c r="P30" s="4">
        <f>(Table13456[[#This Row],[Tax Income in Talents]]+Table13456[[#This Row],[Trade Income]]-Table13456[[#This Row],[Other Expenditure]]-Table13456[[#This Row],[Garrisoned Soldier Cost]])</f>
        <v>106.75</v>
      </c>
    </row>
    <row r="35" spans="12:16" x14ac:dyDescent="0.25">
      <c r="P35" s="4">
        <f>SUM(P14,P15,P17)</f>
        <v>1877.8395</v>
      </c>
    </row>
    <row r="36" spans="12:16" x14ac:dyDescent="0.25">
      <c r="L3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C9" workbookViewId="0">
      <selection sqref="A1:P29"/>
    </sheetView>
  </sheetViews>
  <sheetFormatPr defaultRowHeight="15" x14ac:dyDescent="0.25"/>
  <cols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Table134567[[#This Row],[Normal Grain Harvest]]*0.6</f>
        <v>2068755</v>
      </c>
      <c r="H2">
        <v>3447925</v>
      </c>
      <c r="I2" s="1">
        <f>Table134567[[#This Row],[Normal Grain Harvest]]*1.3</f>
        <v>4482302.5</v>
      </c>
      <c r="J2" s="1">
        <f>(Table134567[[#This Row],[Population]]*365)/1000</f>
        <v>73000</v>
      </c>
      <c r="K2" s="1">
        <f>Table134567[[#This Row],[Normal Grain Harvest]]-Table134567[[#This Row],[Required Grain]]</f>
        <v>3374925</v>
      </c>
      <c r="L2" s="3">
        <f>(Table134567[[#This Row],[Suplus Grain]]/2)/2000</f>
        <v>843.73125000000005</v>
      </c>
      <c r="M2" t="s">
        <v>41</v>
      </c>
      <c r="P2" s="4">
        <f>(Table134567[[#This Row],[Tax Income in Talents]]+Table134567[[#This Row],[Trade Income]]-Table134567[[#This Row],[Other Expenditure]]-Table134567[[#This Row],[Garrisoned Soldier Cost]])</f>
        <v>343.73125000000005</v>
      </c>
    </row>
    <row r="3" spans="1:16" x14ac:dyDescent="0.25">
      <c r="A3" t="s">
        <v>42</v>
      </c>
      <c r="B3" t="s">
        <v>140</v>
      </c>
      <c r="C3" s="1">
        <v>1000</v>
      </c>
      <c r="D3">
        <v>500</v>
      </c>
      <c r="E3" s="1">
        <v>200000</v>
      </c>
      <c r="F3">
        <v>7000</v>
      </c>
      <c r="G3" s="1">
        <f>Table134567[[#This Row],[Normal Grain Harvest]]*0.6</f>
        <v>2068755</v>
      </c>
      <c r="H3">
        <v>3447925</v>
      </c>
      <c r="I3" s="1">
        <f>Table134567[[#This Row],[Normal Grain Harvest]]*1.3</f>
        <v>4482302.5</v>
      </c>
      <c r="J3" s="1">
        <f>(Table134567[[#This Row],[Population]]*365)/1000</f>
        <v>73000</v>
      </c>
      <c r="K3" s="1">
        <f>Table134567[[#This Row],[Normal Grain Harvest]]-Table134567[[#This Row],[Required Grain]]</f>
        <v>3374925</v>
      </c>
      <c r="L3" s="3">
        <f>(Table134567[[#This Row],[Suplus Grain]]/2)/2000</f>
        <v>843.73125000000005</v>
      </c>
      <c r="M3" t="s">
        <v>43</v>
      </c>
      <c r="P3" s="4">
        <f>(Table134567[[#This Row],[Tax Income in Talents]]+Table134567[[#This Row],[Trade Income]]-Table134567[[#This Row],[Other Expenditure]]-Table134567[[#This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Table134567[[#This Row],[Normal Grain Harvest]]*0.6</f>
        <v>4296645</v>
      </c>
      <c r="H4">
        <v>7161075</v>
      </c>
      <c r="I4" s="1">
        <f>Table134567[[#This Row],[Normal Grain Harvest]]*1.3</f>
        <v>9309397.5</v>
      </c>
      <c r="J4" s="1">
        <f>(Table134567[[#This Row],[Population]]*365)/1000</f>
        <v>182500</v>
      </c>
      <c r="K4" s="1">
        <f>Table134567[[#This Row],[Normal Grain Harvest]]-Table134567[[#This Row],[Required Grain]]</f>
        <v>6978575</v>
      </c>
      <c r="L4" s="3">
        <f>(Table134567[[#This Row],[Suplus Grain]]/2)/2000</f>
        <v>1744.64375</v>
      </c>
      <c r="M4" t="s">
        <v>93</v>
      </c>
      <c r="P4" s="4">
        <f>(Table134567[[#This Row],[Tax Income in Talents]]+Table134567[[#This Row],[Trade Income]]-Table134567[[#This Row],[Other Expenditure]]-Table134567[[#This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Table134567[[#This Row],[Normal Grain Harvest]]*0.6</f>
        <v>5585638.5</v>
      </c>
      <c r="H5">
        <v>9309397.5</v>
      </c>
      <c r="I5" s="1">
        <f>Table134567[[#This Row],[Normal Grain Harvest]]*1.3</f>
        <v>12102216.75</v>
      </c>
      <c r="J5" s="1">
        <f>(Table134567[[#This Row],[Population]]*365)/1000</f>
        <v>164250</v>
      </c>
      <c r="K5" s="1">
        <f>Table134567[[#This Row],[Normal Grain Harvest]]-Table134567[[#This Row],[Required Grain]]</f>
        <v>9145147.5</v>
      </c>
      <c r="L5" s="3">
        <f>(Table134567[[#This Row],[Suplus Grain]]/2)/2000</f>
        <v>2286.2868749999998</v>
      </c>
      <c r="M5" t="s">
        <v>93</v>
      </c>
      <c r="N5">
        <v>200</v>
      </c>
      <c r="P5" s="4">
        <f>(Table134567[[#This Row],[Tax Income in Talents]]+Table134567[[#This Row],[Trade Income]]-Table134567[[#This Row],[Other Expenditure]]-Table134567[[#This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Table134567[[#This Row],[Normal Grain Harvest]]*0.6</f>
        <v>4296645</v>
      </c>
      <c r="H6">
        <v>7161075</v>
      </c>
      <c r="I6" s="1">
        <f>Table134567[[#This Row],[Normal Grain Harvest]]*1.3</f>
        <v>9309397.5</v>
      </c>
      <c r="J6" s="1">
        <f>(Table134567[[#This Row],[Population]]*365)/1000</f>
        <v>182500</v>
      </c>
      <c r="K6" s="1">
        <f>Table134567[[#This Row],[Normal Grain Harvest]]-Table134567[[#This Row],[Required Grain]]</f>
        <v>6978575</v>
      </c>
      <c r="L6" s="3">
        <f>(Table134567[[#This Row],[Suplus Grain]]/2)/2000</f>
        <v>1744.64375</v>
      </c>
      <c r="M6" t="s">
        <v>93</v>
      </c>
      <c r="P6" s="4">
        <f>(Table134567[[#This Row],[Tax Income in Talents]]+Table134567[[#This Row],[Trade Income]]-Table134567[[#This Row],[Other Expenditure]]-Table134567[[#This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Table134567[[#This Row],[Normal Grain Harvest]]*0.6</f>
        <v>4296645</v>
      </c>
      <c r="H7">
        <v>7161075</v>
      </c>
      <c r="I7" s="1">
        <f>Table134567[[#This Row],[Normal Grain Harvest]]*1.3</f>
        <v>9309397.5</v>
      </c>
      <c r="J7" s="1">
        <f>(Table134567[[#This Row],[Population]]*365)/1000</f>
        <v>182500</v>
      </c>
      <c r="K7" s="1">
        <f>Table134567[[#This Row],[Low Grain Harvest]]-Table134567[[#This Row],[Required Grain]]</f>
        <v>4114145</v>
      </c>
      <c r="L7" s="3">
        <f>(Table134567[[#This Row],[Suplus Grain]]/2)/2000</f>
        <v>1028.5362500000001</v>
      </c>
      <c r="M7" t="s">
        <v>93</v>
      </c>
      <c r="P7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Table134567[[#This Row],[Normal Grain Harvest]]*0.6</f>
        <v>4296645</v>
      </c>
      <c r="H8">
        <v>7161075</v>
      </c>
      <c r="I8" s="1">
        <f>Table134567[[#This Row],[Normal Grain Harvest]]*1.3</f>
        <v>9309397.5</v>
      </c>
      <c r="J8" s="1">
        <f>(Table134567[[#This Row],[Population]]*365)/1000</f>
        <v>182500</v>
      </c>
      <c r="K8" s="1">
        <f>Table134567[[#This Row],[Low Grain Harvest]]-Table134567[[#This Row],[Required Grain]]</f>
        <v>4114145</v>
      </c>
      <c r="L8" s="3">
        <f>(Table134567[[#This Row],[Suplus Grain]]/2)/2000</f>
        <v>1028.5362500000001</v>
      </c>
      <c r="M8" t="s">
        <v>90</v>
      </c>
      <c r="P8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Table134567[[#This Row],[Normal Grain Harvest]]*0.6</f>
        <v>4296645</v>
      </c>
      <c r="H9">
        <v>7161075</v>
      </c>
      <c r="I9" s="1">
        <f>Table134567[[#This Row],[Normal Grain Harvest]]*1.3</f>
        <v>9309397.5</v>
      </c>
      <c r="J9" s="1">
        <f>(Table134567[[#This Row],[Population]]*365)/1000</f>
        <v>182500</v>
      </c>
      <c r="K9" s="1">
        <f>Table134567[[#This Row],[Normal Grain Harvest]]-Table134567[[#This Row],[Required Grain]]</f>
        <v>6978575</v>
      </c>
      <c r="L9" s="3">
        <f>(Table134567[[#This Row],[Suplus Grain]]/2)/2000</f>
        <v>1744.64375</v>
      </c>
      <c r="M9" t="s">
        <v>89</v>
      </c>
      <c r="P9" s="4">
        <f>(Table134567[[#This Row],[Tax Income in Talents]]+Table134567[[#This Row],[Trade Income]]-Table134567[[#This Row],[Other Expenditure]]-Table134567[[#This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Table134567[[#This Row],[Normal Grain Harvest]]*0.6</f>
        <v>4296645</v>
      </c>
      <c r="H10">
        <v>7161075</v>
      </c>
      <c r="I10" s="1">
        <f>Table134567[[#This Row],[Normal Grain Harvest]]*1.3</f>
        <v>9309397.5</v>
      </c>
      <c r="J10" s="1">
        <f>(Table134567[[#This Row],[Population]]*365)/1000</f>
        <v>182500</v>
      </c>
      <c r="K10" s="1">
        <f>Table134567[[#This Row],[Normal Grain Harvest]]-Table134567[[#This Row],[Required Grain]]</f>
        <v>6978575</v>
      </c>
      <c r="L10" s="3">
        <f>(Table134567[[#This Row],[Suplus Grain]]/2)/2000</f>
        <v>1744.64375</v>
      </c>
      <c r="M10" t="s">
        <v>88</v>
      </c>
      <c r="P10" s="4">
        <f>(Table134567[[#This Row],[Tax Income in Talents]]+Table134567[[#This Row],[Trade Income]]-Table134567[[#This Row],[Other Expenditure]]-Table134567[[#This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Table134567[[#This Row],[Normal Grain Harvest]]*0.6</f>
        <v>4296645</v>
      </c>
      <c r="H11">
        <v>7161075</v>
      </c>
      <c r="I11" s="1">
        <f>Table134567[[#This Row],[Normal Grain Harvest]]*1.3</f>
        <v>9309397.5</v>
      </c>
      <c r="J11" s="1">
        <f>(Table134567[[#This Row],[Population]]*365)/1000</f>
        <v>146000</v>
      </c>
      <c r="K11" s="1">
        <f>Table134567[[#This Row],[Normal Grain Harvest]]-Table134567[[#This Row],[Required Grain]]</f>
        <v>7015075</v>
      </c>
      <c r="L11" s="3">
        <f>(Table134567[[#This Row],[Suplus Grain]]/2)/2000</f>
        <v>1753.76875</v>
      </c>
      <c r="M11" t="s">
        <v>91</v>
      </c>
      <c r="P11" s="4">
        <f>(Table134567[[#This Row],[Tax Income in Talents]]+Table134567[[#This Row],[Trade Income]]-Table134567[[#This Row],[Other Expenditure]]-Table134567[[#This Row],[Garrisoned Soldier Cost]])</f>
        <v>-246.23125000000005</v>
      </c>
    </row>
    <row r="12" spans="1:16" x14ac:dyDescent="0.25">
      <c r="A12" t="s">
        <v>25</v>
      </c>
      <c r="B12" t="s">
        <v>103</v>
      </c>
      <c r="C12" s="1">
        <v>1500</v>
      </c>
      <c r="D12">
        <v>500</v>
      </c>
      <c r="E12" s="1">
        <v>750000</v>
      </c>
      <c r="F12" s="1">
        <v>13000</v>
      </c>
      <c r="G12" s="1">
        <f>Table134567[[#This Row],[Normal Grain Harvest]]*0.6</f>
        <v>4296645</v>
      </c>
      <c r="H12">
        <v>7161075</v>
      </c>
      <c r="I12" s="1">
        <f>Table134567[[#This Row],[Normal Grain Harvest]]*1.3</f>
        <v>9309397.5</v>
      </c>
      <c r="J12" s="1">
        <f>(Table134567[[#This Row],[Population]]*365)/1000</f>
        <v>273750</v>
      </c>
      <c r="K12" s="1">
        <f>Table134567[[#This Row],[Normal Grain Harvest]]-Table134567[[#This Row],[Required Grain]]</f>
        <v>6887325</v>
      </c>
      <c r="L12" s="3">
        <f>(Table134567[[#This Row],[Suplus Grain]]/2)/2000</f>
        <v>1721.83125</v>
      </c>
      <c r="M12" t="s">
        <v>87</v>
      </c>
      <c r="P12" s="4">
        <f>(Table134567[[#This Row],[Tax Income in Talents]]+Table134567[[#This Row],[Trade Income]]-Table134567[[#This Row],[Other Expenditure]]-Table134567[[#This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Table134567[[#This Row],[Normal Grain Harvest]]*0.6</f>
        <v>3103132.5</v>
      </c>
      <c r="H13">
        <v>5171887.5</v>
      </c>
      <c r="I13" s="1">
        <f>Table134567[[#This Row],[Normal Grain Harvest]]*1.3</f>
        <v>6723453.75</v>
      </c>
      <c r="J13" s="1">
        <f>(Table134567[[#This Row],[Population]]*365)/1000</f>
        <v>182500</v>
      </c>
      <c r="K13" s="1">
        <f>Table134567[[#This Row],[Normal Grain Harvest]]-Table134567[[#This Row],[Required Grain]]</f>
        <v>4989387.5</v>
      </c>
      <c r="L13" s="3">
        <f>(Table134567[[#This Row],[Suplus Grain]]/2)/2000</f>
        <v>1247.346875</v>
      </c>
      <c r="M13" t="s">
        <v>86</v>
      </c>
      <c r="P13" s="4">
        <f>(Table134567[[#This Row],[Tax Income in Talents]]+Table134567[[#This Row],[Trade Income]]-Table134567[[#This Row],[Other Expenditure]]-Table134567[[#This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10000</v>
      </c>
      <c r="G14" s="1">
        <f>Table134567[[#This Row],[Normal Grain Harvest]]*0.6</f>
        <v>2387025</v>
      </c>
      <c r="H14">
        <v>3978375</v>
      </c>
      <c r="I14" s="1">
        <f>Table134567[[#This Row],[Normal Grain Harvest]]*1.3</f>
        <v>5171887.5</v>
      </c>
      <c r="J14" s="1">
        <f>(Table134567[[#This Row],[Population]]*365)/1000</f>
        <v>182500</v>
      </c>
      <c r="K14" s="1">
        <f>Table134567[[#This Row],[Low Grain Harvest]]-Table134567[[#This Row],[Required Grain]]</f>
        <v>2204525</v>
      </c>
      <c r="L14" s="3">
        <f>(Table134567[[#This Row],[Suplus Grain]]/2)/2000</f>
        <v>551.13125000000002</v>
      </c>
      <c r="M14" t="s">
        <v>86</v>
      </c>
      <c r="P14" s="4">
        <f>(Table134567[[#This Row],[Tax Income in Talents]]+Table134567[[#This Row],[Trade Income]]-Table134567[[#This Row],[Other Expenditure]]-Table134567[[#This Row],[Garrisoned Soldier Cost]])</f>
        <v>-948.86874999999998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Table134567[[#This Row],[Normal Grain Harvest]]*0.6</f>
        <v>4774050</v>
      </c>
      <c r="H15">
        <v>7956750</v>
      </c>
      <c r="I15" s="1">
        <f>Table134567[[#This Row],[Normal Grain Harvest]]*1.3</f>
        <v>10343775</v>
      </c>
      <c r="J15" s="1">
        <f>(Table134567[[#This Row],[Population]]*365)/1000</f>
        <v>365000</v>
      </c>
      <c r="K15" s="1">
        <f>Table134567[[#This Row],[Normal Grain Harvest]]-Table134567[[#This Row],[Required Grain]]</f>
        <v>7591750</v>
      </c>
      <c r="L15" s="3">
        <f>(Table134567[[#This Row],[Suplus Grain]]/2)/2000</f>
        <v>1897.9375</v>
      </c>
      <c r="M15" t="s">
        <v>86</v>
      </c>
      <c r="P15" s="4">
        <f>(Table134567[[#This Row],[Tax Income in Talents]]+Table134567[[#This Row],[Trade Income]]-Table134567[[#This Row],[Other Expenditure]]-Table134567[[#This Row],[Garrisoned Soldier Cost]])</f>
        <v>1647.9375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Table134567[[#This Row],[Normal Grain Harvest]]*0.6</f>
        <v>2387025</v>
      </c>
      <c r="H16">
        <v>3978375</v>
      </c>
      <c r="I16" s="1">
        <f>Table134567[[#This Row],[Normal Grain Harvest]]*1.3</f>
        <v>5171887.5</v>
      </c>
      <c r="J16" s="1">
        <f>(Table134567[[#This Row],[Population]]*365)/1000</f>
        <v>182500</v>
      </c>
      <c r="K16" s="1">
        <f>Table134567[[#This Row],[Low Grain Harvest]]-Table134567[[#This Row],[Required Grain]]</f>
        <v>2204525</v>
      </c>
      <c r="L16" s="3">
        <f>(Table134567[[#This Row],[Suplus Grain]]/2)/2000</f>
        <v>551.13125000000002</v>
      </c>
      <c r="M16" t="s">
        <v>126</v>
      </c>
      <c r="P16" s="4">
        <f>(Table134567[[#This Row],[Tax Income in Talents]]+Table134567[[#This Row],[Trade Income]]-Table134567[[#This Row],[Other Expenditure]]-Table134567[[#This Row],[Garrisoned Soldier Cost]])</f>
        <v>301.13125000000002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Table134567[[#This Row],[Normal Grain Harvest]]*0.6</f>
        <v>15650200.321320001</v>
      </c>
      <c r="H17">
        <v>26083667.202200003</v>
      </c>
      <c r="I17" s="6">
        <f>Table134567[[#This Row],[Normal Grain Harvest]]*1.3</f>
        <v>33908767.362860002</v>
      </c>
      <c r="J17" s="1">
        <f>(Table134567[[#This Row],[Population]]*365)/1000</f>
        <v>1277500</v>
      </c>
      <c r="K17" s="1">
        <f>Table134567[[#This Row],[Normal Grain Harvest]]-Table134567[[#This Row],[Required Grain]]</f>
        <v>24806167.202200003</v>
      </c>
      <c r="L17" s="3">
        <f>(Table134567[[#This Row],[Suplus Grain]]/2)/2000</f>
        <v>6201.5418005500005</v>
      </c>
      <c r="P17" s="4">
        <f>(Table134567[[#This Row],[Tax Income in Talents]]+Table134567[[#This Row],[Trade Income]]-Table134567[[#This Row],[Other Expenditure]]-Table134567[[#This Row],[Garrisoned Soldier Cost]])</f>
        <v>2201.5418005500005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Table134567[[#This Row],[Normal Grain Harvest]]*0.6</f>
        <v>10757526</v>
      </c>
      <c r="H18">
        <v>17929210</v>
      </c>
      <c r="I18" s="6">
        <f>Table134567[[#This Row],[Normal Grain Harvest]]*1.3</f>
        <v>23307973</v>
      </c>
      <c r="J18" s="1">
        <f>(Table134567[[#This Row],[Population]]*365)/1000</f>
        <v>730000</v>
      </c>
      <c r="K18" s="1">
        <f>Table134567[[#This Row],[Normal Grain Harvest]]-Table134567[[#This Row],[Required Grain]]</f>
        <v>17199210</v>
      </c>
      <c r="L18" s="3">
        <f>(Table134567[[#This Row],[Suplus Grain]]/2)/2000</f>
        <v>4299.8024999999998</v>
      </c>
      <c r="M18" t="s">
        <v>85</v>
      </c>
      <c r="P18" s="4">
        <f>(Table134567[[#This Row],[Tax Income in Talents]]+Table134567[[#This Row],[Trade Income]]-Table134567[[#This Row],[Other Expenditure]]-Table134567[[#This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Table134567[[#This Row],[Normal Grain Harvest]]*0.6</f>
        <v>9930024</v>
      </c>
      <c r="H19">
        <v>16550040</v>
      </c>
      <c r="I19" s="1">
        <f>Table134567[[#This Row],[Normal Grain Harvest]]*1.3</f>
        <v>21515052</v>
      </c>
      <c r="J19" s="1">
        <f>(Table134567[[#This Row],[Population]]*365)/1000</f>
        <v>474500</v>
      </c>
      <c r="K19" s="1">
        <f>Table134567[[#This Row],[Low Grain Harvest]]-Table134567[[#This Row],[Required Grain]]</f>
        <v>9455524</v>
      </c>
      <c r="L19" s="3">
        <f>(Table134567[[#This Row],[Suplus Grain]]/2)/2000</f>
        <v>2363.8809999999999</v>
      </c>
      <c r="M19" t="s">
        <v>85</v>
      </c>
      <c r="N19">
        <v>10</v>
      </c>
      <c r="P19" s="4">
        <f>(Table134567[[#This Row],[Tax Income in Talents]]+Table134567[[#This Row],[Trade Income]]-Table134567[[#This Row],[Other Expenditure]]-Table134567[[#This Row],[Garrisoned Soldier Cost]])</f>
        <v>1373.8809999999999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Table134567[[#This Row],[Normal Grain Harvest]]*0.6</f>
        <v>6206265</v>
      </c>
      <c r="H20">
        <v>10343775</v>
      </c>
      <c r="I20" s="1">
        <f>Table134567[[#This Row],[Normal Grain Harvest]]*1.3</f>
        <v>13446907.5</v>
      </c>
      <c r="J20" s="1">
        <f>(Table134567[[#This Row],[Population]]*365)/1000</f>
        <v>219000</v>
      </c>
      <c r="K20" s="1">
        <f>Table134567[[#This Row],[High Grain Harvest]]-Table134567[[#This Row],[Required Grain]]</f>
        <v>13227907.5</v>
      </c>
      <c r="L20" s="3">
        <f>(Table134567[[#This Row],[Suplus Grain]]/2)/2000</f>
        <v>3306.9768749999998</v>
      </c>
      <c r="M20" t="s">
        <v>56</v>
      </c>
      <c r="P20" s="4">
        <f>(Table134567[[#This Row],[Tax Income in Talents]]+Table134567[[#This Row],[Trade Income]]-Table134567[[#This Row],[Other Expenditure]]-Table134567[[#This Row],[Garrisoned Soldier Cost]])</f>
        <v>2556.9768749999998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Table134567[[#This Row],[Normal Grain Harvest]]*0.6</f>
        <v>4774050</v>
      </c>
      <c r="H21">
        <v>7956750</v>
      </c>
      <c r="I21" s="1">
        <f>Table134567[[#This Row],[Normal Grain Harvest]]*1.3</f>
        <v>10343775</v>
      </c>
      <c r="J21" s="1">
        <f>(Table134567[[#This Row],[Population]]*365)/1000</f>
        <v>219000</v>
      </c>
      <c r="K21" s="1">
        <f>Table134567[[#This Row],[Normal Grain Harvest]]-Table134567[[#This Row],[Required Grain]]</f>
        <v>7737750</v>
      </c>
      <c r="L21" s="3">
        <f>(Table134567[[#This Row],[Suplus Grain]]/2)/2000</f>
        <v>1934.4375</v>
      </c>
      <c r="P21" s="4">
        <f>(Table134567[[#This Row],[Tax Income in Talents]]+Table134567[[#This Row],[Trade Income]]-Table134567[[#This Row],[Other Expenditure]]-Table134567[[#This Row],[Garrisoned Soldier Cost]])</f>
        <v>934.4375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Table134567[[#This Row],[Normal Grain Harvest]]*0.6</f>
        <v>6454515.5999999996</v>
      </c>
      <c r="H22">
        <v>10757526</v>
      </c>
      <c r="I22" s="1">
        <f>Table134567[[#This Row],[Normal Grain Harvest]]*1.3</f>
        <v>13984783.800000001</v>
      </c>
      <c r="J22" s="1">
        <f>(Table134567[[#This Row],[Population]]*365)/1000</f>
        <v>492750</v>
      </c>
      <c r="K22" s="1">
        <f>Table134567[[#This Row],[Normal Grain Harvest]]-Table134567[[#This Row],[Required Grain]]</f>
        <v>10264776</v>
      </c>
      <c r="L22" s="3">
        <f>(Table134567[[#This Row],[Suplus Grain]]/2)/2000</f>
        <v>2566.194</v>
      </c>
      <c r="M22" t="s">
        <v>57</v>
      </c>
      <c r="P22" s="4">
        <f>(Table134567[[#This Row],[Tax Income in Talents]]+Table134567[[#This Row],[Trade Income]]-Table134567[[#This Row],[Other Expenditure]]-Table134567[[#This Row],[Garrisoned Soldier Cost]])</f>
        <v>1066.194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Table134567[[#This Row],[Normal Grain Harvest]]*0.6</f>
        <v>4303010.3999999994</v>
      </c>
      <c r="H23">
        <v>7171684</v>
      </c>
      <c r="I23" s="1">
        <f>Table134567[[#This Row],[Normal Grain Harvest]]*1.3</f>
        <v>9323189.2000000011</v>
      </c>
      <c r="J23" s="1">
        <f>(Table134567[[#This Row],[Population]]*365)/1000</f>
        <v>328500</v>
      </c>
      <c r="K23" s="1">
        <f>Table134567[[#This Row],[Low Grain Harvest]]-Table134567[[#This Row],[Required Grain]]</f>
        <v>3974510.3999999994</v>
      </c>
      <c r="L23" s="3">
        <f>(Table134567[[#This Row],[Suplus Grain]]/2)/2000</f>
        <v>993.62759999999992</v>
      </c>
      <c r="P23" s="4">
        <f>(Table134567[[#This Row],[Tax Income in Talents]]+Table134567[[#This Row],[Trade Income]]-Table134567[[#This Row],[Other Expenditure]]-Table134567[[#This Row],[Garrisoned Soldier Cost]])</f>
        <v>993.62759999999992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Table134567[[#This Row],[Normal Grain Harvest]]*0.6</f>
        <v>2689381.5</v>
      </c>
      <c r="H24">
        <v>4482302.5</v>
      </c>
      <c r="I24" s="1">
        <f>Table134567[[#This Row],[Normal Grain Harvest]]*1.3</f>
        <v>5826993.25</v>
      </c>
      <c r="J24" s="1">
        <f>(Table134567[[#This Row],[Population]]*365)/1000</f>
        <v>136875</v>
      </c>
      <c r="K24" s="1">
        <f>Table134567[[#This Row],[Normal Grain Harvest]]-Table134567[[#This Row],[Required Grain]]</f>
        <v>4345427.5</v>
      </c>
      <c r="L24" s="3">
        <f>(Table134567[[#This Row],[Suplus Grain]]/2)/2000</f>
        <v>1086.3568749999999</v>
      </c>
      <c r="P24" s="4">
        <f>(Table134567[[#This Row],[Tax Income in Talents]]+Table134567[[#This Row],[Trade Income]]-Table134567[[#This Row],[Other Expenditure]]-Table134567[[#This Row],[Garrisoned Soldier Cost]])</f>
        <v>1086.3568749999999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Table134567[[#This Row],[Normal Grain Harvest]]*0.6</f>
        <v>2689381.5</v>
      </c>
      <c r="H25" s="8">
        <v>4482302.5</v>
      </c>
      <c r="I25" s="1">
        <f>Table134567[[#This Row],[Normal Grain Harvest]]*1.3</f>
        <v>5826993.25</v>
      </c>
      <c r="J25" s="1">
        <f>(Table134567[[#This Row],[Population]]*365)/1000</f>
        <v>136875</v>
      </c>
      <c r="K25" s="1">
        <f>Table134567[[#This Row],[Normal Grain Harvest]]-Table134567[[#This Row],[Required Grain]]</f>
        <v>4345427.5</v>
      </c>
      <c r="L25" s="3">
        <f>(Table134567[[#This Row],[Suplus Grain]]/2)/2000</f>
        <v>1086.3568749999999</v>
      </c>
      <c r="M25" t="s">
        <v>88</v>
      </c>
      <c r="P25" s="4">
        <f>(Table134567[[#This Row],[Tax Income in Talents]]+Table134567[[#This Row],[Trade Income]]-Table134567[[#This Row],[Other Expenditure]]-Table134567[[#This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Table134567[[#This Row],[Normal Grain Harvest]]*0.6</f>
        <v>2068755</v>
      </c>
      <c r="H26">
        <v>3447925</v>
      </c>
      <c r="I26" s="1">
        <f>Table134567[[#This Row],[Normal Grain Harvest]]*1.3</f>
        <v>4482302.5</v>
      </c>
      <c r="J26" s="1">
        <f>(Table134567[[#This Row],[Population]]*365)/1000</f>
        <v>73000</v>
      </c>
      <c r="K26" s="1">
        <f>Table134567[[#This Row],[Normal Grain Harvest]]-Table134567[[#This Row],[Required Grain]]</f>
        <v>3374925</v>
      </c>
      <c r="L26" s="3">
        <f>(Table134567[[#This Row],[Suplus Grain]]/2)/2000</f>
        <v>843.73125000000005</v>
      </c>
      <c r="P26" s="4">
        <f>(Table134567[[#This Row],[Tax Income in Talents]]+Table134567[[#This Row],[Trade Income]]-Table134567[[#This Row],[Other Expenditure]]-Table134567[[#This Row],[Garrisoned Soldier Cost]])</f>
        <v>843.73125000000005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Table134567[[#This Row],[Normal Grain Harvest]]*0.6</f>
        <v>1241253</v>
      </c>
      <c r="H27">
        <v>2068755</v>
      </c>
      <c r="I27" s="1">
        <f>Table134567[[#This Row],[Normal Grain Harvest]]*1.3</f>
        <v>2689381.5</v>
      </c>
      <c r="J27" s="1">
        <f>(Table134567[[#This Row],[Population]]*365)/1000</f>
        <v>73000</v>
      </c>
      <c r="K27" s="1">
        <f>Table134567[[#This Row],[High Grain Harvest]]-Table134567[[#This Row],[Required Grain]]</f>
        <v>2616381.5</v>
      </c>
      <c r="L27" s="3">
        <f>(Table134567[[#This Row],[Suplus Grain]]/2)/2000</f>
        <v>654.09537499999999</v>
      </c>
      <c r="P27" s="4">
        <f>(Table134567[[#This Row],[Tax Income in Talents]]+Table134567[[#This Row],[Trade Income]]-Table134567[[#This Row],[Other Expenditure]]-Table134567[[#This Row],[Garrisoned Soldier Cost]])</f>
        <v>404.09537499999999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Table134567[[#This Row],[Normal Grain Harvest]]*0.6</f>
        <v>4965012</v>
      </c>
      <c r="H28">
        <v>8275020</v>
      </c>
      <c r="I28" s="6">
        <f>Table134567[[#This Row],[Normal Grain Harvest]]*1.3</f>
        <v>10757526</v>
      </c>
      <c r="J28" s="1">
        <f>(Table134567[[#This Row],[Population]]*365)/1000</f>
        <v>292000</v>
      </c>
      <c r="K28" s="1">
        <f>Table134567[[#This Row],[Normal Grain Harvest]]-Table134567[[#This Row],[Required Grain]]</f>
        <v>7983020</v>
      </c>
      <c r="L28" s="3">
        <f>(Table134567[[#This Row],[Suplus Grain]]/2)/2000</f>
        <v>1995.7550000000001</v>
      </c>
      <c r="M28" t="s">
        <v>92</v>
      </c>
      <c r="P28" s="4">
        <f>(Table134567[[#This Row],[Tax Income in Talents]]+Table134567[[#This Row],[Trade Income]]-Table134567[[#This Row],[Other Expenditure]]-Table134567[[#This Row],[Garrisoned Soldier Cost]])</f>
        <v>495.75500000000011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Table134567[[#This Row],[Normal Grain Harvest]]*0.6</f>
        <v>8275.02</v>
      </c>
      <c r="H29">
        <v>13791.7</v>
      </c>
      <c r="I29" s="1">
        <f>Table134567[[#This Row],[Normal Grain Harvest]]*1.3</f>
        <v>17929.210000000003</v>
      </c>
      <c r="J29" s="1">
        <f>(Table134567[[#This Row],[Population]]*365)/1000</f>
        <v>2555</v>
      </c>
      <c r="K29" s="1">
        <f>Table134567[[#This Row],[Normal Grain Harvest]]-Table134567[[#This Row],[Required Grain]]</f>
        <v>11236.7</v>
      </c>
      <c r="L29" s="3">
        <f>(Table134567[[#This Row],[Suplus Grain]]/2)/2000</f>
        <v>2.8091750000000002</v>
      </c>
      <c r="N29">
        <v>2</v>
      </c>
      <c r="P29" s="4">
        <f>(Table134567[[#This Row],[Tax Income in Talents]]+Table134567[[#This Row],[Trade Income]]-Table134567[[#This Row],[Other Expenditure]]-Table134567[[#This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E9" workbookViewId="0">
      <selection sqref="A1:P29"/>
    </sheetView>
  </sheetViews>
  <sheetFormatPr defaultRowHeight="15" x14ac:dyDescent="0.25"/>
  <cols>
    <col min="10" max="10" width="9.14062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Table1345678[[#This Row],[Normal Grain Harvest]]*0.6</f>
        <v>2068755</v>
      </c>
      <c r="H2">
        <v>3447925</v>
      </c>
      <c r="I2" s="1">
        <f>Table1345678[[#This Row],[Normal Grain Harvest]]*1.3</f>
        <v>4482302.5</v>
      </c>
      <c r="J2" s="1">
        <f>(Table1345678[[#This Row],[Population]]*365)/1000</f>
        <v>73000</v>
      </c>
      <c r="K2" s="1">
        <f>Table1345678[[#This Row],[Normal Grain Harvest]]-Table1345678[[#This Row],[Required Grain]]</f>
        <v>3374925</v>
      </c>
      <c r="L2" s="3">
        <f>(Table1345678[[#This Row],[Suplus Grain]]/2)/2000</f>
        <v>843.73125000000005</v>
      </c>
      <c r="M2" t="s">
        <v>41</v>
      </c>
      <c r="P2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Table1345678[[#This Row],[Normal Grain Harvest]]*0.6</f>
        <v>2068755</v>
      </c>
      <c r="H3">
        <v>3447925</v>
      </c>
      <c r="I3" s="1">
        <f>Table1345678[[#This Row],[Normal Grain Harvest]]*1.3</f>
        <v>4482302.5</v>
      </c>
      <c r="J3" s="1">
        <f>(Table1345678[[#This Row],[Population]]*365)/1000</f>
        <v>73000</v>
      </c>
      <c r="K3" s="1">
        <f>Table1345678[[#This Row],[Normal Grain Harvest]]-Table1345678[[#This Row],[Required Grain]]</f>
        <v>3374925</v>
      </c>
      <c r="L3" s="3">
        <f>(Table1345678[[#This Row],[Suplus Grain]]/2)/2000</f>
        <v>843.73125000000005</v>
      </c>
      <c r="M3" t="s">
        <v>43</v>
      </c>
      <c r="P3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Table1345678[[#This Row],[Normal Grain Harvest]]*0.6</f>
        <v>4296645</v>
      </c>
      <c r="H4">
        <v>7161075</v>
      </c>
      <c r="I4" s="1">
        <f>Table1345678[[#This Row],[Normal Grain Harvest]]*1.3</f>
        <v>9309397.5</v>
      </c>
      <c r="J4" s="1">
        <f>(Table1345678[[#This Row],[Population]]*365)/1000</f>
        <v>182500</v>
      </c>
      <c r="K4" s="1">
        <f>Table1345678[[#This Row],[Normal Grain Harvest]]-Table1345678[[#This Row],[Required Grain]]</f>
        <v>6978575</v>
      </c>
      <c r="L4" s="3">
        <f>(Table1345678[[#This Row],[Suplus Grain]]/2)/2000</f>
        <v>1744.64375</v>
      </c>
      <c r="M4" t="s">
        <v>93</v>
      </c>
      <c r="P4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Table1345678[[#This Row],[Normal Grain Harvest]]*0.6</f>
        <v>5585638.5</v>
      </c>
      <c r="H5">
        <v>9309397.5</v>
      </c>
      <c r="I5" s="1">
        <f>Table1345678[[#This Row],[Normal Grain Harvest]]*1.3</f>
        <v>12102216.75</v>
      </c>
      <c r="J5" s="1">
        <f>(Table1345678[[#This Row],[Population]]*365)/1000</f>
        <v>164250</v>
      </c>
      <c r="K5" s="1">
        <f>Table1345678[[#This Row],[Normal Grain Harvest]]-Table1345678[[#This Row],[Required Grain]]</f>
        <v>9145147.5</v>
      </c>
      <c r="L5" s="3">
        <f>(Table1345678[[#This Row],[Suplus Grain]]/2)/2000</f>
        <v>2286.2868749999998</v>
      </c>
      <c r="M5" t="s">
        <v>93</v>
      </c>
      <c r="N5">
        <v>200</v>
      </c>
      <c r="P5" s="4">
        <f>(Table1345678[[#This Row],[Tax Income in Talents]]+Table1345678[[#This Row],[Trade Income]]-Table1345678[[#This Row],[Other Expenditure]]-Table1345678[[#This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Table1345678[[#This Row],[Normal Grain Harvest]]*0.6</f>
        <v>4296645</v>
      </c>
      <c r="H6">
        <v>7161075</v>
      </c>
      <c r="I6" s="1">
        <f>Table1345678[[#This Row],[Normal Grain Harvest]]*1.3</f>
        <v>9309397.5</v>
      </c>
      <c r="J6" s="1">
        <f>(Table1345678[[#This Row],[Population]]*365)/1000</f>
        <v>182500</v>
      </c>
      <c r="K6" s="1">
        <f>Table1345678[[#This Row],[Normal Grain Harvest]]-Table1345678[[#This Row],[Required Grain]]</f>
        <v>6978575</v>
      </c>
      <c r="L6" s="3">
        <f>(Table1345678[[#This Row],[Suplus Grain]]/2)/2000</f>
        <v>1744.64375</v>
      </c>
      <c r="M6" t="s">
        <v>93</v>
      </c>
      <c r="P6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Table1345678[[#This Row],[Normal Grain Harvest]]*0.6</f>
        <v>4296645</v>
      </c>
      <c r="H7">
        <v>7161075</v>
      </c>
      <c r="I7" s="1">
        <f>Table1345678[[#This Row],[Normal Grain Harvest]]*1.3</f>
        <v>9309397.5</v>
      </c>
      <c r="J7" s="1">
        <f>(Table1345678[[#This Row],[Population]]*365)/1000</f>
        <v>182500</v>
      </c>
      <c r="K7" s="1">
        <f>Table1345678[[#This Row],[Normal Grain Harvest]]-Table1345678[[#This Row],[Required Grain]]</f>
        <v>6978575</v>
      </c>
      <c r="L7" s="3">
        <f>(Table1345678[[#This Row],[Suplus Grain]]/2)/2000</f>
        <v>1744.64375</v>
      </c>
      <c r="M7" t="s">
        <v>93</v>
      </c>
      <c r="P7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Table1345678[[#This Row],[Normal Grain Harvest]]*0.6</f>
        <v>4296645</v>
      </c>
      <c r="H8">
        <v>7161075</v>
      </c>
      <c r="I8" s="1">
        <f>Table1345678[[#This Row],[Normal Grain Harvest]]*1.3</f>
        <v>9309397.5</v>
      </c>
      <c r="J8" s="1">
        <f>(Table1345678[[#This Row],[Population]]*365)/1000</f>
        <v>182500</v>
      </c>
      <c r="K8" s="1">
        <f>Table1345678[[#This Row],[Normal Grain Harvest]]-Table1345678[[#This Row],[Required Grain]]</f>
        <v>6978575</v>
      </c>
      <c r="L8" s="3">
        <f>(Table1345678[[#This Row],[Suplus Grain]]/2)/2000</f>
        <v>1744.64375</v>
      </c>
      <c r="M8" t="s">
        <v>90</v>
      </c>
      <c r="P8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Table1345678[[#This Row],[Normal Grain Harvest]]*0.6</f>
        <v>4296645</v>
      </c>
      <c r="H9">
        <v>7161075</v>
      </c>
      <c r="I9" s="1">
        <f>Table1345678[[#This Row],[Normal Grain Harvest]]*1.3</f>
        <v>9309397.5</v>
      </c>
      <c r="J9" s="1">
        <f>(Table1345678[[#This Row],[Population]]*365)/1000</f>
        <v>182500</v>
      </c>
      <c r="K9" s="1">
        <f>Table1345678[[#This Row],[Normal Grain Harvest]]-Table1345678[[#This Row],[Required Grain]]</f>
        <v>6978575</v>
      </c>
      <c r="L9" s="3">
        <f>(Table1345678[[#This Row],[Suplus Grain]]/2)/2000</f>
        <v>1744.64375</v>
      </c>
      <c r="M9" t="s">
        <v>89</v>
      </c>
      <c r="P9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Table1345678[[#This Row],[Normal Grain Harvest]]*0.6</f>
        <v>4296645</v>
      </c>
      <c r="H10">
        <v>7161075</v>
      </c>
      <c r="I10" s="1">
        <f>Table1345678[[#This Row],[Normal Grain Harvest]]*1.3</f>
        <v>9309397.5</v>
      </c>
      <c r="J10" s="1">
        <f>(Table1345678[[#This Row],[Population]]*365)/1000</f>
        <v>182500</v>
      </c>
      <c r="K10" s="1">
        <f>Table1345678[[#This Row],[Normal Grain Harvest]]-Table1345678[[#This Row],[Required Grain]]</f>
        <v>6978575</v>
      </c>
      <c r="L10" s="3">
        <f>(Table1345678[[#This Row],[Suplus Grain]]/2)/2000</f>
        <v>1744.64375</v>
      </c>
      <c r="M10" t="s">
        <v>88</v>
      </c>
      <c r="P10" s="4">
        <f>(Table1345678[[#This Row],[Tax Income in Talents]]+Table1345678[[#This Row],[Trade Income]]-Table1345678[[#This Row],[Other Expenditure]]-Table1345678[[#This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Table1345678[[#This Row],[Normal Grain Harvest]]*0.6</f>
        <v>4296645</v>
      </c>
      <c r="H11">
        <v>7161075</v>
      </c>
      <c r="I11" s="1">
        <f>Table1345678[[#This Row],[Normal Grain Harvest]]*1.3</f>
        <v>9309397.5</v>
      </c>
      <c r="J11" s="1">
        <f>(Table1345678[[#This Row],[Population]]*365)/1000</f>
        <v>146000</v>
      </c>
      <c r="K11" s="1">
        <f>Table1345678[[#This Row],[Normal Grain Harvest]]-Table1345678[[#This Row],[Required Grain]]</f>
        <v>7015075</v>
      </c>
      <c r="L11" s="3">
        <f>(Table1345678[[#This Row],[Suplus Grain]]/2)/2000</f>
        <v>1753.76875</v>
      </c>
      <c r="M11" t="s">
        <v>91</v>
      </c>
      <c r="P11" s="4">
        <f>(Table1345678[[#This Row],[Tax Income in Talents]]+Table1345678[[#This Row],[Trade Income]]-Table1345678[[#This Row],[Other Expenditure]]-Table1345678[[#This Row],[Garrisoned Soldier Cost]])</f>
        <v>-246.23125000000005</v>
      </c>
    </row>
    <row r="12" spans="1:16" x14ac:dyDescent="0.25">
      <c r="A12" t="s">
        <v>25</v>
      </c>
      <c r="B12" t="s">
        <v>142</v>
      </c>
      <c r="C12" s="1">
        <v>1500</v>
      </c>
      <c r="D12">
        <v>500</v>
      </c>
      <c r="E12" s="1">
        <v>750000</v>
      </c>
      <c r="F12" s="1">
        <v>15000</v>
      </c>
      <c r="G12" s="1">
        <f>Table1345678[[#This Row],[Normal Grain Harvest]]*0.6</f>
        <v>4296645</v>
      </c>
      <c r="H12">
        <v>7161075</v>
      </c>
      <c r="I12" s="1">
        <f>Table1345678[[#This Row],[Normal Grain Harvest]]*1.3</f>
        <v>9309397.5</v>
      </c>
      <c r="J12" s="1">
        <f>(Table1345678[[#This Row],[Population]]*365)/1000</f>
        <v>273750</v>
      </c>
      <c r="K12" s="1">
        <f>Table1345678[[#This Row],[Normal Grain Harvest]]-Table1345678[[#This Row],[Required Grain]]</f>
        <v>6887325</v>
      </c>
      <c r="L12" s="3">
        <f>(Table1345678[[#This Row],[Suplus Grain]]/2)/2000</f>
        <v>1721.83125</v>
      </c>
      <c r="M12" t="s">
        <v>87</v>
      </c>
      <c r="P12" s="4">
        <f>(Table1345678[[#This Row],[Tax Income in Talents]]+Table1345678[[#This Row],[Trade Income]]-Table1345678[[#This Row],[Other Expenditure]]-Table1345678[[#This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Table1345678[[#This Row],[Normal Grain Harvest]]*0.6</f>
        <v>3103132.5</v>
      </c>
      <c r="H13">
        <v>5171887.5</v>
      </c>
      <c r="I13" s="1">
        <f>Table1345678[[#This Row],[Normal Grain Harvest]]*1.3</f>
        <v>6723453.75</v>
      </c>
      <c r="J13" s="1">
        <f>(Table1345678[[#This Row],[Population]]*365)/1000</f>
        <v>182500</v>
      </c>
      <c r="K13" s="1">
        <f>Table1345678[[#This Row],[Normal Grain Harvest]]-Table1345678[[#This Row],[Required Grain]]</f>
        <v>4989387.5</v>
      </c>
      <c r="L13" s="3">
        <f>(Table1345678[[#This Row],[Suplus Grain]]/2)/2000</f>
        <v>1247.346875</v>
      </c>
      <c r="M13" t="s">
        <v>86</v>
      </c>
      <c r="P13" s="4">
        <f>(Table1345678[[#This Row],[Tax Income in Talents]]+Table1345678[[#This Row],[Trade Income]]-Table1345678[[#This Row],[Other Expenditure]]-Table1345678[[#This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15000</v>
      </c>
      <c r="G14" s="1">
        <f>Table1345678[[#This Row],[Normal Grain Harvest]]*0.6</f>
        <v>2387025</v>
      </c>
      <c r="H14">
        <v>3978375</v>
      </c>
      <c r="I14" s="1">
        <f>Table1345678[[#This Row],[Normal Grain Harvest]]*1.3</f>
        <v>5171887.5</v>
      </c>
      <c r="J14" s="1">
        <f>(Table1345678[[#This Row],[Population]]*365)/1000</f>
        <v>182500</v>
      </c>
      <c r="K14" s="1">
        <f>Table1345678[[#This Row],[High Grain Harvest]]-Table1345678[[#This Row],[Required Grain]]</f>
        <v>4989387.5</v>
      </c>
      <c r="L14" s="3">
        <f>(Table1345678[[#This Row],[Suplus Grain]]/2)/2000</f>
        <v>1247.346875</v>
      </c>
      <c r="M14" t="s">
        <v>86</v>
      </c>
      <c r="P14" s="4">
        <f>(Table1345678[[#This Row],[Tax Income in Talents]]+Table1345678[[#This Row],[Trade Income]]-Table1345678[[#This Row],[Other Expenditure]]-Table1345678[[#This Row],[Garrisoned Soldier Cost]])</f>
        <v>-252.65312500000005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Table1345678[[#This Row],[Normal Grain Harvest]]*0.6</f>
        <v>4774050</v>
      </c>
      <c r="H15">
        <v>7956750</v>
      </c>
      <c r="I15" s="1">
        <f>Table1345678[[#This Row],[Normal Grain Harvest]]*1.3</f>
        <v>10343775</v>
      </c>
      <c r="J15" s="1">
        <f>(Table1345678[[#This Row],[Population]]*365)/1000</f>
        <v>365000</v>
      </c>
      <c r="K15" s="1">
        <f>Table1345678[[#This Row],[High Grain Harvest]]-Table1345678[[#This Row],[Required Grain]]</f>
        <v>9978775</v>
      </c>
      <c r="L15" s="3">
        <f>(Table1345678[[#This Row],[Suplus Grain]]/2)/2000</f>
        <v>2494.6937499999999</v>
      </c>
      <c r="M15" t="s">
        <v>86</v>
      </c>
      <c r="P15" s="4">
        <f>(Table1345678[[#This Row],[Tax Income in Talents]]+Table1345678[[#This Row],[Trade Income]]-Table1345678[[#This Row],[Other Expenditure]]-Table1345678[[#This Row],[Garrisoned Soldier Cost]])</f>
        <v>2244.6937499999999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Table1345678[[#This Row],[Normal Grain Harvest]]*0.6</f>
        <v>2387025</v>
      </c>
      <c r="H16">
        <v>3978375</v>
      </c>
      <c r="I16" s="1">
        <f>Table1345678[[#This Row],[Normal Grain Harvest]]*1.3</f>
        <v>5171887.5</v>
      </c>
      <c r="J16" s="1">
        <f>(Table1345678[[#This Row],[Population]]*365)/1000</f>
        <v>182500</v>
      </c>
      <c r="K16" s="1">
        <f>Table1345678[[#This Row],[High Grain Harvest]]-Table1345678[[#This Row],[Required Grain]]</f>
        <v>4989387.5</v>
      </c>
      <c r="L16" s="3">
        <f>(Table1345678[[#This Row],[Suplus Grain]]/2)/2000</f>
        <v>1247.346875</v>
      </c>
      <c r="M16" t="s">
        <v>126</v>
      </c>
      <c r="P16" s="4">
        <f>(Table1345678[[#This Row],[Tax Income in Talents]]+Table1345678[[#This Row],[Trade Income]]-Table1345678[[#This Row],[Other Expenditure]]-Table1345678[[#This Row],[Garrisoned Soldier Cost]])</f>
        <v>997.34687499999995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Table1345678[[#This Row],[Normal Grain Harvest]]*0.6</f>
        <v>19562750.401649997</v>
      </c>
      <c r="H17">
        <v>32604584.002749998</v>
      </c>
      <c r="I17" s="6">
        <f>Table1345678[[#This Row],[Normal Grain Harvest]]*1.3</f>
        <v>42385959.203575</v>
      </c>
      <c r="J17" s="1">
        <f>(Table1345678[[#This Row],[Population]]*365)/1000</f>
        <v>1277500</v>
      </c>
      <c r="K17" s="1">
        <f>Table1345678[[#This Row],[High Grain Harvest]]-Table1345678[[#This Row],[Required Grain]]</f>
        <v>41108459.203575</v>
      </c>
      <c r="L17" s="3">
        <f>(Table1345678[[#This Row],[Suplus Grain]]/2)/2000</f>
        <v>10277.114800893751</v>
      </c>
      <c r="P17" s="4">
        <f>(Table1345678[[#This Row],[Tax Income in Talents]]+Table1345678[[#This Row],[Trade Income]]-Table1345678[[#This Row],[Other Expenditure]]-Table1345678[[#This Row],[Garrisoned Soldier Cost]])</f>
        <v>6277.1148008937507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Table1345678[[#This Row],[Normal Grain Harvest]]*0.6</f>
        <v>10757526</v>
      </c>
      <c r="H18">
        <v>17929210</v>
      </c>
      <c r="I18" s="6">
        <f>Table1345678[[#This Row],[Normal Grain Harvest]]*1.3</f>
        <v>23307973</v>
      </c>
      <c r="J18" s="1">
        <f>(Table1345678[[#This Row],[Population]]*365)/1000</f>
        <v>730000</v>
      </c>
      <c r="K18" s="1">
        <f>Table1345678[[#This Row],[Normal Grain Harvest]]-Table1345678[[#This Row],[Required Grain]]</f>
        <v>17199210</v>
      </c>
      <c r="L18" s="3">
        <f>(Table1345678[[#This Row],[Suplus Grain]]/2)/2000</f>
        <v>4299.8024999999998</v>
      </c>
      <c r="M18" t="s">
        <v>85</v>
      </c>
      <c r="P18" s="4">
        <f>(Table1345678[[#This Row],[Tax Income in Talents]]+Table1345678[[#This Row],[Trade Income]]-Table1345678[[#This Row],[Other Expenditure]]-Table1345678[[#This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Table1345678[[#This Row],[Normal Grain Harvest]]*0.6</f>
        <v>9930024</v>
      </c>
      <c r="H19">
        <v>16550040</v>
      </c>
      <c r="I19" s="1">
        <f>Table1345678[[#This Row],[Normal Grain Harvest]]*1.3</f>
        <v>21515052</v>
      </c>
      <c r="J19" s="1">
        <f>(Table1345678[[#This Row],[Population]]*365)/1000</f>
        <v>474500</v>
      </c>
      <c r="K19" s="1">
        <f>Table1345678[[#This Row],[Normal Grain Harvest]]-Table1345678[[#This Row],[Required Grain]]</f>
        <v>16075540</v>
      </c>
      <c r="L19" s="3">
        <f>(Table1345678[[#This Row],[Suplus Grain]]/2)/2000</f>
        <v>4018.8850000000002</v>
      </c>
      <c r="M19" t="s">
        <v>85</v>
      </c>
      <c r="N19">
        <v>10</v>
      </c>
      <c r="P19" s="4">
        <f>(Table1345678[[#This Row],[Tax Income in Talents]]+Table1345678[[#This Row],[Trade Income]]-Table1345678[[#This Row],[Other Expenditure]]-Table1345678[[#This Row],[Garrisoned Soldier Cost]])</f>
        <v>3028.8850000000002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Table1345678[[#This Row],[Normal Grain Harvest]]*0.6</f>
        <v>6206265</v>
      </c>
      <c r="H20">
        <v>10343775</v>
      </c>
      <c r="I20" s="1">
        <f>Table1345678[[#This Row],[Normal Grain Harvest]]*1.3</f>
        <v>13446907.5</v>
      </c>
      <c r="J20" s="1">
        <f>(Table1345678[[#This Row],[Population]]*365)/1000</f>
        <v>219000</v>
      </c>
      <c r="K20" s="1">
        <f>Table1345678[[#This Row],[Normal Grain Harvest]]-Table1345678[[#This Row],[Required Grain]]</f>
        <v>10124775</v>
      </c>
      <c r="L20" s="3">
        <f>(Table1345678[[#This Row],[Suplus Grain]]/2)/2000</f>
        <v>2531.1937499999999</v>
      </c>
      <c r="M20" t="s">
        <v>56</v>
      </c>
      <c r="P20" s="4">
        <f>(Table1345678[[#This Row],[Tax Income in Talents]]+Table1345678[[#This Row],[Trade Income]]-Table1345678[[#This Row],[Other Expenditure]]-Table1345678[[#This Row],[Garrisoned Soldier Cost]])</f>
        <v>1781.1937499999999</v>
      </c>
    </row>
    <row r="21" spans="1:16" x14ac:dyDescent="0.25">
      <c r="A21" t="s">
        <v>132</v>
      </c>
      <c r="B21" t="s">
        <v>103</v>
      </c>
      <c r="C21" s="1">
        <v>1000</v>
      </c>
      <c r="D21">
        <v>500</v>
      </c>
      <c r="E21" s="1">
        <v>600000</v>
      </c>
      <c r="F21" s="1">
        <v>22500</v>
      </c>
      <c r="G21" s="1">
        <f>Table1345678[[#This Row],[Normal Grain Harvest]]*0.6</f>
        <v>4774050</v>
      </c>
      <c r="H21">
        <v>7956750</v>
      </c>
      <c r="I21" s="1">
        <f>Table1345678[[#This Row],[Normal Grain Harvest]]*1.3</f>
        <v>10343775</v>
      </c>
      <c r="J21" s="1">
        <f>(Table1345678[[#This Row],[Population]]*365)/1000</f>
        <v>219000</v>
      </c>
      <c r="K21" s="1">
        <f>Table1345678[[#This Row],[Normal Grain Harvest]]-Table1345678[[#This Row],[Required Grain]]</f>
        <v>7737750</v>
      </c>
      <c r="L21" s="3">
        <f>(Table1345678[[#This Row],[Suplus Grain]]/2)/2000</f>
        <v>1934.4375</v>
      </c>
      <c r="P21" s="4">
        <f>(Table1345678[[#This Row],[Tax Income in Talents]]+Table1345678[[#This Row],[Trade Income]]-Table1345678[[#This Row],[Other Expenditure]]-Table1345678[[#This Row],[Garrisoned Soldier Cost]])</f>
        <v>1434.4375</v>
      </c>
    </row>
    <row r="22" spans="1:16" x14ac:dyDescent="0.25">
      <c r="A22" t="s">
        <v>114</v>
      </c>
      <c r="C22" s="1"/>
      <c r="D22">
        <v>0</v>
      </c>
      <c r="E22">
        <v>1350000</v>
      </c>
      <c r="F22">
        <v>27000</v>
      </c>
      <c r="G22" s="1">
        <f>Table1345678[[#This Row],[Normal Grain Harvest]]*0.6</f>
        <v>6454515.5999999996</v>
      </c>
      <c r="H22">
        <v>10757526</v>
      </c>
      <c r="I22" s="1">
        <f>Table1345678[[#This Row],[Normal Grain Harvest]]*1.3</f>
        <v>13984783.800000001</v>
      </c>
      <c r="J22" s="1">
        <f>(Table1345678[[#This Row],[Population]]*365)/1000</f>
        <v>492750</v>
      </c>
      <c r="K22" s="1">
        <f>Table1345678[[#This Row],[Normal Grain Harvest]]-Table1345678[[#This Row],[Required Grain]]</f>
        <v>10264776</v>
      </c>
      <c r="L22" s="3">
        <f>(Table1345678[[#This Row],[Suplus Grain]]/2)/2000</f>
        <v>2566.194</v>
      </c>
      <c r="M22" t="s">
        <v>57</v>
      </c>
      <c r="P22" s="4">
        <f>(Table1345678[[#This Row],[Tax Income in Talents]]+Table1345678[[#This Row],[Trade Income]]-Table1345678[[#This Row],[Other Expenditure]]-Table1345678[[#This Row],[Garrisoned Soldier Cost]])</f>
        <v>2566.194</v>
      </c>
    </row>
    <row r="23" spans="1:16" x14ac:dyDescent="0.25">
      <c r="A23" t="s">
        <v>127</v>
      </c>
      <c r="B23" t="s">
        <v>30</v>
      </c>
      <c r="C23" s="1">
        <v>1000</v>
      </c>
      <c r="D23">
        <v>500</v>
      </c>
      <c r="E23">
        <f>2250000*0.4</f>
        <v>900000</v>
      </c>
      <c r="F23" s="1">
        <v>18000</v>
      </c>
      <c r="G23" s="1">
        <f>Table1345678[[#This Row],[Normal Grain Harvest]]*0.6</f>
        <v>4303010.3999999994</v>
      </c>
      <c r="H23">
        <v>7171684</v>
      </c>
      <c r="I23" s="1">
        <f>Table1345678[[#This Row],[Normal Grain Harvest]]*1.3</f>
        <v>9323189.2000000011</v>
      </c>
      <c r="J23" s="1">
        <f>(Table1345678[[#This Row],[Population]]*365)/1000</f>
        <v>328500</v>
      </c>
      <c r="K23" s="1">
        <f>Table1345678[[#This Row],[Normal Grain Harvest]]-Table1345678[[#This Row],[Required Grain]]</f>
        <v>6843184</v>
      </c>
      <c r="L23" s="3">
        <f>(Table1345678[[#This Row],[Suplus Grain]]/2)/2000</f>
        <v>1710.796</v>
      </c>
      <c r="P23" s="4">
        <f>(Table1345678[[#This Row],[Tax Income in Talents]]+Table1345678[[#This Row],[Trade Income]]-Table1345678[[#This Row],[Other Expenditure]]-Table1345678[[#This Row],[Garrisoned Soldier Cost]])</f>
        <v>1210.796</v>
      </c>
    </row>
    <row r="24" spans="1:16" x14ac:dyDescent="0.25">
      <c r="A24" t="s">
        <v>129</v>
      </c>
      <c r="B24" t="s">
        <v>30</v>
      </c>
      <c r="C24" s="1">
        <v>1000</v>
      </c>
      <c r="D24">
        <v>500</v>
      </c>
      <c r="E24">
        <v>375000</v>
      </c>
      <c r="F24" s="1">
        <v>3500</v>
      </c>
      <c r="G24" s="1">
        <f>Table1345678[[#This Row],[Normal Grain Harvest]]*0.6</f>
        <v>2689381.5</v>
      </c>
      <c r="H24">
        <v>4482302.5</v>
      </c>
      <c r="I24" s="1">
        <f>Table1345678[[#This Row],[Normal Grain Harvest]]*1.3</f>
        <v>5826993.25</v>
      </c>
      <c r="J24" s="1">
        <f>(Table1345678[[#This Row],[Population]]*365)/1000</f>
        <v>136875</v>
      </c>
      <c r="K24" s="1">
        <f>Table1345678[[#This Row],[Normal Grain Harvest]]-Table1345678[[#This Row],[Required Grain]]</f>
        <v>4345427.5</v>
      </c>
      <c r="L24" s="3">
        <f>(Table1345678[[#This Row],[Suplus Grain]]/2)/2000</f>
        <v>1086.3568749999999</v>
      </c>
      <c r="P24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Table1345678[[#This Row],[Normal Grain Harvest]]*0.6</f>
        <v>2689381.5</v>
      </c>
      <c r="H25" s="8">
        <v>4482302.5</v>
      </c>
      <c r="I25" s="1">
        <f>Table1345678[[#This Row],[Normal Grain Harvest]]*1.3</f>
        <v>5826993.25</v>
      </c>
      <c r="J25" s="1">
        <f>(Table1345678[[#This Row],[Population]]*365)/1000</f>
        <v>136875</v>
      </c>
      <c r="K25" s="1">
        <f>Table1345678[[#This Row],[Normal Grain Harvest]]-Table1345678[[#This Row],[Required Grain]]</f>
        <v>4345427.5</v>
      </c>
      <c r="L25" s="3">
        <f>(Table1345678[[#This Row],[Suplus Grain]]/2)/2000</f>
        <v>1086.3568749999999</v>
      </c>
      <c r="M25" t="s">
        <v>88</v>
      </c>
      <c r="P25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1000</v>
      </c>
      <c r="D26">
        <v>500</v>
      </c>
      <c r="E26" s="1">
        <v>200000</v>
      </c>
      <c r="F26">
        <v>7000</v>
      </c>
      <c r="G26" s="1">
        <f>Table1345678[[#This Row],[Normal Grain Harvest]]*0.6</f>
        <v>2068755</v>
      </c>
      <c r="H26">
        <v>3447925</v>
      </c>
      <c r="I26" s="1">
        <f>Table1345678[[#This Row],[Normal Grain Harvest]]*1.3</f>
        <v>4482302.5</v>
      </c>
      <c r="J26" s="1">
        <f>(Table1345678[[#This Row],[Population]]*365)/1000</f>
        <v>73000</v>
      </c>
      <c r="K26" s="1">
        <f>Table1345678[[#This Row],[Normal Grain Harvest]]-Table1345678[[#This Row],[Required Grain]]</f>
        <v>3374925</v>
      </c>
      <c r="L26" s="3">
        <f>(Table1345678[[#This Row],[Suplus Grain]]/2)/2000</f>
        <v>843.73125000000005</v>
      </c>
      <c r="P26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Table1345678[[#This Row],[Normal Grain Harvest]]*0.6</f>
        <v>1241253</v>
      </c>
      <c r="H27">
        <v>2068755</v>
      </c>
      <c r="I27" s="1">
        <f>Table1345678[[#This Row],[Normal Grain Harvest]]*1.3</f>
        <v>2689381.5</v>
      </c>
      <c r="J27" s="1">
        <f>(Table1345678[[#This Row],[Population]]*365)/1000</f>
        <v>73000</v>
      </c>
      <c r="K27" s="1">
        <f>Table1345678[[#This Row],[Normal Grain Harvest]]-Table1345678[[#This Row],[Required Grain]]</f>
        <v>1995755</v>
      </c>
      <c r="L27" s="3">
        <f>(Table1345678[[#This Row],[Suplus Grain]]/2)/2000</f>
        <v>498.93875000000003</v>
      </c>
      <c r="P27" s="4">
        <f>(Table1345678[[#This Row],[Tax Income in Talents]]+Table1345678[[#This Row],[Trade Income]]-Table1345678[[#This Row],[Other Expenditure]]-Table1345678[[#This Row],[Garrisoned Soldier Cost]])</f>
        <v>248.93875000000003</v>
      </c>
    </row>
    <row r="28" spans="1:16" x14ac:dyDescent="0.25">
      <c r="A28" t="s">
        <v>69</v>
      </c>
      <c r="B28" t="s">
        <v>30</v>
      </c>
      <c r="C28" s="1">
        <v>4000</v>
      </c>
      <c r="D28">
        <v>2000</v>
      </c>
      <c r="E28" s="1">
        <v>800000</v>
      </c>
      <c r="F28" s="1">
        <v>16000</v>
      </c>
      <c r="G28" s="1">
        <f>Table1345678[[#This Row],[Normal Grain Harvest]]*0.6</f>
        <v>4965012</v>
      </c>
      <c r="H28">
        <v>8275020</v>
      </c>
      <c r="I28" s="6">
        <f>Table1345678[[#This Row],[Normal Grain Harvest]]*1.3</f>
        <v>10757526</v>
      </c>
      <c r="J28" s="1">
        <f>(Table1345678[[#This Row],[Population]]*365)/1000</f>
        <v>292000</v>
      </c>
      <c r="K28" s="1">
        <f>Table1345678[[#This Row],[Normal Grain Harvest]]-Table1345678[[#This Row],[Required Grain]]</f>
        <v>7983020</v>
      </c>
      <c r="L28" s="3">
        <f>(Table1345678[[#This Row],[Suplus Grain]]/2)/2000</f>
        <v>1995.7550000000001</v>
      </c>
      <c r="M28" t="s">
        <v>92</v>
      </c>
      <c r="P28" s="4">
        <f>(Table1345678[[#This Row],[Tax Income in Talents]]+Table1345678[[#This Row],[Trade Income]]-Table1345678[[#This Row],[Other Expenditure]]-Table1345678[[#This Row],[Garrisoned Soldier Cost]])</f>
        <v>-4.2449999999998909</v>
      </c>
    </row>
    <row r="29" spans="1:16" x14ac:dyDescent="0.25">
      <c r="A29" t="s">
        <v>131</v>
      </c>
      <c r="E29">
        <v>7000</v>
      </c>
      <c r="F29">
        <v>500</v>
      </c>
      <c r="G29" s="1">
        <f>Table1345678[[#This Row],[Normal Grain Harvest]]*0.6</f>
        <v>8275.02</v>
      </c>
      <c r="H29">
        <v>13791.7</v>
      </c>
      <c r="I29" s="1">
        <f>Table1345678[[#This Row],[Normal Grain Harvest]]*1.3</f>
        <v>17929.210000000003</v>
      </c>
      <c r="J29" s="1">
        <f>(Table1345678[[#This Row],[Population]]*365)/1000</f>
        <v>2555</v>
      </c>
      <c r="K29" s="1">
        <f>Table1345678[[#This Row],[Normal Grain Harvest]]-Table1345678[[#This Row],[Required Grain]]</f>
        <v>11236.7</v>
      </c>
      <c r="L29" s="3">
        <f>(Table1345678[[#This Row],[Suplus Grain]]/2)/2000</f>
        <v>2.8091750000000002</v>
      </c>
      <c r="N29">
        <v>2</v>
      </c>
      <c r="P29" s="4">
        <f>(Table1345678[[#This Row],[Tax Income in Talents]]+Table1345678[[#This Row],[Trade Income]]-Table1345678[[#This Row],[Other Expenditure]]-Table1345678[[#This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11" workbookViewId="0">
      <selection activeCell="I30" sqref="I30"/>
    </sheetView>
  </sheetViews>
  <sheetFormatPr defaultRowHeight="15" x14ac:dyDescent="0.25"/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Table13456789[[#This Row],[Normal Grain Harvest]]*0.6</f>
        <v>2068755</v>
      </c>
      <c r="H2">
        <v>3447925</v>
      </c>
      <c r="I2" s="1">
        <f>Table13456789[[#This Row],[Normal Grain Harvest]]*1.3</f>
        <v>4482302.5</v>
      </c>
      <c r="J2" s="1">
        <f>(Table13456789[[#This Row],[Population]]*365)/1000</f>
        <v>73000</v>
      </c>
      <c r="K2" s="1">
        <f>Table13456789[[#This Row],[Normal Grain Harvest]]-Table13456789[[#This Row],[Required Grain]]</f>
        <v>3374925</v>
      </c>
      <c r="L2" s="3">
        <f>(Table13456789[[#This Row],[Suplus Grain]]/2)/2000</f>
        <v>843.73125000000005</v>
      </c>
      <c r="M2" t="s">
        <v>41</v>
      </c>
      <c r="P2" s="4">
        <f>(Table13456789[[#This Row],[Tax Income in Talents]]+Table13456789[[#This Row],[Trade Income]]-Table13456789[[#This Row],[Other Expenditure]]-Table13456789[[#This Row],[Garrisoned Soldier Cost]])</f>
        <v>343.73125000000005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Table13456789[[#This Row],[Normal Grain Harvest]]*0.6</f>
        <v>2068755</v>
      </c>
      <c r="H3">
        <v>3447925</v>
      </c>
      <c r="I3" s="1">
        <f>Table13456789[[#This Row],[Normal Grain Harvest]]*1.3</f>
        <v>4482302.5</v>
      </c>
      <c r="J3" s="1">
        <f>(Table13456789[[#This Row],[Population]]*365)/1000</f>
        <v>73000</v>
      </c>
      <c r="K3" s="1">
        <f>Table13456789[[#This Row],[Normal Grain Harvest]]-Table13456789[[#This Row],[Required Grain]]</f>
        <v>3374925</v>
      </c>
      <c r="L3" s="3">
        <f>(Table13456789[[#This Row],[Suplus Grain]]/2)/2000</f>
        <v>843.73125000000005</v>
      </c>
      <c r="M3" t="s">
        <v>43</v>
      </c>
      <c r="P3" s="4">
        <f>(Table13456789[[#This Row],[Tax Income in Talents]]+Table13456789[[#This Row],[Trade Income]]-Table13456789[[#This Row],[Other Expenditure]]-Table13456789[[#This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Table13456789[[#This Row],[Normal Grain Harvest]]*0.6</f>
        <v>4296645</v>
      </c>
      <c r="H4">
        <v>7161075</v>
      </c>
      <c r="I4" s="1">
        <f>Table13456789[[#This Row],[Normal Grain Harvest]]*1.3</f>
        <v>9309397.5</v>
      </c>
      <c r="J4" s="1">
        <f>(Table13456789[[#This Row],[Population]]*365)/1000</f>
        <v>182500</v>
      </c>
      <c r="K4" s="1">
        <f>Table13456789[[#This Row],[Normal Grain Harvest]]-Table13456789[[#This Row],[Required Grain]]</f>
        <v>6978575</v>
      </c>
      <c r="L4" s="3">
        <f>(Table13456789[[#This Row],[Suplus Grain]]/2)/2000</f>
        <v>1744.64375</v>
      </c>
      <c r="M4" t="s">
        <v>93</v>
      </c>
      <c r="P4" s="4">
        <f>(Table13456789[[#This Row],[Tax Income in Talents]]+Table13456789[[#This Row],[Trade Income]]-Table13456789[[#This Row],[Other Expenditure]]-Table13456789[[#This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Table13456789[[#This Row],[Normal Grain Harvest]]*0.6</f>
        <v>5585638.5</v>
      </c>
      <c r="H5">
        <v>9309397.5</v>
      </c>
      <c r="I5" s="1">
        <f>Table13456789[[#This Row],[Normal Grain Harvest]]*1.3</f>
        <v>12102216.75</v>
      </c>
      <c r="J5" s="1">
        <f>(Table13456789[[#This Row],[Population]]*365)/1000</f>
        <v>164250</v>
      </c>
      <c r="K5" s="1">
        <f>Table13456789[[#This Row],[Normal Grain Harvest]]-Table13456789[[#This Row],[Required Grain]]</f>
        <v>9145147.5</v>
      </c>
      <c r="L5" s="3">
        <f>(Table13456789[[#This Row],[Suplus Grain]]/2)/2000</f>
        <v>2286.2868749999998</v>
      </c>
      <c r="M5" t="s">
        <v>93</v>
      </c>
      <c r="N5">
        <v>200</v>
      </c>
      <c r="P5" s="4">
        <f>(Table13456789[[#This Row],[Tax Income in Talents]]+Table13456789[[#This Row],[Trade Income]]-Table13456789[[#This Row],[Other Expenditure]]-Table13456789[[#This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Table13456789[[#This Row],[Normal Grain Harvest]]*0.6</f>
        <v>4296645</v>
      </c>
      <c r="H6">
        <v>7161075</v>
      </c>
      <c r="I6" s="1">
        <f>Table13456789[[#This Row],[Normal Grain Harvest]]*1.3</f>
        <v>9309397.5</v>
      </c>
      <c r="J6" s="1">
        <f>(Table13456789[[#This Row],[Population]]*365)/1000</f>
        <v>182500</v>
      </c>
      <c r="K6" s="1">
        <f>Table13456789[[#This Row],[Normal Grain Harvest]]-Table13456789[[#This Row],[Required Grain]]</f>
        <v>6978575</v>
      </c>
      <c r="L6" s="3">
        <f>(Table13456789[[#This Row],[Suplus Grain]]/2)/2000</f>
        <v>1744.64375</v>
      </c>
      <c r="M6" t="s">
        <v>93</v>
      </c>
      <c r="P6" s="4">
        <f>(Table13456789[[#This Row],[Tax Income in Talents]]+Table13456789[[#This Row],[Trade Income]]-Table13456789[[#This Row],[Other Expenditure]]-Table13456789[[#This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Table13456789[[#This Row],[Normal Grain Harvest]]*0.6</f>
        <v>4296645</v>
      </c>
      <c r="H7">
        <v>7161075</v>
      </c>
      <c r="I7" s="1">
        <f>Table13456789[[#This Row],[Normal Grain Harvest]]*1.3</f>
        <v>9309397.5</v>
      </c>
      <c r="J7" s="1">
        <f>(Table13456789[[#This Row],[Population]]*365)/1000</f>
        <v>182500</v>
      </c>
      <c r="K7" s="1">
        <f>Table13456789[[#This Row],[Normal Grain Harvest]]-Table13456789[[#This Row],[Required Grain]]</f>
        <v>6978575</v>
      </c>
      <c r="L7" s="3">
        <f>(Table13456789[[#This Row],[Suplus Grain]]/2)/2000</f>
        <v>1744.64375</v>
      </c>
      <c r="M7" t="s">
        <v>93</v>
      </c>
      <c r="P7" s="4">
        <f>(Table13456789[[#This Row],[Tax Income in Talents]]+Table13456789[[#This Row],[Trade Income]]-Table13456789[[#This Row],[Other Expenditure]]-Table13456789[[#This Row],[Garrisoned Soldier Cost]])</f>
        <v>244.64374999999995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Table13456789[[#This Row],[Normal Grain Harvest]]*0.6</f>
        <v>4296645</v>
      </c>
      <c r="H8">
        <v>7161075</v>
      </c>
      <c r="I8" s="1">
        <f>Table13456789[[#This Row],[Normal Grain Harvest]]*1.3</f>
        <v>9309397.5</v>
      </c>
      <c r="J8" s="1">
        <f>(Table13456789[[#This Row],[Population]]*365)/1000</f>
        <v>182500</v>
      </c>
      <c r="K8" s="1">
        <f>Table13456789[[#This Row],[Normal Grain Harvest]]-Table13456789[[#This Row],[Required Grain]]</f>
        <v>6978575</v>
      </c>
      <c r="L8" s="3">
        <f>(Table13456789[[#This Row],[Suplus Grain]]/2)/2000</f>
        <v>1744.64375</v>
      </c>
      <c r="M8" t="s">
        <v>90</v>
      </c>
      <c r="P8" s="4">
        <f>(Table13456789[[#This Row],[Tax Income in Talents]]+Table13456789[[#This Row],[Trade Income]]-Table13456789[[#This Row],[Other Expenditure]]-Table13456789[[#This Row],[Garrisoned Soldier Cost]])</f>
        <v>244.64374999999995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Table13456789[[#This Row],[Normal Grain Harvest]]*0.6</f>
        <v>4296645</v>
      </c>
      <c r="H9">
        <v>7161075</v>
      </c>
      <c r="I9" s="1">
        <f>Table13456789[[#This Row],[Normal Grain Harvest]]*1.3</f>
        <v>9309397.5</v>
      </c>
      <c r="J9" s="1">
        <f>(Table13456789[[#This Row],[Population]]*365)/1000</f>
        <v>182500</v>
      </c>
      <c r="K9" s="1">
        <f>Table13456789[[#This Row],[Normal Grain Harvest]]-Table13456789[[#This Row],[Required Grain]]</f>
        <v>6978575</v>
      </c>
      <c r="L9" s="3">
        <f>(Table13456789[[#This Row],[Suplus Grain]]/2)/2000</f>
        <v>1744.64375</v>
      </c>
      <c r="M9" t="s">
        <v>89</v>
      </c>
      <c r="P9" s="4">
        <f>(Table13456789[[#This Row],[Tax Income in Talents]]+Table13456789[[#This Row],[Trade Income]]-Table13456789[[#This Row],[Other Expenditure]]-Table13456789[[#This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Table13456789[[#This Row],[Normal Grain Harvest]]*0.6</f>
        <v>4296645</v>
      </c>
      <c r="H10">
        <v>7161075</v>
      </c>
      <c r="I10" s="1">
        <f>Table13456789[[#This Row],[Normal Grain Harvest]]*1.3</f>
        <v>9309397.5</v>
      </c>
      <c r="J10" s="1">
        <f>(Table13456789[[#This Row],[Population]]*365)/1000</f>
        <v>182500</v>
      </c>
      <c r="K10" s="1">
        <f>Table13456789[[#This Row],[Normal Grain Harvest]]-Table13456789[[#This Row],[Required Grain]]</f>
        <v>6978575</v>
      </c>
      <c r="L10" s="3">
        <f>(Table13456789[[#This Row],[Suplus Grain]]/2)/2000</f>
        <v>1744.64375</v>
      </c>
      <c r="M10" t="s">
        <v>88</v>
      </c>
      <c r="P10" s="4">
        <f>(Table13456789[[#This Row],[Tax Income in Talents]]+Table13456789[[#This Row],[Trade Income]]-Table13456789[[#This Row],[Other Expenditure]]-Table13456789[[#This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Table13456789[[#This Row],[Normal Grain Harvest]]*0.6</f>
        <v>4296645</v>
      </c>
      <c r="H11">
        <v>7161075</v>
      </c>
      <c r="I11" s="1">
        <f>Table13456789[[#This Row],[Normal Grain Harvest]]*1.3</f>
        <v>9309397.5</v>
      </c>
      <c r="J11" s="1">
        <f>(Table13456789[[#This Row],[Population]]*365)/1000</f>
        <v>146000</v>
      </c>
      <c r="K11" s="1">
        <f>Table13456789[[#This Row],[Normal Grain Harvest]]-Table13456789[[#This Row],[Required Grain]]</f>
        <v>7015075</v>
      </c>
      <c r="L11" s="3">
        <f>(Table13456789[[#This Row],[Suplus Grain]]/2)/2000</f>
        <v>1753.76875</v>
      </c>
      <c r="M11" t="s">
        <v>91</v>
      </c>
      <c r="P11" s="4">
        <f>(Table13456789[[#This Row],[Tax Income in Talents]]+Table13456789[[#This Row],[Trade Income]]-Table13456789[[#This Row],[Other Expenditure]]-Table13456789[[#This Row],[Garrisoned Soldier Cost]])</f>
        <v>-246.23125000000005</v>
      </c>
    </row>
    <row r="12" spans="1:16" x14ac:dyDescent="0.25">
      <c r="A12" t="s">
        <v>25</v>
      </c>
      <c r="B12" t="s">
        <v>142</v>
      </c>
      <c r="C12" s="1">
        <v>1500</v>
      </c>
      <c r="D12">
        <v>500</v>
      </c>
      <c r="E12" s="1">
        <v>750000</v>
      </c>
      <c r="F12" s="1">
        <v>15000</v>
      </c>
      <c r="G12" s="1">
        <f>Table13456789[[#This Row],[Normal Grain Harvest]]*0.6</f>
        <v>4296645</v>
      </c>
      <c r="H12">
        <v>7161075</v>
      </c>
      <c r="I12" s="1">
        <f>Table13456789[[#This Row],[Normal Grain Harvest]]*1.3</f>
        <v>9309397.5</v>
      </c>
      <c r="J12" s="1">
        <f>(Table13456789[[#This Row],[Population]]*365)/1000</f>
        <v>273750</v>
      </c>
      <c r="K12" s="1">
        <f>Table13456789[[#This Row],[Normal Grain Harvest]]-Table13456789[[#This Row],[Required Grain]]</f>
        <v>6887325</v>
      </c>
      <c r="L12" s="3">
        <f>(Table13456789[[#This Row],[Suplus Grain]]/2)/2000</f>
        <v>1721.83125</v>
      </c>
      <c r="M12" t="s">
        <v>87</v>
      </c>
      <c r="P12" s="4">
        <f>(Table13456789[[#This Row],[Tax Income in Talents]]+Table13456789[[#This Row],[Trade Income]]-Table13456789[[#This Row],[Other Expenditure]]-Table13456789[[#This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Table13456789[[#This Row],[Normal Grain Harvest]]*0.6</f>
        <v>3103132.5</v>
      </c>
      <c r="H13">
        <v>5171887.5</v>
      </c>
      <c r="I13" s="1">
        <f>Table13456789[[#This Row],[Normal Grain Harvest]]*1.3</f>
        <v>6723453.75</v>
      </c>
      <c r="J13" s="1">
        <f>(Table13456789[[#This Row],[Population]]*365)/1000</f>
        <v>182500</v>
      </c>
      <c r="K13" s="1">
        <f>Table13456789[[#This Row],[Normal Grain Harvest]]-Table13456789[[#This Row],[Required Grain]]</f>
        <v>4989387.5</v>
      </c>
      <c r="L13" s="3">
        <f>(Table13456789[[#This Row],[Suplus Grain]]/2)/2000</f>
        <v>1247.346875</v>
      </c>
      <c r="M13" t="s">
        <v>86</v>
      </c>
      <c r="P13" s="4">
        <f>(Table13456789[[#This Row],[Tax Income in Talents]]+Table13456789[[#This Row],[Trade Income]]-Table13456789[[#This Row],[Other Expenditure]]-Table13456789[[#This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15000</v>
      </c>
      <c r="G14" s="1">
        <f>Table13456789[[#This Row],[Normal Grain Harvest]]*0.6</f>
        <v>2387025</v>
      </c>
      <c r="H14">
        <v>3978375</v>
      </c>
      <c r="I14" s="1">
        <f>Table13456789[[#This Row],[Normal Grain Harvest]]*1.3</f>
        <v>5171887.5</v>
      </c>
      <c r="J14" s="1">
        <f>(Table13456789[[#This Row],[Population]]*365)/1000</f>
        <v>182500</v>
      </c>
      <c r="K14" s="1">
        <f>Table13456789[[#This Row],[Normal Grain Harvest]]-Table13456789[[#This Row],[Required Grain]]</f>
        <v>3795875</v>
      </c>
      <c r="L14" s="3">
        <f>(Table13456789[[#This Row],[Suplus Grain]]/2)/2000</f>
        <v>948.96875</v>
      </c>
      <c r="M14" t="s">
        <v>86</v>
      </c>
      <c r="P14" s="4">
        <f>(Table13456789[[#This Row],[Tax Income in Talents]]+Table13456789[[#This Row],[Trade Income]]-Table13456789[[#This Row],[Other Expenditure]]-Table13456789[[#This Row],[Garrisoned Soldier Cost]])</f>
        <v>-551.03125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Table13456789[[#This Row],[Normal Grain Harvest]]*0.6</f>
        <v>4774050</v>
      </c>
      <c r="H15">
        <v>7956750</v>
      </c>
      <c r="I15" s="1">
        <f>Table13456789[[#This Row],[Normal Grain Harvest]]*1.3</f>
        <v>10343775</v>
      </c>
      <c r="J15" s="1">
        <f>(Table13456789[[#This Row],[Population]]*365)/1000</f>
        <v>365000</v>
      </c>
      <c r="K15" s="1">
        <f>Table13456789[[#This Row],[Normal Grain Harvest]]-Table13456789[[#This Row],[Required Grain]]</f>
        <v>7591750</v>
      </c>
      <c r="L15" s="3">
        <f>(Table13456789[[#This Row],[Suplus Grain]]/2)/2000</f>
        <v>1897.9375</v>
      </c>
      <c r="M15" t="s">
        <v>86</v>
      </c>
      <c r="P15" s="4">
        <f>(Table13456789[[#This Row],[Tax Income in Talents]]+Table13456789[[#This Row],[Trade Income]]-Table13456789[[#This Row],[Other Expenditure]]-Table13456789[[#This Row],[Garrisoned Soldier Cost]])</f>
        <v>1647.9375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Table13456789[[#This Row],[Normal Grain Harvest]]*0.6</f>
        <v>2387025</v>
      </c>
      <c r="H16">
        <v>3978375</v>
      </c>
      <c r="I16" s="1">
        <f>Table13456789[[#This Row],[Normal Grain Harvest]]*1.3</f>
        <v>5171887.5</v>
      </c>
      <c r="J16" s="1">
        <f>(Table13456789[[#This Row],[Population]]*365)/1000</f>
        <v>182500</v>
      </c>
      <c r="K16" s="1">
        <f>Table13456789[[#This Row],[Normal Grain Harvest]]-Table13456789[[#This Row],[Required Grain]]</f>
        <v>3795875</v>
      </c>
      <c r="L16" s="3">
        <f>(Table13456789[[#This Row],[Suplus Grain]]/2)/2000</f>
        <v>948.96875</v>
      </c>
      <c r="M16" t="s">
        <v>126</v>
      </c>
      <c r="P16" s="4">
        <f>(Table13456789[[#This Row],[Tax Income in Talents]]+Table13456789[[#This Row],[Trade Income]]-Table13456789[[#This Row],[Other Expenditure]]-Table13456789[[#This Row],[Garrisoned Soldier Cost]])</f>
        <v>698.96875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Table13456789[[#This Row],[Normal Grain Harvest]]*0.6</f>
        <v>19562750.401649997</v>
      </c>
      <c r="H17">
        <v>32604584.002749998</v>
      </c>
      <c r="I17" s="6">
        <f>Table13456789[[#This Row],[Normal Grain Harvest]]*1.3</f>
        <v>42385959.203575</v>
      </c>
      <c r="J17" s="1">
        <f>(Table13456789[[#This Row],[Population]]*365)/1000</f>
        <v>1277500</v>
      </c>
      <c r="K17" s="1">
        <f>Table13456789[[#This Row],[Normal Grain Harvest]]-Table13456789[[#This Row],[Required Grain]]</f>
        <v>31327084.002749998</v>
      </c>
      <c r="L17" s="3">
        <f>(Table13456789[[#This Row],[Suplus Grain]]/2)/2000</f>
        <v>7831.7710006874995</v>
      </c>
      <c r="P17" s="4">
        <f>(Table13456789[[#This Row],[Tax Income in Talents]]+Table13456789[[#This Row],[Trade Income]]-Table13456789[[#This Row],[Other Expenditure]]-Table13456789[[#This Row],[Garrisoned Soldier Cost]])</f>
        <v>3831.7710006874995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Table13456789[[#This Row],[Normal Grain Harvest]]*0.6</f>
        <v>10757526</v>
      </c>
      <c r="H18">
        <v>17929210</v>
      </c>
      <c r="I18" s="6">
        <f>Table13456789[[#This Row],[Normal Grain Harvest]]*1.3</f>
        <v>23307973</v>
      </c>
      <c r="J18" s="1">
        <f>(Table13456789[[#This Row],[Population]]*365)/1000</f>
        <v>730000</v>
      </c>
      <c r="K18" s="1">
        <f>Table13456789[[#This Row],[Normal Grain Harvest]]-Table13456789[[#This Row],[Required Grain]]</f>
        <v>17199210</v>
      </c>
      <c r="L18" s="3">
        <f>(Table13456789[[#This Row],[Suplus Grain]]/2)/2000</f>
        <v>4299.8024999999998</v>
      </c>
      <c r="M18" t="s">
        <v>85</v>
      </c>
      <c r="P18" s="4">
        <f>(Table13456789[[#This Row],[Tax Income in Talents]]+Table13456789[[#This Row],[Trade Income]]-Table13456789[[#This Row],[Other Expenditure]]-Table13456789[[#This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Table13456789[[#This Row],[Normal Grain Harvest]]*0.6</f>
        <v>9930024</v>
      </c>
      <c r="H19">
        <v>16550040</v>
      </c>
      <c r="I19" s="1">
        <f>Table13456789[[#This Row],[Normal Grain Harvest]]*1.3</f>
        <v>21515052</v>
      </c>
      <c r="J19" s="1">
        <f>(Table13456789[[#This Row],[Population]]*365)/1000</f>
        <v>474500</v>
      </c>
      <c r="K19" s="1">
        <f>Table13456789[[#This Row],[Normal Grain Harvest]]-Table13456789[[#This Row],[Required Grain]]</f>
        <v>16075540</v>
      </c>
      <c r="L19" s="3">
        <f>(Table13456789[[#This Row],[Suplus Grain]]/2)/2000</f>
        <v>4018.8850000000002</v>
      </c>
      <c r="M19" t="s">
        <v>85</v>
      </c>
      <c r="N19">
        <v>10</v>
      </c>
      <c r="P19" s="4">
        <f>(Table13456789[[#This Row],[Tax Income in Talents]]+Table13456789[[#This Row],[Trade Income]]-Table13456789[[#This Row],[Other Expenditure]]-Table13456789[[#This Row],[Garrisoned Soldier Cost]])</f>
        <v>3028.8850000000002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Table13456789[[#This Row],[Normal Grain Harvest]]*0.6</f>
        <v>6206265</v>
      </c>
      <c r="H20">
        <v>10343775</v>
      </c>
      <c r="I20" s="1">
        <f>Table13456789[[#This Row],[Normal Grain Harvest]]*1.3</f>
        <v>13446907.5</v>
      </c>
      <c r="J20" s="1">
        <f>(Table13456789[[#This Row],[Population]]*365)/1000</f>
        <v>219000</v>
      </c>
      <c r="K20" s="1">
        <f>Table13456789[[#This Row],[Normal Grain Harvest]]-Table13456789[[#This Row],[Required Grain]]</f>
        <v>10124775</v>
      </c>
      <c r="L20" s="3">
        <f>(Table13456789[[#This Row],[Suplus Grain]]/2)/2000</f>
        <v>2531.1937499999999</v>
      </c>
      <c r="M20" t="s">
        <v>56</v>
      </c>
      <c r="P20" s="4">
        <f>(Table13456789[[#This Row],[Tax Income in Talents]]+Table13456789[[#This Row],[Trade Income]]-Table13456789[[#This Row],[Other Expenditure]]-Table13456789[[#This Row],[Garrisoned Soldier Cost]])</f>
        <v>1781.1937499999999</v>
      </c>
    </row>
    <row r="21" spans="1:16" x14ac:dyDescent="0.25">
      <c r="A21" t="s">
        <v>132</v>
      </c>
      <c r="B21" t="s">
        <v>103</v>
      </c>
      <c r="C21" s="1">
        <v>1000</v>
      </c>
      <c r="D21">
        <v>500</v>
      </c>
      <c r="E21" s="1">
        <v>600000</v>
      </c>
      <c r="F21" s="1">
        <v>22500</v>
      </c>
      <c r="G21" s="1">
        <f>Table13456789[[#This Row],[Normal Grain Harvest]]*0.6</f>
        <v>4774050</v>
      </c>
      <c r="H21">
        <v>7956750</v>
      </c>
      <c r="I21" s="1">
        <f>Table13456789[[#This Row],[Normal Grain Harvest]]*1.3</f>
        <v>10343775</v>
      </c>
      <c r="J21" s="1">
        <f>(Table13456789[[#This Row],[Population]]*365)/1000</f>
        <v>219000</v>
      </c>
      <c r="K21" s="1">
        <f>Table13456789[[#This Row],[Normal Grain Harvest]]-Table13456789[[#This Row],[Required Grain]]</f>
        <v>7737750</v>
      </c>
      <c r="L21" s="3">
        <f>(Table13456789[[#This Row],[Suplus Grain]]/2)/2000</f>
        <v>1934.4375</v>
      </c>
      <c r="P21" s="4">
        <f>(Table13456789[[#This Row],[Tax Income in Talents]]+Table13456789[[#This Row],[Trade Income]]-Table13456789[[#This Row],[Other Expenditure]]-Table13456789[[#This Row],[Garrisoned Soldier Cost]])</f>
        <v>1434.4375</v>
      </c>
    </row>
    <row r="22" spans="1:16" x14ac:dyDescent="0.25">
      <c r="A22" t="s">
        <v>114</v>
      </c>
      <c r="C22" s="1"/>
      <c r="D22">
        <v>0</v>
      </c>
      <c r="E22">
        <v>1350000</v>
      </c>
      <c r="F22">
        <v>27000</v>
      </c>
      <c r="G22" s="1">
        <f>Table13456789[[#This Row],[Normal Grain Harvest]]*0.6</f>
        <v>6454515.5999999996</v>
      </c>
      <c r="H22">
        <v>10757526</v>
      </c>
      <c r="I22" s="1">
        <f>Table13456789[[#This Row],[Normal Grain Harvest]]*1.3</f>
        <v>13984783.800000001</v>
      </c>
      <c r="J22" s="1">
        <f>(Table13456789[[#This Row],[Population]]*365)/1000</f>
        <v>492750</v>
      </c>
      <c r="K22" s="1">
        <f>Table13456789[[#This Row],[Normal Grain Harvest]]-Table13456789[[#This Row],[Required Grain]]</f>
        <v>10264776</v>
      </c>
      <c r="L22" s="3">
        <f>(Table13456789[[#This Row],[Suplus Grain]]/2)/2000</f>
        <v>2566.194</v>
      </c>
      <c r="M22" t="s">
        <v>57</v>
      </c>
      <c r="P22" s="4">
        <f>(Table13456789[[#This Row],[Tax Income in Talents]]+Table13456789[[#This Row],[Trade Income]]-Table13456789[[#This Row],[Other Expenditure]]-Table13456789[[#This Row],[Garrisoned Soldier Cost]])</f>
        <v>2566.194</v>
      </c>
    </row>
    <row r="23" spans="1:16" x14ac:dyDescent="0.25">
      <c r="A23" t="s">
        <v>127</v>
      </c>
      <c r="B23" t="s">
        <v>30</v>
      </c>
      <c r="C23" s="1">
        <v>1000</v>
      </c>
      <c r="D23">
        <v>500</v>
      </c>
      <c r="E23">
        <f>2250000*0.4</f>
        <v>900000</v>
      </c>
      <c r="F23" s="1">
        <v>18000</v>
      </c>
      <c r="G23" s="1">
        <f>Table13456789[[#This Row],[Normal Grain Harvest]]*0.6</f>
        <v>4303010.3999999994</v>
      </c>
      <c r="H23">
        <v>7171684</v>
      </c>
      <c r="I23" s="1">
        <f>Table13456789[[#This Row],[Normal Grain Harvest]]*1.3</f>
        <v>9323189.2000000011</v>
      </c>
      <c r="J23" s="1">
        <f>(Table13456789[[#This Row],[Population]]*365)/1000</f>
        <v>328500</v>
      </c>
      <c r="K23" s="1">
        <f>Table13456789[[#This Row],[Normal Grain Harvest]]-Table13456789[[#This Row],[Required Grain]]</f>
        <v>6843184</v>
      </c>
      <c r="L23" s="3">
        <f>(Table13456789[[#This Row],[Suplus Grain]]/2)/2000</f>
        <v>1710.796</v>
      </c>
      <c r="P23" s="4">
        <f>(Table13456789[[#This Row],[Tax Income in Talents]]+Table13456789[[#This Row],[Trade Income]]-Table13456789[[#This Row],[Other Expenditure]]-Table13456789[[#This Row],[Garrisoned Soldier Cost]])</f>
        <v>1210.796</v>
      </c>
    </row>
    <row r="24" spans="1:16" x14ac:dyDescent="0.25">
      <c r="A24" t="s">
        <v>129</v>
      </c>
      <c r="B24" t="s">
        <v>30</v>
      </c>
      <c r="C24" s="1">
        <v>1000</v>
      </c>
      <c r="D24">
        <v>500</v>
      </c>
      <c r="E24">
        <v>375000</v>
      </c>
      <c r="F24" s="1">
        <v>3500</v>
      </c>
      <c r="G24" s="1">
        <f>Table13456789[[#This Row],[Normal Grain Harvest]]*0.6</f>
        <v>2689381.5</v>
      </c>
      <c r="H24">
        <v>4482302.5</v>
      </c>
      <c r="I24" s="1">
        <f>Table13456789[[#This Row],[Normal Grain Harvest]]*1.3</f>
        <v>5826993.25</v>
      </c>
      <c r="J24" s="1">
        <f>(Table13456789[[#This Row],[Population]]*365)/1000</f>
        <v>136875</v>
      </c>
      <c r="K24" s="1">
        <f>Table13456789[[#This Row],[Normal Grain Harvest]]-Table13456789[[#This Row],[Required Grain]]</f>
        <v>4345427.5</v>
      </c>
      <c r="L24" s="3">
        <f>(Table13456789[[#This Row],[Suplus Grain]]/2)/2000</f>
        <v>1086.3568749999999</v>
      </c>
      <c r="P24" s="4">
        <f>(Table13456789[[#This Row],[Tax Income in Talents]]+Table13456789[[#This Row],[Trade Income]]-Table13456789[[#This Row],[Other Expenditure]]-Table13456789[[#This Row],[Garrisoned Soldier Cost]])</f>
        <v>586.35687499999995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Table13456789[[#This Row],[Normal Grain Harvest]]*0.6</f>
        <v>2689381.5</v>
      </c>
      <c r="H25" s="8">
        <v>4482302.5</v>
      </c>
      <c r="I25" s="1">
        <f>Table13456789[[#This Row],[Normal Grain Harvest]]*1.3</f>
        <v>5826993.25</v>
      </c>
      <c r="J25" s="1">
        <f>(Table13456789[[#This Row],[Population]]*365)/1000</f>
        <v>136875</v>
      </c>
      <c r="K25" s="1">
        <f>Table13456789[[#This Row],[Normal Grain Harvest]]-Table13456789[[#This Row],[Required Grain]]</f>
        <v>4345427.5</v>
      </c>
      <c r="L25" s="3">
        <f>(Table13456789[[#This Row],[Suplus Grain]]/2)/2000</f>
        <v>1086.3568749999999</v>
      </c>
      <c r="M25" t="s">
        <v>88</v>
      </c>
      <c r="P25" s="4">
        <f>(Table13456789[[#This Row],[Tax Income in Talents]]+Table13456789[[#This Row],[Trade Income]]-Table13456789[[#This Row],[Other Expenditure]]-Table13456789[[#This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1000</v>
      </c>
      <c r="D26">
        <v>500</v>
      </c>
      <c r="E26" s="1">
        <v>200000</v>
      </c>
      <c r="F26">
        <v>7000</v>
      </c>
      <c r="G26" s="1">
        <f>Table13456789[[#This Row],[Normal Grain Harvest]]*0.6</f>
        <v>2068755</v>
      </c>
      <c r="H26">
        <v>3447925</v>
      </c>
      <c r="I26" s="1">
        <f>Table13456789[[#This Row],[Normal Grain Harvest]]*1.3</f>
        <v>4482302.5</v>
      </c>
      <c r="J26" s="1">
        <f>(Table13456789[[#This Row],[Population]]*365)/1000</f>
        <v>73000</v>
      </c>
      <c r="K26" s="1">
        <f>Table13456789[[#This Row],[Normal Grain Harvest]]-Table13456789[[#This Row],[Required Grain]]</f>
        <v>3374925</v>
      </c>
      <c r="L26" s="3">
        <f>(Table13456789[[#This Row],[Suplus Grain]]/2)/2000</f>
        <v>843.73125000000005</v>
      </c>
      <c r="P26" s="4">
        <f>(Table13456789[[#This Row],[Tax Income in Talents]]+Table13456789[[#This Row],[Trade Income]]-Table13456789[[#This Row],[Other Expenditure]]-Table13456789[[#This Row],[Garrisoned Soldier Cost]])</f>
        <v>343.73125000000005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Table13456789[[#This Row],[Normal Grain Harvest]]*0.6</f>
        <v>1241253</v>
      </c>
      <c r="H27">
        <v>2068755</v>
      </c>
      <c r="I27" s="1">
        <f>Table13456789[[#This Row],[Normal Grain Harvest]]*1.3</f>
        <v>2689381.5</v>
      </c>
      <c r="J27" s="1">
        <f>(Table13456789[[#This Row],[Population]]*365)/1000</f>
        <v>73000</v>
      </c>
      <c r="K27" s="1">
        <f>Table13456789[[#This Row],[Normal Grain Harvest]]-Table13456789[[#This Row],[Required Grain]]</f>
        <v>1995755</v>
      </c>
      <c r="L27" s="3">
        <f>(Table13456789[[#This Row],[Suplus Grain]]/2)/2000</f>
        <v>498.93875000000003</v>
      </c>
      <c r="P27" s="4">
        <f>(Table13456789[[#This Row],[Tax Income in Talents]]+Table13456789[[#This Row],[Trade Income]]-Table13456789[[#This Row],[Other Expenditure]]-Table13456789[[#This Row],[Garrisoned Soldier Cost]])</f>
        <v>248.93875000000003</v>
      </c>
    </row>
    <row r="28" spans="1:16" x14ac:dyDescent="0.25">
      <c r="A28" t="s">
        <v>69</v>
      </c>
      <c r="B28" t="s">
        <v>30</v>
      </c>
      <c r="C28" s="1">
        <v>4000</v>
      </c>
      <c r="D28">
        <v>2000</v>
      </c>
      <c r="E28" s="1">
        <v>800000</v>
      </c>
      <c r="F28" s="1">
        <v>16000</v>
      </c>
      <c r="G28" s="1">
        <f>Table13456789[[#This Row],[Normal Grain Harvest]]*0.6</f>
        <v>4965012</v>
      </c>
      <c r="H28">
        <v>8275020</v>
      </c>
      <c r="I28" s="6">
        <f>Table13456789[[#This Row],[Normal Grain Harvest]]*1.3</f>
        <v>10757526</v>
      </c>
      <c r="J28" s="1">
        <f>(Table13456789[[#This Row],[Population]]*365)/1000</f>
        <v>292000</v>
      </c>
      <c r="K28" s="1">
        <f>Table13456789[[#This Row],[Normal Grain Harvest]]-Table13456789[[#This Row],[Required Grain]]</f>
        <v>7983020</v>
      </c>
      <c r="L28" s="3">
        <f>(Table13456789[[#This Row],[Suplus Grain]]/2)/2000</f>
        <v>1995.7550000000001</v>
      </c>
      <c r="M28" t="s">
        <v>92</v>
      </c>
      <c r="P28" s="4">
        <f>(Table13456789[[#This Row],[Tax Income in Talents]]+Table13456789[[#This Row],[Trade Income]]-Table13456789[[#This Row],[Other Expenditure]]-Table13456789[[#This Row],[Garrisoned Soldier Cost]])</f>
        <v>-4.2449999999998909</v>
      </c>
    </row>
    <row r="29" spans="1:16" x14ac:dyDescent="0.25">
      <c r="A29" t="s">
        <v>131</v>
      </c>
      <c r="E29">
        <v>7000</v>
      </c>
      <c r="F29">
        <v>500</v>
      </c>
      <c r="G29" s="1">
        <f>Table13456789[[#This Row],[Normal Grain Harvest]]*0.6</f>
        <v>8275.02</v>
      </c>
      <c r="H29">
        <v>13791.7</v>
      </c>
      <c r="I29" s="1">
        <f>Table13456789[[#This Row],[Normal Grain Harvest]]*1.3</f>
        <v>17929.210000000003</v>
      </c>
      <c r="J29" s="1">
        <f>(Table13456789[[#This Row],[Population]]*365)/1000</f>
        <v>2555</v>
      </c>
      <c r="K29" s="1">
        <f>Table13456789[[#This Row],[Normal Grain Harvest]]-Table13456789[[#This Row],[Required Grain]]</f>
        <v>11236.7</v>
      </c>
      <c r="L29" s="3">
        <f>(Table13456789[[#This Row],[Suplus Grain]]/2)/2000</f>
        <v>2.8091750000000002</v>
      </c>
      <c r="N29">
        <v>2</v>
      </c>
      <c r="P29" s="4">
        <f>(Table13456789[[#This Row],[Tax Income in Talents]]+Table13456789[[#This Row],[Trade Income]]-Table13456789[[#This Row],[Other Expenditure]]-Table13456789[[#This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9" sqref="C9"/>
    </sheetView>
  </sheetViews>
  <sheetFormatPr defaultRowHeight="15" x14ac:dyDescent="0.25"/>
  <cols>
    <col min="1" max="1" width="13.5703125" customWidth="1"/>
  </cols>
  <sheetData>
    <row r="1" spans="1:4" x14ac:dyDescent="0.25">
      <c r="A1" t="s">
        <v>112</v>
      </c>
    </row>
    <row r="2" spans="1:4" x14ac:dyDescent="0.25">
      <c r="A2" t="s">
        <v>113</v>
      </c>
      <c r="B2" t="s">
        <v>114</v>
      </c>
      <c r="C2">
        <v>200</v>
      </c>
    </row>
    <row r="3" spans="1:4" x14ac:dyDescent="0.25">
      <c r="A3" t="s">
        <v>113</v>
      </c>
      <c r="B3" t="s">
        <v>49</v>
      </c>
      <c r="C3">
        <v>200</v>
      </c>
    </row>
    <row r="4" spans="1:4" x14ac:dyDescent="0.25">
      <c r="A4" t="s">
        <v>113</v>
      </c>
      <c r="B4" t="s">
        <v>51</v>
      </c>
      <c r="C4">
        <v>200</v>
      </c>
    </row>
    <row r="5" spans="1:4" x14ac:dyDescent="0.25">
      <c r="A5" t="s">
        <v>113</v>
      </c>
      <c r="B5" t="s">
        <v>124</v>
      </c>
      <c r="C5">
        <v>450</v>
      </c>
    </row>
    <row r="6" spans="1:4" x14ac:dyDescent="0.25">
      <c r="A6" t="s">
        <v>115</v>
      </c>
      <c r="C6">
        <v>200</v>
      </c>
    </row>
    <row r="7" spans="1:4" x14ac:dyDescent="0.25">
      <c r="A7" t="s">
        <v>16</v>
      </c>
      <c r="B7" t="s">
        <v>48</v>
      </c>
      <c r="C7">
        <v>500</v>
      </c>
    </row>
    <row r="8" spans="1:4" x14ac:dyDescent="0.25">
      <c r="A8" t="s">
        <v>113</v>
      </c>
      <c r="B8" t="s">
        <v>117</v>
      </c>
      <c r="C8" t="s">
        <v>78</v>
      </c>
    </row>
    <row r="9" spans="1:4" x14ac:dyDescent="0.25">
      <c r="A9" t="s">
        <v>118</v>
      </c>
      <c r="C9" t="s">
        <v>82</v>
      </c>
    </row>
    <row r="10" spans="1:4" x14ac:dyDescent="0.25">
      <c r="A10" t="s">
        <v>39</v>
      </c>
      <c r="B10" t="s">
        <v>119</v>
      </c>
      <c r="C10" t="s">
        <v>116</v>
      </c>
    </row>
    <row r="11" spans="1:4" x14ac:dyDescent="0.25">
      <c r="A11" t="s">
        <v>121</v>
      </c>
      <c r="C11" t="s">
        <v>79</v>
      </c>
    </row>
    <row r="12" spans="1:4" x14ac:dyDescent="0.25">
      <c r="A12" t="s">
        <v>114</v>
      </c>
      <c r="B12" t="s">
        <v>16</v>
      </c>
      <c r="C12">
        <v>150</v>
      </c>
    </row>
    <row r="13" spans="1:4" x14ac:dyDescent="0.25">
      <c r="A13" t="s">
        <v>136</v>
      </c>
      <c r="B13" t="s">
        <v>97</v>
      </c>
      <c r="C13">
        <v>220</v>
      </c>
    </row>
    <row r="14" spans="1:4" x14ac:dyDescent="0.25">
      <c r="A14" t="s">
        <v>39</v>
      </c>
      <c r="B14" t="s">
        <v>138</v>
      </c>
      <c r="C14">
        <v>300</v>
      </c>
      <c r="D14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Year 320</vt:lpstr>
      <vt:lpstr>Year 319</vt:lpstr>
      <vt:lpstr>Year 318</vt:lpstr>
      <vt:lpstr>Year 317</vt:lpstr>
      <vt:lpstr>Year 316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2018-11-06T12:59:53Z</dcterms:modified>
</cp:coreProperties>
</file>