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V:\Uni stuff\3rd Year MotoEng\Powertrain and Sustainability\"/>
    </mc:Choice>
  </mc:AlternateContent>
  <xr:revisionPtr revIDLastSave="0" documentId="13_ncr:1_{91404619-4851-42EC-B804-9BD95B3A100E}" xr6:coauthVersionLast="36" xr6:coauthVersionMax="36" xr10:uidLastSave="{00000000-0000-0000-0000-000000000000}"/>
  <bookViews>
    <workbookView xWindow="0" yWindow="0" windowWidth="28800" windowHeight="12300" firstSheet="1" activeTab="12" xr2:uid="{00000000-000D-0000-FFFF-FFFF00000000}"/>
  </bookViews>
  <sheets>
    <sheet name="Worksheet NOx" sheetId="19" r:id="rId1"/>
    <sheet name="EGR 5%" sheetId="23" r:id="rId2"/>
    <sheet name="EGR 10%" sheetId="24" r:id="rId3"/>
    <sheet name="EGR 15%" sheetId="25" r:id="rId4"/>
    <sheet name="EGR 20%" sheetId="26" r:id="rId5"/>
    <sheet name="Enthalpy Data" sheetId="20" r:id="rId6"/>
    <sheet name="CO2" sheetId="1" r:id="rId7"/>
    <sheet name="H2O" sheetId="2" r:id="rId8"/>
    <sheet name="O2" sheetId="4" r:id="rId9"/>
    <sheet name="N2" sheetId="3" r:id="rId10"/>
    <sheet name="H2" sheetId="9" r:id="rId11"/>
    <sheet name="Fuel calculator" sheetId="21" r:id="rId12"/>
    <sheet name="Calculator Data" sheetId="22" r:id="rId13"/>
  </sheets>
  <calcPr calcId="191029" concurrentCalc="0"/>
  <extLst>
    <ext xmlns:x14="http://schemas.microsoft.com/office/spreadsheetml/2009/9/main" uri="{79F54976-1DA5-4618-B147-4CDE4B953A38}">
      <x14:workbookPr defaultImageDpi="330"/>
    </ext>
  </extLst>
</workbook>
</file>

<file path=xl/calcChain.xml><?xml version="1.0" encoding="utf-8"?>
<calcChain xmlns="http://schemas.openxmlformats.org/spreadsheetml/2006/main">
  <c r="H10" i="25" l="1"/>
  <c r="E4" i="25"/>
  <c r="T10" i="25"/>
  <c r="S10" i="25"/>
  <c r="R10" i="25"/>
  <c r="H10" i="24"/>
  <c r="E4" i="24"/>
  <c r="T10" i="24"/>
  <c r="S10" i="24"/>
  <c r="F10" i="24"/>
  <c r="R10" i="24"/>
  <c r="E4" i="23"/>
  <c r="T10" i="23"/>
  <c r="S10" i="23"/>
  <c r="R10" i="23"/>
  <c r="H10" i="19"/>
  <c r="E4" i="19"/>
  <c r="T10" i="19"/>
  <c r="S10" i="19"/>
  <c r="R10" i="19"/>
  <c r="H10" i="26"/>
  <c r="E4" i="26"/>
  <c r="T10" i="26"/>
  <c r="S10" i="26"/>
  <c r="R10" i="26"/>
  <c r="T11" i="19"/>
  <c r="T12" i="19"/>
  <c r="T13" i="19"/>
  <c r="T14" i="19"/>
  <c r="T15" i="19"/>
  <c r="T16" i="19"/>
  <c r="T17" i="19"/>
  <c r="T18" i="19"/>
  <c r="T19" i="19"/>
  <c r="T20" i="19"/>
  <c r="T21" i="19"/>
  <c r="T22" i="19"/>
  <c r="T11" i="23"/>
  <c r="T12" i="23"/>
  <c r="T13" i="23"/>
  <c r="T14" i="23"/>
  <c r="T15" i="23"/>
  <c r="T16" i="23"/>
  <c r="T17" i="23"/>
  <c r="T18" i="23"/>
  <c r="T19" i="23"/>
  <c r="T20" i="23"/>
  <c r="T21" i="23"/>
  <c r="T22" i="23"/>
  <c r="H22" i="26"/>
  <c r="T22" i="26"/>
  <c r="S22" i="26"/>
  <c r="F22" i="26"/>
  <c r="R22" i="26"/>
  <c r="H21" i="26"/>
  <c r="T21" i="26"/>
  <c r="S21" i="26"/>
  <c r="F21" i="26"/>
  <c r="R21" i="26"/>
  <c r="H20" i="26"/>
  <c r="T20" i="26"/>
  <c r="S20" i="26"/>
  <c r="F20" i="26"/>
  <c r="R20" i="26"/>
  <c r="H19" i="26"/>
  <c r="T19" i="26"/>
  <c r="S19" i="26"/>
  <c r="F19" i="26"/>
  <c r="R19" i="26"/>
  <c r="H18" i="26"/>
  <c r="T18" i="26"/>
  <c r="S18" i="26"/>
  <c r="F18" i="26"/>
  <c r="R18" i="26"/>
  <c r="H17" i="26"/>
  <c r="T17" i="26"/>
  <c r="S17" i="26"/>
  <c r="F17" i="26"/>
  <c r="R17" i="26"/>
  <c r="H16" i="26"/>
  <c r="T16" i="26"/>
  <c r="S16" i="26"/>
  <c r="F16" i="26"/>
  <c r="R16" i="26"/>
  <c r="H15" i="26"/>
  <c r="T15" i="26"/>
  <c r="S15" i="26"/>
  <c r="F15" i="26"/>
  <c r="R15" i="26"/>
  <c r="H14" i="26"/>
  <c r="T14" i="26"/>
  <c r="S14" i="26"/>
  <c r="F14" i="26"/>
  <c r="R14" i="26"/>
  <c r="H13" i="26"/>
  <c r="T13" i="26"/>
  <c r="S13" i="26"/>
  <c r="F13" i="26"/>
  <c r="R13" i="26"/>
  <c r="H12" i="26"/>
  <c r="T12" i="26"/>
  <c r="S12" i="26"/>
  <c r="F12" i="26"/>
  <c r="R12" i="26"/>
  <c r="H11" i="26"/>
  <c r="T11" i="26"/>
  <c r="S11" i="26"/>
  <c r="F11" i="26"/>
  <c r="R11" i="26"/>
  <c r="H22" i="25"/>
  <c r="T22" i="25"/>
  <c r="S22" i="25"/>
  <c r="F22" i="25"/>
  <c r="R22" i="25"/>
  <c r="H21" i="25"/>
  <c r="T21" i="25"/>
  <c r="S21" i="25"/>
  <c r="F21" i="25"/>
  <c r="R21" i="25"/>
  <c r="H20" i="25"/>
  <c r="T20" i="25"/>
  <c r="S20" i="25"/>
  <c r="F20" i="25"/>
  <c r="R20" i="25"/>
  <c r="H19" i="25"/>
  <c r="T19" i="25"/>
  <c r="S19" i="25"/>
  <c r="F19" i="25"/>
  <c r="R19" i="25"/>
  <c r="H18" i="25"/>
  <c r="T18" i="25"/>
  <c r="S18" i="25"/>
  <c r="F18" i="25"/>
  <c r="R18" i="25"/>
  <c r="H17" i="25"/>
  <c r="T17" i="25"/>
  <c r="S17" i="25"/>
  <c r="F17" i="25"/>
  <c r="R17" i="25"/>
  <c r="H16" i="25"/>
  <c r="T16" i="25"/>
  <c r="S16" i="25"/>
  <c r="F16" i="25"/>
  <c r="R16" i="25"/>
  <c r="H15" i="25"/>
  <c r="T15" i="25"/>
  <c r="S15" i="25"/>
  <c r="F15" i="25"/>
  <c r="R15" i="25"/>
  <c r="H14" i="25"/>
  <c r="T14" i="25"/>
  <c r="S14" i="25"/>
  <c r="F14" i="25"/>
  <c r="R14" i="25"/>
  <c r="H13" i="25"/>
  <c r="T13" i="25"/>
  <c r="S13" i="25"/>
  <c r="F13" i="25"/>
  <c r="R13" i="25"/>
  <c r="H12" i="25"/>
  <c r="T12" i="25"/>
  <c r="S12" i="25"/>
  <c r="F12" i="25"/>
  <c r="R12" i="25"/>
  <c r="H11" i="25"/>
  <c r="T11" i="25"/>
  <c r="S11" i="25"/>
  <c r="F11" i="25"/>
  <c r="R11" i="25"/>
  <c r="H22" i="24"/>
  <c r="T22" i="24"/>
  <c r="S22" i="24"/>
  <c r="F22" i="24"/>
  <c r="R22" i="24"/>
  <c r="H21" i="24"/>
  <c r="T21" i="24"/>
  <c r="S21" i="24"/>
  <c r="F21" i="24"/>
  <c r="R21" i="24"/>
  <c r="H20" i="24"/>
  <c r="T20" i="24"/>
  <c r="S20" i="24"/>
  <c r="F20" i="24"/>
  <c r="R20" i="24"/>
  <c r="H19" i="24"/>
  <c r="T19" i="24"/>
  <c r="S19" i="24"/>
  <c r="F19" i="24"/>
  <c r="R19" i="24"/>
  <c r="H18" i="24"/>
  <c r="T18" i="24"/>
  <c r="S18" i="24"/>
  <c r="F18" i="24"/>
  <c r="R18" i="24"/>
  <c r="H17" i="24"/>
  <c r="T17" i="24"/>
  <c r="S17" i="24"/>
  <c r="F17" i="24"/>
  <c r="R17" i="24"/>
  <c r="H16" i="24"/>
  <c r="T16" i="24"/>
  <c r="S16" i="24"/>
  <c r="F16" i="24"/>
  <c r="R16" i="24"/>
  <c r="H15" i="24"/>
  <c r="T15" i="24"/>
  <c r="S15" i="24"/>
  <c r="F15" i="24"/>
  <c r="R15" i="24"/>
  <c r="H14" i="24"/>
  <c r="T14" i="24"/>
  <c r="S14" i="24"/>
  <c r="F14" i="24"/>
  <c r="R14" i="24"/>
  <c r="H13" i="24"/>
  <c r="T13" i="24"/>
  <c r="S13" i="24"/>
  <c r="F13" i="24"/>
  <c r="R13" i="24"/>
  <c r="H12" i="24"/>
  <c r="T12" i="24"/>
  <c r="S12" i="24"/>
  <c r="F12" i="24"/>
  <c r="R12" i="24"/>
  <c r="H11" i="24"/>
  <c r="T11" i="24"/>
  <c r="S11" i="24"/>
  <c r="F11" i="24"/>
  <c r="R11" i="24"/>
  <c r="S22" i="23"/>
  <c r="F22" i="23"/>
  <c r="R22" i="23"/>
  <c r="S21" i="23"/>
  <c r="F21" i="23"/>
  <c r="R21" i="23"/>
  <c r="S20" i="23"/>
  <c r="F20" i="23"/>
  <c r="R20" i="23"/>
  <c r="S19" i="23"/>
  <c r="F19" i="23"/>
  <c r="R19" i="23"/>
  <c r="S18" i="23"/>
  <c r="F18" i="23"/>
  <c r="R18" i="23"/>
  <c r="S17" i="23"/>
  <c r="F17" i="23"/>
  <c r="R17" i="23"/>
  <c r="S16" i="23"/>
  <c r="F16" i="23"/>
  <c r="R16" i="23"/>
  <c r="S15" i="23"/>
  <c r="F15" i="23"/>
  <c r="R15" i="23"/>
  <c r="S14" i="23"/>
  <c r="F14" i="23"/>
  <c r="R14" i="23"/>
  <c r="S13" i="23"/>
  <c r="F13" i="23"/>
  <c r="R13" i="23"/>
  <c r="S12" i="23"/>
  <c r="F12" i="23"/>
  <c r="R12" i="23"/>
  <c r="S11" i="23"/>
  <c r="F11" i="23"/>
  <c r="R11" i="23"/>
  <c r="H22" i="19"/>
  <c r="S22" i="19"/>
  <c r="F22" i="19"/>
  <c r="R22" i="19"/>
  <c r="H21" i="19"/>
  <c r="S21" i="19"/>
  <c r="F21" i="19"/>
  <c r="R21" i="19"/>
  <c r="H20" i="19"/>
  <c r="S20" i="19"/>
  <c r="F20" i="19"/>
  <c r="R20" i="19"/>
  <c r="H19" i="19"/>
  <c r="S19" i="19"/>
  <c r="F19" i="19"/>
  <c r="R19" i="19"/>
  <c r="H18" i="19"/>
  <c r="S18" i="19"/>
  <c r="F18" i="19"/>
  <c r="R18" i="19"/>
  <c r="H17" i="19"/>
  <c r="S17" i="19"/>
  <c r="F17" i="19"/>
  <c r="R17" i="19"/>
  <c r="H16" i="19"/>
  <c r="S16" i="19"/>
  <c r="F16" i="19"/>
  <c r="R16" i="19"/>
  <c r="H15" i="19"/>
  <c r="S15" i="19"/>
  <c r="F15" i="19"/>
  <c r="R15" i="19"/>
  <c r="H14" i="19"/>
  <c r="S14" i="19"/>
  <c r="F14" i="19"/>
  <c r="R14" i="19"/>
  <c r="H13" i="19"/>
  <c r="S13" i="19"/>
  <c r="F13" i="19"/>
  <c r="R13" i="19"/>
  <c r="H12" i="19"/>
  <c r="S12" i="19"/>
  <c r="F12" i="19"/>
  <c r="R12" i="19"/>
  <c r="H11" i="19"/>
  <c r="S11" i="19"/>
  <c r="F11" i="19"/>
  <c r="R11" i="19"/>
  <c r="D10" i="26"/>
  <c r="B10" i="26"/>
  <c r="D10" i="25"/>
  <c r="B10" i="25"/>
  <c r="AK34" i="20"/>
  <c r="N78" i="26"/>
  <c r="AJ34" i="20"/>
  <c r="M78" i="26"/>
  <c r="AI34" i="20"/>
  <c r="L78" i="26"/>
  <c r="AH34" i="20"/>
  <c r="K78" i="26"/>
  <c r="AG34" i="20"/>
  <c r="J78" i="26"/>
  <c r="AF34" i="20"/>
  <c r="I78" i="26"/>
  <c r="AE34" i="20"/>
  <c r="H78" i="26"/>
  <c r="AD34" i="20"/>
  <c r="G78" i="26"/>
  <c r="AC34" i="20"/>
  <c r="F78" i="26"/>
  <c r="AB34" i="20"/>
  <c r="E78" i="26"/>
  <c r="AA34" i="20"/>
  <c r="D78" i="26"/>
  <c r="Z34" i="20"/>
  <c r="C78" i="26"/>
  <c r="Y34" i="20"/>
  <c r="B78" i="26"/>
  <c r="A78" i="26"/>
  <c r="AK33" i="20"/>
  <c r="N77" i="26"/>
  <c r="AJ33" i="20"/>
  <c r="M77" i="26"/>
  <c r="AI33" i="20"/>
  <c r="L77" i="26"/>
  <c r="AH33" i="20"/>
  <c r="K77" i="26"/>
  <c r="AG33" i="20"/>
  <c r="J77" i="26"/>
  <c r="AF33" i="20"/>
  <c r="I77" i="26"/>
  <c r="AE33" i="20"/>
  <c r="H77" i="26"/>
  <c r="AD33" i="20"/>
  <c r="G77" i="26"/>
  <c r="AC33" i="20"/>
  <c r="F77" i="26"/>
  <c r="AB33" i="20"/>
  <c r="E77" i="26"/>
  <c r="AA33" i="20"/>
  <c r="D77" i="26"/>
  <c r="Z33" i="20"/>
  <c r="C77" i="26"/>
  <c r="Y33" i="20"/>
  <c r="B77" i="26"/>
  <c r="A77" i="26"/>
  <c r="AK32" i="20"/>
  <c r="N76" i="26"/>
  <c r="AJ32" i="20"/>
  <c r="M76" i="26"/>
  <c r="AI32" i="20"/>
  <c r="L76" i="26"/>
  <c r="AH32" i="20"/>
  <c r="K76" i="26"/>
  <c r="AG32" i="20"/>
  <c r="J76" i="26"/>
  <c r="AF32" i="20"/>
  <c r="I76" i="26"/>
  <c r="AE32" i="20"/>
  <c r="H76" i="26"/>
  <c r="AD32" i="20"/>
  <c r="G76" i="26"/>
  <c r="AC32" i="20"/>
  <c r="F76" i="26"/>
  <c r="AB32" i="20"/>
  <c r="E76" i="26"/>
  <c r="AA32" i="20"/>
  <c r="D76" i="26"/>
  <c r="Z32" i="20"/>
  <c r="C76" i="26"/>
  <c r="Y32" i="20"/>
  <c r="B76" i="26"/>
  <c r="A76" i="26"/>
  <c r="AK31" i="20"/>
  <c r="N75" i="26"/>
  <c r="AJ31" i="20"/>
  <c r="M75" i="26"/>
  <c r="AI31" i="20"/>
  <c r="L75" i="26"/>
  <c r="AH31" i="20"/>
  <c r="K75" i="26"/>
  <c r="AG31" i="20"/>
  <c r="J75" i="26"/>
  <c r="AF31" i="20"/>
  <c r="I75" i="26"/>
  <c r="AE31" i="20"/>
  <c r="H75" i="26"/>
  <c r="AD31" i="20"/>
  <c r="G75" i="26"/>
  <c r="AC31" i="20"/>
  <c r="F75" i="26"/>
  <c r="AB31" i="20"/>
  <c r="E75" i="26"/>
  <c r="AA31" i="20"/>
  <c r="D75" i="26"/>
  <c r="Z31" i="20"/>
  <c r="C75" i="26"/>
  <c r="Y31" i="20"/>
  <c r="B75" i="26"/>
  <c r="A75" i="26"/>
  <c r="AK30" i="20"/>
  <c r="N74" i="26"/>
  <c r="AJ30" i="20"/>
  <c r="M74" i="26"/>
  <c r="AI30" i="20"/>
  <c r="L74" i="26"/>
  <c r="AH30" i="20"/>
  <c r="K74" i="26"/>
  <c r="AG30" i="20"/>
  <c r="J74" i="26"/>
  <c r="AF30" i="20"/>
  <c r="I74" i="26"/>
  <c r="AE30" i="20"/>
  <c r="H74" i="26"/>
  <c r="AD30" i="20"/>
  <c r="G74" i="26"/>
  <c r="AC30" i="20"/>
  <c r="F74" i="26"/>
  <c r="AB30" i="20"/>
  <c r="E74" i="26"/>
  <c r="AA30" i="20"/>
  <c r="D74" i="26"/>
  <c r="Z30" i="20"/>
  <c r="C74" i="26"/>
  <c r="Y30" i="20"/>
  <c r="B74" i="26"/>
  <c r="A74" i="26"/>
  <c r="AK29" i="20"/>
  <c r="N73" i="26"/>
  <c r="AJ29" i="20"/>
  <c r="M73" i="26"/>
  <c r="AI29" i="20"/>
  <c r="L73" i="26"/>
  <c r="AH29" i="20"/>
  <c r="K73" i="26"/>
  <c r="AG29" i="20"/>
  <c r="J73" i="26"/>
  <c r="AF29" i="20"/>
  <c r="I73" i="26"/>
  <c r="AE29" i="20"/>
  <c r="H73" i="26"/>
  <c r="AD29" i="20"/>
  <c r="G73" i="26"/>
  <c r="AC29" i="20"/>
  <c r="F73" i="26"/>
  <c r="AB29" i="20"/>
  <c r="E73" i="26"/>
  <c r="AA29" i="20"/>
  <c r="D73" i="26"/>
  <c r="Z29" i="20"/>
  <c r="C73" i="26"/>
  <c r="Y29" i="20"/>
  <c r="B73" i="26"/>
  <c r="A73" i="26"/>
  <c r="AK28" i="20"/>
  <c r="N72" i="26"/>
  <c r="AJ28" i="20"/>
  <c r="M72" i="26"/>
  <c r="AI28" i="20"/>
  <c r="L72" i="26"/>
  <c r="AH28" i="20"/>
  <c r="K72" i="26"/>
  <c r="AG28" i="20"/>
  <c r="J72" i="26"/>
  <c r="AF28" i="20"/>
  <c r="I72" i="26"/>
  <c r="AE28" i="20"/>
  <c r="H72" i="26"/>
  <c r="AD28" i="20"/>
  <c r="G72" i="26"/>
  <c r="AC28" i="20"/>
  <c r="F72" i="26"/>
  <c r="AB28" i="20"/>
  <c r="E72" i="26"/>
  <c r="AA28" i="20"/>
  <c r="D72" i="26"/>
  <c r="Z28" i="20"/>
  <c r="C72" i="26"/>
  <c r="Y28" i="20"/>
  <c r="B72" i="26"/>
  <c r="A72" i="26"/>
  <c r="AK27" i="20"/>
  <c r="N71" i="26"/>
  <c r="AJ27" i="20"/>
  <c r="M71" i="26"/>
  <c r="AI27" i="20"/>
  <c r="L71" i="26"/>
  <c r="AH27" i="20"/>
  <c r="K71" i="26"/>
  <c r="AG27" i="20"/>
  <c r="J71" i="26"/>
  <c r="AF27" i="20"/>
  <c r="I71" i="26"/>
  <c r="AE27" i="20"/>
  <c r="H71" i="26"/>
  <c r="AD27" i="20"/>
  <c r="G71" i="26"/>
  <c r="AC27" i="20"/>
  <c r="F71" i="26"/>
  <c r="AB27" i="20"/>
  <c r="E71" i="26"/>
  <c r="AA27" i="20"/>
  <c r="D71" i="26"/>
  <c r="Z27" i="20"/>
  <c r="C71" i="26"/>
  <c r="Y27" i="20"/>
  <c r="B71" i="26"/>
  <c r="A71" i="26"/>
  <c r="AK26" i="20"/>
  <c r="N70" i="26"/>
  <c r="AJ26" i="20"/>
  <c r="M70" i="26"/>
  <c r="AI26" i="20"/>
  <c r="L70" i="26"/>
  <c r="AH26" i="20"/>
  <c r="K70" i="26"/>
  <c r="AG26" i="20"/>
  <c r="J70" i="26"/>
  <c r="AF26" i="20"/>
  <c r="I70" i="26"/>
  <c r="AE26" i="20"/>
  <c r="H70" i="26"/>
  <c r="AD26" i="20"/>
  <c r="G70" i="26"/>
  <c r="AC26" i="20"/>
  <c r="F70" i="26"/>
  <c r="AB26" i="20"/>
  <c r="E70" i="26"/>
  <c r="AA26" i="20"/>
  <c r="D70" i="26"/>
  <c r="Z26" i="20"/>
  <c r="C70" i="26"/>
  <c r="Y26" i="20"/>
  <c r="B70" i="26"/>
  <c r="A70" i="26"/>
  <c r="AK25" i="20"/>
  <c r="N69" i="26"/>
  <c r="AJ25" i="20"/>
  <c r="M69" i="26"/>
  <c r="AI25" i="20"/>
  <c r="L69" i="26"/>
  <c r="AH25" i="20"/>
  <c r="K69" i="26"/>
  <c r="AG25" i="20"/>
  <c r="J69" i="26"/>
  <c r="AF25" i="20"/>
  <c r="I69" i="26"/>
  <c r="AE25" i="20"/>
  <c r="H69" i="26"/>
  <c r="AD25" i="20"/>
  <c r="G69" i="26"/>
  <c r="AC25" i="20"/>
  <c r="F69" i="26"/>
  <c r="AB25" i="20"/>
  <c r="E69" i="26"/>
  <c r="AA25" i="20"/>
  <c r="D69" i="26"/>
  <c r="Z25" i="20"/>
  <c r="C69" i="26"/>
  <c r="Y25" i="20"/>
  <c r="B69" i="26"/>
  <c r="A69" i="26"/>
  <c r="AK24" i="20"/>
  <c r="N68" i="26"/>
  <c r="AJ24" i="20"/>
  <c r="M68" i="26"/>
  <c r="AI24" i="20"/>
  <c r="L68" i="26"/>
  <c r="AH24" i="20"/>
  <c r="K68" i="26"/>
  <c r="AG24" i="20"/>
  <c r="J68" i="26"/>
  <c r="AF24" i="20"/>
  <c r="I68" i="26"/>
  <c r="AE24" i="20"/>
  <c r="H68" i="26"/>
  <c r="AD24" i="20"/>
  <c r="G68" i="26"/>
  <c r="AC24" i="20"/>
  <c r="F68" i="26"/>
  <c r="AB24" i="20"/>
  <c r="E68" i="26"/>
  <c r="AA24" i="20"/>
  <c r="D68" i="26"/>
  <c r="Z24" i="20"/>
  <c r="C68" i="26"/>
  <c r="Y24" i="20"/>
  <c r="B68" i="26"/>
  <c r="A68" i="26"/>
  <c r="AK23" i="20"/>
  <c r="N67" i="26"/>
  <c r="AJ23" i="20"/>
  <c r="M67" i="26"/>
  <c r="AI23" i="20"/>
  <c r="L67" i="26"/>
  <c r="AH23" i="20"/>
  <c r="K67" i="26"/>
  <c r="AG23" i="20"/>
  <c r="J67" i="26"/>
  <c r="AF23" i="20"/>
  <c r="I67" i="26"/>
  <c r="AE23" i="20"/>
  <c r="H67" i="26"/>
  <c r="AD23" i="20"/>
  <c r="G67" i="26"/>
  <c r="AC23" i="20"/>
  <c r="F67" i="26"/>
  <c r="AB23" i="20"/>
  <c r="E67" i="26"/>
  <c r="AA23" i="20"/>
  <c r="D67" i="26"/>
  <c r="Z23" i="20"/>
  <c r="C67" i="26"/>
  <c r="Y23" i="20"/>
  <c r="B67" i="26"/>
  <c r="A67" i="26"/>
  <c r="AK22" i="20"/>
  <c r="N66" i="26"/>
  <c r="AJ22" i="20"/>
  <c r="M66" i="26"/>
  <c r="AI22" i="20"/>
  <c r="L66" i="26"/>
  <c r="AH22" i="20"/>
  <c r="K66" i="26"/>
  <c r="AG22" i="20"/>
  <c r="J66" i="26"/>
  <c r="AF22" i="20"/>
  <c r="I66" i="26"/>
  <c r="AE22" i="20"/>
  <c r="H66" i="26"/>
  <c r="AD22" i="20"/>
  <c r="G66" i="26"/>
  <c r="AC22" i="20"/>
  <c r="F66" i="26"/>
  <c r="AB22" i="20"/>
  <c r="E66" i="26"/>
  <c r="AA22" i="20"/>
  <c r="D66" i="26"/>
  <c r="Z22" i="20"/>
  <c r="C66" i="26"/>
  <c r="Y22" i="20"/>
  <c r="B66" i="26"/>
  <c r="A66" i="26"/>
  <c r="AK21" i="20"/>
  <c r="N65" i="26"/>
  <c r="AJ21" i="20"/>
  <c r="M65" i="26"/>
  <c r="AI21" i="20"/>
  <c r="L65" i="26"/>
  <c r="AH21" i="20"/>
  <c r="K65" i="26"/>
  <c r="AG21" i="20"/>
  <c r="J65" i="26"/>
  <c r="AF21" i="20"/>
  <c r="I65" i="26"/>
  <c r="AE21" i="20"/>
  <c r="H65" i="26"/>
  <c r="AD21" i="20"/>
  <c r="G65" i="26"/>
  <c r="AC21" i="20"/>
  <c r="F65" i="26"/>
  <c r="AB21" i="20"/>
  <c r="E65" i="26"/>
  <c r="AA21" i="20"/>
  <c r="D65" i="26"/>
  <c r="Z21" i="20"/>
  <c r="C65" i="26"/>
  <c r="Y21" i="20"/>
  <c r="B65" i="26"/>
  <c r="A65" i="26"/>
  <c r="AK20" i="20"/>
  <c r="N64" i="26"/>
  <c r="AJ20" i="20"/>
  <c r="M64" i="26"/>
  <c r="AI20" i="20"/>
  <c r="L64" i="26"/>
  <c r="AH20" i="20"/>
  <c r="K64" i="26"/>
  <c r="AG20" i="20"/>
  <c r="J64" i="26"/>
  <c r="AF20" i="20"/>
  <c r="I64" i="26"/>
  <c r="AE20" i="20"/>
  <c r="H64" i="26"/>
  <c r="AD20" i="20"/>
  <c r="G64" i="26"/>
  <c r="AC20" i="20"/>
  <c r="F64" i="26"/>
  <c r="AB20" i="20"/>
  <c r="E64" i="26"/>
  <c r="AA20" i="20"/>
  <c r="D64" i="26"/>
  <c r="Z20" i="20"/>
  <c r="C64" i="26"/>
  <c r="Y20" i="20"/>
  <c r="B64" i="26"/>
  <c r="A64" i="26"/>
  <c r="AK56" i="20"/>
  <c r="AC63" i="26"/>
  <c r="AJ56" i="20"/>
  <c r="AB63" i="26"/>
  <c r="AI56" i="20"/>
  <c r="AA63" i="26"/>
  <c r="AH56" i="20"/>
  <c r="Z63" i="26"/>
  <c r="AG56" i="20"/>
  <c r="Y63" i="26"/>
  <c r="AF56" i="20"/>
  <c r="X63" i="26"/>
  <c r="AE56" i="20"/>
  <c r="W63" i="26"/>
  <c r="AD56" i="20"/>
  <c r="V63" i="26"/>
  <c r="AC56" i="20"/>
  <c r="U63" i="26"/>
  <c r="AB56" i="20"/>
  <c r="T63" i="26"/>
  <c r="AA56" i="20"/>
  <c r="S63" i="26"/>
  <c r="Z56" i="20"/>
  <c r="R63" i="26"/>
  <c r="Y56" i="20"/>
  <c r="Q63" i="26"/>
  <c r="P63" i="26"/>
  <c r="AK19" i="20"/>
  <c r="N63" i="26"/>
  <c r="AJ19" i="20"/>
  <c r="M63" i="26"/>
  <c r="AI19" i="20"/>
  <c r="L63" i="26"/>
  <c r="AH19" i="20"/>
  <c r="K63" i="26"/>
  <c r="AG19" i="20"/>
  <c r="J63" i="26"/>
  <c r="AF19" i="20"/>
  <c r="I63" i="26"/>
  <c r="AE19" i="20"/>
  <c r="H63" i="26"/>
  <c r="AD19" i="20"/>
  <c r="G63" i="26"/>
  <c r="AC19" i="20"/>
  <c r="F63" i="26"/>
  <c r="AB19" i="20"/>
  <c r="E63" i="26"/>
  <c r="AA19" i="20"/>
  <c r="D63" i="26"/>
  <c r="Z19" i="20"/>
  <c r="C63" i="26"/>
  <c r="Y19" i="20"/>
  <c r="B63" i="26"/>
  <c r="A63" i="26"/>
  <c r="AK55" i="20"/>
  <c r="AC62" i="26"/>
  <c r="AJ55" i="20"/>
  <c r="AB62" i="26"/>
  <c r="AI55" i="20"/>
  <c r="AA62" i="26"/>
  <c r="AH55" i="20"/>
  <c r="Z62" i="26"/>
  <c r="AG55" i="20"/>
  <c r="Y62" i="26"/>
  <c r="AF55" i="20"/>
  <c r="X62" i="26"/>
  <c r="AE55" i="20"/>
  <c r="W62" i="26"/>
  <c r="AD55" i="20"/>
  <c r="V62" i="26"/>
  <c r="AC55" i="20"/>
  <c r="U62" i="26"/>
  <c r="AB55" i="20"/>
  <c r="T62" i="26"/>
  <c r="AA55" i="20"/>
  <c r="S62" i="26"/>
  <c r="Z55" i="20"/>
  <c r="R62" i="26"/>
  <c r="Y55" i="20"/>
  <c r="Q62" i="26"/>
  <c r="P62" i="26"/>
  <c r="AK18" i="20"/>
  <c r="N62" i="26"/>
  <c r="AJ18" i="20"/>
  <c r="M62" i="26"/>
  <c r="AI18" i="20"/>
  <c r="L62" i="26"/>
  <c r="AH18" i="20"/>
  <c r="K62" i="26"/>
  <c r="AG18" i="20"/>
  <c r="J62" i="26"/>
  <c r="AF18" i="20"/>
  <c r="I62" i="26"/>
  <c r="AE18" i="20"/>
  <c r="H62" i="26"/>
  <c r="AD18" i="20"/>
  <c r="G62" i="26"/>
  <c r="AC18" i="20"/>
  <c r="F62" i="26"/>
  <c r="AB18" i="20"/>
  <c r="E62" i="26"/>
  <c r="AA18" i="20"/>
  <c r="D62" i="26"/>
  <c r="Z18" i="20"/>
  <c r="C62" i="26"/>
  <c r="Y18" i="20"/>
  <c r="B62" i="26"/>
  <c r="A62" i="26"/>
  <c r="AK54" i="20"/>
  <c r="AC61" i="26"/>
  <c r="AJ54" i="20"/>
  <c r="AB61" i="26"/>
  <c r="AI54" i="20"/>
  <c r="AA61" i="26"/>
  <c r="AH54" i="20"/>
  <c r="Z61" i="26"/>
  <c r="AG54" i="20"/>
  <c r="Y61" i="26"/>
  <c r="AF54" i="20"/>
  <c r="X61" i="26"/>
  <c r="AE54" i="20"/>
  <c r="W61" i="26"/>
  <c r="AD54" i="20"/>
  <c r="V61" i="26"/>
  <c r="AC54" i="20"/>
  <c r="U61" i="26"/>
  <c r="AB54" i="20"/>
  <c r="T61" i="26"/>
  <c r="AA54" i="20"/>
  <c r="S61" i="26"/>
  <c r="Z54" i="20"/>
  <c r="R61" i="26"/>
  <c r="Y54" i="20"/>
  <c r="Q61" i="26"/>
  <c r="P61" i="26"/>
  <c r="AK17" i="20"/>
  <c r="N61" i="26"/>
  <c r="AJ17" i="20"/>
  <c r="M61" i="26"/>
  <c r="AI17" i="20"/>
  <c r="L61" i="26"/>
  <c r="AH17" i="20"/>
  <c r="K61" i="26"/>
  <c r="AG17" i="20"/>
  <c r="J61" i="26"/>
  <c r="AF17" i="20"/>
  <c r="I61" i="26"/>
  <c r="AE17" i="20"/>
  <c r="H61" i="26"/>
  <c r="AD17" i="20"/>
  <c r="G61" i="26"/>
  <c r="AC17" i="20"/>
  <c r="F61" i="26"/>
  <c r="AB17" i="20"/>
  <c r="E61" i="26"/>
  <c r="AA17" i="20"/>
  <c r="D61" i="26"/>
  <c r="Z17" i="20"/>
  <c r="C61" i="26"/>
  <c r="Y17" i="20"/>
  <c r="B61" i="26"/>
  <c r="A61" i="26"/>
  <c r="AK53" i="20"/>
  <c r="AC60" i="26"/>
  <c r="AJ53" i="20"/>
  <c r="AB60" i="26"/>
  <c r="AI53" i="20"/>
  <c r="AA60" i="26"/>
  <c r="AH53" i="20"/>
  <c r="Z60" i="26"/>
  <c r="AG53" i="20"/>
  <c r="Y60" i="26"/>
  <c r="AF53" i="20"/>
  <c r="X60" i="26"/>
  <c r="AE53" i="20"/>
  <c r="W60" i="26"/>
  <c r="AD53" i="20"/>
  <c r="V60" i="26"/>
  <c r="AC53" i="20"/>
  <c r="U60" i="26"/>
  <c r="AB53" i="20"/>
  <c r="T60" i="26"/>
  <c r="AA53" i="20"/>
  <c r="S60" i="26"/>
  <c r="Z53" i="20"/>
  <c r="R60" i="26"/>
  <c r="Y53" i="20"/>
  <c r="Q60" i="26"/>
  <c r="P60" i="26"/>
  <c r="AK16" i="20"/>
  <c r="N60" i="26"/>
  <c r="AJ16" i="20"/>
  <c r="M60" i="26"/>
  <c r="AI16" i="20"/>
  <c r="L60" i="26"/>
  <c r="AH16" i="20"/>
  <c r="K60" i="26"/>
  <c r="AG16" i="20"/>
  <c r="J60" i="26"/>
  <c r="AF16" i="20"/>
  <c r="I60" i="26"/>
  <c r="AE16" i="20"/>
  <c r="H60" i="26"/>
  <c r="AD16" i="20"/>
  <c r="G60" i="26"/>
  <c r="AC16" i="20"/>
  <c r="F60" i="26"/>
  <c r="AB16" i="20"/>
  <c r="E60" i="26"/>
  <c r="AA16" i="20"/>
  <c r="D60" i="26"/>
  <c r="Z16" i="20"/>
  <c r="C60" i="26"/>
  <c r="Y16" i="20"/>
  <c r="B60" i="26"/>
  <c r="A60" i="26"/>
  <c r="AK52" i="20"/>
  <c r="AC59" i="26"/>
  <c r="AJ52" i="20"/>
  <c r="AB59" i="26"/>
  <c r="AI52" i="20"/>
  <c r="AA59" i="26"/>
  <c r="AH52" i="20"/>
  <c r="Z59" i="26"/>
  <c r="AG52" i="20"/>
  <c r="Y59" i="26"/>
  <c r="AF52" i="20"/>
  <c r="X59" i="26"/>
  <c r="AE52" i="20"/>
  <c r="W59" i="26"/>
  <c r="AD52" i="20"/>
  <c r="V59" i="26"/>
  <c r="AC52" i="20"/>
  <c r="U59" i="26"/>
  <c r="AB52" i="20"/>
  <c r="T59" i="26"/>
  <c r="AA52" i="20"/>
  <c r="S59" i="26"/>
  <c r="Z52" i="20"/>
  <c r="R59" i="26"/>
  <c r="Y52" i="20"/>
  <c r="Q59" i="26"/>
  <c r="P59" i="26"/>
  <c r="AK15" i="20"/>
  <c r="N59" i="26"/>
  <c r="AJ15" i="20"/>
  <c r="M59" i="26"/>
  <c r="AI15" i="20"/>
  <c r="L59" i="26"/>
  <c r="AH15" i="20"/>
  <c r="K59" i="26"/>
  <c r="AG15" i="20"/>
  <c r="J59" i="26"/>
  <c r="AF15" i="20"/>
  <c r="I59" i="26"/>
  <c r="AE15" i="20"/>
  <c r="H59" i="26"/>
  <c r="AD15" i="20"/>
  <c r="G59" i="26"/>
  <c r="AC15" i="20"/>
  <c r="F59" i="26"/>
  <c r="AB15" i="20"/>
  <c r="E59" i="26"/>
  <c r="AA15" i="20"/>
  <c r="D59" i="26"/>
  <c r="Z15" i="20"/>
  <c r="C59" i="26"/>
  <c r="Y15" i="20"/>
  <c r="B59" i="26"/>
  <c r="A59" i="26"/>
  <c r="AK51" i="20"/>
  <c r="AC58" i="26"/>
  <c r="AJ51" i="20"/>
  <c r="AB58" i="26"/>
  <c r="AI51" i="20"/>
  <c r="AA58" i="26"/>
  <c r="AH51" i="20"/>
  <c r="Z58" i="26"/>
  <c r="AG51" i="20"/>
  <c r="Y58" i="26"/>
  <c r="AF51" i="20"/>
  <c r="X58" i="26"/>
  <c r="AE51" i="20"/>
  <c r="W58" i="26"/>
  <c r="AD51" i="20"/>
  <c r="V58" i="26"/>
  <c r="AC51" i="20"/>
  <c r="U58" i="26"/>
  <c r="AB51" i="20"/>
  <c r="T58" i="26"/>
  <c r="AA51" i="20"/>
  <c r="S58" i="26"/>
  <c r="Z51" i="20"/>
  <c r="R58" i="26"/>
  <c r="Y51" i="20"/>
  <c r="Q58" i="26"/>
  <c r="P58" i="26"/>
  <c r="AK14" i="20"/>
  <c r="N58" i="26"/>
  <c r="AJ14" i="20"/>
  <c r="M58" i="26"/>
  <c r="AI14" i="20"/>
  <c r="L58" i="26"/>
  <c r="AH14" i="20"/>
  <c r="K58" i="26"/>
  <c r="AG14" i="20"/>
  <c r="J58" i="26"/>
  <c r="AF14" i="20"/>
  <c r="I58" i="26"/>
  <c r="AE14" i="20"/>
  <c r="H58" i="26"/>
  <c r="AD14" i="20"/>
  <c r="G58" i="26"/>
  <c r="AC14" i="20"/>
  <c r="F58" i="26"/>
  <c r="AB14" i="20"/>
  <c r="E58" i="26"/>
  <c r="AA14" i="20"/>
  <c r="D58" i="26"/>
  <c r="Z14" i="20"/>
  <c r="C58" i="26"/>
  <c r="Y14" i="20"/>
  <c r="B58" i="26"/>
  <c r="A58" i="26"/>
  <c r="AK50" i="20"/>
  <c r="AC57" i="26"/>
  <c r="AJ50" i="20"/>
  <c r="AB57" i="26"/>
  <c r="AI50" i="20"/>
  <c r="AA57" i="26"/>
  <c r="AH50" i="20"/>
  <c r="Z57" i="26"/>
  <c r="AG50" i="20"/>
  <c r="Y57" i="26"/>
  <c r="AF50" i="20"/>
  <c r="X57" i="26"/>
  <c r="AE50" i="20"/>
  <c r="W57" i="26"/>
  <c r="AD50" i="20"/>
  <c r="V57" i="26"/>
  <c r="AC50" i="20"/>
  <c r="U57" i="26"/>
  <c r="AB50" i="20"/>
  <c r="T57" i="26"/>
  <c r="AA50" i="20"/>
  <c r="S57" i="26"/>
  <c r="Z50" i="20"/>
  <c r="R57" i="26"/>
  <c r="Y50" i="20"/>
  <c r="Q57" i="26"/>
  <c r="P57" i="26"/>
  <c r="AK13" i="20"/>
  <c r="N57" i="26"/>
  <c r="AJ13" i="20"/>
  <c r="M57" i="26"/>
  <c r="AI13" i="20"/>
  <c r="L57" i="26"/>
  <c r="AH13" i="20"/>
  <c r="K57" i="26"/>
  <c r="AG13" i="20"/>
  <c r="J57" i="26"/>
  <c r="AF13" i="20"/>
  <c r="I57" i="26"/>
  <c r="AE13" i="20"/>
  <c r="H57" i="26"/>
  <c r="AD13" i="20"/>
  <c r="G57" i="26"/>
  <c r="AC13" i="20"/>
  <c r="F57" i="26"/>
  <c r="AB13" i="20"/>
  <c r="E57" i="26"/>
  <c r="AA13" i="20"/>
  <c r="D57" i="26"/>
  <c r="Z13" i="20"/>
  <c r="C57" i="26"/>
  <c r="Y13" i="20"/>
  <c r="B57" i="26"/>
  <c r="A57" i="26"/>
  <c r="AK49" i="20"/>
  <c r="AC56" i="26"/>
  <c r="AJ49" i="20"/>
  <c r="AB56" i="26"/>
  <c r="AI49" i="20"/>
  <c r="AA56" i="26"/>
  <c r="AH49" i="20"/>
  <c r="Z56" i="26"/>
  <c r="AG49" i="20"/>
  <c r="Y56" i="26"/>
  <c r="AF49" i="20"/>
  <c r="X56" i="26"/>
  <c r="AE49" i="20"/>
  <c r="W56" i="26"/>
  <c r="AD49" i="20"/>
  <c r="V56" i="26"/>
  <c r="AC49" i="20"/>
  <c r="U56" i="26"/>
  <c r="AB49" i="20"/>
  <c r="T56" i="26"/>
  <c r="AA49" i="20"/>
  <c r="S56" i="26"/>
  <c r="Z49" i="20"/>
  <c r="R56" i="26"/>
  <c r="Y49" i="20"/>
  <c r="Q56" i="26"/>
  <c r="P56" i="26"/>
  <c r="AK12" i="20"/>
  <c r="N56" i="26"/>
  <c r="AJ12" i="20"/>
  <c r="M56" i="26"/>
  <c r="AI12" i="20"/>
  <c r="L56" i="26"/>
  <c r="AH12" i="20"/>
  <c r="K56" i="26"/>
  <c r="AG12" i="20"/>
  <c r="J56" i="26"/>
  <c r="AF12" i="20"/>
  <c r="I56" i="26"/>
  <c r="AE12" i="20"/>
  <c r="H56" i="26"/>
  <c r="AD12" i="20"/>
  <c r="G56" i="26"/>
  <c r="AC12" i="20"/>
  <c r="F56" i="26"/>
  <c r="AB12" i="20"/>
  <c r="E56" i="26"/>
  <c r="AA12" i="20"/>
  <c r="D56" i="26"/>
  <c r="Z12" i="20"/>
  <c r="C56" i="26"/>
  <c r="Y12" i="20"/>
  <c r="B56" i="26"/>
  <c r="A56" i="26"/>
  <c r="AK48" i="20"/>
  <c r="AC55" i="26"/>
  <c r="AJ48" i="20"/>
  <c r="AB55" i="26"/>
  <c r="AI48" i="20"/>
  <c r="AA55" i="26"/>
  <c r="AH48" i="20"/>
  <c r="Z55" i="26"/>
  <c r="AG48" i="20"/>
  <c r="Y55" i="26"/>
  <c r="AF48" i="20"/>
  <c r="X55" i="26"/>
  <c r="AE48" i="20"/>
  <c r="W55" i="26"/>
  <c r="AD48" i="20"/>
  <c r="V55" i="26"/>
  <c r="AC48" i="20"/>
  <c r="U55" i="26"/>
  <c r="AB48" i="20"/>
  <c r="T55" i="26"/>
  <c r="AA48" i="20"/>
  <c r="S55" i="26"/>
  <c r="Z48" i="20"/>
  <c r="R55" i="26"/>
  <c r="Y48" i="20"/>
  <c r="Q55" i="26"/>
  <c r="P55" i="26"/>
  <c r="AK11" i="20"/>
  <c r="N55" i="26"/>
  <c r="AJ11" i="20"/>
  <c r="M55" i="26"/>
  <c r="AI11" i="20"/>
  <c r="L55" i="26"/>
  <c r="AH11" i="20"/>
  <c r="K55" i="26"/>
  <c r="AG11" i="20"/>
  <c r="J55" i="26"/>
  <c r="AF11" i="20"/>
  <c r="I55" i="26"/>
  <c r="AE11" i="20"/>
  <c r="H55" i="26"/>
  <c r="AD11" i="20"/>
  <c r="G55" i="26"/>
  <c r="AC11" i="20"/>
  <c r="F55" i="26"/>
  <c r="AB11" i="20"/>
  <c r="E55" i="26"/>
  <c r="AA11" i="20"/>
  <c r="D55" i="26"/>
  <c r="Z11" i="20"/>
  <c r="C55" i="26"/>
  <c r="Y11" i="20"/>
  <c r="B55" i="26"/>
  <c r="A55" i="26"/>
  <c r="AK47" i="20"/>
  <c r="AC54" i="26"/>
  <c r="AJ47" i="20"/>
  <c r="AB54" i="26"/>
  <c r="AI47" i="20"/>
  <c r="AA54" i="26"/>
  <c r="AH47" i="20"/>
  <c r="Z54" i="26"/>
  <c r="AG47" i="20"/>
  <c r="Y54" i="26"/>
  <c r="AF47" i="20"/>
  <c r="X54" i="26"/>
  <c r="AE47" i="20"/>
  <c r="W54" i="26"/>
  <c r="AD47" i="20"/>
  <c r="V54" i="26"/>
  <c r="AC47" i="20"/>
  <c r="U54" i="26"/>
  <c r="AB47" i="20"/>
  <c r="T54" i="26"/>
  <c r="AA47" i="20"/>
  <c r="S54" i="26"/>
  <c r="Z47" i="20"/>
  <c r="R54" i="26"/>
  <c r="Y47" i="20"/>
  <c r="Q54" i="26"/>
  <c r="P54" i="26"/>
  <c r="AK10" i="20"/>
  <c r="N54" i="26"/>
  <c r="AJ10" i="20"/>
  <c r="M54" i="26"/>
  <c r="AI10" i="20"/>
  <c r="L54" i="26"/>
  <c r="AH10" i="20"/>
  <c r="K54" i="26"/>
  <c r="AG10" i="20"/>
  <c r="J54" i="26"/>
  <c r="AF10" i="20"/>
  <c r="I54" i="26"/>
  <c r="AE10" i="20"/>
  <c r="H54" i="26"/>
  <c r="AD10" i="20"/>
  <c r="G54" i="26"/>
  <c r="AC10" i="20"/>
  <c r="F54" i="26"/>
  <c r="AB10" i="20"/>
  <c r="E54" i="26"/>
  <c r="AA10" i="20"/>
  <c r="D54" i="26"/>
  <c r="Z10" i="20"/>
  <c r="C54" i="26"/>
  <c r="Y10" i="20"/>
  <c r="B54" i="26"/>
  <c r="A54" i="26"/>
  <c r="AK46" i="20"/>
  <c r="AC53" i="26"/>
  <c r="AJ46" i="20"/>
  <c r="AB53" i="26"/>
  <c r="AI46" i="20"/>
  <c r="AA53" i="26"/>
  <c r="AH46" i="20"/>
  <c r="Z53" i="26"/>
  <c r="AG46" i="20"/>
  <c r="Y53" i="26"/>
  <c r="AF46" i="20"/>
  <c r="X53" i="26"/>
  <c r="AE46" i="20"/>
  <c r="W53" i="26"/>
  <c r="AD46" i="20"/>
  <c r="V53" i="26"/>
  <c r="AC46" i="20"/>
  <c r="U53" i="26"/>
  <c r="AB46" i="20"/>
  <c r="T53" i="26"/>
  <c r="AA46" i="20"/>
  <c r="S53" i="26"/>
  <c r="Z46" i="20"/>
  <c r="R53" i="26"/>
  <c r="Y46" i="20"/>
  <c r="Q53" i="26"/>
  <c r="P53" i="26"/>
  <c r="AK9" i="20"/>
  <c r="N53" i="26"/>
  <c r="AJ9" i="20"/>
  <c r="M53" i="26"/>
  <c r="AI9" i="20"/>
  <c r="L53" i="26"/>
  <c r="AH9" i="20"/>
  <c r="K53" i="26"/>
  <c r="AG9" i="20"/>
  <c r="J53" i="26"/>
  <c r="AF9" i="20"/>
  <c r="I53" i="26"/>
  <c r="AE9" i="20"/>
  <c r="H53" i="26"/>
  <c r="AD9" i="20"/>
  <c r="G53" i="26"/>
  <c r="AC9" i="20"/>
  <c r="F53" i="26"/>
  <c r="AB9" i="20"/>
  <c r="E53" i="26"/>
  <c r="AA9" i="20"/>
  <c r="D53" i="26"/>
  <c r="Z9" i="20"/>
  <c r="C53" i="26"/>
  <c r="Y9" i="20"/>
  <c r="B53" i="26"/>
  <c r="A53" i="26"/>
  <c r="AK45" i="20"/>
  <c r="AC52" i="26"/>
  <c r="AJ45" i="20"/>
  <c r="AB52" i="26"/>
  <c r="AI45" i="20"/>
  <c r="AA52" i="26"/>
  <c r="AH45" i="20"/>
  <c r="Z52" i="26"/>
  <c r="AG45" i="20"/>
  <c r="Y52" i="26"/>
  <c r="AF45" i="20"/>
  <c r="X52" i="26"/>
  <c r="AE45" i="20"/>
  <c r="W52" i="26"/>
  <c r="AD45" i="20"/>
  <c r="V52" i="26"/>
  <c r="AC45" i="20"/>
  <c r="U52" i="26"/>
  <c r="AB45" i="20"/>
  <c r="T52" i="26"/>
  <c r="AA45" i="20"/>
  <c r="S52" i="26"/>
  <c r="Z45" i="20"/>
  <c r="R52" i="26"/>
  <c r="Y45" i="20"/>
  <c r="Q52" i="26"/>
  <c r="P52" i="26"/>
  <c r="AK8" i="20"/>
  <c r="N52" i="26"/>
  <c r="AJ8" i="20"/>
  <c r="M52" i="26"/>
  <c r="AI8" i="20"/>
  <c r="L52" i="26"/>
  <c r="AH8" i="20"/>
  <c r="K52" i="26"/>
  <c r="AG8" i="20"/>
  <c r="J52" i="26"/>
  <c r="AF8" i="20"/>
  <c r="I52" i="26"/>
  <c r="AE8" i="20"/>
  <c r="H52" i="26"/>
  <c r="AD8" i="20"/>
  <c r="G52" i="26"/>
  <c r="AC8" i="20"/>
  <c r="F52" i="26"/>
  <c r="AB8" i="20"/>
  <c r="E52" i="26"/>
  <c r="AA8" i="20"/>
  <c r="D52" i="26"/>
  <c r="Z8" i="20"/>
  <c r="C52" i="26"/>
  <c r="Y8" i="20"/>
  <c r="B52" i="26"/>
  <c r="A52" i="26"/>
  <c r="AK44" i="20"/>
  <c r="AC51" i="26"/>
  <c r="AJ44" i="20"/>
  <c r="AB51" i="26"/>
  <c r="AI44" i="20"/>
  <c r="AA51" i="26"/>
  <c r="AH44" i="20"/>
  <c r="Z51" i="26"/>
  <c r="AG44" i="20"/>
  <c r="Y51" i="26"/>
  <c r="AF44" i="20"/>
  <c r="X51" i="26"/>
  <c r="AE44" i="20"/>
  <c r="W51" i="26"/>
  <c r="AD44" i="20"/>
  <c r="V51" i="26"/>
  <c r="AC44" i="20"/>
  <c r="U51" i="26"/>
  <c r="AB44" i="20"/>
  <c r="T51" i="26"/>
  <c r="AA44" i="20"/>
  <c r="S51" i="26"/>
  <c r="Z44" i="20"/>
  <c r="R51" i="26"/>
  <c r="Y44" i="20"/>
  <c r="Q51" i="26"/>
  <c r="P51" i="26"/>
  <c r="AK7" i="20"/>
  <c r="N51" i="26"/>
  <c r="AJ7" i="20"/>
  <c r="M51" i="26"/>
  <c r="AI7" i="20"/>
  <c r="L51" i="26"/>
  <c r="AH7" i="20"/>
  <c r="K51" i="26"/>
  <c r="AG7" i="20"/>
  <c r="J51" i="26"/>
  <c r="AF7" i="20"/>
  <c r="I51" i="26"/>
  <c r="AE7" i="20"/>
  <c r="H51" i="26"/>
  <c r="AD7" i="20"/>
  <c r="G51" i="26"/>
  <c r="AC7" i="20"/>
  <c r="F51" i="26"/>
  <c r="AB7" i="20"/>
  <c r="E51" i="26"/>
  <c r="AA7" i="20"/>
  <c r="D51" i="26"/>
  <c r="Z7" i="20"/>
  <c r="C51" i="26"/>
  <c r="Y7" i="20"/>
  <c r="B51" i="26"/>
  <c r="A51" i="26"/>
  <c r="AK43" i="20"/>
  <c r="AC50" i="26"/>
  <c r="AJ43" i="20"/>
  <c r="AB50" i="26"/>
  <c r="AI43" i="20"/>
  <c r="AA50" i="26"/>
  <c r="AH43" i="20"/>
  <c r="Z50" i="26"/>
  <c r="AG43" i="20"/>
  <c r="Y50" i="26"/>
  <c r="AF43" i="20"/>
  <c r="X50" i="26"/>
  <c r="AE43" i="20"/>
  <c r="W50" i="26"/>
  <c r="AD43" i="20"/>
  <c r="V50" i="26"/>
  <c r="AC43" i="20"/>
  <c r="U50" i="26"/>
  <c r="AB43" i="20"/>
  <c r="T50" i="26"/>
  <c r="AA43" i="20"/>
  <c r="S50" i="26"/>
  <c r="Z43" i="20"/>
  <c r="R50" i="26"/>
  <c r="Y43" i="20"/>
  <c r="Q50" i="26"/>
  <c r="P50" i="26"/>
  <c r="AK6" i="20"/>
  <c r="N50" i="26"/>
  <c r="AJ6" i="20"/>
  <c r="M50" i="26"/>
  <c r="AI6" i="20"/>
  <c r="L50" i="26"/>
  <c r="AH6" i="20"/>
  <c r="K50" i="26"/>
  <c r="AG6" i="20"/>
  <c r="J50" i="26"/>
  <c r="AF6" i="20"/>
  <c r="I50" i="26"/>
  <c r="AE6" i="20"/>
  <c r="H50" i="26"/>
  <c r="AD6" i="20"/>
  <c r="G50" i="26"/>
  <c r="AC6" i="20"/>
  <c r="F50" i="26"/>
  <c r="AB6" i="20"/>
  <c r="E50" i="26"/>
  <c r="AA6" i="20"/>
  <c r="D50" i="26"/>
  <c r="Z6" i="20"/>
  <c r="C50" i="26"/>
  <c r="Y6" i="20"/>
  <c r="B50" i="26"/>
  <c r="A50" i="26"/>
  <c r="AK42" i="20"/>
  <c r="AC49" i="26"/>
  <c r="AJ42" i="20"/>
  <c r="AB49" i="26"/>
  <c r="AI42" i="20"/>
  <c r="AA49" i="26"/>
  <c r="AH42" i="20"/>
  <c r="Z49" i="26"/>
  <c r="AG42" i="20"/>
  <c r="Y49" i="26"/>
  <c r="AF42" i="20"/>
  <c r="X49" i="26"/>
  <c r="AE42" i="20"/>
  <c r="W49" i="26"/>
  <c r="AD42" i="20"/>
  <c r="V49" i="26"/>
  <c r="AC42" i="20"/>
  <c r="U49" i="26"/>
  <c r="AB42" i="20"/>
  <c r="T49" i="26"/>
  <c r="AA42" i="20"/>
  <c r="S49" i="26"/>
  <c r="Z42" i="20"/>
  <c r="R49" i="26"/>
  <c r="Y42" i="20"/>
  <c r="Q49" i="26"/>
  <c r="P49" i="26"/>
  <c r="AK5" i="20"/>
  <c r="N49" i="26"/>
  <c r="AJ5" i="20"/>
  <c r="M49" i="26"/>
  <c r="AI5" i="20"/>
  <c r="L49" i="26"/>
  <c r="AH5" i="20"/>
  <c r="K49" i="26"/>
  <c r="AG5" i="20"/>
  <c r="J49" i="26"/>
  <c r="AF5" i="20"/>
  <c r="I49" i="26"/>
  <c r="AE5" i="20"/>
  <c r="H49" i="26"/>
  <c r="AD5" i="20"/>
  <c r="G49" i="26"/>
  <c r="AC5" i="20"/>
  <c r="F49" i="26"/>
  <c r="AB5" i="20"/>
  <c r="E49" i="26"/>
  <c r="AA5" i="20"/>
  <c r="D49" i="26"/>
  <c r="Z5" i="20"/>
  <c r="C49" i="26"/>
  <c r="Y5" i="20"/>
  <c r="B49" i="26"/>
  <c r="A49" i="26"/>
  <c r="AK41" i="20"/>
  <c r="AC48" i="26"/>
  <c r="AJ41" i="20"/>
  <c r="AB48" i="26"/>
  <c r="AI41" i="20"/>
  <c r="AA48" i="26"/>
  <c r="AH41" i="20"/>
  <c r="Z48" i="26"/>
  <c r="AG41" i="20"/>
  <c r="Y48" i="26"/>
  <c r="AF41" i="20"/>
  <c r="X48" i="26"/>
  <c r="AE41" i="20"/>
  <c r="W48" i="26"/>
  <c r="AD41" i="20"/>
  <c r="V48" i="26"/>
  <c r="AC41" i="20"/>
  <c r="U48" i="26"/>
  <c r="AB41" i="20"/>
  <c r="T48" i="26"/>
  <c r="AA41" i="20"/>
  <c r="S48" i="26"/>
  <c r="Z41" i="20"/>
  <c r="R48" i="26"/>
  <c r="Y41" i="20"/>
  <c r="Q48" i="26"/>
  <c r="P48" i="26"/>
  <c r="AK4" i="20"/>
  <c r="N48" i="26"/>
  <c r="AJ4" i="20"/>
  <c r="M48" i="26"/>
  <c r="AI4" i="20"/>
  <c r="L48" i="26"/>
  <c r="AH4" i="20"/>
  <c r="K48" i="26"/>
  <c r="AG4" i="20"/>
  <c r="J48" i="26"/>
  <c r="AF4" i="20"/>
  <c r="I48" i="26"/>
  <c r="AE4" i="20"/>
  <c r="H48" i="26"/>
  <c r="AD4" i="20"/>
  <c r="G48" i="26"/>
  <c r="AC4" i="20"/>
  <c r="F48" i="26"/>
  <c r="AB4" i="20"/>
  <c r="E48" i="26"/>
  <c r="AA4" i="20"/>
  <c r="D48" i="26"/>
  <c r="Z4" i="20"/>
  <c r="C48" i="26"/>
  <c r="Y4" i="20"/>
  <c r="B48" i="26"/>
  <c r="A48" i="26"/>
  <c r="AK40" i="20"/>
  <c r="AC47" i="26"/>
  <c r="AJ40" i="20"/>
  <c r="AB47" i="26"/>
  <c r="AI40" i="20"/>
  <c r="AA47" i="26"/>
  <c r="AH40" i="20"/>
  <c r="Z47" i="26"/>
  <c r="AG40" i="20"/>
  <c r="Y47" i="26"/>
  <c r="AF40" i="20"/>
  <c r="X47" i="26"/>
  <c r="AE40" i="20"/>
  <c r="W47" i="26"/>
  <c r="AD40" i="20"/>
  <c r="V47" i="26"/>
  <c r="AC40" i="20"/>
  <c r="U47" i="26"/>
  <c r="AB40" i="20"/>
  <c r="T47" i="26"/>
  <c r="AA40" i="20"/>
  <c r="S47" i="26"/>
  <c r="Z40" i="20"/>
  <c r="R47" i="26"/>
  <c r="Y40" i="20"/>
  <c r="Q47" i="26"/>
  <c r="P47" i="26"/>
  <c r="AK3" i="20"/>
  <c r="N47" i="26"/>
  <c r="AJ3" i="20"/>
  <c r="M47" i="26"/>
  <c r="AI3" i="20"/>
  <c r="L47" i="26"/>
  <c r="AH3" i="20"/>
  <c r="K47" i="26"/>
  <c r="AG3" i="20"/>
  <c r="J47" i="26"/>
  <c r="AF3" i="20"/>
  <c r="I47" i="26"/>
  <c r="AE3" i="20"/>
  <c r="H47" i="26"/>
  <c r="AD3" i="20"/>
  <c r="G47" i="26"/>
  <c r="AC3" i="20"/>
  <c r="F47" i="26"/>
  <c r="AB3" i="20"/>
  <c r="E47" i="26"/>
  <c r="AA3" i="20"/>
  <c r="D47" i="26"/>
  <c r="Z3" i="20"/>
  <c r="C47" i="26"/>
  <c r="Y3" i="20"/>
  <c r="B47" i="26"/>
  <c r="A47" i="26"/>
  <c r="AK39" i="20"/>
  <c r="AC46" i="26"/>
  <c r="AJ39" i="20"/>
  <c r="AB46" i="26"/>
  <c r="AI39" i="20"/>
  <c r="AA46" i="26"/>
  <c r="AH39" i="20"/>
  <c r="Z46" i="26"/>
  <c r="AG39" i="20"/>
  <c r="Y46" i="26"/>
  <c r="AF39" i="20"/>
  <c r="X46" i="26"/>
  <c r="AE39" i="20"/>
  <c r="W46" i="26"/>
  <c r="AD39" i="20"/>
  <c r="V46" i="26"/>
  <c r="AC39" i="20"/>
  <c r="U46" i="26"/>
  <c r="AB39" i="20"/>
  <c r="T46" i="26"/>
  <c r="AA39" i="20"/>
  <c r="S46" i="26"/>
  <c r="Z39" i="20"/>
  <c r="R46" i="26"/>
  <c r="Y39" i="20"/>
  <c r="Q46" i="26"/>
  <c r="P46" i="26"/>
  <c r="AK2" i="20"/>
  <c r="N46" i="26"/>
  <c r="AJ2" i="20"/>
  <c r="M46" i="26"/>
  <c r="AI2" i="20"/>
  <c r="L46" i="26"/>
  <c r="AH2" i="20"/>
  <c r="K46" i="26"/>
  <c r="AG2" i="20"/>
  <c r="J46" i="26"/>
  <c r="AF2" i="20"/>
  <c r="I46" i="26"/>
  <c r="AE2" i="20"/>
  <c r="H46" i="26"/>
  <c r="AD2" i="20"/>
  <c r="G46" i="26"/>
  <c r="AC2" i="20"/>
  <c r="F46" i="26"/>
  <c r="AB2" i="20"/>
  <c r="E46" i="26"/>
  <c r="AA2" i="20"/>
  <c r="D46" i="26"/>
  <c r="Z2" i="20"/>
  <c r="C46" i="26"/>
  <c r="Y2" i="20"/>
  <c r="B46" i="26"/>
  <c r="A46" i="26"/>
  <c r="AC45" i="26"/>
  <c r="AB45" i="26"/>
  <c r="AA45" i="26"/>
  <c r="Z45" i="26"/>
  <c r="Y45" i="26"/>
  <c r="X45" i="26"/>
  <c r="W45" i="26"/>
  <c r="V45" i="26"/>
  <c r="U45" i="26"/>
  <c r="T45" i="26"/>
  <c r="S45" i="26"/>
  <c r="R45" i="26"/>
  <c r="Q45" i="26"/>
  <c r="P45" i="26"/>
  <c r="N45" i="26"/>
  <c r="M45" i="26"/>
  <c r="L45" i="26"/>
  <c r="K45" i="26"/>
  <c r="J45" i="26"/>
  <c r="I45" i="26"/>
  <c r="H45" i="26"/>
  <c r="G45" i="26"/>
  <c r="F45" i="26"/>
  <c r="E45" i="26"/>
  <c r="D45" i="26"/>
  <c r="C45" i="26"/>
  <c r="B45" i="26"/>
  <c r="A45" i="26"/>
  <c r="B22" i="26"/>
  <c r="D22" i="26"/>
  <c r="B21" i="26"/>
  <c r="D21" i="26"/>
  <c r="B20" i="26"/>
  <c r="D20" i="26"/>
  <c r="B19" i="26"/>
  <c r="D19" i="26"/>
  <c r="B18" i="26"/>
  <c r="D18" i="26"/>
  <c r="B17" i="26"/>
  <c r="D17" i="26"/>
  <c r="B16" i="26"/>
  <c r="D16" i="26"/>
  <c r="B15" i="26"/>
  <c r="D15" i="26"/>
  <c r="B14" i="26"/>
  <c r="D14" i="26"/>
  <c r="B13" i="26"/>
  <c r="D13" i="26"/>
  <c r="B12" i="26"/>
  <c r="D12" i="26"/>
  <c r="B11" i="26"/>
  <c r="D11" i="26"/>
  <c r="U22" i="26"/>
  <c r="C22" i="26"/>
  <c r="E22" i="26"/>
  <c r="G22" i="26"/>
  <c r="I22" i="26"/>
  <c r="J22" i="26"/>
  <c r="U21" i="26"/>
  <c r="C21" i="26"/>
  <c r="E21" i="26"/>
  <c r="G21" i="26"/>
  <c r="I21" i="26"/>
  <c r="J21" i="26"/>
  <c r="U20" i="26"/>
  <c r="C20" i="26"/>
  <c r="E20" i="26"/>
  <c r="G20" i="26"/>
  <c r="I20" i="26"/>
  <c r="J20" i="26"/>
  <c r="U19" i="26"/>
  <c r="C19" i="26"/>
  <c r="E19" i="26"/>
  <c r="G19" i="26"/>
  <c r="I19" i="26"/>
  <c r="J19" i="26"/>
  <c r="U18" i="26"/>
  <c r="C18" i="26"/>
  <c r="E18" i="26"/>
  <c r="G18" i="26"/>
  <c r="I18" i="26"/>
  <c r="J18" i="26"/>
  <c r="U17" i="26"/>
  <c r="C17" i="26"/>
  <c r="E17" i="26"/>
  <c r="G17" i="26"/>
  <c r="I17" i="26"/>
  <c r="J17" i="26"/>
  <c r="U16" i="26"/>
  <c r="C16" i="26"/>
  <c r="E16" i="26"/>
  <c r="G16" i="26"/>
  <c r="I16" i="26"/>
  <c r="J16" i="26"/>
  <c r="U15" i="26"/>
  <c r="C15" i="26"/>
  <c r="E15" i="26"/>
  <c r="G15" i="26"/>
  <c r="I15" i="26"/>
  <c r="J15" i="26"/>
  <c r="U14" i="26"/>
  <c r="C14" i="26"/>
  <c r="E14" i="26"/>
  <c r="G14" i="26"/>
  <c r="I14" i="26"/>
  <c r="J14" i="26"/>
  <c r="U13" i="26"/>
  <c r="C13" i="26"/>
  <c r="E13" i="26"/>
  <c r="G13" i="26"/>
  <c r="I13" i="26"/>
  <c r="J13" i="26"/>
  <c r="U12" i="26"/>
  <c r="C12" i="26"/>
  <c r="E12" i="26"/>
  <c r="G12" i="26"/>
  <c r="I12" i="26"/>
  <c r="J12" i="26"/>
  <c r="U11" i="26"/>
  <c r="C11" i="26"/>
  <c r="E11" i="26"/>
  <c r="G11" i="26"/>
  <c r="I11" i="26"/>
  <c r="J11" i="26"/>
  <c r="U10" i="26"/>
  <c r="N78" i="25"/>
  <c r="M78" i="25"/>
  <c r="L78" i="25"/>
  <c r="K78" i="25"/>
  <c r="J78" i="25"/>
  <c r="I78" i="25"/>
  <c r="H78" i="25"/>
  <c r="G78" i="25"/>
  <c r="F78" i="25"/>
  <c r="E78" i="25"/>
  <c r="D78" i="25"/>
  <c r="C78" i="25"/>
  <c r="B78" i="25"/>
  <c r="A78" i="25"/>
  <c r="N77" i="25"/>
  <c r="M77" i="25"/>
  <c r="L77" i="25"/>
  <c r="K77" i="25"/>
  <c r="J77" i="25"/>
  <c r="I77" i="25"/>
  <c r="H77" i="25"/>
  <c r="G77" i="25"/>
  <c r="F77" i="25"/>
  <c r="E77" i="25"/>
  <c r="D77" i="25"/>
  <c r="C77" i="25"/>
  <c r="B77" i="25"/>
  <c r="A77" i="25"/>
  <c r="N76" i="25"/>
  <c r="M76" i="25"/>
  <c r="L76" i="25"/>
  <c r="K76" i="25"/>
  <c r="J76" i="25"/>
  <c r="I76" i="25"/>
  <c r="H76" i="25"/>
  <c r="G76" i="25"/>
  <c r="F76" i="25"/>
  <c r="E76" i="25"/>
  <c r="D76" i="25"/>
  <c r="C76" i="25"/>
  <c r="B76" i="25"/>
  <c r="A76" i="25"/>
  <c r="N75" i="25"/>
  <c r="M75" i="25"/>
  <c r="L75" i="25"/>
  <c r="K75" i="25"/>
  <c r="J75" i="25"/>
  <c r="I75" i="25"/>
  <c r="H75" i="25"/>
  <c r="G75" i="25"/>
  <c r="F75" i="25"/>
  <c r="E75" i="25"/>
  <c r="D75" i="25"/>
  <c r="C75" i="25"/>
  <c r="B75" i="25"/>
  <c r="A75" i="25"/>
  <c r="N74" i="25"/>
  <c r="M74" i="25"/>
  <c r="L74" i="25"/>
  <c r="K74" i="25"/>
  <c r="J74" i="25"/>
  <c r="I74" i="25"/>
  <c r="H74" i="25"/>
  <c r="G74" i="25"/>
  <c r="F74" i="25"/>
  <c r="E74" i="25"/>
  <c r="D74" i="25"/>
  <c r="C74" i="25"/>
  <c r="B74" i="25"/>
  <c r="A74" i="25"/>
  <c r="N73" i="25"/>
  <c r="M73" i="25"/>
  <c r="L73" i="25"/>
  <c r="K73" i="25"/>
  <c r="J73" i="25"/>
  <c r="I73" i="25"/>
  <c r="H73" i="25"/>
  <c r="G73" i="25"/>
  <c r="F73" i="25"/>
  <c r="E73" i="25"/>
  <c r="D73" i="25"/>
  <c r="C73" i="25"/>
  <c r="B73" i="25"/>
  <c r="A73" i="25"/>
  <c r="N72" i="25"/>
  <c r="M72" i="25"/>
  <c r="L72" i="25"/>
  <c r="K72" i="25"/>
  <c r="J72" i="25"/>
  <c r="I72" i="25"/>
  <c r="H72" i="25"/>
  <c r="G72" i="25"/>
  <c r="F72" i="25"/>
  <c r="E72" i="25"/>
  <c r="D72" i="25"/>
  <c r="C72" i="25"/>
  <c r="B72" i="25"/>
  <c r="A72" i="25"/>
  <c r="N71" i="25"/>
  <c r="M71" i="25"/>
  <c r="L71" i="25"/>
  <c r="K71" i="25"/>
  <c r="J71" i="25"/>
  <c r="I71" i="25"/>
  <c r="H71" i="25"/>
  <c r="G71" i="25"/>
  <c r="F71" i="25"/>
  <c r="E71" i="25"/>
  <c r="D71" i="25"/>
  <c r="C71" i="25"/>
  <c r="B71" i="25"/>
  <c r="A71" i="25"/>
  <c r="N70" i="25"/>
  <c r="M70" i="25"/>
  <c r="L70" i="25"/>
  <c r="K70" i="25"/>
  <c r="J70" i="25"/>
  <c r="I70" i="25"/>
  <c r="H70" i="25"/>
  <c r="G70" i="25"/>
  <c r="F70" i="25"/>
  <c r="E70" i="25"/>
  <c r="D70" i="25"/>
  <c r="C70" i="25"/>
  <c r="B70" i="25"/>
  <c r="A70" i="25"/>
  <c r="N69" i="25"/>
  <c r="M69" i="25"/>
  <c r="L69" i="25"/>
  <c r="K69" i="25"/>
  <c r="J69" i="25"/>
  <c r="I69" i="25"/>
  <c r="H69" i="25"/>
  <c r="G69" i="25"/>
  <c r="F69" i="25"/>
  <c r="E69" i="25"/>
  <c r="D69" i="25"/>
  <c r="C69" i="25"/>
  <c r="B69" i="25"/>
  <c r="A69" i="25"/>
  <c r="N68" i="25"/>
  <c r="M68" i="25"/>
  <c r="L68" i="25"/>
  <c r="K68" i="25"/>
  <c r="J68" i="25"/>
  <c r="I68" i="25"/>
  <c r="H68" i="25"/>
  <c r="G68" i="25"/>
  <c r="F68" i="25"/>
  <c r="E68" i="25"/>
  <c r="D68" i="25"/>
  <c r="C68" i="25"/>
  <c r="B68" i="25"/>
  <c r="A68" i="25"/>
  <c r="N67" i="25"/>
  <c r="M67" i="25"/>
  <c r="L67" i="25"/>
  <c r="K67" i="25"/>
  <c r="J67" i="25"/>
  <c r="I67" i="25"/>
  <c r="H67" i="25"/>
  <c r="G67" i="25"/>
  <c r="F67" i="25"/>
  <c r="E67" i="25"/>
  <c r="D67" i="25"/>
  <c r="C67" i="25"/>
  <c r="B67" i="25"/>
  <c r="A67" i="25"/>
  <c r="N66" i="25"/>
  <c r="M66" i="25"/>
  <c r="L66" i="25"/>
  <c r="K66" i="25"/>
  <c r="J66" i="25"/>
  <c r="I66" i="25"/>
  <c r="H66" i="25"/>
  <c r="G66" i="25"/>
  <c r="F66" i="25"/>
  <c r="E66" i="25"/>
  <c r="D66" i="25"/>
  <c r="C66" i="25"/>
  <c r="B66" i="25"/>
  <c r="A66" i="25"/>
  <c r="N65" i="25"/>
  <c r="M65" i="25"/>
  <c r="L65" i="25"/>
  <c r="K65" i="25"/>
  <c r="J65" i="25"/>
  <c r="I65" i="25"/>
  <c r="H65" i="25"/>
  <c r="G65" i="25"/>
  <c r="F65" i="25"/>
  <c r="E65" i="25"/>
  <c r="D65" i="25"/>
  <c r="C65" i="25"/>
  <c r="B65" i="25"/>
  <c r="A65" i="25"/>
  <c r="N64" i="25"/>
  <c r="M64" i="25"/>
  <c r="L64" i="25"/>
  <c r="K64" i="25"/>
  <c r="J64" i="25"/>
  <c r="I64" i="25"/>
  <c r="H64" i="25"/>
  <c r="G64" i="25"/>
  <c r="F64" i="25"/>
  <c r="E64" i="25"/>
  <c r="D64" i="25"/>
  <c r="C64" i="25"/>
  <c r="B64" i="25"/>
  <c r="A64" i="25"/>
  <c r="AC63" i="25"/>
  <c r="AB63" i="25"/>
  <c r="AA63" i="25"/>
  <c r="Z63" i="25"/>
  <c r="Y63" i="25"/>
  <c r="X63" i="25"/>
  <c r="W63" i="25"/>
  <c r="V63" i="25"/>
  <c r="U63" i="25"/>
  <c r="T63" i="25"/>
  <c r="S63" i="25"/>
  <c r="R63" i="25"/>
  <c r="Q63" i="25"/>
  <c r="P63" i="25"/>
  <c r="N63" i="25"/>
  <c r="M63" i="25"/>
  <c r="L63" i="25"/>
  <c r="K63" i="25"/>
  <c r="J63" i="25"/>
  <c r="I63" i="25"/>
  <c r="H63" i="25"/>
  <c r="G63" i="25"/>
  <c r="F63" i="25"/>
  <c r="E63" i="25"/>
  <c r="D63" i="25"/>
  <c r="C63" i="25"/>
  <c r="B63" i="25"/>
  <c r="A63" i="25"/>
  <c r="AC62" i="25"/>
  <c r="AB62" i="25"/>
  <c r="AA62" i="25"/>
  <c r="Z62" i="25"/>
  <c r="Y62" i="25"/>
  <c r="X62" i="25"/>
  <c r="W62" i="25"/>
  <c r="V62" i="25"/>
  <c r="U62" i="25"/>
  <c r="T62" i="25"/>
  <c r="S62" i="25"/>
  <c r="R62" i="25"/>
  <c r="Q62" i="25"/>
  <c r="P62" i="25"/>
  <c r="N62" i="25"/>
  <c r="M62" i="25"/>
  <c r="L62" i="25"/>
  <c r="K62" i="25"/>
  <c r="J62" i="25"/>
  <c r="I62" i="25"/>
  <c r="H62" i="25"/>
  <c r="G62" i="25"/>
  <c r="F62" i="25"/>
  <c r="E62" i="25"/>
  <c r="D62" i="25"/>
  <c r="C62" i="25"/>
  <c r="B62" i="25"/>
  <c r="A62" i="25"/>
  <c r="AC61" i="25"/>
  <c r="AB61" i="25"/>
  <c r="AA61" i="25"/>
  <c r="Z61" i="25"/>
  <c r="Y61" i="25"/>
  <c r="X61" i="25"/>
  <c r="W61" i="25"/>
  <c r="V61" i="25"/>
  <c r="U61" i="25"/>
  <c r="T61" i="25"/>
  <c r="S61" i="25"/>
  <c r="R61" i="25"/>
  <c r="Q61" i="25"/>
  <c r="P61" i="25"/>
  <c r="N61" i="25"/>
  <c r="M61" i="25"/>
  <c r="L61" i="25"/>
  <c r="K61" i="25"/>
  <c r="J61" i="25"/>
  <c r="I61" i="25"/>
  <c r="H61" i="25"/>
  <c r="G61" i="25"/>
  <c r="F61" i="25"/>
  <c r="E61" i="25"/>
  <c r="D61" i="25"/>
  <c r="C61" i="25"/>
  <c r="B61" i="25"/>
  <c r="A61" i="25"/>
  <c r="AC60" i="25"/>
  <c r="AB60" i="25"/>
  <c r="AA60" i="25"/>
  <c r="Z60" i="25"/>
  <c r="Y60" i="25"/>
  <c r="X60" i="25"/>
  <c r="W60" i="25"/>
  <c r="V60" i="25"/>
  <c r="U60" i="25"/>
  <c r="T60" i="25"/>
  <c r="S60" i="25"/>
  <c r="R60" i="25"/>
  <c r="Q60" i="25"/>
  <c r="P60" i="25"/>
  <c r="N60" i="25"/>
  <c r="M60" i="25"/>
  <c r="L60" i="25"/>
  <c r="K60" i="25"/>
  <c r="J60" i="25"/>
  <c r="I60" i="25"/>
  <c r="H60" i="25"/>
  <c r="G60" i="25"/>
  <c r="F60" i="25"/>
  <c r="E60" i="25"/>
  <c r="D60" i="25"/>
  <c r="C60" i="25"/>
  <c r="B60" i="25"/>
  <c r="A60" i="25"/>
  <c r="AC59" i="25"/>
  <c r="AB59" i="25"/>
  <c r="AA59" i="25"/>
  <c r="Z59" i="25"/>
  <c r="Y59" i="25"/>
  <c r="X59" i="25"/>
  <c r="W59" i="25"/>
  <c r="V59" i="25"/>
  <c r="U59" i="25"/>
  <c r="T59" i="25"/>
  <c r="S59" i="25"/>
  <c r="R59" i="25"/>
  <c r="Q59" i="25"/>
  <c r="P59" i="25"/>
  <c r="N59" i="25"/>
  <c r="M59" i="25"/>
  <c r="L59" i="25"/>
  <c r="K59" i="25"/>
  <c r="J59" i="25"/>
  <c r="I59" i="25"/>
  <c r="H59" i="25"/>
  <c r="G59" i="25"/>
  <c r="F59" i="25"/>
  <c r="E59" i="25"/>
  <c r="D59" i="25"/>
  <c r="C59" i="25"/>
  <c r="B59" i="25"/>
  <c r="A59" i="25"/>
  <c r="AC58" i="25"/>
  <c r="AB58" i="25"/>
  <c r="AA58" i="25"/>
  <c r="Z58" i="25"/>
  <c r="Y58" i="25"/>
  <c r="X58" i="25"/>
  <c r="W58" i="25"/>
  <c r="V58" i="25"/>
  <c r="U58" i="25"/>
  <c r="T58" i="25"/>
  <c r="S58" i="25"/>
  <c r="R58" i="25"/>
  <c r="Q58" i="25"/>
  <c r="P58" i="25"/>
  <c r="N58" i="25"/>
  <c r="M58" i="25"/>
  <c r="L58" i="25"/>
  <c r="K58" i="25"/>
  <c r="J58" i="25"/>
  <c r="I58" i="25"/>
  <c r="H58" i="25"/>
  <c r="G58" i="25"/>
  <c r="F58" i="25"/>
  <c r="E58" i="25"/>
  <c r="D58" i="25"/>
  <c r="C58" i="25"/>
  <c r="B58" i="25"/>
  <c r="A58" i="25"/>
  <c r="AC57" i="25"/>
  <c r="AB57" i="25"/>
  <c r="AA57" i="25"/>
  <c r="Z57" i="25"/>
  <c r="Y57" i="25"/>
  <c r="X57" i="25"/>
  <c r="W57" i="25"/>
  <c r="V57" i="25"/>
  <c r="U57" i="25"/>
  <c r="T57" i="25"/>
  <c r="S57" i="25"/>
  <c r="R57" i="25"/>
  <c r="Q57" i="25"/>
  <c r="P57" i="25"/>
  <c r="N57" i="25"/>
  <c r="M57" i="25"/>
  <c r="L57" i="25"/>
  <c r="K57" i="25"/>
  <c r="J57" i="25"/>
  <c r="I57" i="25"/>
  <c r="H57" i="25"/>
  <c r="G57" i="25"/>
  <c r="F57" i="25"/>
  <c r="E57" i="25"/>
  <c r="D57" i="25"/>
  <c r="C57" i="25"/>
  <c r="B57" i="25"/>
  <c r="A57" i="25"/>
  <c r="AC56" i="25"/>
  <c r="AB56" i="25"/>
  <c r="AA56" i="25"/>
  <c r="Z56" i="25"/>
  <c r="Y56" i="25"/>
  <c r="X56" i="25"/>
  <c r="W56" i="25"/>
  <c r="V56" i="25"/>
  <c r="U56" i="25"/>
  <c r="T56" i="25"/>
  <c r="S56" i="25"/>
  <c r="R56" i="25"/>
  <c r="Q56" i="25"/>
  <c r="P56" i="25"/>
  <c r="N56" i="25"/>
  <c r="M56" i="25"/>
  <c r="L56" i="25"/>
  <c r="K56" i="25"/>
  <c r="J56" i="25"/>
  <c r="I56" i="25"/>
  <c r="H56" i="25"/>
  <c r="G56" i="25"/>
  <c r="F56" i="25"/>
  <c r="E56" i="25"/>
  <c r="D56" i="25"/>
  <c r="C56" i="25"/>
  <c r="B56" i="25"/>
  <c r="A56" i="25"/>
  <c r="AC55" i="25"/>
  <c r="AB55" i="25"/>
  <c r="AA55" i="25"/>
  <c r="Z55" i="25"/>
  <c r="Y55" i="25"/>
  <c r="X55" i="25"/>
  <c r="W55" i="25"/>
  <c r="V55" i="25"/>
  <c r="U55" i="25"/>
  <c r="T55" i="25"/>
  <c r="S55" i="25"/>
  <c r="R55" i="25"/>
  <c r="Q55" i="25"/>
  <c r="P55" i="25"/>
  <c r="N55" i="25"/>
  <c r="M55" i="25"/>
  <c r="L55" i="25"/>
  <c r="K55" i="25"/>
  <c r="J55" i="25"/>
  <c r="I55" i="25"/>
  <c r="H55" i="25"/>
  <c r="G55" i="25"/>
  <c r="F55" i="25"/>
  <c r="E55" i="25"/>
  <c r="D55" i="25"/>
  <c r="C55" i="25"/>
  <c r="B55" i="25"/>
  <c r="A55" i="25"/>
  <c r="AC54" i="25"/>
  <c r="AB54" i="25"/>
  <c r="AA54" i="25"/>
  <c r="Z54" i="25"/>
  <c r="Y54" i="25"/>
  <c r="X54" i="25"/>
  <c r="W54" i="25"/>
  <c r="V54" i="25"/>
  <c r="U54" i="25"/>
  <c r="T54" i="25"/>
  <c r="S54" i="25"/>
  <c r="R54" i="25"/>
  <c r="Q54" i="25"/>
  <c r="P54" i="25"/>
  <c r="N54" i="25"/>
  <c r="M54" i="25"/>
  <c r="L54" i="25"/>
  <c r="K54" i="25"/>
  <c r="J54" i="25"/>
  <c r="I54" i="25"/>
  <c r="H54" i="25"/>
  <c r="G54" i="25"/>
  <c r="F54" i="25"/>
  <c r="E54" i="25"/>
  <c r="D54" i="25"/>
  <c r="C54" i="25"/>
  <c r="B54" i="25"/>
  <c r="A54" i="25"/>
  <c r="AC53" i="25"/>
  <c r="AB53" i="25"/>
  <c r="AA53" i="25"/>
  <c r="Z53" i="25"/>
  <c r="Y53" i="25"/>
  <c r="X53" i="25"/>
  <c r="W53" i="25"/>
  <c r="V53" i="25"/>
  <c r="U53" i="25"/>
  <c r="T53" i="25"/>
  <c r="S53" i="25"/>
  <c r="R53" i="25"/>
  <c r="Q53" i="25"/>
  <c r="P53" i="25"/>
  <c r="N53" i="25"/>
  <c r="M53" i="25"/>
  <c r="L53" i="25"/>
  <c r="K53" i="25"/>
  <c r="J53" i="25"/>
  <c r="I53" i="25"/>
  <c r="H53" i="25"/>
  <c r="G53" i="25"/>
  <c r="F53" i="25"/>
  <c r="E53" i="25"/>
  <c r="D53" i="25"/>
  <c r="C53" i="25"/>
  <c r="B53" i="25"/>
  <c r="A53" i="25"/>
  <c r="AC52" i="25"/>
  <c r="AB52" i="25"/>
  <c r="AA52" i="25"/>
  <c r="Z52" i="25"/>
  <c r="Y52" i="25"/>
  <c r="X52" i="25"/>
  <c r="W52" i="25"/>
  <c r="V52" i="25"/>
  <c r="U52" i="25"/>
  <c r="T52" i="25"/>
  <c r="S52" i="25"/>
  <c r="R52" i="25"/>
  <c r="Q52" i="25"/>
  <c r="P52" i="25"/>
  <c r="N52" i="25"/>
  <c r="M52" i="25"/>
  <c r="L52" i="25"/>
  <c r="K52" i="25"/>
  <c r="J52" i="25"/>
  <c r="I52" i="25"/>
  <c r="H52" i="25"/>
  <c r="G52" i="25"/>
  <c r="F52" i="25"/>
  <c r="E52" i="25"/>
  <c r="D52" i="25"/>
  <c r="C52" i="25"/>
  <c r="B52" i="25"/>
  <c r="A52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N51" i="25"/>
  <c r="M51" i="25"/>
  <c r="L51" i="25"/>
  <c r="K51" i="25"/>
  <c r="J51" i="25"/>
  <c r="I51" i="25"/>
  <c r="H51" i="25"/>
  <c r="G51" i="25"/>
  <c r="F51" i="25"/>
  <c r="E51" i="25"/>
  <c r="D51" i="25"/>
  <c r="C51" i="25"/>
  <c r="B51" i="25"/>
  <c r="A51" i="25"/>
  <c r="AC50" i="25"/>
  <c r="AB50" i="25"/>
  <c r="AA50" i="25"/>
  <c r="Z50" i="25"/>
  <c r="Y50" i="25"/>
  <c r="X50" i="25"/>
  <c r="W50" i="25"/>
  <c r="V50" i="25"/>
  <c r="U50" i="25"/>
  <c r="T50" i="25"/>
  <c r="S50" i="25"/>
  <c r="R50" i="25"/>
  <c r="Q50" i="25"/>
  <c r="P50" i="25"/>
  <c r="N50" i="25"/>
  <c r="M50" i="25"/>
  <c r="L50" i="25"/>
  <c r="K50" i="25"/>
  <c r="J50" i="25"/>
  <c r="I50" i="25"/>
  <c r="H50" i="25"/>
  <c r="G50" i="25"/>
  <c r="F50" i="25"/>
  <c r="E50" i="25"/>
  <c r="D50" i="25"/>
  <c r="C50" i="25"/>
  <c r="B50" i="25"/>
  <c r="A50" i="25"/>
  <c r="AC49" i="25"/>
  <c r="AB49" i="25"/>
  <c r="AA49" i="25"/>
  <c r="Z49" i="25"/>
  <c r="Y49" i="25"/>
  <c r="X49" i="25"/>
  <c r="W49" i="25"/>
  <c r="V49" i="25"/>
  <c r="U49" i="25"/>
  <c r="T49" i="25"/>
  <c r="S49" i="25"/>
  <c r="R49" i="25"/>
  <c r="Q49" i="25"/>
  <c r="P49" i="25"/>
  <c r="N49" i="25"/>
  <c r="M49" i="25"/>
  <c r="L49" i="25"/>
  <c r="K49" i="25"/>
  <c r="J49" i="25"/>
  <c r="I49" i="25"/>
  <c r="H49" i="25"/>
  <c r="G49" i="25"/>
  <c r="F49" i="25"/>
  <c r="E49" i="25"/>
  <c r="D49" i="25"/>
  <c r="C49" i="25"/>
  <c r="B49" i="25"/>
  <c r="A49" i="25"/>
  <c r="AC48" i="25"/>
  <c r="AB48" i="25"/>
  <c r="AA48" i="25"/>
  <c r="Z48" i="25"/>
  <c r="Y48" i="25"/>
  <c r="X48" i="25"/>
  <c r="W48" i="25"/>
  <c r="V48" i="25"/>
  <c r="U48" i="25"/>
  <c r="T48" i="25"/>
  <c r="S48" i="25"/>
  <c r="R48" i="25"/>
  <c r="Q48" i="25"/>
  <c r="P48" i="25"/>
  <c r="N48" i="25"/>
  <c r="M48" i="25"/>
  <c r="L48" i="25"/>
  <c r="K48" i="25"/>
  <c r="J48" i="25"/>
  <c r="I48" i="25"/>
  <c r="H48" i="25"/>
  <c r="G48" i="25"/>
  <c r="F48" i="25"/>
  <c r="E48" i="25"/>
  <c r="D48" i="25"/>
  <c r="C48" i="25"/>
  <c r="B48" i="25"/>
  <c r="A48" i="25"/>
  <c r="AC47" i="25"/>
  <c r="AB47" i="25"/>
  <c r="AA47" i="25"/>
  <c r="Z47" i="25"/>
  <c r="Y47" i="25"/>
  <c r="X47" i="25"/>
  <c r="W47" i="25"/>
  <c r="V47" i="25"/>
  <c r="U47" i="25"/>
  <c r="T47" i="25"/>
  <c r="S47" i="25"/>
  <c r="R47" i="25"/>
  <c r="Q47" i="25"/>
  <c r="P47" i="25"/>
  <c r="N47" i="25"/>
  <c r="M47" i="25"/>
  <c r="L47" i="25"/>
  <c r="K47" i="25"/>
  <c r="J47" i="25"/>
  <c r="I47" i="25"/>
  <c r="H47" i="25"/>
  <c r="G47" i="25"/>
  <c r="F47" i="25"/>
  <c r="E47" i="25"/>
  <c r="D47" i="25"/>
  <c r="C47" i="25"/>
  <c r="B47" i="25"/>
  <c r="A47" i="25"/>
  <c r="AC46" i="25"/>
  <c r="AB46" i="25"/>
  <c r="AA46" i="25"/>
  <c r="Z46" i="25"/>
  <c r="Y46" i="25"/>
  <c r="X46" i="25"/>
  <c r="W46" i="25"/>
  <c r="V46" i="25"/>
  <c r="U46" i="25"/>
  <c r="T46" i="25"/>
  <c r="S46" i="25"/>
  <c r="R46" i="25"/>
  <c r="Q46" i="25"/>
  <c r="P46" i="25"/>
  <c r="N46" i="25"/>
  <c r="M46" i="25"/>
  <c r="L46" i="25"/>
  <c r="K46" i="25"/>
  <c r="J46" i="25"/>
  <c r="I46" i="25"/>
  <c r="H46" i="25"/>
  <c r="G46" i="25"/>
  <c r="F46" i="25"/>
  <c r="E46" i="25"/>
  <c r="D46" i="25"/>
  <c r="C46" i="25"/>
  <c r="B46" i="25"/>
  <c r="A46" i="25"/>
  <c r="AC45" i="25"/>
  <c r="AB45" i="25"/>
  <c r="AA45" i="25"/>
  <c r="Z45" i="25"/>
  <c r="Y45" i="25"/>
  <c r="X45" i="25"/>
  <c r="W45" i="25"/>
  <c r="V45" i="25"/>
  <c r="U45" i="25"/>
  <c r="T45" i="25"/>
  <c r="S45" i="25"/>
  <c r="R45" i="25"/>
  <c r="Q45" i="25"/>
  <c r="P45" i="25"/>
  <c r="N45" i="25"/>
  <c r="M45" i="25"/>
  <c r="L45" i="25"/>
  <c r="K45" i="25"/>
  <c r="J45" i="25"/>
  <c r="I45" i="25"/>
  <c r="H45" i="25"/>
  <c r="G45" i="25"/>
  <c r="F45" i="25"/>
  <c r="E45" i="25"/>
  <c r="D45" i="25"/>
  <c r="C45" i="25"/>
  <c r="B45" i="25"/>
  <c r="A45" i="25"/>
  <c r="B22" i="25"/>
  <c r="D22" i="25"/>
  <c r="B21" i="25"/>
  <c r="D21" i="25"/>
  <c r="B20" i="25"/>
  <c r="D20" i="25"/>
  <c r="B19" i="25"/>
  <c r="D19" i="25"/>
  <c r="B18" i="25"/>
  <c r="D18" i="25"/>
  <c r="B17" i="25"/>
  <c r="D17" i="25"/>
  <c r="B16" i="25"/>
  <c r="D16" i="25"/>
  <c r="B15" i="25"/>
  <c r="D15" i="25"/>
  <c r="B14" i="25"/>
  <c r="D14" i="25"/>
  <c r="B13" i="25"/>
  <c r="D13" i="25"/>
  <c r="B12" i="25"/>
  <c r="D12" i="25"/>
  <c r="B11" i="25"/>
  <c r="D11" i="25"/>
  <c r="U22" i="25"/>
  <c r="C22" i="25"/>
  <c r="E22" i="25"/>
  <c r="G22" i="25"/>
  <c r="I22" i="25"/>
  <c r="J22" i="25"/>
  <c r="U21" i="25"/>
  <c r="C21" i="25"/>
  <c r="E21" i="25"/>
  <c r="G21" i="25"/>
  <c r="I21" i="25"/>
  <c r="J21" i="25"/>
  <c r="U20" i="25"/>
  <c r="C20" i="25"/>
  <c r="E20" i="25"/>
  <c r="G20" i="25"/>
  <c r="I20" i="25"/>
  <c r="J20" i="25"/>
  <c r="U19" i="25"/>
  <c r="C19" i="25"/>
  <c r="E19" i="25"/>
  <c r="G19" i="25"/>
  <c r="I19" i="25"/>
  <c r="J19" i="25"/>
  <c r="U18" i="25"/>
  <c r="C18" i="25"/>
  <c r="E18" i="25"/>
  <c r="G18" i="25"/>
  <c r="I18" i="25"/>
  <c r="J18" i="25"/>
  <c r="U17" i="25"/>
  <c r="C17" i="25"/>
  <c r="E17" i="25"/>
  <c r="G17" i="25"/>
  <c r="I17" i="25"/>
  <c r="J17" i="25"/>
  <c r="U16" i="25"/>
  <c r="C16" i="25"/>
  <c r="E16" i="25"/>
  <c r="G16" i="25"/>
  <c r="I16" i="25"/>
  <c r="J16" i="25"/>
  <c r="U15" i="25"/>
  <c r="C15" i="25"/>
  <c r="E15" i="25"/>
  <c r="G15" i="25"/>
  <c r="I15" i="25"/>
  <c r="J15" i="25"/>
  <c r="U14" i="25"/>
  <c r="C14" i="25"/>
  <c r="E14" i="25"/>
  <c r="G14" i="25"/>
  <c r="I14" i="25"/>
  <c r="J14" i="25"/>
  <c r="U13" i="25"/>
  <c r="C13" i="25"/>
  <c r="E13" i="25"/>
  <c r="G13" i="25"/>
  <c r="I13" i="25"/>
  <c r="J13" i="25"/>
  <c r="U12" i="25"/>
  <c r="C12" i="25"/>
  <c r="E12" i="25"/>
  <c r="G12" i="25"/>
  <c r="I12" i="25"/>
  <c r="J12" i="25"/>
  <c r="U11" i="25"/>
  <c r="C11" i="25"/>
  <c r="E11" i="25"/>
  <c r="G11" i="25"/>
  <c r="I11" i="25"/>
  <c r="J11" i="25"/>
  <c r="U10" i="25"/>
  <c r="D10" i="24"/>
  <c r="B10" i="24"/>
  <c r="N78" i="24"/>
  <c r="M78" i="24"/>
  <c r="L78" i="24"/>
  <c r="K78" i="24"/>
  <c r="J78" i="24"/>
  <c r="I78" i="24"/>
  <c r="H78" i="24"/>
  <c r="G78" i="24"/>
  <c r="F78" i="24"/>
  <c r="E78" i="24"/>
  <c r="D78" i="24"/>
  <c r="C78" i="24"/>
  <c r="B78" i="24"/>
  <c r="A78" i="24"/>
  <c r="N77" i="24"/>
  <c r="M77" i="24"/>
  <c r="L77" i="24"/>
  <c r="K77" i="24"/>
  <c r="J77" i="24"/>
  <c r="I77" i="24"/>
  <c r="H77" i="24"/>
  <c r="G77" i="24"/>
  <c r="F77" i="24"/>
  <c r="E77" i="24"/>
  <c r="D77" i="24"/>
  <c r="C77" i="24"/>
  <c r="B77" i="24"/>
  <c r="A77" i="24"/>
  <c r="N76" i="24"/>
  <c r="M76" i="24"/>
  <c r="L76" i="24"/>
  <c r="K76" i="24"/>
  <c r="J76" i="24"/>
  <c r="I76" i="24"/>
  <c r="H76" i="24"/>
  <c r="G76" i="24"/>
  <c r="F76" i="24"/>
  <c r="E76" i="24"/>
  <c r="D76" i="24"/>
  <c r="C76" i="24"/>
  <c r="B76" i="24"/>
  <c r="A76" i="24"/>
  <c r="N75" i="24"/>
  <c r="M75" i="24"/>
  <c r="L75" i="24"/>
  <c r="K75" i="24"/>
  <c r="J75" i="24"/>
  <c r="I75" i="24"/>
  <c r="H75" i="24"/>
  <c r="G75" i="24"/>
  <c r="F75" i="24"/>
  <c r="E75" i="24"/>
  <c r="D75" i="24"/>
  <c r="C75" i="24"/>
  <c r="B75" i="24"/>
  <c r="A75" i="24"/>
  <c r="N74" i="24"/>
  <c r="M74" i="24"/>
  <c r="L74" i="24"/>
  <c r="K74" i="24"/>
  <c r="J74" i="24"/>
  <c r="I74" i="24"/>
  <c r="H74" i="24"/>
  <c r="G74" i="24"/>
  <c r="F74" i="24"/>
  <c r="E74" i="24"/>
  <c r="D74" i="24"/>
  <c r="C74" i="24"/>
  <c r="B74" i="24"/>
  <c r="A74" i="24"/>
  <c r="N73" i="24"/>
  <c r="M73" i="24"/>
  <c r="L73" i="24"/>
  <c r="K73" i="24"/>
  <c r="J73" i="24"/>
  <c r="I73" i="24"/>
  <c r="H73" i="24"/>
  <c r="G73" i="24"/>
  <c r="F73" i="24"/>
  <c r="E73" i="24"/>
  <c r="D73" i="24"/>
  <c r="C73" i="24"/>
  <c r="B73" i="24"/>
  <c r="A73" i="24"/>
  <c r="N72" i="24"/>
  <c r="M72" i="24"/>
  <c r="L72" i="24"/>
  <c r="K72" i="24"/>
  <c r="J72" i="24"/>
  <c r="I72" i="24"/>
  <c r="H72" i="24"/>
  <c r="G72" i="24"/>
  <c r="F72" i="24"/>
  <c r="E72" i="24"/>
  <c r="D72" i="24"/>
  <c r="C72" i="24"/>
  <c r="B72" i="24"/>
  <c r="A72" i="24"/>
  <c r="N71" i="24"/>
  <c r="M71" i="24"/>
  <c r="L71" i="24"/>
  <c r="K71" i="24"/>
  <c r="J71" i="24"/>
  <c r="I71" i="24"/>
  <c r="H71" i="24"/>
  <c r="G71" i="24"/>
  <c r="F71" i="24"/>
  <c r="E71" i="24"/>
  <c r="D71" i="24"/>
  <c r="C71" i="24"/>
  <c r="B71" i="24"/>
  <c r="A71" i="24"/>
  <c r="N70" i="24"/>
  <c r="M70" i="24"/>
  <c r="L70" i="24"/>
  <c r="K70" i="24"/>
  <c r="J70" i="24"/>
  <c r="I70" i="24"/>
  <c r="H70" i="24"/>
  <c r="G70" i="24"/>
  <c r="F70" i="24"/>
  <c r="E70" i="24"/>
  <c r="D70" i="24"/>
  <c r="C70" i="24"/>
  <c r="B70" i="24"/>
  <c r="A70" i="24"/>
  <c r="N69" i="24"/>
  <c r="M69" i="24"/>
  <c r="L69" i="24"/>
  <c r="K69" i="24"/>
  <c r="J69" i="24"/>
  <c r="I69" i="24"/>
  <c r="H69" i="24"/>
  <c r="G69" i="24"/>
  <c r="F69" i="24"/>
  <c r="E69" i="24"/>
  <c r="D69" i="24"/>
  <c r="C69" i="24"/>
  <c r="B69" i="24"/>
  <c r="A69" i="24"/>
  <c r="N68" i="24"/>
  <c r="M68" i="24"/>
  <c r="L68" i="24"/>
  <c r="K68" i="24"/>
  <c r="J68" i="24"/>
  <c r="I68" i="24"/>
  <c r="H68" i="24"/>
  <c r="G68" i="24"/>
  <c r="F68" i="24"/>
  <c r="E68" i="24"/>
  <c r="D68" i="24"/>
  <c r="C68" i="24"/>
  <c r="B68" i="24"/>
  <c r="A68" i="24"/>
  <c r="N67" i="24"/>
  <c r="M67" i="24"/>
  <c r="L67" i="24"/>
  <c r="K67" i="24"/>
  <c r="J67" i="24"/>
  <c r="I67" i="24"/>
  <c r="H67" i="24"/>
  <c r="G67" i="24"/>
  <c r="F67" i="24"/>
  <c r="E67" i="24"/>
  <c r="D67" i="24"/>
  <c r="C67" i="24"/>
  <c r="B67" i="24"/>
  <c r="A67" i="24"/>
  <c r="N66" i="24"/>
  <c r="M66" i="24"/>
  <c r="L66" i="24"/>
  <c r="K66" i="24"/>
  <c r="J66" i="24"/>
  <c r="I66" i="24"/>
  <c r="H66" i="24"/>
  <c r="G66" i="24"/>
  <c r="F66" i="24"/>
  <c r="E66" i="24"/>
  <c r="D66" i="24"/>
  <c r="C66" i="24"/>
  <c r="B66" i="24"/>
  <c r="A66" i="24"/>
  <c r="N65" i="24"/>
  <c r="M65" i="24"/>
  <c r="L65" i="24"/>
  <c r="K65" i="24"/>
  <c r="J65" i="24"/>
  <c r="I65" i="24"/>
  <c r="H65" i="24"/>
  <c r="G65" i="24"/>
  <c r="F65" i="24"/>
  <c r="E65" i="24"/>
  <c r="D65" i="24"/>
  <c r="C65" i="24"/>
  <c r="B65" i="24"/>
  <c r="A65" i="24"/>
  <c r="N64" i="24"/>
  <c r="M64" i="24"/>
  <c r="L64" i="24"/>
  <c r="K64" i="24"/>
  <c r="J64" i="24"/>
  <c r="I64" i="24"/>
  <c r="H64" i="24"/>
  <c r="G64" i="24"/>
  <c r="F64" i="24"/>
  <c r="E64" i="24"/>
  <c r="D64" i="24"/>
  <c r="C64" i="24"/>
  <c r="B64" i="24"/>
  <c r="A64" i="24"/>
  <c r="AC63" i="24"/>
  <c r="AB63" i="24"/>
  <c r="AA63" i="24"/>
  <c r="Z63" i="24"/>
  <c r="Y63" i="24"/>
  <c r="X63" i="24"/>
  <c r="W63" i="24"/>
  <c r="V63" i="24"/>
  <c r="U63" i="24"/>
  <c r="T63" i="24"/>
  <c r="S63" i="24"/>
  <c r="R63" i="24"/>
  <c r="Q63" i="24"/>
  <c r="P63" i="24"/>
  <c r="N63" i="24"/>
  <c r="M63" i="24"/>
  <c r="L63" i="24"/>
  <c r="K63" i="24"/>
  <c r="J63" i="24"/>
  <c r="I63" i="24"/>
  <c r="H63" i="24"/>
  <c r="G63" i="24"/>
  <c r="F63" i="24"/>
  <c r="E63" i="24"/>
  <c r="D63" i="24"/>
  <c r="C63" i="24"/>
  <c r="B63" i="24"/>
  <c r="A63" i="24"/>
  <c r="AC62" i="24"/>
  <c r="AB62" i="24"/>
  <c r="AA62" i="24"/>
  <c r="Z62" i="24"/>
  <c r="Y62" i="24"/>
  <c r="X62" i="24"/>
  <c r="W62" i="24"/>
  <c r="V62" i="24"/>
  <c r="U62" i="24"/>
  <c r="T62" i="24"/>
  <c r="S62" i="24"/>
  <c r="R62" i="24"/>
  <c r="Q62" i="24"/>
  <c r="P62" i="24"/>
  <c r="N62" i="24"/>
  <c r="M62" i="24"/>
  <c r="L62" i="24"/>
  <c r="K62" i="24"/>
  <c r="J62" i="24"/>
  <c r="I62" i="24"/>
  <c r="H62" i="24"/>
  <c r="G62" i="24"/>
  <c r="F62" i="24"/>
  <c r="E62" i="24"/>
  <c r="D62" i="24"/>
  <c r="C62" i="24"/>
  <c r="B62" i="24"/>
  <c r="A62" i="24"/>
  <c r="AC61" i="24"/>
  <c r="AB61" i="24"/>
  <c r="AA61" i="24"/>
  <c r="Z61" i="24"/>
  <c r="Y61" i="24"/>
  <c r="X61" i="24"/>
  <c r="W61" i="24"/>
  <c r="V61" i="24"/>
  <c r="U61" i="24"/>
  <c r="T61" i="24"/>
  <c r="S61" i="24"/>
  <c r="R61" i="24"/>
  <c r="Q61" i="24"/>
  <c r="P61" i="24"/>
  <c r="N61" i="24"/>
  <c r="M61" i="24"/>
  <c r="L61" i="24"/>
  <c r="K61" i="24"/>
  <c r="J61" i="24"/>
  <c r="I61" i="24"/>
  <c r="H61" i="24"/>
  <c r="G61" i="24"/>
  <c r="F61" i="24"/>
  <c r="E61" i="24"/>
  <c r="D61" i="24"/>
  <c r="C61" i="24"/>
  <c r="B61" i="24"/>
  <c r="A61" i="24"/>
  <c r="AC60" i="24"/>
  <c r="AB60" i="24"/>
  <c r="AA60" i="24"/>
  <c r="Z60" i="24"/>
  <c r="Y60" i="24"/>
  <c r="X60" i="24"/>
  <c r="W60" i="24"/>
  <c r="V60" i="24"/>
  <c r="U60" i="24"/>
  <c r="T60" i="24"/>
  <c r="S60" i="24"/>
  <c r="R60" i="24"/>
  <c r="Q60" i="24"/>
  <c r="P60" i="24"/>
  <c r="N60" i="24"/>
  <c r="M60" i="24"/>
  <c r="L60" i="24"/>
  <c r="K60" i="24"/>
  <c r="J60" i="24"/>
  <c r="I60" i="24"/>
  <c r="H60" i="24"/>
  <c r="G60" i="24"/>
  <c r="F60" i="24"/>
  <c r="E60" i="24"/>
  <c r="D60" i="24"/>
  <c r="C60" i="24"/>
  <c r="B60" i="24"/>
  <c r="A60" i="24"/>
  <c r="AC59" i="24"/>
  <c r="AB59" i="24"/>
  <c r="AA59" i="24"/>
  <c r="Z59" i="24"/>
  <c r="Y59" i="24"/>
  <c r="X59" i="24"/>
  <c r="W59" i="24"/>
  <c r="V59" i="24"/>
  <c r="U59" i="24"/>
  <c r="T59" i="24"/>
  <c r="S59" i="24"/>
  <c r="R59" i="24"/>
  <c r="Q59" i="24"/>
  <c r="P59" i="24"/>
  <c r="N59" i="24"/>
  <c r="M59" i="24"/>
  <c r="L59" i="24"/>
  <c r="K59" i="24"/>
  <c r="J59" i="24"/>
  <c r="I59" i="24"/>
  <c r="H59" i="24"/>
  <c r="G59" i="24"/>
  <c r="F59" i="24"/>
  <c r="E59" i="24"/>
  <c r="D59" i="24"/>
  <c r="C59" i="24"/>
  <c r="B59" i="24"/>
  <c r="A59" i="24"/>
  <c r="AC58" i="24"/>
  <c r="AB58" i="24"/>
  <c r="AA58" i="24"/>
  <c r="Z58" i="24"/>
  <c r="Y58" i="24"/>
  <c r="X58" i="24"/>
  <c r="W58" i="24"/>
  <c r="V58" i="24"/>
  <c r="U58" i="24"/>
  <c r="T58" i="24"/>
  <c r="S58" i="24"/>
  <c r="R58" i="24"/>
  <c r="Q58" i="24"/>
  <c r="P58" i="24"/>
  <c r="N58" i="24"/>
  <c r="M58" i="24"/>
  <c r="L58" i="24"/>
  <c r="K58" i="24"/>
  <c r="J58" i="24"/>
  <c r="I58" i="24"/>
  <c r="H58" i="24"/>
  <c r="G58" i="24"/>
  <c r="F58" i="24"/>
  <c r="E58" i="24"/>
  <c r="D58" i="24"/>
  <c r="C58" i="24"/>
  <c r="B58" i="24"/>
  <c r="A58" i="24"/>
  <c r="AC57" i="24"/>
  <c r="AB57" i="24"/>
  <c r="AA57" i="24"/>
  <c r="Z57" i="24"/>
  <c r="Y57" i="24"/>
  <c r="X57" i="24"/>
  <c r="W57" i="24"/>
  <c r="V57" i="24"/>
  <c r="U57" i="24"/>
  <c r="T57" i="24"/>
  <c r="S57" i="24"/>
  <c r="R57" i="24"/>
  <c r="Q57" i="24"/>
  <c r="P57" i="24"/>
  <c r="N57" i="24"/>
  <c r="M57" i="24"/>
  <c r="L57" i="24"/>
  <c r="K57" i="24"/>
  <c r="J57" i="24"/>
  <c r="I57" i="24"/>
  <c r="H57" i="24"/>
  <c r="G57" i="24"/>
  <c r="F57" i="24"/>
  <c r="E57" i="24"/>
  <c r="D57" i="24"/>
  <c r="C57" i="24"/>
  <c r="B57" i="24"/>
  <c r="A57" i="24"/>
  <c r="AC56" i="24"/>
  <c r="AB56" i="24"/>
  <c r="AA56" i="24"/>
  <c r="Z56" i="24"/>
  <c r="Y56" i="24"/>
  <c r="X56" i="24"/>
  <c r="W56" i="24"/>
  <c r="V56" i="24"/>
  <c r="U56" i="24"/>
  <c r="T56" i="24"/>
  <c r="S56" i="24"/>
  <c r="R56" i="24"/>
  <c r="Q56" i="24"/>
  <c r="P56" i="24"/>
  <c r="N56" i="24"/>
  <c r="M56" i="24"/>
  <c r="L56" i="24"/>
  <c r="K56" i="24"/>
  <c r="J56" i="24"/>
  <c r="I56" i="24"/>
  <c r="H56" i="24"/>
  <c r="G56" i="24"/>
  <c r="F56" i="24"/>
  <c r="E56" i="24"/>
  <c r="D56" i="24"/>
  <c r="C56" i="24"/>
  <c r="B56" i="24"/>
  <c r="A56" i="24"/>
  <c r="AC55" i="24"/>
  <c r="AB55" i="24"/>
  <c r="AA55" i="24"/>
  <c r="Z55" i="24"/>
  <c r="Y55" i="24"/>
  <c r="X55" i="24"/>
  <c r="W55" i="24"/>
  <c r="V55" i="24"/>
  <c r="U55" i="24"/>
  <c r="T55" i="24"/>
  <c r="S55" i="24"/>
  <c r="R55" i="24"/>
  <c r="Q55" i="24"/>
  <c r="P55" i="24"/>
  <c r="N55" i="24"/>
  <c r="M55" i="24"/>
  <c r="L55" i="24"/>
  <c r="K55" i="24"/>
  <c r="J55" i="24"/>
  <c r="I55" i="24"/>
  <c r="H55" i="24"/>
  <c r="G55" i="24"/>
  <c r="F55" i="24"/>
  <c r="E55" i="24"/>
  <c r="D55" i="24"/>
  <c r="C55" i="24"/>
  <c r="B55" i="24"/>
  <c r="A55" i="24"/>
  <c r="AC54" i="24"/>
  <c r="AB54" i="24"/>
  <c r="AA54" i="24"/>
  <c r="Z54" i="24"/>
  <c r="Y54" i="24"/>
  <c r="X54" i="24"/>
  <c r="W54" i="24"/>
  <c r="V54" i="24"/>
  <c r="U54" i="24"/>
  <c r="T54" i="24"/>
  <c r="S54" i="24"/>
  <c r="R54" i="24"/>
  <c r="Q54" i="24"/>
  <c r="P54" i="24"/>
  <c r="N54" i="24"/>
  <c r="M54" i="24"/>
  <c r="L54" i="24"/>
  <c r="K54" i="24"/>
  <c r="J54" i="24"/>
  <c r="I54" i="24"/>
  <c r="H54" i="24"/>
  <c r="G54" i="24"/>
  <c r="F54" i="24"/>
  <c r="E54" i="24"/>
  <c r="D54" i="24"/>
  <c r="C54" i="24"/>
  <c r="B54" i="24"/>
  <c r="A54" i="24"/>
  <c r="AC53" i="24"/>
  <c r="AB53" i="24"/>
  <c r="AA53" i="24"/>
  <c r="Z53" i="24"/>
  <c r="Y53" i="24"/>
  <c r="X53" i="24"/>
  <c r="W53" i="24"/>
  <c r="V53" i="24"/>
  <c r="U53" i="24"/>
  <c r="T53" i="24"/>
  <c r="S53" i="24"/>
  <c r="R53" i="24"/>
  <c r="Q53" i="24"/>
  <c r="P53" i="24"/>
  <c r="N53" i="24"/>
  <c r="M53" i="24"/>
  <c r="L53" i="24"/>
  <c r="K53" i="24"/>
  <c r="J53" i="24"/>
  <c r="I53" i="24"/>
  <c r="H53" i="24"/>
  <c r="G53" i="24"/>
  <c r="F53" i="24"/>
  <c r="E53" i="24"/>
  <c r="D53" i="24"/>
  <c r="C53" i="24"/>
  <c r="B53" i="24"/>
  <c r="A53" i="24"/>
  <c r="AC52" i="24"/>
  <c r="AB52" i="24"/>
  <c r="AA52" i="24"/>
  <c r="Z52" i="24"/>
  <c r="Y52" i="24"/>
  <c r="X52" i="24"/>
  <c r="W52" i="24"/>
  <c r="V52" i="24"/>
  <c r="U52" i="24"/>
  <c r="T52" i="24"/>
  <c r="S52" i="24"/>
  <c r="R52" i="24"/>
  <c r="Q52" i="24"/>
  <c r="P52" i="24"/>
  <c r="N52" i="24"/>
  <c r="M52" i="24"/>
  <c r="L52" i="24"/>
  <c r="K52" i="24"/>
  <c r="J52" i="24"/>
  <c r="I52" i="24"/>
  <c r="H52" i="24"/>
  <c r="G52" i="24"/>
  <c r="F52" i="24"/>
  <c r="E52" i="24"/>
  <c r="D52" i="24"/>
  <c r="C52" i="24"/>
  <c r="B52" i="24"/>
  <c r="A52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N51" i="24"/>
  <c r="M51" i="24"/>
  <c r="L51" i="24"/>
  <c r="K51" i="24"/>
  <c r="J51" i="24"/>
  <c r="I51" i="24"/>
  <c r="H51" i="24"/>
  <c r="G51" i="24"/>
  <c r="F51" i="24"/>
  <c r="E51" i="24"/>
  <c r="D51" i="24"/>
  <c r="C51" i="24"/>
  <c r="B51" i="24"/>
  <c r="A51" i="24"/>
  <c r="AC50" i="24"/>
  <c r="AB50" i="24"/>
  <c r="AA50" i="24"/>
  <c r="Z50" i="24"/>
  <c r="Y50" i="24"/>
  <c r="X50" i="24"/>
  <c r="W50" i="24"/>
  <c r="V50" i="24"/>
  <c r="U50" i="24"/>
  <c r="T50" i="24"/>
  <c r="S50" i="24"/>
  <c r="R50" i="24"/>
  <c r="Q50" i="24"/>
  <c r="P50" i="24"/>
  <c r="N50" i="24"/>
  <c r="M50" i="24"/>
  <c r="L50" i="24"/>
  <c r="K50" i="24"/>
  <c r="J50" i="24"/>
  <c r="I50" i="24"/>
  <c r="H50" i="24"/>
  <c r="G50" i="24"/>
  <c r="F50" i="24"/>
  <c r="E50" i="24"/>
  <c r="D50" i="24"/>
  <c r="C50" i="24"/>
  <c r="B50" i="24"/>
  <c r="A50" i="24"/>
  <c r="AC49" i="24"/>
  <c r="AB49" i="24"/>
  <c r="AA49" i="24"/>
  <c r="Z49" i="24"/>
  <c r="Y49" i="24"/>
  <c r="X49" i="24"/>
  <c r="W49" i="24"/>
  <c r="V49" i="24"/>
  <c r="U49" i="24"/>
  <c r="T49" i="24"/>
  <c r="S49" i="24"/>
  <c r="R49" i="24"/>
  <c r="Q49" i="24"/>
  <c r="P49" i="24"/>
  <c r="N49" i="24"/>
  <c r="M49" i="24"/>
  <c r="L49" i="24"/>
  <c r="K49" i="24"/>
  <c r="J49" i="24"/>
  <c r="I49" i="24"/>
  <c r="H49" i="24"/>
  <c r="G49" i="24"/>
  <c r="F49" i="24"/>
  <c r="E49" i="24"/>
  <c r="D49" i="24"/>
  <c r="C49" i="24"/>
  <c r="B49" i="24"/>
  <c r="A49" i="24"/>
  <c r="AC48" i="24"/>
  <c r="AB48" i="24"/>
  <c r="AA48" i="24"/>
  <c r="Z48" i="24"/>
  <c r="Y48" i="24"/>
  <c r="X48" i="24"/>
  <c r="W48" i="24"/>
  <c r="V48" i="24"/>
  <c r="U48" i="24"/>
  <c r="T48" i="24"/>
  <c r="S48" i="24"/>
  <c r="R48" i="24"/>
  <c r="Q48" i="24"/>
  <c r="P48" i="24"/>
  <c r="N48" i="24"/>
  <c r="M48" i="24"/>
  <c r="L48" i="24"/>
  <c r="K48" i="24"/>
  <c r="J48" i="24"/>
  <c r="I48" i="24"/>
  <c r="H48" i="24"/>
  <c r="G48" i="24"/>
  <c r="F48" i="24"/>
  <c r="E48" i="24"/>
  <c r="D48" i="24"/>
  <c r="C48" i="24"/>
  <c r="B48" i="24"/>
  <c r="A48" i="24"/>
  <c r="AC47" i="24"/>
  <c r="AB47" i="24"/>
  <c r="AA47" i="24"/>
  <c r="Z47" i="24"/>
  <c r="Y47" i="24"/>
  <c r="X47" i="24"/>
  <c r="W47" i="24"/>
  <c r="V47" i="24"/>
  <c r="U47" i="24"/>
  <c r="T47" i="24"/>
  <c r="S47" i="24"/>
  <c r="R47" i="24"/>
  <c r="Q47" i="24"/>
  <c r="P47" i="24"/>
  <c r="N47" i="24"/>
  <c r="M47" i="24"/>
  <c r="L47" i="24"/>
  <c r="K47" i="24"/>
  <c r="J47" i="24"/>
  <c r="I47" i="24"/>
  <c r="H47" i="24"/>
  <c r="G47" i="24"/>
  <c r="F47" i="24"/>
  <c r="E47" i="24"/>
  <c r="D47" i="24"/>
  <c r="C47" i="24"/>
  <c r="B47" i="24"/>
  <c r="A47" i="24"/>
  <c r="AC46" i="24"/>
  <c r="AB46" i="24"/>
  <c r="AA46" i="24"/>
  <c r="Z46" i="24"/>
  <c r="Y46" i="24"/>
  <c r="X46" i="24"/>
  <c r="W46" i="24"/>
  <c r="V46" i="24"/>
  <c r="U46" i="24"/>
  <c r="T46" i="24"/>
  <c r="S46" i="24"/>
  <c r="R46" i="24"/>
  <c r="Q46" i="24"/>
  <c r="P46" i="24"/>
  <c r="N46" i="24"/>
  <c r="M46" i="24"/>
  <c r="L46" i="24"/>
  <c r="K46" i="24"/>
  <c r="J46" i="24"/>
  <c r="I46" i="24"/>
  <c r="H46" i="24"/>
  <c r="G46" i="24"/>
  <c r="F46" i="24"/>
  <c r="E46" i="24"/>
  <c r="D46" i="24"/>
  <c r="C46" i="24"/>
  <c r="B46" i="24"/>
  <c r="A46" i="24"/>
  <c r="AC45" i="24"/>
  <c r="AB45" i="24"/>
  <c r="AA45" i="24"/>
  <c r="Z45" i="24"/>
  <c r="Y45" i="24"/>
  <c r="X45" i="24"/>
  <c r="W45" i="24"/>
  <c r="V45" i="24"/>
  <c r="U45" i="24"/>
  <c r="T45" i="24"/>
  <c r="S45" i="24"/>
  <c r="R45" i="24"/>
  <c r="Q45" i="24"/>
  <c r="P45" i="24"/>
  <c r="N45" i="24"/>
  <c r="M45" i="24"/>
  <c r="L45" i="24"/>
  <c r="K45" i="24"/>
  <c r="J45" i="24"/>
  <c r="I45" i="24"/>
  <c r="H45" i="24"/>
  <c r="G45" i="24"/>
  <c r="F45" i="24"/>
  <c r="E45" i="24"/>
  <c r="D45" i="24"/>
  <c r="C45" i="24"/>
  <c r="B45" i="24"/>
  <c r="A45" i="24"/>
  <c r="B22" i="24"/>
  <c r="D22" i="24"/>
  <c r="B21" i="24"/>
  <c r="D21" i="24"/>
  <c r="B20" i="24"/>
  <c r="D20" i="24"/>
  <c r="B19" i="24"/>
  <c r="D19" i="24"/>
  <c r="B18" i="24"/>
  <c r="D18" i="24"/>
  <c r="B17" i="24"/>
  <c r="D17" i="24"/>
  <c r="B16" i="24"/>
  <c r="D16" i="24"/>
  <c r="B15" i="24"/>
  <c r="D15" i="24"/>
  <c r="B14" i="24"/>
  <c r="D14" i="24"/>
  <c r="B13" i="24"/>
  <c r="D13" i="24"/>
  <c r="B12" i="24"/>
  <c r="D12" i="24"/>
  <c r="B11" i="24"/>
  <c r="D11" i="24"/>
  <c r="U22" i="24"/>
  <c r="C22" i="24"/>
  <c r="E22" i="24"/>
  <c r="G22" i="24"/>
  <c r="I22" i="24"/>
  <c r="J22" i="24"/>
  <c r="U21" i="24"/>
  <c r="C21" i="24"/>
  <c r="E21" i="24"/>
  <c r="G21" i="24"/>
  <c r="I21" i="24"/>
  <c r="J21" i="24"/>
  <c r="U20" i="24"/>
  <c r="C20" i="24"/>
  <c r="E20" i="24"/>
  <c r="G20" i="24"/>
  <c r="I20" i="24"/>
  <c r="J20" i="24"/>
  <c r="U19" i="24"/>
  <c r="C19" i="24"/>
  <c r="E19" i="24"/>
  <c r="G19" i="24"/>
  <c r="I19" i="24"/>
  <c r="J19" i="24"/>
  <c r="U18" i="24"/>
  <c r="C18" i="24"/>
  <c r="E18" i="24"/>
  <c r="G18" i="24"/>
  <c r="I18" i="24"/>
  <c r="J18" i="24"/>
  <c r="U17" i="24"/>
  <c r="C17" i="24"/>
  <c r="E17" i="24"/>
  <c r="G17" i="24"/>
  <c r="I17" i="24"/>
  <c r="J17" i="24"/>
  <c r="U16" i="24"/>
  <c r="C16" i="24"/>
  <c r="E16" i="24"/>
  <c r="G16" i="24"/>
  <c r="I16" i="24"/>
  <c r="J16" i="24"/>
  <c r="U15" i="24"/>
  <c r="C15" i="24"/>
  <c r="E15" i="24"/>
  <c r="G15" i="24"/>
  <c r="I15" i="24"/>
  <c r="J15" i="24"/>
  <c r="U14" i="24"/>
  <c r="C14" i="24"/>
  <c r="E14" i="24"/>
  <c r="G14" i="24"/>
  <c r="I14" i="24"/>
  <c r="J14" i="24"/>
  <c r="U13" i="24"/>
  <c r="C13" i="24"/>
  <c r="E13" i="24"/>
  <c r="G13" i="24"/>
  <c r="I13" i="24"/>
  <c r="J13" i="24"/>
  <c r="U12" i="24"/>
  <c r="C12" i="24"/>
  <c r="E12" i="24"/>
  <c r="G12" i="24"/>
  <c r="I12" i="24"/>
  <c r="J12" i="24"/>
  <c r="U11" i="24"/>
  <c r="C11" i="24"/>
  <c r="E11" i="24"/>
  <c r="G11" i="24"/>
  <c r="I11" i="24"/>
  <c r="J11" i="24"/>
  <c r="U10" i="24"/>
  <c r="N78" i="23"/>
  <c r="M78" i="23"/>
  <c r="L78" i="23"/>
  <c r="K78" i="23"/>
  <c r="J78" i="23"/>
  <c r="I78" i="23"/>
  <c r="H78" i="23"/>
  <c r="G78" i="23"/>
  <c r="F78" i="23"/>
  <c r="E78" i="23"/>
  <c r="D78" i="23"/>
  <c r="C78" i="23"/>
  <c r="B78" i="23"/>
  <c r="A78" i="23"/>
  <c r="N77" i="23"/>
  <c r="M77" i="23"/>
  <c r="L77" i="23"/>
  <c r="K77" i="23"/>
  <c r="J77" i="23"/>
  <c r="I77" i="23"/>
  <c r="H77" i="23"/>
  <c r="G77" i="23"/>
  <c r="F77" i="23"/>
  <c r="E77" i="23"/>
  <c r="D77" i="23"/>
  <c r="C77" i="23"/>
  <c r="B77" i="23"/>
  <c r="A77" i="23"/>
  <c r="N76" i="23"/>
  <c r="M76" i="23"/>
  <c r="L76" i="23"/>
  <c r="K76" i="23"/>
  <c r="J76" i="23"/>
  <c r="I76" i="23"/>
  <c r="H76" i="23"/>
  <c r="G76" i="23"/>
  <c r="F76" i="23"/>
  <c r="E76" i="23"/>
  <c r="D76" i="23"/>
  <c r="C76" i="23"/>
  <c r="B76" i="23"/>
  <c r="A76" i="23"/>
  <c r="N75" i="23"/>
  <c r="M75" i="23"/>
  <c r="L75" i="23"/>
  <c r="K75" i="23"/>
  <c r="J75" i="23"/>
  <c r="I75" i="23"/>
  <c r="H75" i="23"/>
  <c r="G75" i="23"/>
  <c r="F75" i="23"/>
  <c r="E75" i="23"/>
  <c r="D75" i="23"/>
  <c r="C75" i="23"/>
  <c r="B75" i="23"/>
  <c r="A75" i="23"/>
  <c r="N74" i="23"/>
  <c r="M74" i="23"/>
  <c r="L74" i="23"/>
  <c r="K74" i="23"/>
  <c r="J74" i="23"/>
  <c r="I74" i="23"/>
  <c r="H74" i="23"/>
  <c r="G74" i="23"/>
  <c r="F74" i="23"/>
  <c r="E74" i="23"/>
  <c r="D74" i="23"/>
  <c r="C74" i="23"/>
  <c r="B74" i="23"/>
  <c r="A74" i="23"/>
  <c r="N73" i="23"/>
  <c r="M73" i="23"/>
  <c r="L73" i="23"/>
  <c r="K73" i="23"/>
  <c r="J73" i="23"/>
  <c r="I73" i="23"/>
  <c r="H73" i="23"/>
  <c r="G73" i="23"/>
  <c r="F73" i="23"/>
  <c r="E73" i="23"/>
  <c r="D73" i="23"/>
  <c r="C73" i="23"/>
  <c r="B73" i="23"/>
  <c r="A73" i="23"/>
  <c r="N72" i="23"/>
  <c r="M72" i="23"/>
  <c r="L72" i="23"/>
  <c r="K72" i="23"/>
  <c r="J72" i="23"/>
  <c r="I72" i="23"/>
  <c r="H72" i="23"/>
  <c r="G72" i="23"/>
  <c r="F72" i="23"/>
  <c r="E72" i="23"/>
  <c r="D72" i="23"/>
  <c r="C72" i="23"/>
  <c r="B72" i="23"/>
  <c r="A72" i="23"/>
  <c r="N71" i="23"/>
  <c r="M71" i="23"/>
  <c r="L71" i="23"/>
  <c r="K71" i="23"/>
  <c r="J71" i="23"/>
  <c r="I71" i="23"/>
  <c r="H71" i="23"/>
  <c r="G71" i="23"/>
  <c r="F71" i="23"/>
  <c r="E71" i="23"/>
  <c r="D71" i="23"/>
  <c r="C71" i="23"/>
  <c r="B71" i="23"/>
  <c r="A71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B70" i="23"/>
  <c r="A70" i="23"/>
  <c r="N69" i="23"/>
  <c r="M69" i="23"/>
  <c r="L69" i="23"/>
  <c r="K69" i="23"/>
  <c r="J69" i="23"/>
  <c r="I69" i="23"/>
  <c r="H69" i="23"/>
  <c r="G69" i="23"/>
  <c r="F69" i="23"/>
  <c r="E69" i="23"/>
  <c r="D69" i="23"/>
  <c r="C69" i="23"/>
  <c r="B69" i="23"/>
  <c r="A69" i="23"/>
  <c r="N68" i="23"/>
  <c r="M68" i="23"/>
  <c r="L68" i="23"/>
  <c r="K68" i="23"/>
  <c r="J68" i="23"/>
  <c r="I68" i="23"/>
  <c r="H68" i="23"/>
  <c r="G68" i="23"/>
  <c r="F68" i="23"/>
  <c r="E68" i="23"/>
  <c r="D68" i="23"/>
  <c r="C68" i="23"/>
  <c r="B68" i="23"/>
  <c r="A68" i="23"/>
  <c r="N67" i="23"/>
  <c r="M67" i="23"/>
  <c r="L67" i="23"/>
  <c r="K67" i="23"/>
  <c r="J67" i="23"/>
  <c r="I67" i="23"/>
  <c r="H67" i="23"/>
  <c r="G67" i="23"/>
  <c r="F67" i="23"/>
  <c r="E67" i="23"/>
  <c r="D67" i="23"/>
  <c r="C67" i="23"/>
  <c r="B67" i="23"/>
  <c r="A67" i="23"/>
  <c r="N66" i="23"/>
  <c r="M66" i="23"/>
  <c r="L66" i="23"/>
  <c r="K66" i="23"/>
  <c r="J66" i="23"/>
  <c r="I66" i="23"/>
  <c r="H66" i="23"/>
  <c r="G66" i="23"/>
  <c r="F66" i="23"/>
  <c r="E66" i="23"/>
  <c r="D66" i="23"/>
  <c r="C66" i="23"/>
  <c r="B66" i="23"/>
  <c r="A66" i="23"/>
  <c r="N65" i="23"/>
  <c r="M65" i="23"/>
  <c r="L65" i="23"/>
  <c r="K65" i="23"/>
  <c r="J65" i="23"/>
  <c r="I65" i="23"/>
  <c r="H65" i="23"/>
  <c r="G65" i="23"/>
  <c r="F65" i="23"/>
  <c r="E65" i="23"/>
  <c r="D65" i="23"/>
  <c r="C65" i="23"/>
  <c r="B65" i="23"/>
  <c r="A65" i="23"/>
  <c r="N64" i="23"/>
  <c r="M64" i="23"/>
  <c r="L64" i="23"/>
  <c r="K64" i="23"/>
  <c r="J64" i="23"/>
  <c r="I64" i="23"/>
  <c r="H64" i="23"/>
  <c r="G64" i="23"/>
  <c r="F64" i="23"/>
  <c r="E64" i="23"/>
  <c r="D64" i="23"/>
  <c r="C64" i="23"/>
  <c r="B64" i="23"/>
  <c r="A64" i="23"/>
  <c r="AC63" i="23"/>
  <c r="AB63" i="23"/>
  <c r="AA63" i="23"/>
  <c r="Z63" i="23"/>
  <c r="Y63" i="23"/>
  <c r="X63" i="23"/>
  <c r="W63" i="23"/>
  <c r="V63" i="23"/>
  <c r="U63" i="23"/>
  <c r="T63" i="23"/>
  <c r="S63" i="23"/>
  <c r="R63" i="23"/>
  <c r="Q63" i="23"/>
  <c r="P63" i="23"/>
  <c r="N63" i="23"/>
  <c r="M63" i="23"/>
  <c r="L63" i="23"/>
  <c r="K63" i="23"/>
  <c r="J63" i="23"/>
  <c r="I63" i="23"/>
  <c r="H63" i="23"/>
  <c r="G63" i="23"/>
  <c r="F63" i="23"/>
  <c r="E63" i="23"/>
  <c r="D63" i="23"/>
  <c r="C63" i="23"/>
  <c r="B63" i="23"/>
  <c r="A63" i="23"/>
  <c r="AC62" i="23"/>
  <c r="AB62" i="23"/>
  <c r="AA62" i="23"/>
  <c r="Z62" i="23"/>
  <c r="Y62" i="23"/>
  <c r="X62" i="23"/>
  <c r="W62" i="23"/>
  <c r="V62" i="23"/>
  <c r="U62" i="23"/>
  <c r="T62" i="23"/>
  <c r="S62" i="23"/>
  <c r="R62" i="23"/>
  <c r="Q62" i="23"/>
  <c r="P62" i="23"/>
  <c r="N62" i="23"/>
  <c r="M62" i="23"/>
  <c r="L62" i="23"/>
  <c r="K62" i="23"/>
  <c r="J62" i="23"/>
  <c r="I62" i="23"/>
  <c r="H62" i="23"/>
  <c r="G62" i="23"/>
  <c r="F62" i="23"/>
  <c r="E62" i="23"/>
  <c r="D62" i="23"/>
  <c r="C62" i="23"/>
  <c r="B62" i="23"/>
  <c r="A62" i="23"/>
  <c r="AC61" i="23"/>
  <c r="AB61" i="23"/>
  <c r="AA61" i="23"/>
  <c r="Z61" i="23"/>
  <c r="Y61" i="23"/>
  <c r="X61" i="23"/>
  <c r="W61" i="23"/>
  <c r="V61" i="23"/>
  <c r="U61" i="23"/>
  <c r="T61" i="23"/>
  <c r="S61" i="23"/>
  <c r="R61" i="23"/>
  <c r="Q61" i="23"/>
  <c r="P61" i="23"/>
  <c r="N61" i="23"/>
  <c r="M61" i="23"/>
  <c r="L61" i="23"/>
  <c r="K61" i="23"/>
  <c r="J61" i="23"/>
  <c r="I61" i="23"/>
  <c r="H61" i="23"/>
  <c r="G61" i="23"/>
  <c r="F61" i="23"/>
  <c r="E61" i="23"/>
  <c r="D61" i="23"/>
  <c r="C61" i="23"/>
  <c r="B61" i="23"/>
  <c r="A61" i="23"/>
  <c r="AC60" i="23"/>
  <c r="AB60" i="23"/>
  <c r="AA60" i="23"/>
  <c r="Z60" i="23"/>
  <c r="Y60" i="23"/>
  <c r="X60" i="23"/>
  <c r="W60" i="23"/>
  <c r="V60" i="23"/>
  <c r="U60" i="23"/>
  <c r="T60" i="23"/>
  <c r="S60" i="23"/>
  <c r="R60" i="23"/>
  <c r="Q60" i="23"/>
  <c r="P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B60" i="23"/>
  <c r="A60" i="23"/>
  <c r="AC59" i="23"/>
  <c r="AB59" i="23"/>
  <c r="AA59" i="23"/>
  <c r="Z59" i="23"/>
  <c r="Y59" i="23"/>
  <c r="X59" i="23"/>
  <c r="W59" i="23"/>
  <c r="V59" i="23"/>
  <c r="U59" i="23"/>
  <c r="T59" i="23"/>
  <c r="S59" i="23"/>
  <c r="R59" i="23"/>
  <c r="Q59" i="23"/>
  <c r="P59" i="23"/>
  <c r="N59" i="23"/>
  <c r="M59" i="23"/>
  <c r="L59" i="23"/>
  <c r="K59" i="23"/>
  <c r="J59" i="23"/>
  <c r="I59" i="23"/>
  <c r="H59" i="23"/>
  <c r="G59" i="23"/>
  <c r="F59" i="23"/>
  <c r="E59" i="23"/>
  <c r="D59" i="23"/>
  <c r="C59" i="23"/>
  <c r="B59" i="23"/>
  <c r="A59" i="23"/>
  <c r="AC58" i="23"/>
  <c r="AB58" i="23"/>
  <c r="AA58" i="23"/>
  <c r="Z58" i="23"/>
  <c r="Y58" i="23"/>
  <c r="X58" i="23"/>
  <c r="W58" i="23"/>
  <c r="V58" i="23"/>
  <c r="U58" i="23"/>
  <c r="T58" i="23"/>
  <c r="S58" i="23"/>
  <c r="R58" i="23"/>
  <c r="Q58" i="23"/>
  <c r="P58" i="23"/>
  <c r="N58" i="23"/>
  <c r="M58" i="23"/>
  <c r="L58" i="23"/>
  <c r="K58" i="23"/>
  <c r="J58" i="23"/>
  <c r="I58" i="23"/>
  <c r="H58" i="23"/>
  <c r="G58" i="23"/>
  <c r="F58" i="23"/>
  <c r="E58" i="23"/>
  <c r="D58" i="23"/>
  <c r="C58" i="23"/>
  <c r="B58" i="23"/>
  <c r="A58" i="23"/>
  <c r="AC57" i="23"/>
  <c r="AB57" i="23"/>
  <c r="AA57" i="23"/>
  <c r="Z57" i="23"/>
  <c r="Y57" i="23"/>
  <c r="X57" i="23"/>
  <c r="W57" i="23"/>
  <c r="V57" i="23"/>
  <c r="U57" i="23"/>
  <c r="T57" i="23"/>
  <c r="S57" i="23"/>
  <c r="R57" i="23"/>
  <c r="Q57" i="23"/>
  <c r="P57" i="23"/>
  <c r="N57" i="23"/>
  <c r="M57" i="23"/>
  <c r="L57" i="23"/>
  <c r="K57" i="23"/>
  <c r="J57" i="23"/>
  <c r="I57" i="23"/>
  <c r="H57" i="23"/>
  <c r="G57" i="23"/>
  <c r="F57" i="23"/>
  <c r="E57" i="23"/>
  <c r="D57" i="23"/>
  <c r="C57" i="23"/>
  <c r="B57" i="23"/>
  <c r="A57" i="23"/>
  <c r="AC56" i="23"/>
  <c r="AB56" i="23"/>
  <c r="AA56" i="23"/>
  <c r="Z56" i="23"/>
  <c r="Y56" i="23"/>
  <c r="X56" i="23"/>
  <c r="W56" i="23"/>
  <c r="V56" i="23"/>
  <c r="U56" i="23"/>
  <c r="T56" i="23"/>
  <c r="S56" i="23"/>
  <c r="R56" i="23"/>
  <c r="Q56" i="23"/>
  <c r="P56" i="23"/>
  <c r="N56" i="23"/>
  <c r="M56" i="23"/>
  <c r="L56" i="23"/>
  <c r="K56" i="23"/>
  <c r="J56" i="23"/>
  <c r="I56" i="23"/>
  <c r="H56" i="23"/>
  <c r="G56" i="23"/>
  <c r="F56" i="23"/>
  <c r="E56" i="23"/>
  <c r="D56" i="23"/>
  <c r="C56" i="23"/>
  <c r="B56" i="23"/>
  <c r="A56" i="23"/>
  <c r="AC55" i="23"/>
  <c r="AB55" i="23"/>
  <c r="AA55" i="23"/>
  <c r="Z55" i="23"/>
  <c r="Y55" i="23"/>
  <c r="X55" i="23"/>
  <c r="W55" i="23"/>
  <c r="V55" i="23"/>
  <c r="U55" i="23"/>
  <c r="T55" i="23"/>
  <c r="S55" i="23"/>
  <c r="R55" i="23"/>
  <c r="Q55" i="23"/>
  <c r="P55" i="23"/>
  <c r="N55" i="23"/>
  <c r="M55" i="23"/>
  <c r="L55" i="23"/>
  <c r="K55" i="23"/>
  <c r="J55" i="23"/>
  <c r="I55" i="23"/>
  <c r="H55" i="23"/>
  <c r="G55" i="23"/>
  <c r="F55" i="23"/>
  <c r="E55" i="23"/>
  <c r="D55" i="23"/>
  <c r="C55" i="23"/>
  <c r="B55" i="23"/>
  <c r="A55" i="23"/>
  <c r="AC54" i="23"/>
  <c r="AB54" i="23"/>
  <c r="AA54" i="23"/>
  <c r="Z54" i="23"/>
  <c r="Y54" i="23"/>
  <c r="X54" i="23"/>
  <c r="W54" i="23"/>
  <c r="V54" i="23"/>
  <c r="U54" i="23"/>
  <c r="T54" i="23"/>
  <c r="S54" i="23"/>
  <c r="R54" i="23"/>
  <c r="Q54" i="23"/>
  <c r="P54" i="23"/>
  <c r="N54" i="23"/>
  <c r="M54" i="23"/>
  <c r="L54" i="23"/>
  <c r="K54" i="23"/>
  <c r="J54" i="23"/>
  <c r="I54" i="23"/>
  <c r="H54" i="23"/>
  <c r="G54" i="23"/>
  <c r="F54" i="23"/>
  <c r="E54" i="23"/>
  <c r="D54" i="23"/>
  <c r="C54" i="23"/>
  <c r="B54" i="23"/>
  <c r="A54" i="23"/>
  <c r="AC53" i="23"/>
  <c r="AB53" i="23"/>
  <c r="AA53" i="23"/>
  <c r="Z53" i="23"/>
  <c r="Y53" i="23"/>
  <c r="X53" i="23"/>
  <c r="W53" i="23"/>
  <c r="V53" i="23"/>
  <c r="U53" i="23"/>
  <c r="T53" i="23"/>
  <c r="S53" i="23"/>
  <c r="R53" i="23"/>
  <c r="Q53" i="23"/>
  <c r="P53" i="23"/>
  <c r="N53" i="23"/>
  <c r="M53" i="23"/>
  <c r="L53" i="23"/>
  <c r="K53" i="23"/>
  <c r="J53" i="23"/>
  <c r="I53" i="23"/>
  <c r="H53" i="23"/>
  <c r="G53" i="23"/>
  <c r="F53" i="23"/>
  <c r="E53" i="23"/>
  <c r="D53" i="23"/>
  <c r="C53" i="23"/>
  <c r="B53" i="23"/>
  <c r="A53" i="23"/>
  <c r="AC52" i="23"/>
  <c r="AB52" i="23"/>
  <c r="AA52" i="23"/>
  <c r="Z52" i="23"/>
  <c r="Y52" i="23"/>
  <c r="X52" i="23"/>
  <c r="W52" i="23"/>
  <c r="V52" i="23"/>
  <c r="U52" i="23"/>
  <c r="T52" i="23"/>
  <c r="S52" i="23"/>
  <c r="R52" i="23"/>
  <c r="Q52" i="23"/>
  <c r="P52" i="23"/>
  <c r="N52" i="23"/>
  <c r="M52" i="23"/>
  <c r="L52" i="23"/>
  <c r="K52" i="23"/>
  <c r="J52" i="23"/>
  <c r="I52" i="23"/>
  <c r="H52" i="23"/>
  <c r="G52" i="23"/>
  <c r="F52" i="23"/>
  <c r="E52" i="23"/>
  <c r="D52" i="23"/>
  <c r="C52" i="23"/>
  <c r="B52" i="23"/>
  <c r="A52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N51" i="23"/>
  <c r="M51" i="23"/>
  <c r="L51" i="23"/>
  <c r="K51" i="23"/>
  <c r="J51" i="23"/>
  <c r="I51" i="23"/>
  <c r="H51" i="23"/>
  <c r="G51" i="23"/>
  <c r="F51" i="23"/>
  <c r="E51" i="23"/>
  <c r="D51" i="23"/>
  <c r="C51" i="23"/>
  <c r="B51" i="23"/>
  <c r="A51" i="23"/>
  <c r="AC50" i="23"/>
  <c r="AB50" i="23"/>
  <c r="AA50" i="23"/>
  <c r="Z50" i="23"/>
  <c r="Y50" i="23"/>
  <c r="X50" i="23"/>
  <c r="W50" i="23"/>
  <c r="V50" i="23"/>
  <c r="U50" i="23"/>
  <c r="T50" i="23"/>
  <c r="S50" i="23"/>
  <c r="R50" i="23"/>
  <c r="Q50" i="23"/>
  <c r="P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B50" i="23"/>
  <c r="A50" i="23"/>
  <c r="AC49" i="23"/>
  <c r="AB49" i="23"/>
  <c r="AA49" i="23"/>
  <c r="Z49" i="23"/>
  <c r="Y49" i="23"/>
  <c r="X49" i="23"/>
  <c r="W49" i="23"/>
  <c r="V49" i="23"/>
  <c r="U49" i="23"/>
  <c r="T49" i="23"/>
  <c r="S49" i="23"/>
  <c r="R49" i="23"/>
  <c r="Q49" i="23"/>
  <c r="P49" i="23"/>
  <c r="N49" i="23"/>
  <c r="M49" i="23"/>
  <c r="L49" i="23"/>
  <c r="K49" i="23"/>
  <c r="J49" i="23"/>
  <c r="I49" i="23"/>
  <c r="H49" i="23"/>
  <c r="G49" i="23"/>
  <c r="F49" i="23"/>
  <c r="E49" i="23"/>
  <c r="D49" i="23"/>
  <c r="C49" i="23"/>
  <c r="B49" i="23"/>
  <c r="A49" i="23"/>
  <c r="AC48" i="23"/>
  <c r="AB48" i="23"/>
  <c r="AA48" i="23"/>
  <c r="Z48" i="23"/>
  <c r="Y48" i="23"/>
  <c r="X48" i="23"/>
  <c r="W48" i="23"/>
  <c r="V48" i="23"/>
  <c r="U48" i="23"/>
  <c r="T48" i="23"/>
  <c r="S48" i="23"/>
  <c r="R48" i="23"/>
  <c r="Q48" i="23"/>
  <c r="P48" i="23"/>
  <c r="N48" i="23"/>
  <c r="M48" i="23"/>
  <c r="L48" i="23"/>
  <c r="K48" i="23"/>
  <c r="J48" i="23"/>
  <c r="I48" i="23"/>
  <c r="H48" i="23"/>
  <c r="G48" i="23"/>
  <c r="F48" i="23"/>
  <c r="E48" i="23"/>
  <c r="D48" i="23"/>
  <c r="C48" i="23"/>
  <c r="B48" i="23"/>
  <c r="A48" i="23"/>
  <c r="AC47" i="23"/>
  <c r="AB47" i="23"/>
  <c r="AA47" i="23"/>
  <c r="Z47" i="23"/>
  <c r="Y47" i="23"/>
  <c r="X47" i="23"/>
  <c r="W47" i="23"/>
  <c r="V47" i="23"/>
  <c r="U47" i="23"/>
  <c r="T47" i="23"/>
  <c r="S47" i="23"/>
  <c r="R47" i="23"/>
  <c r="Q47" i="23"/>
  <c r="P47" i="23"/>
  <c r="N47" i="23"/>
  <c r="M47" i="23"/>
  <c r="L47" i="23"/>
  <c r="K47" i="23"/>
  <c r="J47" i="23"/>
  <c r="I47" i="23"/>
  <c r="H47" i="23"/>
  <c r="G47" i="23"/>
  <c r="F47" i="23"/>
  <c r="E47" i="23"/>
  <c r="D47" i="23"/>
  <c r="C47" i="23"/>
  <c r="B47" i="23"/>
  <c r="A47" i="23"/>
  <c r="AC46" i="23"/>
  <c r="AB46" i="23"/>
  <c r="AA46" i="23"/>
  <c r="Z46" i="23"/>
  <c r="Y46" i="23"/>
  <c r="X46" i="23"/>
  <c r="W46" i="23"/>
  <c r="V46" i="23"/>
  <c r="U46" i="23"/>
  <c r="T46" i="23"/>
  <c r="S46" i="23"/>
  <c r="R46" i="23"/>
  <c r="Q46" i="23"/>
  <c r="P46" i="23"/>
  <c r="N46" i="23"/>
  <c r="M46" i="23"/>
  <c r="L46" i="23"/>
  <c r="K46" i="23"/>
  <c r="J46" i="23"/>
  <c r="I46" i="23"/>
  <c r="H46" i="23"/>
  <c r="G46" i="23"/>
  <c r="F46" i="23"/>
  <c r="E46" i="23"/>
  <c r="D46" i="23"/>
  <c r="C46" i="23"/>
  <c r="B46" i="23"/>
  <c r="A46" i="23"/>
  <c r="AC45" i="23"/>
  <c r="AB45" i="23"/>
  <c r="AA45" i="23"/>
  <c r="Z45" i="23"/>
  <c r="Y45" i="23"/>
  <c r="X45" i="23"/>
  <c r="W45" i="23"/>
  <c r="V45" i="23"/>
  <c r="U45" i="23"/>
  <c r="T45" i="23"/>
  <c r="S45" i="23"/>
  <c r="R45" i="23"/>
  <c r="Q45" i="23"/>
  <c r="P45" i="23"/>
  <c r="N45" i="23"/>
  <c r="M45" i="23"/>
  <c r="L45" i="23"/>
  <c r="K45" i="23"/>
  <c r="J45" i="23"/>
  <c r="I45" i="23"/>
  <c r="H45" i="23"/>
  <c r="G45" i="23"/>
  <c r="F45" i="23"/>
  <c r="E45" i="23"/>
  <c r="D45" i="23"/>
  <c r="C45" i="23"/>
  <c r="B45" i="23"/>
  <c r="A45" i="23"/>
  <c r="B22" i="23"/>
  <c r="D22" i="23"/>
  <c r="B21" i="23"/>
  <c r="D21" i="23"/>
  <c r="B20" i="23"/>
  <c r="D20" i="23"/>
  <c r="B19" i="23"/>
  <c r="D19" i="23"/>
  <c r="B18" i="23"/>
  <c r="D18" i="23"/>
  <c r="B17" i="23"/>
  <c r="D17" i="23"/>
  <c r="B16" i="23"/>
  <c r="D16" i="23"/>
  <c r="B15" i="23"/>
  <c r="D15" i="23"/>
  <c r="B14" i="23"/>
  <c r="D14" i="23"/>
  <c r="B13" i="23"/>
  <c r="D13" i="23"/>
  <c r="B12" i="23"/>
  <c r="D12" i="23"/>
  <c r="B11" i="23"/>
  <c r="D11" i="23"/>
  <c r="U22" i="23"/>
  <c r="C22" i="23"/>
  <c r="E22" i="23"/>
  <c r="G22" i="23"/>
  <c r="I22" i="23"/>
  <c r="J22" i="23"/>
  <c r="U21" i="23"/>
  <c r="C21" i="23"/>
  <c r="E21" i="23"/>
  <c r="G21" i="23"/>
  <c r="I21" i="23"/>
  <c r="J21" i="23"/>
  <c r="U20" i="23"/>
  <c r="C20" i="23"/>
  <c r="E20" i="23"/>
  <c r="G20" i="23"/>
  <c r="I20" i="23"/>
  <c r="J20" i="23"/>
  <c r="U19" i="23"/>
  <c r="C19" i="23"/>
  <c r="E19" i="23"/>
  <c r="G19" i="23"/>
  <c r="I19" i="23"/>
  <c r="J19" i="23"/>
  <c r="U18" i="23"/>
  <c r="C18" i="23"/>
  <c r="E18" i="23"/>
  <c r="G18" i="23"/>
  <c r="I18" i="23"/>
  <c r="J18" i="23"/>
  <c r="U17" i="23"/>
  <c r="C17" i="23"/>
  <c r="E17" i="23"/>
  <c r="G17" i="23"/>
  <c r="I17" i="23"/>
  <c r="J17" i="23"/>
  <c r="U16" i="23"/>
  <c r="C16" i="23"/>
  <c r="E16" i="23"/>
  <c r="G16" i="23"/>
  <c r="I16" i="23"/>
  <c r="J16" i="23"/>
  <c r="U15" i="23"/>
  <c r="C15" i="23"/>
  <c r="E15" i="23"/>
  <c r="G15" i="23"/>
  <c r="I15" i="23"/>
  <c r="J15" i="23"/>
  <c r="U14" i="23"/>
  <c r="C14" i="23"/>
  <c r="E14" i="23"/>
  <c r="G14" i="23"/>
  <c r="I14" i="23"/>
  <c r="J14" i="23"/>
  <c r="U13" i="23"/>
  <c r="C13" i="23"/>
  <c r="E13" i="23"/>
  <c r="G13" i="23"/>
  <c r="I13" i="23"/>
  <c r="J13" i="23"/>
  <c r="U12" i="23"/>
  <c r="C12" i="23"/>
  <c r="E12" i="23"/>
  <c r="G12" i="23"/>
  <c r="I12" i="23"/>
  <c r="J12" i="23"/>
  <c r="U11" i="23"/>
  <c r="C11" i="23"/>
  <c r="E11" i="23"/>
  <c r="G11" i="23"/>
  <c r="I11" i="23"/>
  <c r="J11" i="23"/>
  <c r="U10" i="23"/>
  <c r="B11" i="19"/>
  <c r="D11" i="19"/>
  <c r="U11" i="19"/>
  <c r="B12" i="19"/>
  <c r="D12" i="19"/>
  <c r="U12" i="19"/>
  <c r="B13" i="19"/>
  <c r="D13" i="19"/>
  <c r="U13" i="19"/>
  <c r="B14" i="19"/>
  <c r="D14" i="19"/>
  <c r="U14" i="19"/>
  <c r="B15" i="19"/>
  <c r="D15" i="19"/>
  <c r="U15" i="19"/>
  <c r="B16" i="19"/>
  <c r="D16" i="19"/>
  <c r="U16" i="19"/>
  <c r="B17" i="19"/>
  <c r="D17" i="19"/>
  <c r="U17" i="19"/>
  <c r="B18" i="19"/>
  <c r="D18" i="19"/>
  <c r="U18" i="19"/>
  <c r="B19" i="19"/>
  <c r="D19" i="19"/>
  <c r="U19" i="19"/>
  <c r="B20" i="19"/>
  <c r="D20" i="19"/>
  <c r="U20" i="19"/>
  <c r="B21" i="19"/>
  <c r="D21" i="19"/>
  <c r="U21" i="19"/>
  <c r="B22" i="19"/>
  <c r="D22" i="19"/>
  <c r="U22" i="19"/>
  <c r="U10" i="19"/>
  <c r="T45" i="19"/>
  <c r="T46" i="19"/>
  <c r="C11" i="19"/>
  <c r="E11" i="19"/>
  <c r="G11" i="19"/>
  <c r="I11" i="19"/>
  <c r="P45" i="19"/>
  <c r="Q45" i="19"/>
  <c r="R45" i="19"/>
  <c r="S45" i="19"/>
  <c r="U45" i="19"/>
  <c r="V45" i="19"/>
  <c r="W45" i="19"/>
  <c r="X45" i="19"/>
  <c r="Y45" i="19"/>
  <c r="Z45" i="19"/>
  <c r="AA45" i="19"/>
  <c r="AB45" i="19"/>
  <c r="AC45" i="19"/>
  <c r="P46" i="19"/>
  <c r="Q46" i="19"/>
  <c r="R46" i="19"/>
  <c r="S46" i="19"/>
  <c r="U46" i="19"/>
  <c r="V46" i="19"/>
  <c r="W46" i="19"/>
  <c r="X46" i="19"/>
  <c r="Y46" i="19"/>
  <c r="Z46" i="19"/>
  <c r="AA46" i="19"/>
  <c r="AB46" i="19"/>
  <c r="AC46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P50" i="19"/>
  <c r="Q50" i="19"/>
  <c r="R50" i="19"/>
  <c r="S50" i="19"/>
  <c r="T50" i="19"/>
  <c r="U50" i="19"/>
  <c r="V50" i="19"/>
  <c r="W50" i="19"/>
  <c r="X50" i="19"/>
  <c r="Y50" i="19"/>
  <c r="Z50" i="19"/>
  <c r="AA50" i="19"/>
  <c r="AB50" i="19"/>
  <c r="AC50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P53" i="19"/>
  <c r="Q53" i="19"/>
  <c r="R53" i="19"/>
  <c r="S53" i="19"/>
  <c r="T53" i="19"/>
  <c r="U53" i="19"/>
  <c r="V53" i="19"/>
  <c r="W53" i="19"/>
  <c r="X53" i="19"/>
  <c r="Y53" i="19"/>
  <c r="Z53" i="19"/>
  <c r="AA53" i="19"/>
  <c r="AB53" i="19"/>
  <c r="AC53" i="19"/>
  <c r="P54" i="19"/>
  <c r="Q54" i="19"/>
  <c r="R54" i="19"/>
  <c r="S54" i="19"/>
  <c r="T54" i="19"/>
  <c r="U54" i="19"/>
  <c r="V54" i="19"/>
  <c r="W54" i="19"/>
  <c r="X54" i="19"/>
  <c r="Y54" i="19"/>
  <c r="Z54" i="19"/>
  <c r="AA54" i="19"/>
  <c r="AB54" i="19"/>
  <c r="AC54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I12" i="19"/>
  <c r="I13" i="19"/>
  <c r="I14" i="19"/>
  <c r="I15" i="19"/>
  <c r="I16" i="19"/>
  <c r="I17" i="19"/>
  <c r="I18" i="19"/>
  <c r="I19" i="19"/>
  <c r="I20" i="19"/>
  <c r="I21" i="19"/>
  <c r="I22" i="19"/>
  <c r="G12" i="19"/>
  <c r="G13" i="19"/>
  <c r="G14" i="19"/>
  <c r="G15" i="19"/>
  <c r="G16" i="19"/>
  <c r="G17" i="19"/>
  <c r="G18" i="19"/>
  <c r="G19" i="19"/>
  <c r="G20" i="19"/>
  <c r="G21" i="19"/>
  <c r="G22" i="19"/>
  <c r="E12" i="19"/>
  <c r="E13" i="19"/>
  <c r="E14" i="19"/>
  <c r="E15" i="19"/>
  <c r="E16" i="19"/>
  <c r="E17" i="19"/>
  <c r="E18" i="19"/>
  <c r="E19" i="19"/>
  <c r="E20" i="19"/>
  <c r="E21" i="19"/>
  <c r="E22" i="19"/>
  <c r="C12" i="19"/>
  <c r="C13" i="19"/>
  <c r="C14" i="19"/>
  <c r="C15" i="19"/>
  <c r="C16" i="19"/>
  <c r="C17" i="19"/>
  <c r="C18" i="19"/>
  <c r="C19" i="19"/>
  <c r="C20" i="19"/>
  <c r="C21" i="19"/>
  <c r="C22" i="19"/>
  <c r="G44" i="1"/>
  <c r="B4" i="21"/>
  <c r="B5" i="21"/>
  <c r="E4" i="21"/>
  <c r="B7" i="21"/>
  <c r="B8" i="21"/>
  <c r="B14" i="21"/>
  <c r="F12" i="21"/>
  <c r="E5" i="21"/>
  <c r="F5" i="21"/>
  <c r="B9" i="21"/>
  <c r="A45" i="19"/>
  <c r="B45" i="19"/>
  <c r="C45" i="19"/>
  <c r="D45" i="19"/>
  <c r="E45" i="19"/>
  <c r="F45" i="19"/>
  <c r="G45" i="19"/>
  <c r="H45" i="19"/>
  <c r="I45" i="19"/>
  <c r="J45" i="19"/>
  <c r="K45" i="19"/>
  <c r="L45" i="19"/>
  <c r="M45" i="19"/>
  <c r="N45" i="19"/>
  <c r="A46" i="19"/>
  <c r="B46" i="19"/>
  <c r="C46" i="19"/>
  <c r="D46" i="19"/>
  <c r="E46" i="19"/>
  <c r="F46" i="19"/>
  <c r="G46" i="19"/>
  <c r="H46" i="19"/>
  <c r="I46" i="19"/>
  <c r="J46" i="19"/>
  <c r="K46" i="19"/>
  <c r="L46" i="19"/>
  <c r="M46" i="19"/>
  <c r="N46" i="19"/>
  <c r="A47" i="19"/>
  <c r="B47" i="19"/>
  <c r="C47" i="19"/>
  <c r="D47" i="19"/>
  <c r="E47" i="19"/>
  <c r="F47" i="19"/>
  <c r="G47" i="19"/>
  <c r="H47" i="19"/>
  <c r="I47" i="19"/>
  <c r="J47" i="19"/>
  <c r="K47" i="19"/>
  <c r="L47" i="19"/>
  <c r="M47" i="19"/>
  <c r="N47" i="19"/>
  <c r="A48" i="19"/>
  <c r="B48" i="19"/>
  <c r="C48" i="19"/>
  <c r="D48" i="19"/>
  <c r="E48" i="19"/>
  <c r="F48" i="19"/>
  <c r="G48" i="19"/>
  <c r="H48" i="19"/>
  <c r="I48" i="19"/>
  <c r="J48" i="19"/>
  <c r="K48" i="19"/>
  <c r="L48" i="19"/>
  <c r="M48" i="19"/>
  <c r="N48" i="19"/>
  <c r="A49" i="19"/>
  <c r="B49" i="19"/>
  <c r="C49" i="19"/>
  <c r="D49" i="19"/>
  <c r="E49" i="19"/>
  <c r="F49" i="19"/>
  <c r="G49" i="19"/>
  <c r="H49" i="19"/>
  <c r="I49" i="19"/>
  <c r="J49" i="19"/>
  <c r="K49" i="19"/>
  <c r="L49" i="19"/>
  <c r="M49" i="19"/>
  <c r="N49" i="19"/>
  <c r="A50" i="19"/>
  <c r="B50" i="19"/>
  <c r="C50" i="19"/>
  <c r="D50" i="19"/>
  <c r="E50" i="19"/>
  <c r="F50" i="19"/>
  <c r="G50" i="19"/>
  <c r="H50" i="19"/>
  <c r="I50" i="19"/>
  <c r="J50" i="19"/>
  <c r="K50" i="19"/>
  <c r="L50" i="19"/>
  <c r="M50" i="19"/>
  <c r="N50" i="19"/>
  <c r="A51" i="19"/>
  <c r="B51" i="19"/>
  <c r="C51" i="19"/>
  <c r="D51" i="19"/>
  <c r="E51" i="19"/>
  <c r="F51" i="19"/>
  <c r="G51" i="19"/>
  <c r="H51" i="19"/>
  <c r="I51" i="19"/>
  <c r="J51" i="19"/>
  <c r="K51" i="19"/>
  <c r="L51" i="19"/>
  <c r="M51" i="19"/>
  <c r="N51" i="19"/>
  <c r="A52" i="19"/>
  <c r="B52" i="19"/>
  <c r="C52" i="19"/>
  <c r="D52" i="19"/>
  <c r="E52" i="19"/>
  <c r="F52" i="19"/>
  <c r="G52" i="19"/>
  <c r="H52" i="19"/>
  <c r="I52" i="19"/>
  <c r="J52" i="19"/>
  <c r="K52" i="19"/>
  <c r="L52" i="19"/>
  <c r="M52" i="19"/>
  <c r="N52" i="19"/>
  <c r="A53" i="19"/>
  <c r="B53" i="19"/>
  <c r="C53" i="19"/>
  <c r="D53" i="19"/>
  <c r="E53" i="19"/>
  <c r="F53" i="19"/>
  <c r="G53" i="19"/>
  <c r="H53" i="19"/>
  <c r="I53" i="19"/>
  <c r="J53" i="19"/>
  <c r="K53" i="19"/>
  <c r="L53" i="19"/>
  <c r="M53" i="19"/>
  <c r="N53" i="19"/>
  <c r="A54" i="19"/>
  <c r="B54" i="19"/>
  <c r="C54" i="19"/>
  <c r="D54" i="19"/>
  <c r="E54" i="19"/>
  <c r="F54" i="19"/>
  <c r="G54" i="19"/>
  <c r="H54" i="19"/>
  <c r="I54" i="19"/>
  <c r="J54" i="19"/>
  <c r="K54" i="19"/>
  <c r="L54" i="19"/>
  <c r="M54" i="19"/>
  <c r="N54" i="19"/>
  <c r="A55" i="19"/>
  <c r="B55" i="19"/>
  <c r="C55" i="19"/>
  <c r="D55" i="19"/>
  <c r="E55" i="19"/>
  <c r="F55" i="19"/>
  <c r="G55" i="19"/>
  <c r="H55" i="19"/>
  <c r="I55" i="19"/>
  <c r="J55" i="19"/>
  <c r="K55" i="19"/>
  <c r="L55" i="19"/>
  <c r="M55" i="19"/>
  <c r="N55" i="19"/>
  <c r="A56" i="19"/>
  <c r="B56" i="19"/>
  <c r="C56" i="19"/>
  <c r="D56" i="19"/>
  <c r="E56" i="19"/>
  <c r="F56" i="19"/>
  <c r="G56" i="19"/>
  <c r="H56" i="19"/>
  <c r="I56" i="19"/>
  <c r="J56" i="19"/>
  <c r="K56" i="19"/>
  <c r="L56" i="19"/>
  <c r="M56" i="19"/>
  <c r="N56" i="19"/>
  <c r="A57" i="19"/>
  <c r="B57" i="19"/>
  <c r="C57" i="19"/>
  <c r="D57" i="19"/>
  <c r="E57" i="19"/>
  <c r="F57" i="19"/>
  <c r="G57" i="19"/>
  <c r="H57" i="19"/>
  <c r="I57" i="19"/>
  <c r="J57" i="19"/>
  <c r="K57" i="19"/>
  <c r="L57" i="19"/>
  <c r="M57" i="19"/>
  <c r="N57" i="19"/>
  <c r="A58" i="19"/>
  <c r="B58" i="19"/>
  <c r="C58" i="19"/>
  <c r="D58" i="19"/>
  <c r="E58" i="19"/>
  <c r="F58" i="19"/>
  <c r="G58" i="19"/>
  <c r="H58" i="19"/>
  <c r="I58" i="19"/>
  <c r="J58" i="19"/>
  <c r="K58" i="19"/>
  <c r="L58" i="19"/>
  <c r="M58" i="19"/>
  <c r="N58" i="19"/>
  <c r="A59" i="19"/>
  <c r="B59" i="19"/>
  <c r="C59" i="19"/>
  <c r="D59" i="19"/>
  <c r="E59" i="19"/>
  <c r="F59" i="19"/>
  <c r="G59" i="19"/>
  <c r="H59" i="19"/>
  <c r="I59" i="19"/>
  <c r="J59" i="19"/>
  <c r="K59" i="19"/>
  <c r="L59" i="19"/>
  <c r="M59" i="19"/>
  <c r="N59" i="19"/>
  <c r="A60" i="19"/>
  <c r="B60" i="19"/>
  <c r="C60" i="19"/>
  <c r="D60" i="19"/>
  <c r="E60" i="19"/>
  <c r="F60" i="19"/>
  <c r="G60" i="19"/>
  <c r="H60" i="19"/>
  <c r="I60" i="19"/>
  <c r="J60" i="19"/>
  <c r="K60" i="19"/>
  <c r="L60" i="19"/>
  <c r="M60" i="19"/>
  <c r="N60" i="19"/>
  <c r="A61" i="19"/>
  <c r="B61" i="19"/>
  <c r="C61" i="19"/>
  <c r="D61" i="19"/>
  <c r="E61" i="19"/>
  <c r="F61" i="19"/>
  <c r="G61" i="19"/>
  <c r="H61" i="19"/>
  <c r="I61" i="19"/>
  <c r="J61" i="19"/>
  <c r="K61" i="19"/>
  <c r="L61" i="19"/>
  <c r="M61" i="19"/>
  <c r="N61" i="19"/>
  <c r="A62" i="19"/>
  <c r="B62" i="19"/>
  <c r="C62" i="19"/>
  <c r="D62" i="19"/>
  <c r="E62" i="19"/>
  <c r="F62" i="19"/>
  <c r="G62" i="19"/>
  <c r="H62" i="19"/>
  <c r="I62" i="19"/>
  <c r="J62" i="19"/>
  <c r="K62" i="19"/>
  <c r="L62" i="19"/>
  <c r="M62" i="19"/>
  <c r="N62" i="19"/>
  <c r="A63" i="19"/>
  <c r="B63" i="19"/>
  <c r="C63" i="19"/>
  <c r="D63" i="19"/>
  <c r="E63" i="19"/>
  <c r="F63" i="19"/>
  <c r="G63" i="19"/>
  <c r="H63" i="19"/>
  <c r="I63" i="19"/>
  <c r="J63" i="19"/>
  <c r="K63" i="19"/>
  <c r="L63" i="19"/>
  <c r="M63" i="19"/>
  <c r="N63" i="19"/>
  <c r="A64" i="19"/>
  <c r="B64" i="19"/>
  <c r="C64" i="19"/>
  <c r="D64" i="19"/>
  <c r="E64" i="19"/>
  <c r="F64" i="19"/>
  <c r="G64" i="19"/>
  <c r="H64" i="19"/>
  <c r="I64" i="19"/>
  <c r="J64" i="19"/>
  <c r="K64" i="19"/>
  <c r="L64" i="19"/>
  <c r="M64" i="19"/>
  <c r="N64" i="19"/>
  <c r="A65" i="19"/>
  <c r="B65" i="19"/>
  <c r="C65" i="19"/>
  <c r="D65" i="19"/>
  <c r="E65" i="19"/>
  <c r="F65" i="19"/>
  <c r="G65" i="19"/>
  <c r="H65" i="19"/>
  <c r="I65" i="19"/>
  <c r="J65" i="19"/>
  <c r="K65" i="19"/>
  <c r="L65" i="19"/>
  <c r="M65" i="19"/>
  <c r="N65" i="19"/>
  <c r="A66" i="19"/>
  <c r="B66" i="19"/>
  <c r="C66" i="19"/>
  <c r="D66" i="19"/>
  <c r="E66" i="19"/>
  <c r="F66" i="19"/>
  <c r="G66" i="19"/>
  <c r="H66" i="19"/>
  <c r="I66" i="19"/>
  <c r="J66" i="19"/>
  <c r="K66" i="19"/>
  <c r="L66" i="19"/>
  <c r="M66" i="19"/>
  <c r="N66" i="19"/>
  <c r="A67" i="19"/>
  <c r="B67" i="19"/>
  <c r="C67" i="19"/>
  <c r="D67" i="19"/>
  <c r="E67" i="19"/>
  <c r="F67" i="19"/>
  <c r="G67" i="19"/>
  <c r="H67" i="19"/>
  <c r="I67" i="19"/>
  <c r="J67" i="19"/>
  <c r="K67" i="19"/>
  <c r="L67" i="19"/>
  <c r="M67" i="19"/>
  <c r="N67" i="19"/>
  <c r="A68" i="19"/>
  <c r="B68" i="19"/>
  <c r="C68" i="19"/>
  <c r="D68" i="19"/>
  <c r="E68" i="19"/>
  <c r="F68" i="19"/>
  <c r="G68" i="19"/>
  <c r="H68" i="19"/>
  <c r="I68" i="19"/>
  <c r="J68" i="19"/>
  <c r="K68" i="19"/>
  <c r="L68" i="19"/>
  <c r="M68" i="19"/>
  <c r="N68" i="19"/>
  <c r="A69" i="19"/>
  <c r="B69" i="19"/>
  <c r="C69" i="19"/>
  <c r="D69" i="19"/>
  <c r="E69" i="19"/>
  <c r="F69" i="19"/>
  <c r="G69" i="19"/>
  <c r="H69" i="19"/>
  <c r="I69" i="19"/>
  <c r="J69" i="19"/>
  <c r="K69" i="19"/>
  <c r="L69" i="19"/>
  <c r="M69" i="19"/>
  <c r="N69" i="19"/>
  <c r="A70" i="19"/>
  <c r="B70" i="19"/>
  <c r="C70" i="19"/>
  <c r="D70" i="19"/>
  <c r="E70" i="19"/>
  <c r="F70" i="19"/>
  <c r="G70" i="19"/>
  <c r="H70" i="19"/>
  <c r="I70" i="19"/>
  <c r="J70" i="19"/>
  <c r="K70" i="19"/>
  <c r="L70" i="19"/>
  <c r="M70" i="19"/>
  <c r="N70" i="19"/>
  <c r="A71" i="19"/>
  <c r="B71" i="19"/>
  <c r="C71" i="19"/>
  <c r="D71" i="19"/>
  <c r="E71" i="19"/>
  <c r="F71" i="19"/>
  <c r="G71" i="19"/>
  <c r="H71" i="19"/>
  <c r="I71" i="19"/>
  <c r="J71" i="19"/>
  <c r="K71" i="19"/>
  <c r="L71" i="19"/>
  <c r="M71" i="19"/>
  <c r="N71" i="19"/>
  <c r="A72" i="19"/>
  <c r="B72" i="19"/>
  <c r="C72" i="19"/>
  <c r="D72" i="19"/>
  <c r="E72" i="19"/>
  <c r="F72" i="19"/>
  <c r="G72" i="19"/>
  <c r="H72" i="19"/>
  <c r="I72" i="19"/>
  <c r="J72" i="19"/>
  <c r="K72" i="19"/>
  <c r="L72" i="19"/>
  <c r="M72" i="19"/>
  <c r="N72" i="19"/>
  <c r="A73" i="19"/>
  <c r="B73" i="19"/>
  <c r="C73" i="19"/>
  <c r="D73" i="19"/>
  <c r="E73" i="19"/>
  <c r="F73" i="19"/>
  <c r="G73" i="19"/>
  <c r="H73" i="19"/>
  <c r="I73" i="19"/>
  <c r="J73" i="19"/>
  <c r="K73" i="19"/>
  <c r="L73" i="19"/>
  <c r="M73" i="19"/>
  <c r="N73" i="19"/>
  <c r="A74" i="19"/>
  <c r="B74" i="19"/>
  <c r="C74" i="19"/>
  <c r="D74" i="19"/>
  <c r="E74" i="19"/>
  <c r="F74" i="19"/>
  <c r="G74" i="19"/>
  <c r="H74" i="19"/>
  <c r="I74" i="19"/>
  <c r="J74" i="19"/>
  <c r="K74" i="19"/>
  <c r="L74" i="19"/>
  <c r="M74" i="19"/>
  <c r="N74" i="19"/>
  <c r="A75" i="19"/>
  <c r="B75" i="19"/>
  <c r="C75" i="19"/>
  <c r="D75" i="19"/>
  <c r="E75" i="19"/>
  <c r="F75" i="19"/>
  <c r="G75" i="19"/>
  <c r="H75" i="19"/>
  <c r="I75" i="19"/>
  <c r="J75" i="19"/>
  <c r="K75" i="19"/>
  <c r="L75" i="19"/>
  <c r="M75" i="19"/>
  <c r="N75" i="19"/>
  <c r="A76" i="19"/>
  <c r="B76" i="19"/>
  <c r="C76" i="19"/>
  <c r="D76" i="19"/>
  <c r="E76" i="19"/>
  <c r="F76" i="19"/>
  <c r="G76" i="19"/>
  <c r="H76" i="19"/>
  <c r="I76" i="19"/>
  <c r="J76" i="19"/>
  <c r="K76" i="19"/>
  <c r="L76" i="19"/>
  <c r="M76" i="19"/>
  <c r="N76" i="19"/>
  <c r="A77" i="19"/>
  <c r="B77" i="19"/>
  <c r="C77" i="19"/>
  <c r="D77" i="19"/>
  <c r="E77" i="19"/>
  <c r="F77" i="19"/>
  <c r="G77" i="19"/>
  <c r="H77" i="19"/>
  <c r="I77" i="19"/>
  <c r="J77" i="19"/>
  <c r="K77" i="19"/>
  <c r="L77" i="19"/>
  <c r="M77" i="19"/>
  <c r="N77" i="19"/>
  <c r="A78" i="19"/>
  <c r="B78" i="19"/>
  <c r="C78" i="19"/>
  <c r="D78" i="19"/>
  <c r="E78" i="19"/>
  <c r="F78" i="19"/>
  <c r="G78" i="19"/>
  <c r="H78" i="19"/>
  <c r="I78" i="19"/>
  <c r="J78" i="19"/>
  <c r="K78" i="19"/>
  <c r="L78" i="19"/>
  <c r="M78" i="19"/>
  <c r="N78" i="19"/>
  <c r="J12" i="19"/>
  <c r="J13" i="19"/>
  <c r="J14" i="19"/>
  <c r="J15" i="19"/>
  <c r="J16" i="19"/>
  <c r="J17" i="19"/>
  <c r="J18" i="19"/>
  <c r="J19" i="19"/>
  <c r="J20" i="19"/>
  <c r="J21" i="19"/>
  <c r="J22" i="19"/>
  <c r="J11" i="19"/>
  <c r="Q2" i="9"/>
  <c r="A37" i="20"/>
  <c r="K11" i="23"/>
  <c r="L11" i="23"/>
  <c r="M11" i="23"/>
  <c r="N11" i="23"/>
  <c r="O11" i="23"/>
  <c r="P11" i="23"/>
  <c r="Q11" i="23"/>
  <c r="E26" i="23"/>
  <c r="F26" i="23"/>
  <c r="E27" i="23"/>
  <c r="F27" i="23"/>
  <c r="E28" i="23"/>
  <c r="F28" i="23"/>
  <c r="E29" i="23"/>
  <c r="F29" i="23"/>
  <c r="E30" i="23"/>
  <c r="F30" i="23"/>
  <c r="E31" i="23"/>
  <c r="F31" i="23"/>
  <c r="E32" i="23"/>
  <c r="F32" i="23"/>
  <c r="E33" i="23"/>
  <c r="F33" i="23"/>
  <c r="E34" i="23"/>
  <c r="F34" i="23"/>
  <c r="E35" i="23"/>
  <c r="F35" i="23"/>
  <c r="E36" i="23"/>
  <c r="F36" i="23"/>
  <c r="E37" i="23"/>
  <c r="F37" i="23"/>
  <c r="E38" i="23"/>
  <c r="F38" i="23"/>
  <c r="E39" i="23"/>
  <c r="F39" i="23"/>
  <c r="E40" i="23"/>
  <c r="F40" i="23"/>
  <c r="E41" i="23"/>
  <c r="F41" i="23"/>
  <c r="F42" i="23"/>
  <c r="V11" i="23"/>
  <c r="W11" i="23"/>
  <c r="K12" i="23"/>
  <c r="L12" i="23"/>
  <c r="M12" i="23"/>
  <c r="N12" i="23"/>
  <c r="O12" i="23"/>
  <c r="P12" i="23"/>
  <c r="Q12" i="23"/>
  <c r="G26" i="23"/>
  <c r="H26" i="23"/>
  <c r="G27" i="23"/>
  <c r="H27" i="23"/>
  <c r="G28" i="23"/>
  <c r="H28" i="23"/>
  <c r="G29" i="23"/>
  <c r="H29" i="23"/>
  <c r="G30" i="23"/>
  <c r="H30" i="23"/>
  <c r="G31" i="23"/>
  <c r="H31" i="23"/>
  <c r="G32" i="23"/>
  <c r="H32" i="23"/>
  <c r="G33" i="23"/>
  <c r="H33" i="23"/>
  <c r="G34" i="23"/>
  <c r="H34" i="23"/>
  <c r="G35" i="23"/>
  <c r="H35" i="23"/>
  <c r="G36" i="23"/>
  <c r="H36" i="23"/>
  <c r="G37" i="23"/>
  <c r="H37" i="23"/>
  <c r="G38" i="23"/>
  <c r="H38" i="23"/>
  <c r="G39" i="23"/>
  <c r="H39" i="23"/>
  <c r="G40" i="23"/>
  <c r="H40" i="23"/>
  <c r="G41" i="23"/>
  <c r="H41" i="23"/>
  <c r="H42" i="23"/>
  <c r="V12" i="23"/>
  <c r="W12" i="23"/>
  <c r="K13" i="23"/>
  <c r="L13" i="23"/>
  <c r="M13" i="23"/>
  <c r="N13" i="23"/>
  <c r="O13" i="23"/>
  <c r="P13" i="23"/>
  <c r="Q13" i="23"/>
  <c r="I26" i="23"/>
  <c r="J26" i="23"/>
  <c r="I27" i="23"/>
  <c r="J27" i="23"/>
  <c r="I28" i="23"/>
  <c r="J28" i="23"/>
  <c r="I29" i="23"/>
  <c r="J29" i="23"/>
  <c r="I30" i="23"/>
  <c r="J30" i="23"/>
  <c r="I31" i="23"/>
  <c r="J31" i="23"/>
  <c r="I32" i="23"/>
  <c r="J32" i="23"/>
  <c r="I33" i="23"/>
  <c r="J33" i="23"/>
  <c r="I34" i="23"/>
  <c r="J34" i="23"/>
  <c r="I35" i="23"/>
  <c r="J35" i="23"/>
  <c r="I36" i="23"/>
  <c r="J36" i="23"/>
  <c r="I37" i="23"/>
  <c r="J37" i="23"/>
  <c r="I38" i="23"/>
  <c r="J38" i="23"/>
  <c r="I39" i="23"/>
  <c r="J39" i="23"/>
  <c r="I40" i="23"/>
  <c r="J40" i="23"/>
  <c r="I41" i="23"/>
  <c r="J41" i="23"/>
  <c r="J42" i="23"/>
  <c r="V13" i="23"/>
  <c r="W13" i="23"/>
  <c r="K14" i="23"/>
  <c r="L14" i="23"/>
  <c r="M14" i="23"/>
  <c r="N14" i="23"/>
  <c r="O14" i="23"/>
  <c r="P14" i="23"/>
  <c r="Q14" i="23"/>
  <c r="K26" i="23"/>
  <c r="L26" i="23"/>
  <c r="K27" i="23"/>
  <c r="L27" i="23"/>
  <c r="K28" i="23"/>
  <c r="L28" i="23"/>
  <c r="K29" i="23"/>
  <c r="L29" i="23"/>
  <c r="K30" i="23"/>
  <c r="L30" i="23"/>
  <c r="K31" i="23"/>
  <c r="L31" i="23"/>
  <c r="K32" i="23"/>
  <c r="L32" i="23"/>
  <c r="K33" i="23"/>
  <c r="L33" i="23"/>
  <c r="K34" i="23"/>
  <c r="L34" i="23"/>
  <c r="K35" i="23"/>
  <c r="L35" i="23"/>
  <c r="K36" i="23"/>
  <c r="L36" i="23"/>
  <c r="K37" i="23"/>
  <c r="L37" i="23"/>
  <c r="K38" i="23"/>
  <c r="L38" i="23"/>
  <c r="K39" i="23"/>
  <c r="L39" i="23"/>
  <c r="K40" i="23"/>
  <c r="L40" i="23"/>
  <c r="K41" i="23"/>
  <c r="L41" i="23"/>
  <c r="L42" i="23"/>
  <c r="V14" i="23"/>
  <c r="W14" i="23"/>
  <c r="K15" i="23"/>
  <c r="L15" i="23"/>
  <c r="M15" i="23"/>
  <c r="N15" i="23"/>
  <c r="O15" i="23"/>
  <c r="P15" i="23"/>
  <c r="Q15" i="23"/>
  <c r="M26" i="23"/>
  <c r="N26" i="23"/>
  <c r="M27" i="23"/>
  <c r="N27" i="23"/>
  <c r="M28" i="23"/>
  <c r="N28" i="23"/>
  <c r="M29" i="23"/>
  <c r="N29" i="23"/>
  <c r="M30" i="23"/>
  <c r="N30" i="23"/>
  <c r="M31" i="23"/>
  <c r="N31" i="23"/>
  <c r="M32" i="23"/>
  <c r="N32" i="23"/>
  <c r="M33" i="23"/>
  <c r="N33" i="23"/>
  <c r="M34" i="23"/>
  <c r="N34" i="23"/>
  <c r="M35" i="23"/>
  <c r="N35" i="23"/>
  <c r="M36" i="23"/>
  <c r="N36" i="23"/>
  <c r="M37" i="23"/>
  <c r="N37" i="23"/>
  <c r="M38" i="23"/>
  <c r="N38" i="23"/>
  <c r="M39" i="23"/>
  <c r="N39" i="23"/>
  <c r="M40" i="23"/>
  <c r="N40" i="23"/>
  <c r="M41" i="23"/>
  <c r="N41" i="23"/>
  <c r="N42" i="23"/>
  <c r="V15" i="23"/>
  <c r="W15" i="23"/>
  <c r="K16" i="23"/>
  <c r="L16" i="23"/>
  <c r="M16" i="23"/>
  <c r="N16" i="23"/>
  <c r="O16" i="23"/>
  <c r="P16" i="23"/>
  <c r="Q16" i="23"/>
  <c r="O26" i="23"/>
  <c r="P26" i="23"/>
  <c r="O27" i="23"/>
  <c r="P27" i="23"/>
  <c r="O28" i="23"/>
  <c r="P28" i="23"/>
  <c r="O29" i="23"/>
  <c r="P29" i="23"/>
  <c r="O30" i="23"/>
  <c r="P30" i="23"/>
  <c r="O31" i="23"/>
  <c r="P31" i="23"/>
  <c r="O32" i="23"/>
  <c r="P32" i="23"/>
  <c r="O33" i="23"/>
  <c r="P33" i="23"/>
  <c r="O34" i="23"/>
  <c r="P34" i="23"/>
  <c r="O35" i="23"/>
  <c r="P35" i="23"/>
  <c r="O36" i="23"/>
  <c r="P36" i="23"/>
  <c r="O37" i="23"/>
  <c r="P37" i="23"/>
  <c r="O38" i="23"/>
  <c r="P38" i="23"/>
  <c r="O39" i="23"/>
  <c r="P39" i="23"/>
  <c r="O40" i="23"/>
  <c r="P40" i="23"/>
  <c r="O41" i="23"/>
  <c r="P41" i="23"/>
  <c r="P42" i="23"/>
  <c r="V16" i="23"/>
  <c r="W16" i="23"/>
  <c r="K17" i="23"/>
  <c r="L17" i="23"/>
  <c r="M17" i="23"/>
  <c r="N17" i="23"/>
  <c r="O17" i="23"/>
  <c r="P17" i="23"/>
  <c r="Q17" i="23"/>
  <c r="Q26" i="23"/>
  <c r="R26" i="23"/>
  <c r="Q27" i="23"/>
  <c r="R27" i="23"/>
  <c r="Q28" i="23"/>
  <c r="R28" i="23"/>
  <c r="Q29" i="23"/>
  <c r="R29" i="23"/>
  <c r="Q30" i="23"/>
  <c r="R30" i="23"/>
  <c r="Q31" i="23"/>
  <c r="R31" i="23"/>
  <c r="Q32" i="23"/>
  <c r="R32" i="23"/>
  <c r="Q33" i="23"/>
  <c r="R33" i="23"/>
  <c r="Q34" i="23"/>
  <c r="R34" i="23"/>
  <c r="Q35" i="23"/>
  <c r="R35" i="23"/>
  <c r="Q36" i="23"/>
  <c r="R36" i="23"/>
  <c r="Q37" i="23"/>
  <c r="R37" i="23"/>
  <c r="Q38" i="23"/>
  <c r="R38" i="23"/>
  <c r="Q39" i="23"/>
  <c r="R39" i="23"/>
  <c r="Q40" i="23"/>
  <c r="R40" i="23"/>
  <c r="Q41" i="23"/>
  <c r="R41" i="23"/>
  <c r="R42" i="23"/>
  <c r="V17" i="23"/>
  <c r="W17" i="23"/>
  <c r="K18" i="23"/>
  <c r="L18" i="23"/>
  <c r="M18" i="23"/>
  <c r="N18" i="23"/>
  <c r="O18" i="23"/>
  <c r="P18" i="23"/>
  <c r="Q18" i="23"/>
  <c r="S26" i="23"/>
  <c r="T26" i="23"/>
  <c r="S27" i="23"/>
  <c r="T27" i="23"/>
  <c r="S28" i="23"/>
  <c r="T28" i="23"/>
  <c r="S29" i="23"/>
  <c r="T29" i="23"/>
  <c r="S30" i="23"/>
  <c r="T30" i="23"/>
  <c r="S31" i="23"/>
  <c r="T31" i="23"/>
  <c r="S32" i="23"/>
  <c r="T32" i="23"/>
  <c r="S33" i="23"/>
  <c r="T33" i="23"/>
  <c r="S34" i="23"/>
  <c r="T34" i="23"/>
  <c r="S35" i="23"/>
  <c r="T35" i="23"/>
  <c r="S36" i="23"/>
  <c r="T36" i="23"/>
  <c r="S37" i="23"/>
  <c r="T37" i="23"/>
  <c r="S38" i="23"/>
  <c r="T38" i="23"/>
  <c r="S39" i="23"/>
  <c r="T39" i="23"/>
  <c r="S40" i="23"/>
  <c r="T40" i="23"/>
  <c r="S41" i="23"/>
  <c r="T41" i="23"/>
  <c r="T42" i="23"/>
  <c r="V18" i="23"/>
  <c r="W18" i="23"/>
  <c r="K19" i="23"/>
  <c r="L19" i="23"/>
  <c r="M19" i="23"/>
  <c r="N19" i="23"/>
  <c r="O19" i="23"/>
  <c r="P19" i="23"/>
  <c r="Q19" i="23"/>
  <c r="U26" i="23"/>
  <c r="V26" i="23"/>
  <c r="U27" i="23"/>
  <c r="V27" i="23"/>
  <c r="U28" i="23"/>
  <c r="V28" i="23"/>
  <c r="U29" i="23"/>
  <c r="V29" i="23"/>
  <c r="U30" i="23"/>
  <c r="V30" i="23"/>
  <c r="U31" i="23"/>
  <c r="V31" i="23"/>
  <c r="U32" i="23"/>
  <c r="V32" i="23"/>
  <c r="U33" i="23"/>
  <c r="V33" i="23"/>
  <c r="U34" i="23"/>
  <c r="V34" i="23"/>
  <c r="U35" i="23"/>
  <c r="V35" i="23"/>
  <c r="U36" i="23"/>
  <c r="V36" i="23"/>
  <c r="U37" i="23"/>
  <c r="V37" i="23"/>
  <c r="U38" i="23"/>
  <c r="V38" i="23"/>
  <c r="U39" i="23"/>
  <c r="V39" i="23"/>
  <c r="U40" i="23"/>
  <c r="V40" i="23"/>
  <c r="U41" i="23"/>
  <c r="V41" i="23"/>
  <c r="V42" i="23"/>
  <c r="V19" i="23"/>
  <c r="W19" i="23"/>
  <c r="K20" i="23"/>
  <c r="L20" i="23"/>
  <c r="M20" i="23"/>
  <c r="N20" i="23"/>
  <c r="O20" i="23"/>
  <c r="P20" i="23"/>
  <c r="Q20" i="23"/>
  <c r="W26" i="23"/>
  <c r="X26" i="23"/>
  <c r="W27" i="23"/>
  <c r="X27" i="23"/>
  <c r="W28" i="23"/>
  <c r="X28" i="23"/>
  <c r="W29" i="23"/>
  <c r="X29" i="23"/>
  <c r="W30" i="23"/>
  <c r="X30" i="23"/>
  <c r="W31" i="23"/>
  <c r="X31" i="23"/>
  <c r="W32" i="23"/>
  <c r="X32" i="23"/>
  <c r="W33" i="23"/>
  <c r="X33" i="23"/>
  <c r="W34" i="23"/>
  <c r="X34" i="23"/>
  <c r="W35" i="23"/>
  <c r="X35" i="23"/>
  <c r="W36" i="23"/>
  <c r="X36" i="23"/>
  <c r="W37" i="23"/>
  <c r="X37" i="23"/>
  <c r="W38" i="23"/>
  <c r="X38" i="23"/>
  <c r="W39" i="23"/>
  <c r="X39" i="23"/>
  <c r="W40" i="23"/>
  <c r="X40" i="23"/>
  <c r="W41" i="23"/>
  <c r="X41" i="23"/>
  <c r="X42" i="23"/>
  <c r="V20" i="23"/>
  <c r="W20" i="23"/>
  <c r="K21" i="23"/>
  <c r="L21" i="23"/>
  <c r="M21" i="23"/>
  <c r="N21" i="23"/>
  <c r="O21" i="23"/>
  <c r="P21" i="23"/>
  <c r="Q21" i="23"/>
  <c r="Y26" i="23"/>
  <c r="Z26" i="23"/>
  <c r="Y27" i="23"/>
  <c r="Z27" i="23"/>
  <c r="Y28" i="23"/>
  <c r="Z28" i="23"/>
  <c r="Y29" i="23"/>
  <c r="Z29" i="23"/>
  <c r="Y30" i="23"/>
  <c r="Z30" i="23"/>
  <c r="Y31" i="23"/>
  <c r="Z31" i="23"/>
  <c r="Y32" i="23"/>
  <c r="Z32" i="23"/>
  <c r="Y33" i="23"/>
  <c r="Z33" i="23"/>
  <c r="Y34" i="23"/>
  <c r="Z34" i="23"/>
  <c r="Y35" i="23"/>
  <c r="Z35" i="23"/>
  <c r="Y36" i="23"/>
  <c r="Z36" i="23"/>
  <c r="Y37" i="23"/>
  <c r="Z37" i="23"/>
  <c r="Y38" i="23"/>
  <c r="Z38" i="23"/>
  <c r="Y39" i="23"/>
  <c r="Z39" i="23"/>
  <c r="Y40" i="23"/>
  <c r="Z40" i="23"/>
  <c r="Y41" i="23"/>
  <c r="Z41" i="23"/>
  <c r="Z42" i="23"/>
  <c r="V21" i="23"/>
  <c r="W21" i="23"/>
  <c r="K22" i="23"/>
  <c r="L22" i="23"/>
  <c r="M22" i="23"/>
  <c r="N22" i="23"/>
  <c r="O22" i="23"/>
  <c r="P22" i="23"/>
  <c r="Q22" i="23"/>
  <c r="AA26" i="23"/>
  <c r="AB26" i="23"/>
  <c r="AA27" i="23"/>
  <c r="AB27" i="23"/>
  <c r="AA28" i="23"/>
  <c r="AB28" i="23"/>
  <c r="AA29" i="23"/>
  <c r="AB29" i="23"/>
  <c r="AA30" i="23"/>
  <c r="AB30" i="23"/>
  <c r="AA31" i="23"/>
  <c r="AB31" i="23"/>
  <c r="AA32" i="23"/>
  <c r="AB32" i="23"/>
  <c r="AA33" i="23"/>
  <c r="AB33" i="23"/>
  <c r="AA34" i="23"/>
  <c r="AB34" i="23"/>
  <c r="AA35" i="23"/>
  <c r="AB35" i="23"/>
  <c r="AA36" i="23"/>
  <c r="AB36" i="23"/>
  <c r="AA37" i="23"/>
  <c r="AB37" i="23"/>
  <c r="AA38" i="23"/>
  <c r="AB38" i="23"/>
  <c r="AA39" i="23"/>
  <c r="AB39" i="23"/>
  <c r="AA40" i="23"/>
  <c r="AB40" i="23"/>
  <c r="AA41" i="23"/>
  <c r="AB41" i="23"/>
  <c r="AB42" i="23"/>
  <c r="V22" i="23"/>
  <c r="W22" i="23"/>
  <c r="K11" i="24"/>
  <c r="L11" i="24"/>
  <c r="M11" i="24"/>
  <c r="N11" i="24"/>
  <c r="O11" i="24"/>
  <c r="P11" i="24"/>
  <c r="Q11" i="24"/>
  <c r="E26" i="24"/>
  <c r="F26" i="24"/>
  <c r="E27" i="24"/>
  <c r="F27" i="24"/>
  <c r="E28" i="24"/>
  <c r="F28" i="24"/>
  <c r="E29" i="24"/>
  <c r="F29" i="24"/>
  <c r="E30" i="24"/>
  <c r="F30" i="24"/>
  <c r="E31" i="24"/>
  <c r="F31" i="24"/>
  <c r="E32" i="24"/>
  <c r="F32" i="24"/>
  <c r="E33" i="24"/>
  <c r="F33" i="24"/>
  <c r="E34" i="24"/>
  <c r="F34" i="24"/>
  <c r="E35" i="24"/>
  <c r="F35" i="24"/>
  <c r="E36" i="24"/>
  <c r="F36" i="24"/>
  <c r="E37" i="24"/>
  <c r="F37" i="24"/>
  <c r="E38" i="24"/>
  <c r="F38" i="24"/>
  <c r="E39" i="24"/>
  <c r="F39" i="24"/>
  <c r="E40" i="24"/>
  <c r="F40" i="24"/>
  <c r="E41" i="24"/>
  <c r="F41" i="24"/>
  <c r="F42" i="24"/>
  <c r="V11" i="24"/>
  <c r="W11" i="24"/>
  <c r="K12" i="24"/>
  <c r="L12" i="24"/>
  <c r="M12" i="24"/>
  <c r="N12" i="24"/>
  <c r="O12" i="24"/>
  <c r="P12" i="24"/>
  <c r="Q12" i="24"/>
  <c r="G26" i="24"/>
  <c r="H26" i="24"/>
  <c r="G27" i="24"/>
  <c r="H27" i="24"/>
  <c r="G28" i="24"/>
  <c r="H28" i="24"/>
  <c r="G29" i="24"/>
  <c r="H29" i="24"/>
  <c r="G30" i="24"/>
  <c r="H30" i="24"/>
  <c r="G31" i="24"/>
  <c r="H31" i="24"/>
  <c r="G32" i="24"/>
  <c r="H32" i="24"/>
  <c r="G33" i="24"/>
  <c r="H33" i="24"/>
  <c r="G34" i="24"/>
  <c r="H34" i="24"/>
  <c r="G35" i="24"/>
  <c r="H35" i="24"/>
  <c r="G36" i="24"/>
  <c r="H36" i="24"/>
  <c r="G37" i="24"/>
  <c r="H37" i="24"/>
  <c r="G38" i="24"/>
  <c r="H38" i="24"/>
  <c r="G39" i="24"/>
  <c r="H39" i="24"/>
  <c r="G40" i="24"/>
  <c r="H40" i="24"/>
  <c r="G41" i="24"/>
  <c r="H41" i="24"/>
  <c r="H42" i="24"/>
  <c r="V12" i="24"/>
  <c r="W12" i="24"/>
  <c r="K13" i="24"/>
  <c r="L13" i="24"/>
  <c r="M13" i="24"/>
  <c r="N13" i="24"/>
  <c r="O13" i="24"/>
  <c r="P13" i="24"/>
  <c r="Q13" i="24"/>
  <c r="I26" i="24"/>
  <c r="J26" i="24"/>
  <c r="I27" i="24"/>
  <c r="J27" i="24"/>
  <c r="I28" i="24"/>
  <c r="J28" i="24"/>
  <c r="I29" i="24"/>
  <c r="J29" i="24"/>
  <c r="I30" i="24"/>
  <c r="J30" i="24"/>
  <c r="I31" i="24"/>
  <c r="J31" i="24"/>
  <c r="I32" i="24"/>
  <c r="J32" i="24"/>
  <c r="I33" i="24"/>
  <c r="J33" i="24"/>
  <c r="I34" i="24"/>
  <c r="J34" i="24"/>
  <c r="I35" i="24"/>
  <c r="J35" i="24"/>
  <c r="I36" i="24"/>
  <c r="J36" i="24"/>
  <c r="I37" i="24"/>
  <c r="J37" i="24"/>
  <c r="I38" i="24"/>
  <c r="J38" i="24"/>
  <c r="I39" i="24"/>
  <c r="J39" i="24"/>
  <c r="I40" i="24"/>
  <c r="J40" i="24"/>
  <c r="I41" i="24"/>
  <c r="J41" i="24"/>
  <c r="J42" i="24"/>
  <c r="V13" i="24"/>
  <c r="W13" i="24"/>
  <c r="K14" i="24"/>
  <c r="L14" i="24"/>
  <c r="M14" i="24"/>
  <c r="N14" i="24"/>
  <c r="O14" i="24"/>
  <c r="P14" i="24"/>
  <c r="Q14" i="24"/>
  <c r="K26" i="24"/>
  <c r="L26" i="24"/>
  <c r="K27" i="24"/>
  <c r="L27" i="24"/>
  <c r="K28" i="24"/>
  <c r="L28" i="24"/>
  <c r="K29" i="24"/>
  <c r="L29" i="24"/>
  <c r="K30" i="24"/>
  <c r="L30" i="24"/>
  <c r="K31" i="24"/>
  <c r="L31" i="24"/>
  <c r="K32" i="24"/>
  <c r="L32" i="24"/>
  <c r="K33" i="24"/>
  <c r="L33" i="24"/>
  <c r="K34" i="24"/>
  <c r="L34" i="24"/>
  <c r="K35" i="24"/>
  <c r="L35" i="24"/>
  <c r="K36" i="24"/>
  <c r="L36" i="24"/>
  <c r="K37" i="24"/>
  <c r="L37" i="24"/>
  <c r="K38" i="24"/>
  <c r="L38" i="24"/>
  <c r="K39" i="24"/>
  <c r="L39" i="24"/>
  <c r="K40" i="24"/>
  <c r="L40" i="24"/>
  <c r="K41" i="24"/>
  <c r="L41" i="24"/>
  <c r="L42" i="24"/>
  <c r="V14" i="24"/>
  <c r="W14" i="24"/>
  <c r="K15" i="24"/>
  <c r="L15" i="24"/>
  <c r="M15" i="24"/>
  <c r="N15" i="24"/>
  <c r="O15" i="24"/>
  <c r="P15" i="24"/>
  <c r="Q15" i="24"/>
  <c r="M26" i="24"/>
  <c r="N26" i="24"/>
  <c r="M27" i="24"/>
  <c r="N27" i="24"/>
  <c r="M28" i="24"/>
  <c r="N28" i="24"/>
  <c r="M29" i="24"/>
  <c r="N29" i="24"/>
  <c r="M30" i="24"/>
  <c r="N30" i="24"/>
  <c r="M31" i="24"/>
  <c r="N31" i="24"/>
  <c r="M32" i="24"/>
  <c r="N32" i="24"/>
  <c r="M33" i="24"/>
  <c r="N33" i="24"/>
  <c r="M34" i="24"/>
  <c r="N34" i="24"/>
  <c r="M35" i="24"/>
  <c r="N35" i="24"/>
  <c r="M36" i="24"/>
  <c r="N36" i="24"/>
  <c r="M37" i="24"/>
  <c r="N37" i="24"/>
  <c r="M38" i="24"/>
  <c r="N38" i="24"/>
  <c r="M39" i="24"/>
  <c r="N39" i="24"/>
  <c r="M40" i="24"/>
  <c r="N40" i="24"/>
  <c r="M41" i="24"/>
  <c r="N41" i="24"/>
  <c r="N42" i="24"/>
  <c r="V15" i="24"/>
  <c r="W15" i="24"/>
  <c r="K16" i="24"/>
  <c r="L16" i="24"/>
  <c r="M16" i="24"/>
  <c r="N16" i="24"/>
  <c r="O16" i="24"/>
  <c r="P16" i="24"/>
  <c r="Q16" i="24"/>
  <c r="O26" i="24"/>
  <c r="P26" i="24"/>
  <c r="O27" i="24"/>
  <c r="P27" i="24"/>
  <c r="O28" i="24"/>
  <c r="P28" i="24"/>
  <c r="O29" i="24"/>
  <c r="P29" i="24"/>
  <c r="O30" i="24"/>
  <c r="P30" i="24"/>
  <c r="O31" i="24"/>
  <c r="P31" i="24"/>
  <c r="O32" i="24"/>
  <c r="P32" i="24"/>
  <c r="O33" i="24"/>
  <c r="P33" i="24"/>
  <c r="O34" i="24"/>
  <c r="P34" i="24"/>
  <c r="O35" i="24"/>
  <c r="P35" i="24"/>
  <c r="O36" i="24"/>
  <c r="P36" i="24"/>
  <c r="O37" i="24"/>
  <c r="P37" i="24"/>
  <c r="O38" i="24"/>
  <c r="P38" i="24"/>
  <c r="O39" i="24"/>
  <c r="P39" i="24"/>
  <c r="O40" i="24"/>
  <c r="P40" i="24"/>
  <c r="O41" i="24"/>
  <c r="P41" i="24"/>
  <c r="P42" i="24"/>
  <c r="V16" i="24"/>
  <c r="W16" i="24"/>
  <c r="K17" i="24"/>
  <c r="L17" i="24"/>
  <c r="M17" i="24"/>
  <c r="N17" i="24"/>
  <c r="O17" i="24"/>
  <c r="P17" i="24"/>
  <c r="Q17" i="24"/>
  <c r="Q26" i="24"/>
  <c r="R26" i="24"/>
  <c r="Q27" i="24"/>
  <c r="R27" i="24"/>
  <c r="Q28" i="24"/>
  <c r="R28" i="24"/>
  <c r="Q29" i="24"/>
  <c r="R29" i="24"/>
  <c r="Q30" i="24"/>
  <c r="R30" i="24"/>
  <c r="Q31" i="24"/>
  <c r="R31" i="24"/>
  <c r="Q32" i="24"/>
  <c r="R32" i="24"/>
  <c r="Q33" i="24"/>
  <c r="R33" i="24"/>
  <c r="Q34" i="24"/>
  <c r="R34" i="24"/>
  <c r="Q35" i="24"/>
  <c r="R35" i="24"/>
  <c r="Q36" i="24"/>
  <c r="R36" i="24"/>
  <c r="Q37" i="24"/>
  <c r="R37" i="24"/>
  <c r="Q38" i="24"/>
  <c r="R38" i="24"/>
  <c r="Q39" i="24"/>
  <c r="R39" i="24"/>
  <c r="Q40" i="24"/>
  <c r="R40" i="24"/>
  <c r="Q41" i="24"/>
  <c r="R41" i="24"/>
  <c r="R42" i="24"/>
  <c r="V17" i="24"/>
  <c r="W17" i="24"/>
  <c r="K18" i="24"/>
  <c r="L18" i="24"/>
  <c r="M18" i="24"/>
  <c r="N18" i="24"/>
  <c r="O18" i="24"/>
  <c r="P18" i="24"/>
  <c r="Q18" i="24"/>
  <c r="S26" i="24"/>
  <c r="T26" i="24"/>
  <c r="S27" i="24"/>
  <c r="T27" i="24"/>
  <c r="S28" i="24"/>
  <c r="T28" i="24"/>
  <c r="S29" i="24"/>
  <c r="T29" i="24"/>
  <c r="S30" i="24"/>
  <c r="T30" i="24"/>
  <c r="S31" i="24"/>
  <c r="T31" i="24"/>
  <c r="S32" i="24"/>
  <c r="T32" i="24"/>
  <c r="S33" i="24"/>
  <c r="T33" i="24"/>
  <c r="S34" i="24"/>
  <c r="T34" i="24"/>
  <c r="S35" i="24"/>
  <c r="T35" i="24"/>
  <c r="S36" i="24"/>
  <c r="T36" i="24"/>
  <c r="S37" i="24"/>
  <c r="T37" i="24"/>
  <c r="S38" i="24"/>
  <c r="T38" i="24"/>
  <c r="S39" i="24"/>
  <c r="T39" i="24"/>
  <c r="S40" i="24"/>
  <c r="T40" i="24"/>
  <c r="S41" i="24"/>
  <c r="T41" i="24"/>
  <c r="T42" i="24"/>
  <c r="V18" i="24"/>
  <c r="W18" i="24"/>
  <c r="K19" i="24"/>
  <c r="L19" i="24"/>
  <c r="M19" i="24"/>
  <c r="N19" i="24"/>
  <c r="O19" i="24"/>
  <c r="P19" i="24"/>
  <c r="Q19" i="24"/>
  <c r="U26" i="24"/>
  <c r="V26" i="24"/>
  <c r="U27" i="24"/>
  <c r="V27" i="24"/>
  <c r="U28" i="24"/>
  <c r="V28" i="24"/>
  <c r="U29" i="24"/>
  <c r="V29" i="24"/>
  <c r="U30" i="24"/>
  <c r="V30" i="24"/>
  <c r="U31" i="24"/>
  <c r="V31" i="24"/>
  <c r="U32" i="24"/>
  <c r="V32" i="24"/>
  <c r="U33" i="24"/>
  <c r="V33" i="24"/>
  <c r="U34" i="24"/>
  <c r="V34" i="24"/>
  <c r="U35" i="24"/>
  <c r="V35" i="24"/>
  <c r="U36" i="24"/>
  <c r="V36" i="24"/>
  <c r="U37" i="24"/>
  <c r="V37" i="24"/>
  <c r="U38" i="24"/>
  <c r="V38" i="24"/>
  <c r="U39" i="24"/>
  <c r="V39" i="24"/>
  <c r="U40" i="24"/>
  <c r="V40" i="24"/>
  <c r="U41" i="24"/>
  <c r="V41" i="24"/>
  <c r="V42" i="24"/>
  <c r="V19" i="24"/>
  <c r="W19" i="24"/>
  <c r="K20" i="24"/>
  <c r="L20" i="24"/>
  <c r="M20" i="24"/>
  <c r="N20" i="24"/>
  <c r="O20" i="24"/>
  <c r="P20" i="24"/>
  <c r="Q20" i="24"/>
  <c r="W26" i="24"/>
  <c r="X26" i="24"/>
  <c r="W27" i="24"/>
  <c r="X27" i="24"/>
  <c r="W28" i="24"/>
  <c r="X28" i="24"/>
  <c r="W29" i="24"/>
  <c r="X29" i="24"/>
  <c r="W30" i="24"/>
  <c r="X30" i="24"/>
  <c r="W31" i="24"/>
  <c r="X31" i="24"/>
  <c r="W32" i="24"/>
  <c r="X32" i="24"/>
  <c r="W33" i="24"/>
  <c r="X33" i="24"/>
  <c r="W34" i="24"/>
  <c r="X34" i="24"/>
  <c r="W35" i="24"/>
  <c r="X35" i="24"/>
  <c r="W36" i="24"/>
  <c r="X36" i="24"/>
  <c r="W37" i="24"/>
  <c r="X37" i="24"/>
  <c r="W38" i="24"/>
  <c r="X38" i="24"/>
  <c r="W39" i="24"/>
  <c r="X39" i="24"/>
  <c r="W40" i="24"/>
  <c r="X40" i="24"/>
  <c r="W41" i="24"/>
  <c r="X41" i="24"/>
  <c r="X42" i="24"/>
  <c r="V20" i="24"/>
  <c r="W20" i="24"/>
  <c r="K21" i="24"/>
  <c r="L21" i="24"/>
  <c r="M21" i="24"/>
  <c r="N21" i="24"/>
  <c r="O21" i="24"/>
  <c r="P21" i="24"/>
  <c r="Q21" i="24"/>
  <c r="Y26" i="24"/>
  <c r="Z26" i="24"/>
  <c r="Y27" i="24"/>
  <c r="Z27" i="24"/>
  <c r="Y28" i="24"/>
  <c r="Z28" i="24"/>
  <c r="Y29" i="24"/>
  <c r="Z29" i="24"/>
  <c r="Y30" i="24"/>
  <c r="Z30" i="24"/>
  <c r="Y31" i="24"/>
  <c r="Z31" i="24"/>
  <c r="Y32" i="24"/>
  <c r="Z32" i="24"/>
  <c r="Y33" i="24"/>
  <c r="Z33" i="24"/>
  <c r="Y34" i="24"/>
  <c r="Z34" i="24"/>
  <c r="Y35" i="24"/>
  <c r="Z35" i="24"/>
  <c r="Y36" i="24"/>
  <c r="Z36" i="24"/>
  <c r="Y37" i="24"/>
  <c r="Z37" i="24"/>
  <c r="Y38" i="24"/>
  <c r="Z38" i="24"/>
  <c r="Y39" i="24"/>
  <c r="Z39" i="24"/>
  <c r="Y40" i="24"/>
  <c r="Z40" i="24"/>
  <c r="Y41" i="24"/>
  <c r="Z41" i="24"/>
  <c r="Z42" i="24"/>
  <c r="V21" i="24"/>
  <c r="W21" i="24"/>
  <c r="K22" i="24"/>
  <c r="L22" i="24"/>
  <c r="M22" i="24"/>
  <c r="N22" i="24"/>
  <c r="O22" i="24"/>
  <c r="P22" i="24"/>
  <c r="Q22" i="24"/>
  <c r="AA26" i="24"/>
  <c r="AB26" i="24"/>
  <c r="AA27" i="24"/>
  <c r="AB27" i="24"/>
  <c r="AA28" i="24"/>
  <c r="AB28" i="24"/>
  <c r="AA29" i="24"/>
  <c r="AB29" i="24"/>
  <c r="AA30" i="24"/>
  <c r="AB30" i="24"/>
  <c r="AA31" i="24"/>
  <c r="AB31" i="24"/>
  <c r="AA32" i="24"/>
  <c r="AB32" i="24"/>
  <c r="AA33" i="24"/>
  <c r="AB33" i="24"/>
  <c r="AA34" i="24"/>
  <c r="AB34" i="24"/>
  <c r="AA35" i="24"/>
  <c r="AB35" i="24"/>
  <c r="AA36" i="24"/>
  <c r="AB36" i="24"/>
  <c r="AA37" i="24"/>
  <c r="AB37" i="24"/>
  <c r="AA38" i="24"/>
  <c r="AB38" i="24"/>
  <c r="AA39" i="24"/>
  <c r="AB39" i="24"/>
  <c r="AA40" i="24"/>
  <c r="AB40" i="24"/>
  <c r="AA41" i="24"/>
  <c r="AB41" i="24"/>
  <c r="AB42" i="24"/>
  <c r="V22" i="24"/>
  <c r="W22" i="24"/>
  <c r="K11" i="25"/>
  <c r="L11" i="25"/>
  <c r="M11" i="25"/>
  <c r="N11" i="25"/>
  <c r="O11" i="25"/>
  <c r="P11" i="25"/>
  <c r="Q11" i="25"/>
  <c r="E26" i="25"/>
  <c r="F26" i="25"/>
  <c r="E27" i="25"/>
  <c r="F27" i="25"/>
  <c r="E28" i="25"/>
  <c r="F28" i="25"/>
  <c r="E29" i="25"/>
  <c r="F29" i="25"/>
  <c r="E30" i="25"/>
  <c r="F30" i="25"/>
  <c r="E31" i="25"/>
  <c r="F31" i="25"/>
  <c r="E32" i="25"/>
  <c r="F32" i="25"/>
  <c r="E33" i="25"/>
  <c r="F33" i="25"/>
  <c r="E34" i="25"/>
  <c r="F34" i="25"/>
  <c r="E35" i="25"/>
  <c r="F35" i="25"/>
  <c r="E36" i="25"/>
  <c r="F36" i="25"/>
  <c r="E37" i="25"/>
  <c r="F37" i="25"/>
  <c r="E38" i="25"/>
  <c r="F38" i="25"/>
  <c r="E39" i="25"/>
  <c r="F39" i="25"/>
  <c r="E40" i="25"/>
  <c r="F40" i="25"/>
  <c r="E41" i="25"/>
  <c r="F41" i="25"/>
  <c r="F42" i="25"/>
  <c r="V11" i="25"/>
  <c r="W11" i="25"/>
  <c r="K12" i="25"/>
  <c r="L12" i="25"/>
  <c r="M12" i="25"/>
  <c r="N12" i="25"/>
  <c r="O12" i="25"/>
  <c r="P12" i="25"/>
  <c r="Q12" i="25"/>
  <c r="G26" i="25"/>
  <c r="H26" i="25"/>
  <c r="G27" i="25"/>
  <c r="H27" i="25"/>
  <c r="G28" i="25"/>
  <c r="H28" i="25"/>
  <c r="G29" i="25"/>
  <c r="H29" i="25"/>
  <c r="G30" i="25"/>
  <c r="H30" i="25"/>
  <c r="G31" i="25"/>
  <c r="H31" i="25"/>
  <c r="G32" i="25"/>
  <c r="H32" i="25"/>
  <c r="G33" i="25"/>
  <c r="H33" i="25"/>
  <c r="G34" i="25"/>
  <c r="H34" i="25"/>
  <c r="G35" i="25"/>
  <c r="H35" i="25"/>
  <c r="G36" i="25"/>
  <c r="H36" i="25"/>
  <c r="G37" i="25"/>
  <c r="H37" i="25"/>
  <c r="G38" i="25"/>
  <c r="H38" i="25"/>
  <c r="G39" i="25"/>
  <c r="H39" i="25"/>
  <c r="G40" i="25"/>
  <c r="H40" i="25"/>
  <c r="G41" i="25"/>
  <c r="H41" i="25"/>
  <c r="H42" i="25"/>
  <c r="V12" i="25"/>
  <c r="W12" i="25"/>
  <c r="K13" i="25"/>
  <c r="L13" i="25"/>
  <c r="M13" i="25"/>
  <c r="N13" i="25"/>
  <c r="O13" i="25"/>
  <c r="P13" i="25"/>
  <c r="Q13" i="25"/>
  <c r="I26" i="25"/>
  <c r="J26" i="25"/>
  <c r="I27" i="25"/>
  <c r="J27" i="25"/>
  <c r="I28" i="25"/>
  <c r="J28" i="25"/>
  <c r="I29" i="25"/>
  <c r="J29" i="25"/>
  <c r="I30" i="25"/>
  <c r="J30" i="25"/>
  <c r="I31" i="25"/>
  <c r="J31" i="25"/>
  <c r="I32" i="25"/>
  <c r="J32" i="25"/>
  <c r="I33" i="25"/>
  <c r="J33" i="25"/>
  <c r="I34" i="25"/>
  <c r="J34" i="25"/>
  <c r="I35" i="25"/>
  <c r="J35" i="25"/>
  <c r="I36" i="25"/>
  <c r="J36" i="25"/>
  <c r="I37" i="25"/>
  <c r="J37" i="25"/>
  <c r="I38" i="25"/>
  <c r="J38" i="25"/>
  <c r="I39" i="25"/>
  <c r="J39" i="25"/>
  <c r="I40" i="25"/>
  <c r="J40" i="25"/>
  <c r="I41" i="25"/>
  <c r="J41" i="25"/>
  <c r="J42" i="25"/>
  <c r="V13" i="25"/>
  <c r="W13" i="25"/>
  <c r="K14" i="25"/>
  <c r="L14" i="25"/>
  <c r="M14" i="25"/>
  <c r="N14" i="25"/>
  <c r="O14" i="25"/>
  <c r="P14" i="25"/>
  <c r="Q14" i="25"/>
  <c r="K26" i="25"/>
  <c r="L26" i="25"/>
  <c r="K27" i="25"/>
  <c r="L27" i="25"/>
  <c r="K28" i="25"/>
  <c r="L28" i="25"/>
  <c r="K29" i="25"/>
  <c r="L29" i="25"/>
  <c r="K30" i="25"/>
  <c r="L30" i="25"/>
  <c r="K31" i="25"/>
  <c r="L31" i="25"/>
  <c r="K32" i="25"/>
  <c r="L32" i="25"/>
  <c r="K33" i="25"/>
  <c r="L33" i="25"/>
  <c r="K34" i="25"/>
  <c r="L34" i="25"/>
  <c r="K35" i="25"/>
  <c r="L35" i="25"/>
  <c r="K36" i="25"/>
  <c r="L36" i="25"/>
  <c r="K37" i="25"/>
  <c r="L37" i="25"/>
  <c r="K38" i="25"/>
  <c r="L38" i="25"/>
  <c r="K39" i="25"/>
  <c r="L39" i="25"/>
  <c r="K40" i="25"/>
  <c r="L40" i="25"/>
  <c r="K41" i="25"/>
  <c r="L41" i="25"/>
  <c r="L42" i="25"/>
  <c r="V14" i="25"/>
  <c r="W14" i="25"/>
  <c r="K15" i="25"/>
  <c r="L15" i="25"/>
  <c r="M15" i="25"/>
  <c r="N15" i="25"/>
  <c r="O15" i="25"/>
  <c r="P15" i="25"/>
  <c r="Q15" i="25"/>
  <c r="M26" i="25"/>
  <c r="N26" i="25"/>
  <c r="M27" i="25"/>
  <c r="N27" i="25"/>
  <c r="M28" i="25"/>
  <c r="N28" i="25"/>
  <c r="M29" i="25"/>
  <c r="N29" i="25"/>
  <c r="M30" i="25"/>
  <c r="N30" i="25"/>
  <c r="M31" i="25"/>
  <c r="N31" i="25"/>
  <c r="M32" i="25"/>
  <c r="N32" i="25"/>
  <c r="M33" i="25"/>
  <c r="N33" i="25"/>
  <c r="M34" i="25"/>
  <c r="N34" i="25"/>
  <c r="M35" i="25"/>
  <c r="N35" i="25"/>
  <c r="M36" i="25"/>
  <c r="N36" i="25"/>
  <c r="M37" i="25"/>
  <c r="N37" i="25"/>
  <c r="M38" i="25"/>
  <c r="N38" i="25"/>
  <c r="M39" i="25"/>
  <c r="N39" i="25"/>
  <c r="M40" i="25"/>
  <c r="N40" i="25"/>
  <c r="M41" i="25"/>
  <c r="N41" i="25"/>
  <c r="N42" i="25"/>
  <c r="V15" i="25"/>
  <c r="W15" i="25"/>
  <c r="K16" i="25"/>
  <c r="L16" i="25"/>
  <c r="M16" i="25"/>
  <c r="N16" i="25"/>
  <c r="O16" i="25"/>
  <c r="P16" i="25"/>
  <c r="Q16" i="25"/>
  <c r="O26" i="25"/>
  <c r="P26" i="25"/>
  <c r="O27" i="25"/>
  <c r="P27" i="25"/>
  <c r="O28" i="25"/>
  <c r="P28" i="25"/>
  <c r="O29" i="25"/>
  <c r="P29" i="25"/>
  <c r="O30" i="25"/>
  <c r="P30" i="25"/>
  <c r="O31" i="25"/>
  <c r="P31" i="25"/>
  <c r="O32" i="25"/>
  <c r="P32" i="25"/>
  <c r="O33" i="25"/>
  <c r="P33" i="25"/>
  <c r="O34" i="25"/>
  <c r="P34" i="25"/>
  <c r="O35" i="25"/>
  <c r="P35" i="25"/>
  <c r="O36" i="25"/>
  <c r="P36" i="25"/>
  <c r="O37" i="25"/>
  <c r="P37" i="25"/>
  <c r="O38" i="25"/>
  <c r="P38" i="25"/>
  <c r="O39" i="25"/>
  <c r="P39" i="25"/>
  <c r="O40" i="25"/>
  <c r="P40" i="25"/>
  <c r="O41" i="25"/>
  <c r="P41" i="25"/>
  <c r="P42" i="25"/>
  <c r="V16" i="25"/>
  <c r="W16" i="25"/>
  <c r="K17" i="25"/>
  <c r="L17" i="25"/>
  <c r="M17" i="25"/>
  <c r="N17" i="25"/>
  <c r="O17" i="25"/>
  <c r="P17" i="25"/>
  <c r="Q17" i="25"/>
  <c r="Q26" i="25"/>
  <c r="R26" i="25"/>
  <c r="Q27" i="25"/>
  <c r="R27" i="25"/>
  <c r="Q28" i="25"/>
  <c r="R28" i="25"/>
  <c r="Q29" i="25"/>
  <c r="R29" i="25"/>
  <c r="Q30" i="25"/>
  <c r="R30" i="25"/>
  <c r="Q31" i="25"/>
  <c r="R31" i="25"/>
  <c r="Q32" i="25"/>
  <c r="R32" i="25"/>
  <c r="Q33" i="25"/>
  <c r="R33" i="25"/>
  <c r="Q34" i="25"/>
  <c r="R34" i="25"/>
  <c r="Q35" i="25"/>
  <c r="R35" i="25"/>
  <c r="Q36" i="25"/>
  <c r="R36" i="25"/>
  <c r="Q37" i="25"/>
  <c r="R37" i="25"/>
  <c r="Q38" i="25"/>
  <c r="R38" i="25"/>
  <c r="Q39" i="25"/>
  <c r="R39" i="25"/>
  <c r="Q40" i="25"/>
  <c r="R40" i="25"/>
  <c r="Q41" i="25"/>
  <c r="R41" i="25"/>
  <c r="R42" i="25"/>
  <c r="V17" i="25"/>
  <c r="W17" i="25"/>
  <c r="K18" i="25"/>
  <c r="L18" i="25"/>
  <c r="M18" i="25"/>
  <c r="N18" i="25"/>
  <c r="O18" i="25"/>
  <c r="P18" i="25"/>
  <c r="Q18" i="25"/>
  <c r="S26" i="25"/>
  <c r="T26" i="25"/>
  <c r="S27" i="25"/>
  <c r="T27" i="25"/>
  <c r="S28" i="25"/>
  <c r="T28" i="25"/>
  <c r="S29" i="25"/>
  <c r="T29" i="25"/>
  <c r="S30" i="25"/>
  <c r="T30" i="25"/>
  <c r="S31" i="25"/>
  <c r="T31" i="25"/>
  <c r="S32" i="25"/>
  <c r="T32" i="25"/>
  <c r="S33" i="25"/>
  <c r="T33" i="25"/>
  <c r="S34" i="25"/>
  <c r="T34" i="25"/>
  <c r="S35" i="25"/>
  <c r="T35" i="25"/>
  <c r="S36" i="25"/>
  <c r="T36" i="25"/>
  <c r="S37" i="25"/>
  <c r="T37" i="25"/>
  <c r="S38" i="25"/>
  <c r="T38" i="25"/>
  <c r="S39" i="25"/>
  <c r="T39" i="25"/>
  <c r="S40" i="25"/>
  <c r="T40" i="25"/>
  <c r="S41" i="25"/>
  <c r="T41" i="25"/>
  <c r="T42" i="25"/>
  <c r="V18" i="25"/>
  <c r="W18" i="25"/>
  <c r="K19" i="25"/>
  <c r="L19" i="25"/>
  <c r="M19" i="25"/>
  <c r="N19" i="25"/>
  <c r="O19" i="25"/>
  <c r="P19" i="25"/>
  <c r="Q19" i="25"/>
  <c r="U26" i="25"/>
  <c r="V26" i="25"/>
  <c r="U27" i="25"/>
  <c r="V27" i="25"/>
  <c r="U28" i="25"/>
  <c r="V28" i="25"/>
  <c r="U29" i="25"/>
  <c r="V29" i="25"/>
  <c r="U30" i="25"/>
  <c r="V30" i="25"/>
  <c r="U31" i="25"/>
  <c r="V31" i="25"/>
  <c r="U32" i="25"/>
  <c r="V32" i="25"/>
  <c r="U33" i="25"/>
  <c r="V33" i="25"/>
  <c r="U34" i="25"/>
  <c r="V34" i="25"/>
  <c r="U35" i="25"/>
  <c r="V35" i="25"/>
  <c r="U36" i="25"/>
  <c r="V36" i="25"/>
  <c r="U37" i="25"/>
  <c r="V37" i="25"/>
  <c r="U38" i="25"/>
  <c r="V38" i="25"/>
  <c r="U39" i="25"/>
  <c r="V39" i="25"/>
  <c r="U40" i="25"/>
  <c r="V40" i="25"/>
  <c r="U41" i="25"/>
  <c r="V41" i="25"/>
  <c r="V42" i="25"/>
  <c r="V19" i="25"/>
  <c r="W19" i="25"/>
  <c r="K20" i="25"/>
  <c r="L20" i="25"/>
  <c r="M20" i="25"/>
  <c r="N20" i="25"/>
  <c r="O20" i="25"/>
  <c r="P20" i="25"/>
  <c r="Q20" i="25"/>
  <c r="W26" i="25"/>
  <c r="X26" i="25"/>
  <c r="W27" i="25"/>
  <c r="X27" i="25"/>
  <c r="W28" i="25"/>
  <c r="X28" i="25"/>
  <c r="W29" i="25"/>
  <c r="X29" i="25"/>
  <c r="W30" i="25"/>
  <c r="X30" i="25"/>
  <c r="W31" i="25"/>
  <c r="X31" i="25"/>
  <c r="W32" i="25"/>
  <c r="X32" i="25"/>
  <c r="W33" i="25"/>
  <c r="X33" i="25"/>
  <c r="W34" i="25"/>
  <c r="X34" i="25"/>
  <c r="W35" i="25"/>
  <c r="X35" i="25"/>
  <c r="W36" i="25"/>
  <c r="X36" i="25"/>
  <c r="W37" i="25"/>
  <c r="X37" i="25"/>
  <c r="W38" i="25"/>
  <c r="X38" i="25"/>
  <c r="W39" i="25"/>
  <c r="X39" i="25"/>
  <c r="W40" i="25"/>
  <c r="X40" i="25"/>
  <c r="W41" i="25"/>
  <c r="X41" i="25"/>
  <c r="X42" i="25"/>
  <c r="V20" i="25"/>
  <c r="W20" i="25"/>
  <c r="K21" i="25"/>
  <c r="L21" i="25"/>
  <c r="M21" i="25"/>
  <c r="N21" i="25"/>
  <c r="O21" i="25"/>
  <c r="P21" i="25"/>
  <c r="Q21" i="25"/>
  <c r="Y26" i="25"/>
  <c r="Z26" i="25"/>
  <c r="Y27" i="25"/>
  <c r="Z27" i="25"/>
  <c r="Y28" i="25"/>
  <c r="Z28" i="25"/>
  <c r="Y29" i="25"/>
  <c r="Z29" i="25"/>
  <c r="Y30" i="25"/>
  <c r="Z30" i="25"/>
  <c r="Y31" i="25"/>
  <c r="Z31" i="25"/>
  <c r="Y32" i="25"/>
  <c r="Z32" i="25"/>
  <c r="Y33" i="25"/>
  <c r="Z33" i="25"/>
  <c r="Y34" i="25"/>
  <c r="Z34" i="25"/>
  <c r="Y35" i="25"/>
  <c r="Z35" i="25"/>
  <c r="Y36" i="25"/>
  <c r="Z36" i="25"/>
  <c r="Y37" i="25"/>
  <c r="Z37" i="25"/>
  <c r="Y38" i="25"/>
  <c r="Z38" i="25"/>
  <c r="Y39" i="25"/>
  <c r="Z39" i="25"/>
  <c r="Y40" i="25"/>
  <c r="Z40" i="25"/>
  <c r="Y41" i="25"/>
  <c r="Z41" i="25"/>
  <c r="Z42" i="25"/>
  <c r="V21" i="25"/>
  <c r="W21" i="25"/>
  <c r="K22" i="25"/>
  <c r="L22" i="25"/>
  <c r="M22" i="25"/>
  <c r="N22" i="25"/>
  <c r="O22" i="25"/>
  <c r="P22" i="25"/>
  <c r="Q22" i="25"/>
  <c r="AA26" i="25"/>
  <c r="AB26" i="25"/>
  <c r="AA27" i="25"/>
  <c r="AB27" i="25"/>
  <c r="AA28" i="25"/>
  <c r="AB28" i="25"/>
  <c r="AA29" i="25"/>
  <c r="AB29" i="25"/>
  <c r="AA30" i="25"/>
  <c r="AB30" i="25"/>
  <c r="AA31" i="25"/>
  <c r="AB31" i="25"/>
  <c r="AA32" i="25"/>
  <c r="AB32" i="25"/>
  <c r="AA33" i="25"/>
  <c r="AB33" i="25"/>
  <c r="AA34" i="25"/>
  <c r="AB34" i="25"/>
  <c r="AA35" i="25"/>
  <c r="AB35" i="25"/>
  <c r="AA36" i="25"/>
  <c r="AB36" i="25"/>
  <c r="AA37" i="25"/>
  <c r="AB37" i="25"/>
  <c r="AA38" i="25"/>
  <c r="AB38" i="25"/>
  <c r="AA39" i="25"/>
  <c r="AB39" i="25"/>
  <c r="AA40" i="25"/>
  <c r="AB40" i="25"/>
  <c r="AA41" i="25"/>
  <c r="AB41" i="25"/>
  <c r="AB42" i="25"/>
  <c r="V22" i="25"/>
  <c r="W22" i="25"/>
  <c r="K11" i="26"/>
  <c r="L11" i="26"/>
  <c r="M11" i="26"/>
  <c r="N11" i="26"/>
  <c r="O11" i="26"/>
  <c r="P11" i="26"/>
  <c r="Q11" i="26"/>
  <c r="E26" i="26"/>
  <c r="F26" i="26"/>
  <c r="E27" i="26"/>
  <c r="F27" i="26"/>
  <c r="E28" i="26"/>
  <c r="F28" i="26"/>
  <c r="E29" i="26"/>
  <c r="F29" i="26"/>
  <c r="E30" i="26"/>
  <c r="F30" i="26"/>
  <c r="E31" i="26"/>
  <c r="F31" i="26"/>
  <c r="E32" i="26"/>
  <c r="F32" i="26"/>
  <c r="E33" i="26"/>
  <c r="F33" i="26"/>
  <c r="E34" i="26"/>
  <c r="F34" i="26"/>
  <c r="E35" i="26"/>
  <c r="F35" i="26"/>
  <c r="E36" i="26"/>
  <c r="F36" i="26"/>
  <c r="E37" i="26"/>
  <c r="F37" i="26"/>
  <c r="E38" i="26"/>
  <c r="F38" i="26"/>
  <c r="E39" i="26"/>
  <c r="F39" i="26"/>
  <c r="E40" i="26"/>
  <c r="F40" i="26"/>
  <c r="E41" i="26"/>
  <c r="F41" i="26"/>
  <c r="F42" i="26"/>
  <c r="V11" i="26"/>
  <c r="W11" i="26"/>
  <c r="K12" i="26"/>
  <c r="L12" i="26"/>
  <c r="M12" i="26"/>
  <c r="N12" i="26"/>
  <c r="O12" i="26"/>
  <c r="P12" i="26"/>
  <c r="Q12" i="26"/>
  <c r="G26" i="26"/>
  <c r="H26" i="26"/>
  <c r="G27" i="26"/>
  <c r="H27" i="26"/>
  <c r="G28" i="26"/>
  <c r="H28" i="26"/>
  <c r="G29" i="26"/>
  <c r="H29" i="26"/>
  <c r="G30" i="26"/>
  <c r="H30" i="26"/>
  <c r="G31" i="26"/>
  <c r="H31" i="26"/>
  <c r="G32" i="26"/>
  <c r="H32" i="26"/>
  <c r="G33" i="26"/>
  <c r="H33" i="26"/>
  <c r="G34" i="26"/>
  <c r="H34" i="26"/>
  <c r="G35" i="26"/>
  <c r="H35" i="26"/>
  <c r="G36" i="26"/>
  <c r="H36" i="26"/>
  <c r="G37" i="26"/>
  <c r="H37" i="26"/>
  <c r="G38" i="26"/>
  <c r="H38" i="26"/>
  <c r="G39" i="26"/>
  <c r="H39" i="26"/>
  <c r="G40" i="26"/>
  <c r="H40" i="26"/>
  <c r="G41" i="26"/>
  <c r="H41" i="26"/>
  <c r="H42" i="26"/>
  <c r="V12" i="26"/>
  <c r="W12" i="26"/>
  <c r="K13" i="26"/>
  <c r="L13" i="26"/>
  <c r="M13" i="26"/>
  <c r="N13" i="26"/>
  <c r="O13" i="26"/>
  <c r="P13" i="26"/>
  <c r="Q13" i="26"/>
  <c r="I26" i="26"/>
  <c r="J26" i="26"/>
  <c r="I27" i="26"/>
  <c r="J27" i="26"/>
  <c r="I28" i="26"/>
  <c r="J28" i="26"/>
  <c r="I29" i="26"/>
  <c r="J29" i="26"/>
  <c r="I30" i="26"/>
  <c r="J30" i="26"/>
  <c r="I31" i="26"/>
  <c r="J31" i="26"/>
  <c r="I32" i="26"/>
  <c r="J32" i="26"/>
  <c r="I33" i="26"/>
  <c r="J33" i="26"/>
  <c r="I34" i="26"/>
  <c r="J34" i="26"/>
  <c r="I35" i="26"/>
  <c r="J35" i="26"/>
  <c r="I36" i="26"/>
  <c r="J36" i="26"/>
  <c r="I37" i="26"/>
  <c r="J37" i="26"/>
  <c r="I38" i="26"/>
  <c r="J38" i="26"/>
  <c r="I39" i="26"/>
  <c r="J39" i="26"/>
  <c r="I40" i="26"/>
  <c r="J40" i="26"/>
  <c r="I41" i="26"/>
  <c r="J41" i="26"/>
  <c r="J42" i="26"/>
  <c r="V13" i="26"/>
  <c r="W13" i="26"/>
  <c r="K14" i="26"/>
  <c r="L14" i="26"/>
  <c r="M14" i="26"/>
  <c r="N14" i="26"/>
  <c r="O14" i="26"/>
  <c r="P14" i="26"/>
  <c r="Q14" i="26"/>
  <c r="K26" i="26"/>
  <c r="L26" i="26"/>
  <c r="K27" i="26"/>
  <c r="L27" i="26"/>
  <c r="K28" i="26"/>
  <c r="L28" i="26"/>
  <c r="K29" i="26"/>
  <c r="L29" i="26"/>
  <c r="K30" i="26"/>
  <c r="L30" i="26"/>
  <c r="K31" i="26"/>
  <c r="L31" i="26"/>
  <c r="K32" i="26"/>
  <c r="L32" i="26"/>
  <c r="K33" i="26"/>
  <c r="L33" i="26"/>
  <c r="K34" i="26"/>
  <c r="L34" i="26"/>
  <c r="K35" i="26"/>
  <c r="L35" i="26"/>
  <c r="K36" i="26"/>
  <c r="L36" i="26"/>
  <c r="K37" i="26"/>
  <c r="L37" i="26"/>
  <c r="K38" i="26"/>
  <c r="L38" i="26"/>
  <c r="K39" i="26"/>
  <c r="L39" i="26"/>
  <c r="K40" i="26"/>
  <c r="L40" i="26"/>
  <c r="K41" i="26"/>
  <c r="L41" i="26"/>
  <c r="L42" i="26"/>
  <c r="V14" i="26"/>
  <c r="W14" i="26"/>
  <c r="K15" i="26"/>
  <c r="L15" i="26"/>
  <c r="M15" i="26"/>
  <c r="N15" i="26"/>
  <c r="O15" i="26"/>
  <c r="P15" i="26"/>
  <c r="Q15" i="26"/>
  <c r="M26" i="26"/>
  <c r="N26" i="26"/>
  <c r="M27" i="26"/>
  <c r="N27" i="26"/>
  <c r="M28" i="26"/>
  <c r="N28" i="26"/>
  <c r="M29" i="26"/>
  <c r="N29" i="26"/>
  <c r="M30" i="26"/>
  <c r="N30" i="26"/>
  <c r="M31" i="26"/>
  <c r="N31" i="26"/>
  <c r="M32" i="26"/>
  <c r="N32" i="26"/>
  <c r="M33" i="26"/>
  <c r="N33" i="26"/>
  <c r="M34" i="26"/>
  <c r="N34" i="26"/>
  <c r="M35" i="26"/>
  <c r="N35" i="26"/>
  <c r="M36" i="26"/>
  <c r="N36" i="26"/>
  <c r="M37" i="26"/>
  <c r="N37" i="26"/>
  <c r="M38" i="26"/>
  <c r="N38" i="26"/>
  <c r="M39" i="26"/>
  <c r="N39" i="26"/>
  <c r="M40" i="26"/>
  <c r="N40" i="26"/>
  <c r="M41" i="26"/>
  <c r="N41" i="26"/>
  <c r="N42" i="26"/>
  <c r="V15" i="26"/>
  <c r="W15" i="26"/>
  <c r="K16" i="26"/>
  <c r="L16" i="26"/>
  <c r="M16" i="26"/>
  <c r="N16" i="26"/>
  <c r="O16" i="26"/>
  <c r="P16" i="26"/>
  <c r="Q16" i="26"/>
  <c r="O26" i="26"/>
  <c r="P26" i="26"/>
  <c r="O27" i="26"/>
  <c r="P27" i="26"/>
  <c r="O28" i="26"/>
  <c r="P28" i="26"/>
  <c r="O29" i="26"/>
  <c r="P29" i="26"/>
  <c r="O30" i="26"/>
  <c r="P30" i="26"/>
  <c r="O31" i="26"/>
  <c r="P31" i="26"/>
  <c r="O32" i="26"/>
  <c r="P32" i="26"/>
  <c r="O33" i="26"/>
  <c r="P33" i="26"/>
  <c r="O34" i="26"/>
  <c r="P34" i="26"/>
  <c r="O35" i="26"/>
  <c r="P35" i="26"/>
  <c r="O36" i="26"/>
  <c r="P36" i="26"/>
  <c r="O37" i="26"/>
  <c r="P37" i="26"/>
  <c r="O38" i="26"/>
  <c r="P38" i="26"/>
  <c r="O39" i="26"/>
  <c r="P39" i="26"/>
  <c r="O40" i="26"/>
  <c r="P40" i="26"/>
  <c r="O41" i="26"/>
  <c r="P41" i="26"/>
  <c r="P42" i="26"/>
  <c r="V16" i="26"/>
  <c r="W16" i="26"/>
  <c r="K17" i="26"/>
  <c r="L17" i="26"/>
  <c r="M17" i="26"/>
  <c r="N17" i="26"/>
  <c r="O17" i="26"/>
  <c r="P17" i="26"/>
  <c r="Q17" i="26"/>
  <c r="Q26" i="26"/>
  <c r="R26" i="26"/>
  <c r="Q27" i="26"/>
  <c r="R27" i="26"/>
  <c r="Q28" i="26"/>
  <c r="R28" i="26"/>
  <c r="Q29" i="26"/>
  <c r="R29" i="26"/>
  <c r="Q30" i="26"/>
  <c r="R30" i="26"/>
  <c r="Q31" i="26"/>
  <c r="R31" i="26"/>
  <c r="Q32" i="26"/>
  <c r="R32" i="26"/>
  <c r="Q33" i="26"/>
  <c r="R33" i="26"/>
  <c r="Q34" i="26"/>
  <c r="R34" i="26"/>
  <c r="Q35" i="26"/>
  <c r="R35" i="26"/>
  <c r="Q36" i="26"/>
  <c r="R36" i="26"/>
  <c r="Q37" i="26"/>
  <c r="R37" i="26"/>
  <c r="Q38" i="26"/>
  <c r="R38" i="26"/>
  <c r="Q39" i="26"/>
  <c r="R39" i="26"/>
  <c r="Q40" i="26"/>
  <c r="R40" i="26"/>
  <c r="Q41" i="26"/>
  <c r="R41" i="26"/>
  <c r="R42" i="26"/>
  <c r="V17" i="26"/>
  <c r="W17" i="26"/>
  <c r="K18" i="26"/>
  <c r="L18" i="26"/>
  <c r="M18" i="26"/>
  <c r="N18" i="26"/>
  <c r="O18" i="26"/>
  <c r="P18" i="26"/>
  <c r="Q18" i="26"/>
  <c r="S26" i="26"/>
  <c r="T26" i="26"/>
  <c r="S27" i="26"/>
  <c r="T27" i="26"/>
  <c r="S28" i="26"/>
  <c r="T28" i="26"/>
  <c r="S29" i="26"/>
  <c r="T29" i="26"/>
  <c r="S30" i="26"/>
  <c r="T30" i="26"/>
  <c r="S31" i="26"/>
  <c r="T31" i="26"/>
  <c r="S32" i="26"/>
  <c r="T32" i="26"/>
  <c r="S33" i="26"/>
  <c r="T33" i="26"/>
  <c r="S34" i="26"/>
  <c r="T34" i="26"/>
  <c r="S35" i="26"/>
  <c r="T35" i="26"/>
  <c r="S36" i="26"/>
  <c r="T36" i="26"/>
  <c r="S37" i="26"/>
  <c r="T37" i="26"/>
  <c r="S38" i="26"/>
  <c r="T38" i="26"/>
  <c r="S39" i="26"/>
  <c r="T39" i="26"/>
  <c r="S40" i="26"/>
  <c r="T40" i="26"/>
  <c r="S41" i="26"/>
  <c r="T41" i="26"/>
  <c r="T42" i="26"/>
  <c r="V18" i="26"/>
  <c r="W18" i="26"/>
  <c r="K19" i="26"/>
  <c r="L19" i="26"/>
  <c r="M19" i="26"/>
  <c r="N19" i="26"/>
  <c r="O19" i="26"/>
  <c r="P19" i="26"/>
  <c r="Q19" i="26"/>
  <c r="U26" i="26"/>
  <c r="V26" i="26"/>
  <c r="U27" i="26"/>
  <c r="V27" i="26"/>
  <c r="U28" i="26"/>
  <c r="V28" i="26"/>
  <c r="U29" i="26"/>
  <c r="V29" i="26"/>
  <c r="U30" i="26"/>
  <c r="V30" i="26"/>
  <c r="U31" i="26"/>
  <c r="V31" i="26"/>
  <c r="U32" i="26"/>
  <c r="V32" i="26"/>
  <c r="U33" i="26"/>
  <c r="V33" i="26"/>
  <c r="U34" i="26"/>
  <c r="V34" i="26"/>
  <c r="U35" i="26"/>
  <c r="V35" i="26"/>
  <c r="U36" i="26"/>
  <c r="V36" i="26"/>
  <c r="U37" i="26"/>
  <c r="V37" i="26"/>
  <c r="U38" i="26"/>
  <c r="V38" i="26"/>
  <c r="U39" i="26"/>
  <c r="V39" i="26"/>
  <c r="U40" i="26"/>
  <c r="V40" i="26"/>
  <c r="U41" i="26"/>
  <c r="V41" i="26"/>
  <c r="V42" i="26"/>
  <c r="V19" i="26"/>
  <c r="W19" i="26"/>
  <c r="K20" i="26"/>
  <c r="L20" i="26"/>
  <c r="M20" i="26"/>
  <c r="N20" i="26"/>
  <c r="O20" i="26"/>
  <c r="P20" i="26"/>
  <c r="Q20" i="26"/>
  <c r="W26" i="26"/>
  <c r="X26" i="26"/>
  <c r="W27" i="26"/>
  <c r="X27" i="26"/>
  <c r="W28" i="26"/>
  <c r="X28" i="26"/>
  <c r="W29" i="26"/>
  <c r="X29" i="26"/>
  <c r="W30" i="26"/>
  <c r="X30" i="26"/>
  <c r="W31" i="26"/>
  <c r="X31" i="26"/>
  <c r="W32" i="26"/>
  <c r="X32" i="26"/>
  <c r="W33" i="26"/>
  <c r="X33" i="26"/>
  <c r="W34" i="26"/>
  <c r="X34" i="26"/>
  <c r="W35" i="26"/>
  <c r="X35" i="26"/>
  <c r="W36" i="26"/>
  <c r="X36" i="26"/>
  <c r="W37" i="26"/>
  <c r="X37" i="26"/>
  <c r="W38" i="26"/>
  <c r="X38" i="26"/>
  <c r="W39" i="26"/>
  <c r="X39" i="26"/>
  <c r="W40" i="26"/>
  <c r="X40" i="26"/>
  <c r="W41" i="26"/>
  <c r="X41" i="26"/>
  <c r="X42" i="26"/>
  <c r="V20" i="26"/>
  <c r="W20" i="26"/>
  <c r="K21" i="26"/>
  <c r="L21" i="26"/>
  <c r="M21" i="26"/>
  <c r="N21" i="26"/>
  <c r="O21" i="26"/>
  <c r="P21" i="26"/>
  <c r="Q21" i="26"/>
  <c r="Y26" i="26"/>
  <c r="Z26" i="26"/>
  <c r="Y27" i="26"/>
  <c r="Z27" i="26"/>
  <c r="Y28" i="26"/>
  <c r="Z28" i="26"/>
  <c r="Y29" i="26"/>
  <c r="Z29" i="26"/>
  <c r="Y30" i="26"/>
  <c r="Z30" i="26"/>
  <c r="Y31" i="26"/>
  <c r="Z31" i="26"/>
  <c r="Y32" i="26"/>
  <c r="Z32" i="26"/>
  <c r="Y33" i="26"/>
  <c r="Z33" i="26"/>
  <c r="Y34" i="26"/>
  <c r="Z34" i="26"/>
  <c r="Y35" i="26"/>
  <c r="Z35" i="26"/>
  <c r="Y36" i="26"/>
  <c r="Z36" i="26"/>
  <c r="Y37" i="26"/>
  <c r="Z37" i="26"/>
  <c r="Y38" i="26"/>
  <c r="Z38" i="26"/>
  <c r="Y39" i="26"/>
  <c r="Z39" i="26"/>
  <c r="Y40" i="26"/>
  <c r="Z40" i="26"/>
  <c r="Y41" i="26"/>
  <c r="Z41" i="26"/>
  <c r="Z42" i="26"/>
  <c r="V21" i="26"/>
  <c r="W21" i="26"/>
  <c r="K22" i="26"/>
  <c r="L22" i="26"/>
  <c r="M22" i="26"/>
  <c r="N22" i="26"/>
  <c r="O22" i="26"/>
  <c r="P22" i="26"/>
  <c r="Q22" i="26"/>
  <c r="AA26" i="26"/>
  <c r="AB26" i="26"/>
  <c r="AA27" i="26"/>
  <c r="AB27" i="26"/>
  <c r="AA28" i="26"/>
  <c r="AB28" i="26"/>
  <c r="AA29" i="26"/>
  <c r="AB29" i="26"/>
  <c r="AA30" i="26"/>
  <c r="AB30" i="26"/>
  <c r="AA31" i="26"/>
  <c r="AB31" i="26"/>
  <c r="AA32" i="26"/>
  <c r="AB32" i="26"/>
  <c r="AA33" i="26"/>
  <c r="AB33" i="26"/>
  <c r="AA34" i="26"/>
  <c r="AB34" i="26"/>
  <c r="AA35" i="26"/>
  <c r="AB35" i="26"/>
  <c r="AA36" i="26"/>
  <c r="AB36" i="26"/>
  <c r="AA37" i="26"/>
  <c r="AB37" i="26"/>
  <c r="AA38" i="26"/>
  <c r="AB38" i="26"/>
  <c r="AA39" i="26"/>
  <c r="AB39" i="26"/>
  <c r="AA40" i="26"/>
  <c r="AB40" i="26"/>
  <c r="AA41" i="26"/>
  <c r="AB41" i="26"/>
  <c r="AB42" i="26"/>
  <c r="V22" i="26"/>
  <c r="W22" i="26"/>
  <c r="K10" i="26"/>
  <c r="L10" i="26"/>
  <c r="M10" i="26"/>
  <c r="N10" i="26"/>
  <c r="O10" i="26"/>
  <c r="P10" i="26"/>
  <c r="Q10" i="26"/>
  <c r="C26" i="26"/>
  <c r="D26" i="26"/>
  <c r="C27" i="26"/>
  <c r="D27" i="26"/>
  <c r="C28" i="26"/>
  <c r="D28" i="26"/>
  <c r="C29" i="26"/>
  <c r="D29" i="26"/>
  <c r="C30" i="26"/>
  <c r="D30" i="26"/>
  <c r="C31" i="26"/>
  <c r="D31" i="26"/>
  <c r="C32" i="26"/>
  <c r="D32" i="26"/>
  <c r="C33" i="26"/>
  <c r="D33" i="26"/>
  <c r="C34" i="26"/>
  <c r="D34" i="26"/>
  <c r="C35" i="26"/>
  <c r="D35" i="26"/>
  <c r="C36" i="26"/>
  <c r="D36" i="26"/>
  <c r="C37" i="26"/>
  <c r="D37" i="26"/>
  <c r="C38" i="26"/>
  <c r="D38" i="26"/>
  <c r="C39" i="26"/>
  <c r="D39" i="26"/>
  <c r="C40" i="26"/>
  <c r="D40" i="26"/>
  <c r="C41" i="26"/>
  <c r="D41" i="26"/>
  <c r="D42" i="26"/>
  <c r="V10" i="26"/>
  <c r="W10" i="26"/>
  <c r="K10" i="25"/>
  <c r="L10" i="25"/>
  <c r="M10" i="25"/>
  <c r="N10" i="25"/>
  <c r="O10" i="25"/>
  <c r="P10" i="25"/>
  <c r="Q10" i="25"/>
  <c r="C26" i="25"/>
  <c r="D26" i="25"/>
  <c r="C27" i="25"/>
  <c r="D27" i="25"/>
  <c r="C28" i="25"/>
  <c r="D28" i="25"/>
  <c r="C29" i="25"/>
  <c r="D29" i="25"/>
  <c r="C30" i="25"/>
  <c r="D30" i="25"/>
  <c r="C31" i="25"/>
  <c r="D31" i="25"/>
  <c r="C32" i="25"/>
  <c r="D32" i="25"/>
  <c r="C33" i="25"/>
  <c r="D33" i="25"/>
  <c r="C34" i="25"/>
  <c r="D34" i="25"/>
  <c r="C35" i="25"/>
  <c r="D35" i="25"/>
  <c r="C36" i="25"/>
  <c r="D36" i="25"/>
  <c r="C37" i="25"/>
  <c r="D37" i="25"/>
  <c r="C38" i="25"/>
  <c r="D38" i="25"/>
  <c r="C39" i="25"/>
  <c r="D39" i="25"/>
  <c r="C40" i="25"/>
  <c r="D40" i="25"/>
  <c r="C41" i="25"/>
  <c r="D41" i="25"/>
  <c r="D42" i="25"/>
  <c r="V10" i="25"/>
  <c r="W10" i="25"/>
  <c r="K10" i="24"/>
  <c r="L10" i="24"/>
  <c r="M10" i="24"/>
  <c r="N10" i="24"/>
  <c r="O10" i="24"/>
  <c r="P10" i="24"/>
  <c r="Q10" i="24"/>
  <c r="C26" i="24"/>
  <c r="D26" i="24"/>
  <c r="C27" i="24"/>
  <c r="D27" i="24"/>
  <c r="C28" i="24"/>
  <c r="D28" i="24"/>
  <c r="C29" i="24"/>
  <c r="D29" i="24"/>
  <c r="C30" i="24"/>
  <c r="D30" i="24"/>
  <c r="C31" i="24"/>
  <c r="D31" i="24"/>
  <c r="C32" i="24"/>
  <c r="D32" i="24"/>
  <c r="C33" i="24"/>
  <c r="D33" i="24"/>
  <c r="C34" i="24"/>
  <c r="D34" i="24"/>
  <c r="C35" i="24"/>
  <c r="D35" i="24"/>
  <c r="C36" i="24"/>
  <c r="D36" i="24"/>
  <c r="C37" i="24"/>
  <c r="D37" i="24"/>
  <c r="C38" i="24"/>
  <c r="D38" i="24"/>
  <c r="C39" i="24"/>
  <c r="D39" i="24"/>
  <c r="C40" i="24"/>
  <c r="D40" i="24"/>
  <c r="C41" i="24"/>
  <c r="D41" i="24"/>
  <c r="D42" i="24"/>
  <c r="V10" i="24"/>
  <c r="W10" i="24"/>
  <c r="K10" i="23"/>
  <c r="L10" i="23"/>
  <c r="M10" i="23"/>
  <c r="N10" i="23"/>
  <c r="O10" i="23"/>
  <c r="P10" i="23"/>
  <c r="Q10" i="23"/>
  <c r="C26" i="23"/>
  <c r="D26" i="23"/>
  <c r="C27" i="23"/>
  <c r="D27" i="23"/>
  <c r="C28" i="23"/>
  <c r="D28" i="23"/>
  <c r="C29" i="23"/>
  <c r="D29" i="23"/>
  <c r="C30" i="23"/>
  <c r="D30" i="23"/>
  <c r="C31" i="23"/>
  <c r="D31" i="23"/>
  <c r="C32" i="23"/>
  <c r="D32" i="23"/>
  <c r="C33" i="23"/>
  <c r="D33" i="23"/>
  <c r="C34" i="23"/>
  <c r="D34" i="23"/>
  <c r="C35" i="23"/>
  <c r="D35" i="23"/>
  <c r="C36" i="23"/>
  <c r="D36" i="23"/>
  <c r="C37" i="23"/>
  <c r="D37" i="23"/>
  <c r="C38" i="23"/>
  <c r="D38" i="23"/>
  <c r="C39" i="23"/>
  <c r="D39" i="23"/>
  <c r="C40" i="23"/>
  <c r="D40" i="23"/>
  <c r="C41" i="23"/>
  <c r="D41" i="23"/>
  <c r="D42" i="23"/>
  <c r="V10" i="23"/>
  <c r="W10" i="23"/>
  <c r="K12" i="19"/>
  <c r="L12" i="19"/>
  <c r="M12" i="19"/>
  <c r="N12" i="19"/>
  <c r="O12" i="19"/>
  <c r="P12" i="19"/>
  <c r="Q12" i="19"/>
  <c r="G26" i="19"/>
  <c r="H26" i="19"/>
  <c r="G27" i="19"/>
  <c r="H27" i="19"/>
  <c r="G28" i="19"/>
  <c r="H28" i="19"/>
  <c r="G29" i="19"/>
  <c r="H29" i="19"/>
  <c r="G30" i="19"/>
  <c r="H30" i="19"/>
  <c r="G31" i="19"/>
  <c r="H31" i="19"/>
  <c r="G32" i="19"/>
  <c r="H32" i="19"/>
  <c r="G33" i="19"/>
  <c r="H33" i="19"/>
  <c r="G34" i="19"/>
  <c r="H34" i="19"/>
  <c r="G35" i="19"/>
  <c r="H35" i="19"/>
  <c r="G36" i="19"/>
  <c r="H36" i="19"/>
  <c r="G37" i="19"/>
  <c r="H37" i="19"/>
  <c r="G38" i="19"/>
  <c r="H38" i="19"/>
  <c r="G39" i="19"/>
  <c r="H39" i="19"/>
  <c r="G40" i="19"/>
  <c r="H40" i="19"/>
  <c r="G41" i="19"/>
  <c r="H41" i="19"/>
  <c r="H42" i="19"/>
  <c r="V12" i="19"/>
  <c r="W12" i="19"/>
  <c r="K13" i="19"/>
  <c r="L13" i="19"/>
  <c r="M13" i="19"/>
  <c r="N13" i="19"/>
  <c r="O13" i="19"/>
  <c r="P13" i="19"/>
  <c r="Q13" i="19"/>
  <c r="I26" i="19"/>
  <c r="J26" i="19"/>
  <c r="I27" i="19"/>
  <c r="J27" i="19"/>
  <c r="I28" i="19"/>
  <c r="J28" i="19"/>
  <c r="I29" i="19"/>
  <c r="J29" i="19"/>
  <c r="I30" i="19"/>
  <c r="J30" i="19"/>
  <c r="I31" i="19"/>
  <c r="J31" i="19"/>
  <c r="I32" i="19"/>
  <c r="J32" i="19"/>
  <c r="I33" i="19"/>
  <c r="J33" i="19"/>
  <c r="I34" i="19"/>
  <c r="J34" i="19"/>
  <c r="I35" i="19"/>
  <c r="J35" i="19"/>
  <c r="I36" i="19"/>
  <c r="J36" i="19"/>
  <c r="I37" i="19"/>
  <c r="J37" i="19"/>
  <c r="I38" i="19"/>
  <c r="J38" i="19"/>
  <c r="I39" i="19"/>
  <c r="J39" i="19"/>
  <c r="I40" i="19"/>
  <c r="J40" i="19"/>
  <c r="I41" i="19"/>
  <c r="J41" i="19"/>
  <c r="J42" i="19"/>
  <c r="V13" i="19"/>
  <c r="W13" i="19"/>
  <c r="K14" i="19"/>
  <c r="L14" i="19"/>
  <c r="M14" i="19"/>
  <c r="N14" i="19"/>
  <c r="O14" i="19"/>
  <c r="P14" i="19"/>
  <c r="Q14" i="19"/>
  <c r="K26" i="19"/>
  <c r="L26" i="19"/>
  <c r="K27" i="19"/>
  <c r="L27" i="19"/>
  <c r="K28" i="19"/>
  <c r="L28" i="19"/>
  <c r="K29" i="19"/>
  <c r="L29" i="19"/>
  <c r="K30" i="19"/>
  <c r="L30" i="19"/>
  <c r="K31" i="19"/>
  <c r="L31" i="19"/>
  <c r="K32" i="19"/>
  <c r="L32" i="19"/>
  <c r="K33" i="19"/>
  <c r="L33" i="19"/>
  <c r="K34" i="19"/>
  <c r="L34" i="19"/>
  <c r="K35" i="19"/>
  <c r="L35" i="19"/>
  <c r="K36" i="19"/>
  <c r="L36" i="19"/>
  <c r="K37" i="19"/>
  <c r="L37" i="19"/>
  <c r="K38" i="19"/>
  <c r="L38" i="19"/>
  <c r="K39" i="19"/>
  <c r="L39" i="19"/>
  <c r="K40" i="19"/>
  <c r="L40" i="19"/>
  <c r="K41" i="19"/>
  <c r="L41" i="19"/>
  <c r="L42" i="19"/>
  <c r="V14" i="19"/>
  <c r="W14" i="19"/>
  <c r="K15" i="19"/>
  <c r="L15" i="19"/>
  <c r="M15" i="19"/>
  <c r="N15" i="19"/>
  <c r="O15" i="19"/>
  <c r="P15" i="19"/>
  <c r="Q15" i="19"/>
  <c r="M26" i="19"/>
  <c r="N26" i="19"/>
  <c r="M27" i="19"/>
  <c r="N27" i="19"/>
  <c r="M28" i="19"/>
  <c r="N28" i="19"/>
  <c r="M29" i="19"/>
  <c r="N29" i="19"/>
  <c r="M30" i="19"/>
  <c r="N30" i="19"/>
  <c r="M31" i="19"/>
  <c r="N31" i="19"/>
  <c r="M32" i="19"/>
  <c r="N32" i="19"/>
  <c r="M33" i="19"/>
  <c r="N33" i="19"/>
  <c r="M34" i="19"/>
  <c r="N34" i="19"/>
  <c r="M35" i="19"/>
  <c r="N35" i="19"/>
  <c r="M36" i="19"/>
  <c r="N36" i="19"/>
  <c r="M37" i="19"/>
  <c r="N37" i="19"/>
  <c r="M38" i="19"/>
  <c r="N38" i="19"/>
  <c r="M39" i="19"/>
  <c r="N39" i="19"/>
  <c r="M40" i="19"/>
  <c r="N40" i="19"/>
  <c r="M41" i="19"/>
  <c r="N41" i="19"/>
  <c r="N42" i="19"/>
  <c r="V15" i="19"/>
  <c r="W15" i="19"/>
  <c r="K16" i="19"/>
  <c r="L16" i="19"/>
  <c r="M16" i="19"/>
  <c r="N16" i="19"/>
  <c r="O16" i="19"/>
  <c r="P16" i="19"/>
  <c r="Q16" i="19"/>
  <c r="O26" i="19"/>
  <c r="P26" i="19"/>
  <c r="O27" i="19"/>
  <c r="P27" i="19"/>
  <c r="O28" i="19"/>
  <c r="P28" i="19"/>
  <c r="O29" i="19"/>
  <c r="P29" i="19"/>
  <c r="O30" i="19"/>
  <c r="P30" i="19"/>
  <c r="O31" i="19"/>
  <c r="P31" i="19"/>
  <c r="O32" i="19"/>
  <c r="P32" i="19"/>
  <c r="O33" i="19"/>
  <c r="P33" i="19"/>
  <c r="O34" i="19"/>
  <c r="P34" i="19"/>
  <c r="O35" i="19"/>
  <c r="P35" i="19"/>
  <c r="O36" i="19"/>
  <c r="P36" i="19"/>
  <c r="O37" i="19"/>
  <c r="P37" i="19"/>
  <c r="O38" i="19"/>
  <c r="P38" i="19"/>
  <c r="O39" i="19"/>
  <c r="P39" i="19"/>
  <c r="O40" i="19"/>
  <c r="P40" i="19"/>
  <c r="O41" i="19"/>
  <c r="P41" i="19"/>
  <c r="P42" i="19"/>
  <c r="V16" i="19"/>
  <c r="W16" i="19"/>
  <c r="K17" i="19"/>
  <c r="L17" i="19"/>
  <c r="M17" i="19"/>
  <c r="N17" i="19"/>
  <c r="O17" i="19"/>
  <c r="P17" i="19"/>
  <c r="Q17" i="19"/>
  <c r="Q26" i="19"/>
  <c r="R26" i="19"/>
  <c r="Q27" i="19"/>
  <c r="R27" i="19"/>
  <c r="Q28" i="19"/>
  <c r="R28" i="19"/>
  <c r="Q29" i="19"/>
  <c r="R29" i="19"/>
  <c r="Q30" i="19"/>
  <c r="R30" i="19"/>
  <c r="Q31" i="19"/>
  <c r="R31" i="19"/>
  <c r="Q32" i="19"/>
  <c r="R32" i="19"/>
  <c r="Q33" i="19"/>
  <c r="R33" i="19"/>
  <c r="Q34" i="19"/>
  <c r="R34" i="19"/>
  <c r="Q35" i="19"/>
  <c r="R35" i="19"/>
  <c r="Q36" i="19"/>
  <c r="R36" i="19"/>
  <c r="Q37" i="19"/>
  <c r="R37" i="19"/>
  <c r="Q38" i="19"/>
  <c r="R38" i="19"/>
  <c r="Q39" i="19"/>
  <c r="R39" i="19"/>
  <c r="Q40" i="19"/>
  <c r="R40" i="19"/>
  <c r="Q41" i="19"/>
  <c r="R41" i="19"/>
  <c r="R42" i="19"/>
  <c r="V17" i="19"/>
  <c r="W17" i="19"/>
  <c r="K18" i="19"/>
  <c r="L18" i="19"/>
  <c r="M18" i="19"/>
  <c r="N18" i="19"/>
  <c r="O18" i="19"/>
  <c r="P18" i="19"/>
  <c r="Q18" i="19"/>
  <c r="S26" i="19"/>
  <c r="T26" i="19"/>
  <c r="S27" i="19"/>
  <c r="T27" i="19"/>
  <c r="S28" i="19"/>
  <c r="T28" i="19"/>
  <c r="S29" i="19"/>
  <c r="T29" i="19"/>
  <c r="S30" i="19"/>
  <c r="T30" i="19"/>
  <c r="S31" i="19"/>
  <c r="T31" i="19"/>
  <c r="S32" i="19"/>
  <c r="T32" i="19"/>
  <c r="S33" i="19"/>
  <c r="T33" i="19"/>
  <c r="S34" i="19"/>
  <c r="T34" i="19"/>
  <c r="S35" i="19"/>
  <c r="T35" i="19"/>
  <c r="S36" i="19"/>
  <c r="T36" i="19"/>
  <c r="S37" i="19"/>
  <c r="T37" i="19"/>
  <c r="S38" i="19"/>
  <c r="T38" i="19"/>
  <c r="S39" i="19"/>
  <c r="T39" i="19"/>
  <c r="S40" i="19"/>
  <c r="T40" i="19"/>
  <c r="S41" i="19"/>
  <c r="T41" i="19"/>
  <c r="T42" i="19"/>
  <c r="V18" i="19"/>
  <c r="W18" i="19"/>
  <c r="K19" i="19"/>
  <c r="L19" i="19"/>
  <c r="M19" i="19"/>
  <c r="N19" i="19"/>
  <c r="O19" i="19"/>
  <c r="P19" i="19"/>
  <c r="Q19" i="19"/>
  <c r="U26" i="19"/>
  <c r="V26" i="19"/>
  <c r="U27" i="19"/>
  <c r="V27" i="19"/>
  <c r="U28" i="19"/>
  <c r="V28" i="19"/>
  <c r="U29" i="19"/>
  <c r="V29" i="19"/>
  <c r="U30" i="19"/>
  <c r="V30" i="19"/>
  <c r="U31" i="19"/>
  <c r="V31" i="19"/>
  <c r="U32" i="19"/>
  <c r="V32" i="19"/>
  <c r="U33" i="19"/>
  <c r="V33" i="19"/>
  <c r="U34" i="19"/>
  <c r="V34" i="19"/>
  <c r="U35" i="19"/>
  <c r="V35" i="19"/>
  <c r="U36" i="19"/>
  <c r="V36" i="19"/>
  <c r="U37" i="19"/>
  <c r="V37" i="19"/>
  <c r="U38" i="19"/>
  <c r="V38" i="19"/>
  <c r="U39" i="19"/>
  <c r="V39" i="19"/>
  <c r="U40" i="19"/>
  <c r="V40" i="19"/>
  <c r="U41" i="19"/>
  <c r="V41" i="19"/>
  <c r="V42" i="19"/>
  <c r="V19" i="19"/>
  <c r="W19" i="19"/>
  <c r="K20" i="19"/>
  <c r="L20" i="19"/>
  <c r="M20" i="19"/>
  <c r="N20" i="19"/>
  <c r="O20" i="19"/>
  <c r="P20" i="19"/>
  <c r="Q20" i="19"/>
  <c r="W26" i="19"/>
  <c r="X26" i="19"/>
  <c r="W27" i="19"/>
  <c r="X27" i="19"/>
  <c r="W28" i="19"/>
  <c r="X28" i="19"/>
  <c r="W29" i="19"/>
  <c r="X29" i="19"/>
  <c r="W30" i="19"/>
  <c r="X30" i="19"/>
  <c r="W31" i="19"/>
  <c r="X31" i="19"/>
  <c r="W32" i="19"/>
  <c r="X32" i="19"/>
  <c r="W33" i="19"/>
  <c r="X33" i="19"/>
  <c r="W34" i="19"/>
  <c r="X34" i="19"/>
  <c r="W35" i="19"/>
  <c r="X35" i="19"/>
  <c r="W36" i="19"/>
  <c r="X36" i="19"/>
  <c r="W37" i="19"/>
  <c r="X37" i="19"/>
  <c r="W38" i="19"/>
  <c r="X38" i="19"/>
  <c r="W39" i="19"/>
  <c r="X39" i="19"/>
  <c r="W40" i="19"/>
  <c r="X40" i="19"/>
  <c r="W41" i="19"/>
  <c r="X41" i="19"/>
  <c r="X42" i="19"/>
  <c r="V20" i="19"/>
  <c r="W20" i="19"/>
  <c r="K21" i="19"/>
  <c r="L21" i="19"/>
  <c r="M21" i="19"/>
  <c r="N21" i="19"/>
  <c r="O21" i="19"/>
  <c r="P21" i="19"/>
  <c r="Q21" i="19"/>
  <c r="Y26" i="19"/>
  <c r="Z26" i="19"/>
  <c r="Y27" i="19"/>
  <c r="Z27" i="19"/>
  <c r="Y28" i="19"/>
  <c r="Z28" i="19"/>
  <c r="Y29" i="19"/>
  <c r="Z29" i="19"/>
  <c r="Y30" i="19"/>
  <c r="Z30" i="19"/>
  <c r="Y31" i="19"/>
  <c r="Z31" i="19"/>
  <c r="Y32" i="19"/>
  <c r="Z32" i="19"/>
  <c r="Y33" i="19"/>
  <c r="Z33" i="19"/>
  <c r="Y34" i="19"/>
  <c r="Z34" i="19"/>
  <c r="Y35" i="19"/>
  <c r="Z35" i="19"/>
  <c r="Y36" i="19"/>
  <c r="Z36" i="19"/>
  <c r="Y37" i="19"/>
  <c r="Z37" i="19"/>
  <c r="Y38" i="19"/>
  <c r="Z38" i="19"/>
  <c r="Y39" i="19"/>
  <c r="Z39" i="19"/>
  <c r="Y40" i="19"/>
  <c r="Z40" i="19"/>
  <c r="Y41" i="19"/>
  <c r="Z41" i="19"/>
  <c r="Z42" i="19"/>
  <c r="V21" i="19"/>
  <c r="W21" i="19"/>
  <c r="K22" i="19"/>
  <c r="L22" i="19"/>
  <c r="M22" i="19"/>
  <c r="N22" i="19"/>
  <c r="O22" i="19"/>
  <c r="P22" i="19"/>
  <c r="Q22" i="19"/>
  <c r="AA26" i="19"/>
  <c r="AB26" i="19"/>
  <c r="AA27" i="19"/>
  <c r="AB27" i="19"/>
  <c r="AA28" i="19"/>
  <c r="AB28" i="19"/>
  <c r="AA29" i="19"/>
  <c r="AB29" i="19"/>
  <c r="AA30" i="19"/>
  <c r="AB30" i="19"/>
  <c r="AA31" i="19"/>
  <c r="AB31" i="19"/>
  <c r="AA32" i="19"/>
  <c r="AB32" i="19"/>
  <c r="AA33" i="19"/>
  <c r="AB33" i="19"/>
  <c r="AA34" i="19"/>
  <c r="AB34" i="19"/>
  <c r="AA35" i="19"/>
  <c r="AB35" i="19"/>
  <c r="AA36" i="19"/>
  <c r="AB36" i="19"/>
  <c r="AA37" i="19"/>
  <c r="AB37" i="19"/>
  <c r="AA38" i="19"/>
  <c r="AB38" i="19"/>
  <c r="AA39" i="19"/>
  <c r="AB39" i="19"/>
  <c r="AA40" i="19"/>
  <c r="AB40" i="19"/>
  <c r="AA41" i="19"/>
  <c r="AB41" i="19"/>
  <c r="AB42" i="19"/>
  <c r="V22" i="19"/>
  <c r="W22" i="19"/>
  <c r="K10" i="19"/>
  <c r="L10" i="19"/>
  <c r="M10" i="19"/>
  <c r="N10" i="19"/>
  <c r="O10" i="19"/>
  <c r="P10" i="19"/>
  <c r="Q10" i="19"/>
  <c r="C26" i="19"/>
  <c r="D26" i="19"/>
  <c r="C27" i="19"/>
  <c r="D27" i="19"/>
  <c r="C28" i="19"/>
  <c r="D28" i="19"/>
  <c r="C29" i="19"/>
  <c r="D29" i="19"/>
  <c r="C30" i="19"/>
  <c r="D30" i="19"/>
  <c r="C31" i="19"/>
  <c r="D31" i="19"/>
  <c r="C32" i="19"/>
  <c r="D32" i="19"/>
  <c r="C33" i="19"/>
  <c r="D33" i="19"/>
  <c r="C34" i="19"/>
  <c r="D34" i="19"/>
  <c r="C35" i="19"/>
  <c r="D35" i="19"/>
  <c r="C36" i="19"/>
  <c r="D36" i="19"/>
  <c r="C37" i="19"/>
  <c r="D37" i="19"/>
  <c r="C38" i="19"/>
  <c r="D38" i="19"/>
  <c r="C39" i="19"/>
  <c r="D39" i="19"/>
  <c r="C40" i="19"/>
  <c r="D40" i="19"/>
  <c r="C41" i="19"/>
  <c r="D41" i="19"/>
  <c r="D42" i="19"/>
  <c r="V10" i="19"/>
  <c r="W10" i="19"/>
  <c r="K11" i="19"/>
  <c r="L11" i="19"/>
  <c r="M11" i="19"/>
  <c r="N11" i="19"/>
  <c r="O11" i="19"/>
  <c r="P11" i="19"/>
  <c r="Q11" i="19"/>
  <c r="E26" i="19"/>
  <c r="F26" i="19"/>
  <c r="E27" i="19"/>
  <c r="F27" i="19"/>
  <c r="E28" i="19"/>
  <c r="F28" i="19"/>
  <c r="E29" i="19"/>
  <c r="F29" i="19"/>
  <c r="E30" i="19"/>
  <c r="F30" i="19"/>
  <c r="E31" i="19"/>
  <c r="F31" i="19"/>
  <c r="E32" i="19"/>
  <c r="F32" i="19"/>
  <c r="E33" i="19"/>
  <c r="F33" i="19"/>
  <c r="E34" i="19"/>
  <c r="F34" i="19"/>
  <c r="E35" i="19"/>
  <c r="F35" i="19"/>
  <c r="E36" i="19"/>
  <c r="F36" i="19"/>
  <c r="E37" i="19"/>
  <c r="F37" i="19"/>
  <c r="E38" i="19"/>
  <c r="F38" i="19"/>
  <c r="E39" i="19"/>
  <c r="F39" i="19"/>
  <c r="E40" i="19"/>
  <c r="F40" i="19"/>
  <c r="E41" i="19"/>
  <c r="F41" i="19"/>
  <c r="F42" i="19"/>
  <c r="V11" i="19"/>
  <c r="W11" i="19"/>
  <c r="V23" i="26"/>
  <c r="V23" i="19"/>
  <c r="V23" i="23"/>
  <c r="X21" i="19"/>
  <c r="V23" i="24"/>
  <c r="X22" i="23"/>
  <c r="V23" i="25"/>
  <c r="X22" i="24"/>
  <c r="X22" i="25"/>
</calcChain>
</file>

<file path=xl/sharedStrings.xml><?xml version="1.0" encoding="utf-8"?>
<sst xmlns="http://schemas.openxmlformats.org/spreadsheetml/2006/main" count="426" uniqueCount="68">
  <si>
    <t>CO2</t>
  </si>
  <si>
    <t>H2O</t>
  </si>
  <si>
    <t>T(K)</t>
  </si>
  <si>
    <t>c^p(kJ/kmol-K)</t>
  </si>
  <si>
    <t>h^h^0(MJ/kmol)</t>
  </si>
  <si>
    <t>s^(kJ/kmol-K)</t>
  </si>
  <si>
    <t>g0R^uT</t>
  </si>
  <si>
    <t>N2</t>
  </si>
  <si>
    <t>O2</t>
  </si>
  <si>
    <t>H2</t>
  </si>
  <si>
    <t>^s(kJ/kmol-K)</t>
  </si>
  <si>
    <t>Enthalpy (MJ/kmol)</t>
  </si>
  <si>
    <t>cp (kJ/kmol-K)</t>
  </si>
  <si>
    <t>s^ (kJ/kmol-K)</t>
  </si>
  <si>
    <t>Temp (K)</t>
  </si>
  <si>
    <t>Enthalpy</t>
  </si>
  <si>
    <t>ϕ</t>
  </si>
  <si>
    <t>RPM</t>
  </si>
  <si>
    <t>Swept vol.</t>
  </si>
  <si>
    <t>Clearance Vol.</t>
  </si>
  <si>
    <t>Vol. Eff %</t>
  </si>
  <si>
    <t>Actual enthalpy</t>
  </si>
  <si>
    <t>Net Enthalpy</t>
  </si>
  <si>
    <t>Ideal flame temp. (K)</t>
  </si>
  <si>
    <t>Deg K</t>
  </si>
  <si>
    <t>PV/RT=n</t>
  </si>
  <si>
    <t>Fuel Calculator</t>
  </si>
  <si>
    <t>Carbon</t>
  </si>
  <si>
    <t>Hydrogen</t>
  </si>
  <si>
    <t>Carbon(x)</t>
  </si>
  <si>
    <t>Hydrogen(y)</t>
  </si>
  <si>
    <t>CO2(n1)</t>
  </si>
  <si>
    <t>H2O(n2)</t>
  </si>
  <si>
    <t>N2(n3)</t>
  </si>
  <si>
    <t>Oxygen</t>
  </si>
  <si>
    <t>Nitrogen</t>
  </si>
  <si>
    <t>Atmospheric Composition Ratio</t>
  </si>
  <si>
    <t>%</t>
  </si>
  <si>
    <r>
      <t xml:space="preserve">CxH2y+2+ a(O2+ 3.76 N2) </t>
    </r>
    <r>
      <rPr>
        <b/>
        <sz val="8"/>
        <color theme="1"/>
        <rFont val="Calibri"/>
        <family val="2"/>
      </rPr>
      <t>→</t>
    </r>
    <r>
      <rPr>
        <b/>
        <sz val="8"/>
        <color theme="1"/>
        <rFont val="Arial"/>
        <family val="2"/>
      </rPr>
      <t>n1CO2+ n2H2O + n3N2</t>
    </r>
  </si>
  <si>
    <t>a</t>
  </si>
  <si>
    <t>Gasoline</t>
  </si>
  <si>
    <t>Natural gas</t>
  </si>
  <si>
    <t>Propane</t>
  </si>
  <si>
    <t>Diesel</t>
  </si>
  <si>
    <t>Fuel Mass</t>
  </si>
  <si>
    <t>Air Mass</t>
  </si>
  <si>
    <t>AFR by Mass</t>
  </si>
  <si>
    <t>Co2 (poly)</t>
  </si>
  <si>
    <t>H2O (poly)</t>
  </si>
  <si>
    <t>O2 (poly)</t>
  </si>
  <si>
    <t>N2 (poly)</t>
  </si>
  <si>
    <t>Enthalpy (poly)</t>
  </si>
  <si>
    <t>Flame temp (poly)</t>
  </si>
  <si>
    <t>[O2]</t>
  </si>
  <si>
    <t>[N2]</t>
  </si>
  <si>
    <t>α</t>
  </si>
  <si>
    <t>φ</t>
  </si>
  <si>
    <t>Cylinder Pressure (BAR)</t>
  </si>
  <si>
    <t>Flame temp</t>
  </si>
  <si>
    <t>Polytropic index (n)</t>
  </si>
  <si>
    <r>
      <t>Nox (kmol/</t>
    </r>
    <r>
      <rPr>
        <b/>
        <sz val="11"/>
        <color theme="1"/>
        <rFont val="Calibri"/>
        <family val="2"/>
      </rPr>
      <t>°</t>
    </r>
    <r>
      <rPr>
        <b/>
        <sz val="7.7"/>
        <color theme="1"/>
        <rFont val="Calibri"/>
        <family val="2"/>
      </rPr>
      <t>)</t>
    </r>
  </si>
  <si>
    <t>Total Nox</t>
  </si>
  <si>
    <t>Nox PPM</t>
  </si>
  <si>
    <t>EGR 5%</t>
  </si>
  <si>
    <t>EGR 10%</t>
  </si>
  <si>
    <t>EGR 15%</t>
  </si>
  <si>
    <t>EGR 20%</t>
  </si>
  <si>
    <t>Exhaust composition (kmol)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</si>
</sst>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</font>
    <font>
      <b/>
      <sz val="7.7"/>
      <color theme="1"/>
      <name val="Calibri"/>
      <family val="2"/>
    </font>
    <font>
      <b/>
      <sz val="20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267">
    <xf numFmtId="0" fontId="0" fillId="0" borderId="0" xfId="0"/>
    <xf numFmtId="0" fontId="16" fillId="34" borderId="22" xfId="0" applyFont="1" applyFill="1" applyBorder="1" applyAlignment="1">
      <alignment horizontal="center" vertical="center" wrapText="1"/>
    </xf>
    <xf numFmtId="0" fontId="16" fillId="34" borderId="23" xfId="0" applyFont="1" applyFill="1" applyBorder="1" applyAlignment="1">
      <alignment horizontal="center" vertical="center" wrapText="1"/>
    </xf>
    <xf numFmtId="0" fontId="16" fillId="34" borderId="24" xfId="0" applyFont="1" applyFill="1" applyBorder="1" applyAlignment="1">
      <alignment horizontal="center" vertical="center" wrapText="1"/>
    </xf>
    <xf numFmtId="0" fontId="0" fillId="35" borderId="10" xfId="0" applyFill="1" applyBorder="1"/>
    <xf numFmtId="0" fontId="0" fillId="35" borderId="26" xfId="0" applyFill="1" applyBorder="1"/>
    <xf numFmtId="0" fontId="0" fillId="35" borderId="15" xfId="0" applyFill="1" applyBorder="1"/>
    <xf numFmtId="0" fontId="0" fillId="35" borderId="16" xfId="0" applyFill="1" applyBorder="1"/>
    <xf numFmtId="0" fontId="0" fillId="35" borderId="33" xfId="0" applyFill="1" applyBorder="1"/>
    <xf numFmtId="0" fontId="0" fillId="35" borderId="34" xfId="0" applyFill="1" applyBorder="1"/>
    <xf numFmtId="0" fontId="16" fillId="34" borderId="19" xfId="0" applyFont="1" applyFill="1" applyBorder="1" applyAlignment="1">
      <alignment horizontal="center" vertical="center" wrapText="1"/>
    </xf>
    <xf numFmtId="0" fontId="16" fillId="34" borderId="20" xfId="0" applyFont="1" applyFill="1" applyBorder="1" applyAlignment="1">
      <alignment horizontal="center" vertical="center" wrapText="1"/>
    </xf>
    <xf numFmtId="0" fontId="16" fillId="34" borderId="21" xfId="0" applyFont="1" applyFill="1" applyBorder="1" applyAlignment="1">
      <alignment horizontal="center" vertical="center" wrapText="1"/>
    </xf>
    <xf numFmtId="0" fontId="0" fillId="35" borderId="38" xfId="0" applyFill="1" applyBorder="1"/>
    <xf numFmtId="0" fontId="0" fillId="35" borderId="28" xfId="0" applyFill="1" applyBorder="1"/>
    <xf numFmtId="0" fontId="0" fillId="35" borderId="29" xfId="0" applyFill="1" applyBorder="1"/>
    <xf numFmtId="0" fontId="0" fillId="35" borderId="30" xfId="0" applyFill="1" applyBorder="1"/>
    <xf numFmtId="0" fontId="0" fillId="35" borderId="31" xfId="0" applyFill="1" applyBorder="1"/>
    <xf numFmtId="3" fontId="0" fillId="35" borderId="31" xfId="0" applyNumberFormat="1" applyFill="1" applyBorder="1"/>
    <xf numFmtId="3" fontId="0" fillId="35" borderId="32" xfId="0" applyNumberFormat="1" applyFill="1" applyBorder="1"/>
    <xf numFmtId="0" fontId="0" fillId="35" borderId="11" xfId="0" applyFill="1" applyBorder="1" applyAlignment="1">
      <alignment horizontal="center" vertical="center"/>
    </xf>
    <xf numFmtId="0" fontId="0" fillId="35" borderId="12" xfId="0" applyFill="1" applyBorder="1" applyAlignment="1">
      <alignment horizontal="center" vertical="center"/>
    </xf>
    <xf numFmtId="0" fontId="0" fillId="35" borderId="13" xfId="0" applyFill="1" applyBorder="1" applyAlignment="1">
      <alignment horizontal="center" vertical="center"/>
    </xf>
    <xf numFmtId="0" fontId="0" fillId="35" borderId="25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35" borderId="26" xfId="0" applyFill="1" applyBorder="1" applyAlignment="1">
      <alignment horizontal="center" vertical="center"/>
    </xf>
    <xf numFmtId="3" fontId="0" fillId="35" borderId="25" xfId="0" applyNumberFormat="1" applyFill="1" applyBorder="1" applyAlignment="1">
      <alignment horizontal="center" vertical="center"/>
    </xf>
    <xf numFmtId="3" fontId="0" fillId="35" borderId="14" xfId="0" applyNumberFormat="1" applyFill="1" applyBorder="1" applyAlignment="1">
      <alignment horizontal="center" vertical="center"/>
    </xf>
    <xf numFmtId="0" fontId="0" fillId="35" borderId="15" xfId="0" applyFill="1" applyBorder="1" applyAlignment="1">
      <alignment horizontal="center" vertical="center"/>
    </xf>
    <xf numFmtId="0" fontId="0" fillId="35" borderId="16" xfId="0" applyFill="1" applyBorder="1" applyAlignment="1">
      <alignment horizontal="center" vertical="center"/>
    </xf>
    <xf numFmtId="0" fontId="16" fillId="34" borderId="39" xfId="0" applyFont="1" applyFill="1" applyBorder="1" applyAlignment="1">
      <alignment horizontal="center" vertical="center" wrapText="1"/>
    </xf>
    <xf numFmtId="0" fontId="16" fillId="34" borderId="40" xfId="0" applyFont="1" applyFill="1" applyBorder="1" applyAlignment="1">
      <alignment horizontal="center" vertical="center" wrapText="1"/>
    </xf>
    <xf numFmtId="0" fontId="16" fillId="34" borderId="41" xfId="0" applyFont="1" applyFill="1" applyBorder="1" applyAlignment="1">
      <alignment horizontal="center" vertical="center" wrapText="1"/>
    </xf>
    <xf numFmtId="0" fontId="0" fillId="34" borderId="37" xfId="0" applyFill="1" applyBorder="1" applyAlignment="1">
      <alignment horizontal="center" vertical="center"/>
    </xf>
    <xf numFmtId="0" fontId="0" fillId="36" borderId="42" xfId="0" applyFill="1" applyBorder="1"/>
    <xf numFmtId="0" fontId="0" fillId="36" borderId="43" xfId="0" applyFill="1" applyBorder="1"/>
    <xf numFmtId="0" fontId="0" fillId="36" borderId="46" xfId="0" applyFill="1" applyBorder="1"/>
    <xf numFmtId="0" fontId="0" fillId="36" borderId="47" xfId="0" applyFill="1" applyBorder="1"/>
    <xf numFmtId="0" fontId="0" fillId="36" borderId="44" xfId="0" applyFill="1" applyBorder="1"/>
    <xf numFmtId="0" fontId="0" fillId="36" borderId="45" xfId="0" applyFill="1" applyBorder="1"/>
    <xf numFmtId="0" fontId="16" fillId="33" borderId="35" xfId="0" applyFont="1" applyFill="1" applyBorder="1" applyAlignment="1">
      <alignment horizontal="center" vertical="center"/>
    </xf>
    <xf numFmtId="0" fontId="16" fillId="33" borderId="17" xfId="0" applyFont="1" applyFill="1" applyBorder="1" applyAlignment="1">
      <alignment horizontal="center" vertical="center"/>
    </xf>
    <xf numFmtId="0" fontId="0" fillId="34" borderId="18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34" borderId="15" xfId="0" applyFill="1" applyBorder="1" applyAlignment="1">
      <alignment horizontal="center" vertical="center"/>
    </xf>
    <xf numFmtId="0" fontId="16" fillId="33" borderId="48" xfId="0" applyFont="1" applyFill="1" applyBorder="1" applyAlignment="1">
      <alignment horizontal="center" vertical="center"/>
    </xf>
    <xf numFmtId="0" fontId="16" fillId="33" borderId="49" xfId="0" applyFont="1" applyFill="1" applyBorder="1" applyAlignment="1">
      <alignment horizontal="center" vertical="center"/>
    </xf>
    <xf numFmtId="0" fontId="0" fillId="34" borderId="25" xfId="0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0" fontId="0" fillId="36" borderId="0" xfId="0" applyFill="1" applyBorder="1"/>
    <xf numFmtId="0" fontId="16" fillId="37" borderId="36" xfId="0" applyFont="1" applyFill="1" applyBorder="1" applyAlignment="1">
      <alignment horizontal="center" vertical="center"/>
    </xf>
    <xf numFmtId="0" fontId="0" fillId="34" borderId="39" xfId="0" applyFill="1" applyBorder="1" applyAlignment="1">
      <alignment horizontal="center" vertical="center"/>
    </xf>
    <xf numFmtId="0" fontId="0" fillId="35" borderId="41" xfId="0" applyFill="1" applyBorder="1" applyAlignment="1">
      <alignment horizontal="center" vertical="center"/>
    </xf>
    <xf numFmtId="0" fontId="0" fillId="36" borderId="0" xfId="0" applyFill="1" applyBorder="1" applyAlignment="1">
      <alignment horizontal="center" vertical="center"/>
    </xf>
    <xf numFmtId="0" fontId="0" fillId="36" borderId="0" xfId="0" applyFill="1"/>
    <xf numFmtId="0" fontId="0" fillId="36" borderId="0" xfId="0" applyFill="1" applyBorder="1" applyAlignment="1">
      <alignment horizontal="center"/>
    </xf>
    <xf numFmtId="9" fontId="0" fillId="35" borderId="26" xfId="0" applyNumberFormat="1" applyFill="1" applyBorder="1" applyAlignment="1">
      <alignment horizontal="center" vertical="center"/>
    </xf>
    <xf numFmtId="3" fontId="0" fillId="35" borderId="58" xfId="0" applyNumberFormat="1" applyFill="1" applyBorder="1" applyAlignment="1">
      <alignment horizontal="center" vertical="center"/>
    </xf>
    <xf numFmtId="0" fontId="0" fillId="35" borderId="33" xfId="0" applyFill="1" applyBorder="1" applyAlignment="1">
      <alignment horizontal="center" vertical="center"/>
    </xf>
    <xf numFmtId="0" fontId="0" fillId="35" borderId="34" xfId="0" applyFill="1" applyBorder="1" applyAlignment="1">
      <alignment horizontal="center" vertical="center"/>
    </xf>
    <xf numFmtId="3" fontId="0" fillId="35" borderId="54" xfId="0" applyNumberFormat="1" applyFill="1" applyBorder="1" applyAlignment="1">
      <alignment horizontal="center" vertical="center"/>
    </xf>
    <xf numFmtId="0" fontId="0" fillId="35" borderId="38" xfId="0" applyFill="1" applyBorder="1" applyAlignment="1">
      <alignment horizontal="center" vertical="center"/>
    </xf>
    <xf numFmtId="3" fontId="0" fillId="35" borderId="31" xfId="0" applyNumberFormat="1" applyFill="1" applyBorder="1" applyAlignment="1">
      <alignment horizontal="center" vertical="center"/>
    </xf>
    <xf numFmtId="0" fontId="0" fillId="35" borderId="28" xfId="0" applyFill="1" applyBorder="1" applyAlignment="1">
      <alignment horizontal="center" vertical="center"/>
    </xf>
    <xf numFmtId="3" fontId="0" fillId="35" borderId="32" xfId="0" applyNumberFormat="1" applyFill="1" applyBorder="1" applyAlignment="1">
      <alignment horizontal="center" vertical="center"/>
    </xf>
    <xf numFmtId="0" fontId="0" fillId="35" borderId="29" xfId="0" applyFill="1" applyBorder="1" applyAlignment="1">
      <alignment horizontal="center" vertical="center"/>
    </xf>
    <xf numFmtId="0" fontId="16" fillId="37" borderId="19" xfId="0" applyFont="1" applyFill="1" applyBorder="1" applyAlignment="1">
      <alignment horizontal="center" vertical="center" wrapText="1"/>
    </xf>
    <xf numFmtId="0" fontId="16" fillId="37" borderId="35" xfId="0" applyFont="1" applyFill="1" applyBorder="1" applyAlignment="1">
      <alignment horizontal="center" vertical="center" wrapText="1"/>
    </xf>
    <xf numFmtId="0" fontId="16" fillId="37" borderId="37" xfId="0" applyFont="1" applyFill="1" applyBorder="1" applyAlignment="1">
      <alignment horizontal="center" vertical="center"/>
    </xf>
    <xf numFmtId="0" fontId="0" fillId="35" borderId="12" xfId="0" applyFill="1" applyBorder="1"/>
    <xf numFmtId="0" fontId="0" fillId="35" borderId="13" xfId="0" applyFill="1" applyBorder="1"/>
    <xf numFmtId="0" fontId="0" fillId="0" borderId="0" xfId="0" applyAlignment="1">
      <alignment horizontal="center" vertical="center"/>
    </xf>
    <xf numFmtId="0" fontId="16" fillId="34" borderId="0" xfId="0" applyFont="1" applyFill="1" applyAlignment="1">
      <alignment horizontal="center" vertical="center"/>
    </xf>
    <xf numFmtId="0" fontId="0" fillId="35" borderId="59" xfId="0" applyFill="1" applyBorder="1" applyAlignment="1">
      <alignment horizontal="center" vertical="center"/>
    </xf>
    <xf numFmtId="0" fontId="0" fillId="35" borderId="52" xfId="0" applyFill="1" applyBorder="1" applyAlignment="1">
      <alignment horizontal="center" vertical="center"/>
    </xf>
    <xf numFmtId="0" fontId="0" fillId="35" borderId="53" xfId="0" applyFill="1" applyBorder="1" applyAlignment="1">
      <alignment horizontal="center" vertical="center"/>
    </xf>
    <xf numFmtId="0" fontId="0" fillId="34" borderId="26" xfId="0" applyFill="1" applyBorder="1" applyAlignment="1">
      <alignment horizontal="center" vertical="center"/>
    </xf>
    <xf numFmtId="0" fontId="0" fillId="34" borderId="16" xfId="0" applyFill="1" applyBorder="1" applyAlignment="1">
      <alignment horizontal="center" vertical="center"/>
    </xf>
    <xf numFmtId="0" fontId="0" fillId="34" borderId="58" xfId="0" applyFill="1" applyBorder="1" applyAlignment="1">
      <alignment horizontal="center" vertical="center"/>
    </xf>
    <xf numFmtId="0" fontId="0" fillId="34" borderId="33" xfId="0" applyFill="1" applyBorder="1" applyAlignment="1">
      <alignment horizontal="center" vertical="center"/>
    </xf>
    <xf numFmtId="0" fontId="0" fillId="34" borderId="34" xfId="0" applyFill="1" applyBorder="1" applyAlignment="1">
      <alignment horizontal="center" vertical="center"/>
    </xf>
    <xf numFmtId="0" fontId="16" fillId="37" borderId="20" xfId="0" applyFont="1" applyFill="1" applyBorder="1" applyAlignment="1">
      <alignment horizontal="center" vertical="center" wrapText="1"/>
    </xf>
    <xf numFmtId="0" fontId="16" fillId="37" borderId="2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35" borderId="13" xfId="0" applyFont="1" applyFill="1" applyBorder="1" applyAlignment="1">
      <alignment horizontal="center" vertical="center"/>
    </xf>
    <xf numFmtId="0" fontId="16" fillId="35" borderId="14" xfId="0" applyFont="1" applyFill="1" applyBorder="1" applyAlignment="1">
      <alignment horizontal="center" vertical="center"/>
    </xf>
    <xf numFmtId="0" fontId="16" fillId="39" borderId="25" xfId="0" applyFont="1" applyFill="1" applyBorder="1" applyAlignment="1">
      <alignment horizontal="center" vertical="center"/>
    </xf>
    <xf numFmtId="0" fontId="0" fillId="39" borderId="26" xfId="0" applyFill="1" applyBorder="1" applyAlignment="1">
      <alignment horizontal="center" vertical="center"/>
    </xf>
    <xf numFmtId="0" fontId="16" fillId="40" borderId="25" xfId="0" applyFont="1" applyFill="1" applyBorder="1" applyAlignment="1">
      <alignment horizontal="center" vertical="center"/>
    </xf>
    <xf numFmtId="0" fontId="0" fillId="40" borderId="26" xfId="0" applyNumberFormat="1" applyFill="1" applyBorder="1" applyAlignment="1">
      <alignment horizontal="center" vertical="center"/>
    </xf>
    <xf numFmtId="0" fontId="16" fillId="40" borderId="14" xfId="0" applyFont="1" applyFill="1" applyBorder="1" applyAlignment="1">
      <alignment horizontal="center" vertical="center"/>
    </xf>
    <xf numFmtId="0" fontId="0" fillId="40" borderId="16" xfId="0" applyFill="1" applyBorder="1" applyAlignment="1">
      <alignment horizontal="center" vertical="center"/>
    </xf>
    <xf numFmtId="0" fontId="16" fillId="38" borderId="11" xfId="0" applyFont="1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16" fillId="38" borderId="14" xfId="0" applyFont="1" applyFill="1" applyBorder="1" applyAlignment="1">
      <alignment horizontal="center" vertical="center" wrapText="1"/>
    </xf>
    <xf numFmtId="0" fontId="0" fillId="38" borderId="16" xfId="0" applyFill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6" fillId="39" borderId="11" xfId="0" applyFont="1" applyFill="1" applyBorder="1" applyAlignment="1">
      <alignment horizontal="center" vertical="center"/>
    </xf>
    <xf numFmtId="0" fontId="0" fillId="39" borderId="13" xfId="0" applyFill="1" applyBorder="1" applyAlignment="1">
      <alignment horizontal="center" vertical="center"/>
    </xf>
    <xf numFmtId="0" fontId="16" fillId="39" borderId="14" xfId="0" applyFont="1" applyFill="1" applyBorder="1" applyAlignment="1">
      <alignment horizontal="center" vertical="center"/>
    </xf>
    <xf numFmtId="0" fontId="0" fillId="39" borderId="16" xfId="0" applyFill="1" applyBorder="1" applyAlignment="1">
      <alignment horizontal="center" vertical="center"/>
    </xf>
    <xf numFmtId="0" fontId="16" fillId="40" borderId="58" xfId="0" applyFont="1" applyFill="1" applyBorder="1" applyAlignment="1">
      <alignment horizontal="center" vertical="center"/>
    </xf>
    <xf numFmtId="0" fontId="0" fillId="40" borderId="34" xfId="0" applyNumberForma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34" borderId="13" xfId="0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0" fontId="0" fillId="34" borderId="16" xfId="0" applyFill="1" applyBorder="1" applyAlignment="1">
      <alignment horizontal="center" vertical="center"/>
    </xf>
    <xf numFmtId="0" fontId="0" fillId="35" borderId="15" xfId="0" applyFont="1" applyFill="1" applyBorder="1" applyAlignment="1">
      <alignment horizontal="center" vertical="center"/>
    </xf>
    <xf numFmtId="0" fontId="16" fillId="35" borderId="11" xfId="0" applyFont="1" applyFill="1" applyBorder="1" applyAlignment="1">
      <alignment horizontal="center" vertical="center"/>
    </xf>
    <xf numFmtId="0" fontId="0" fillId="35" borderId="12" xfId="0" applyFont="1" applyFill="1" applyBorder="1" applyAlignment="1">
      <alignment horizontal="center" vertical="center"/>
    </xf>
    <xf numFmtId="2" fontId="0" fillId="34" borderId="10" xfId="0" applyNumberFormat="1" applyFill="1" applyBorder="1" applyAlignment="1">
      <alignment horizontal="center" vertical="center"/>
    </xf>
    <xf numFmtId="0" fontId="18" fillId="37" borderId="60" xfId="0" applyFont="1" applyFill="1" applyBorder="1" applyAlignment="1">
      <alignment horizontal="center" vertical="center"/>
    </xf>
    <xf numFmtId="0" fontId="16" fillId="37" borderId="11" xfId="0" applyFont="1" applyFill="1" applyBorder="1" applyAlignment="1">
      <alignment horizontal="center" vertical="center"/>
    </xf>
    <xf numFmtId="2" fontId="0" fillId="34" borderId="15" xfId="0" applyNumberFormat="1" applyFill="1" applyBorder="1" applyAlignment="1">
      <alignment horizontal="center" vertical="center"/>
    </xf>
    <xf numFmtId="0" fontId="16" fillId="33" borderId="11" xfId="0" applyFont="1" applyFill="1" applyBorder="1" applyAlignment="1">
      <alignment horizontal="center" vertical="center"/>
    </xf>
    <xf numFmtId="0" fontId="16" fillId="33" borderId="13" xfId="0" applyFont="1" applyFill="1" applyBorder="1" applyAlignment="1">
      <alignment horizontal="center" vertical="center"/>
    </xf>
    <xf numFmtId="0" fontId="0" fillId="34" borderId="13" xfId="0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0" fontId="0" fillId="34" borderId="16" xfId="0" applyFill="1" applyBorder="1" applyAlignment="1">
      <alignment horizontal="center" vertical="center"/>
    </xf>
    <xf numFmtId="0" fontId="0" fillId="34" borderId="48" xfId="0" applyFill="1" applyBorder="1" applyAlignment="1">
      <alignment horizontal="center" vertical="center"/>
    </xf>
    <xf numFmtId="0" fontId="0" fillId="34" borderId="49" xfId="0" applyFill="1" applyBorder="1" applyAlignment="1">
      <alignment horizontal="center" vertical="center"/>
    </xf>
    <xf numFmtId="0" fontId="16" fillId="37" borderId="36" xfId="0" applyFont="1" applyFill="1" applyBorder="1" applyAlignment="1">
      <alignment horizontal="center" vertical="center" wrapText="1"/>
    </xf>
    <xf numFmtId="0" fontId="16" fillId="37" borderId="37" xfId="0" applyFont="1" applyFill="1" applyBorder="1" applyAlignment="1">
      <alignment horizontal="center" vertical="center" wrapText="1"/>
    </xf>
    <xf numFmtId="0" fontId="0" fillId="35" borderId="14" xfId="0" applyFill="1" applyBorder="1" applyAlignment="1">
      <alignment horizontal="center" vertical="center"/>
    </xf>
    <xf numFmtId="0" fontId="16" fillId="35" borderId="60" xfId="0" applyFont="1" applyFill="1" applyBorder="1" applyAlignment="1">
      <alignment horizontal="center" vertical="center"/>
    </xf>
    <xf numFmtId="0" fontId="16" fillId="35" borderId="48" xfId="0" applyFont="1" applyFill="1" applyBorder="1" applyAlignment="1">
      <alignment horizontal="center" vertical="center"/>
    </xf>
    <xf numFmtId="0" fontId="16" fillId="35" borderId="49" xfId="0" applyFont="1" applyFill="1" applyBorder="1" applyAlignment="1">
      <alignment horizontal="center" vertical="center"/>
    </xf>
    <xf numFmtId="0" fontId="0" fillId="34" borderId="12" xfId="0" applyFill="1" applyBorder="1" applyAlignment="1">
      <alignment horizontal="center" vertical="center"/>
    </xf>
    <xf numFmtId="0" fontId="16" fillId="33" borderId="54" xfId="0" applyFont="1" applyFill="1" applyBorder="1" applyAlignment="1">
      <alignment horizontal="center" vertical="center"/>
    </xf>
    <xf numFmtId="0" fontId="16" fillId="33" borderId="31" xfId="0" applyFont="1" applyFill="1" applyBorder="1" applyAlignment="1">
      <alignment horizontal="center" vertical="center"/>
    </xf>
    <xf numFmtId="0" fontId="16" fillId="33" borderId="32" xfId="0" applyFont="1" applyFill="1" applyBorder="1" applyAlignment="1">
      <alignment horizontal="center" vertical="center"/>
    </xf>
    <xf numFmtId="0" fontId="0" fillId="37" borderId="57" xfId="0" applyFill="1" applyBorder="1"/>
    <xf numFmtId="0" fontId="16" fillId="37" borderId="55" xfId="0" applyFont="1" applyFill="1" applyBorder="1"/>
    <xf numFmtId="0" fontId="16" fillId="33" borderId="11" xfId="0" applyFont="1" applyFill="1" applyBorder="1" applyAlignment="1">
      <alignment horizontal="center" vertical="center"/>
    </xf>
    <xf numFmtId="0" fontId="16" fillId="33" borderId="13" xfId="0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34" borderId="13" xfId="0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0" fontId="0" fillId="34" borderId="16" xfId="0" applyFill="1" applyBorder="1" applyAlignment="1">
      <alignment horizontal="center" vertical="center"/>
    </xf>
    <xf numFmtId="0" fontId="16" fillId="37" borderId="19" xfId="0" applyNumberFormat="1" applyFont="1" applyFill="1" applyBorder="1" applyAlignment="1">
      <alignment horizontal="center" vertical="center" wrapText="1"/>
    </xf>
    <xf numFmtId="0" fontId="16" fillId="37" borderId="21" xfId="0" applyNumberFormat="1" applyFont="1" applyFill="1" applyBorder="1" applyAlignment="1">
      <alignment horizontal="center" vertical="center" wrapText="1"/>
    </xf>
    <xf numFmtId="0" fontId="16" fillId="37" borderId="19" xfId="0" applyFont="1" applyFill="1" applyBorder="1" applyAlignment="1">
      <alignment horizontal="center" vertical="center"/>
    </xf>
    <xf numFmtId="0" fontId="16" fillId="37" borderId="20" xfId="0" applyFont="1" applyFill="1" applyBorder="1" applyAlignment="1">
      <alignment horizontal="center" vertical="center"/>
    </xf>
    <xf numFmtId="2" fontId="0" fillId="35" borderId="26" xfId="0" applyNumberFormat="1" applyFill="1" applyBorder="1" applyAlignment="1">
      <alignment horizontal="center" vertical="center"/>
    </xf>
    <xf numFmtId="2" fontId="0" fillId="35" borderId="16" xfId="0" applyNumberFormat="1" applyFill="1" applyBorder="1" applyAlignment="1">
      <alignment horizontal="center" vertical="center"/>
    </xf>
    <xf numFmtId="0" fontId="16" fillId="36" borderId="0" xfId="0" applyFont="1" applyFill="1" applyBorder="1" applyAlignment="1">
      <alignment horizontal="center" vertical="center"/>
    </xf>
    <xf numFmtId="2" fontId="0" fillId="36" borderId="0" xfId="0" applyNumberFormat="1" applyFill="1" applyBorder="1" applyAlignment="1">
      <alignment horizontal="center" vertical="center"/>
    </xf>
    <xf numFmtId="2" fontId="0" fillId="36" borderId="0" xfId="0" applyNumberFormat="1" applyFont="1" applyFill="1" applyBorder="1" applyAlignment="1">
      <alignment horizontal="center" vertical="center" readingOrder="1"/>
    </xf>
    <xf numFmtId="2" fontId="16" fillId="36" borderId="0" xfId="0" applyNumberFormat="1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4" xfId="0" applyFont="1" applyFill="1" applyBorder="1" applyAlignment="1">
      <alignment horizontal="center" vertical="center"/>
    </xf>
    <xf numFmtId="2" fontId="16" fillId="34" borderId="15" xfId="0" applyNumberFormat="1" applyFont="1" applyFill="1" applyBorder="1" applyAlignment="1">
      <alignment horizontal="center" vertical="center"/>
    </xf>
    <xf numFmtId="0" fontId="16" fillId="33" borderId="26" xfId="0" applyFont="1" applyFill="1" applyBorder="1" applyAlignment="1">
      <alignment horizontal="center" vertical="center"/>
    </xf>
    <xf numFmtId="0" fontId="18" fillId="37" borderId="39" xfId="0" applyFont="1" applyFill="1" applyBorder="1" applyAlignment="1">
      <alignment horizontal="center" vertical="center"/>
    </xf>
    <xf numFmtId="0" fontId="16" fillId="37" borderId="40" xfId="0" applyFont="1" applyFill="1" applyBorder="1" applyAlignment="1">
      <alignment horizontal="center" vertical="center" wrapText="1"/>
    </xf>
    <xf numFmtId="0" fontId="16" fillId="33" borderId="16" xfId="0" applyFont="1" applyFill="1" applyBorder="1" applyAlignment="1">
      <alignment horizontal="center" vertical="center"/>
    </xf>
    <xf numFmtId="0" fontId="16" fillId="33" borderId="40" xfId="0" applyFont="1" applyFill="1" applyBorder="1" applyAlignment="1">
      <alignment horizontal="center" vertical="center" wrapText="1"/>
    </xf>
    <xf numFmtId="2" fontId="0" fillId="34" borderId="11" xfId="0" applyNumberFormat="1" applyFill="1" applyBorder="1" applyAlignment="1">
      <alignment horizontal="center" vertical="center"/>
    </xf>
    <xf numFmtId="2" fontId="0" fillId="34" borderId="25" xfId="0" applyNumberFormat="1" applyFill="1" applyBorder="1" applyAlignment="1">
      <alignment horizontal="center" vertical="center"/>
    </xf>
    <xf numFmtId="2" fontId="0" fillId="34" borderId="14" xfId="0" applyNumberFormat="1" applyFill="1" applyBorder="1" applyAlignment="1">
      <alignment horizontal="center" vertical="center"/>
    </xf>
    <xf numFmtId="2" fontId="0" fillId="34" borderId="11" xfId="0" applyNumberFormat="1" applyFont="1" applyFill="1" applyBorder="1" applyAlignment="1">
      <alignment horizontal="center" vertical="center" readingOrder="1"/>
    </xf>
    <xf numFmtId="2" fontId="0" fillId="34" borderId="25" xfId="0" applyNumberFormat="1" applyFont="1" applyFill="1" applyBorder="1" applyAlignment="1">
      <alignment horizontal="center" vertical="center" readingOrder="1"/>
    </xf>
    <xf numFmtId="2" fontId="0" fillId="34" borderId="14" xfId="0" applyNumberFormat="1" applyFont="1" applyFill="1" applyBorder="1" applyAlignment="1">
      <alignment horizontal="center" vertical="center" readingOrder="1"/>
    </xf>
    <xf numFmtId="11" fontId="0" fillId="34" borderId="13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37" borderId="56" xfId="0" applyFill="1" applyBorder="1"/>
    <xf numFmtId="0" fontId="0" fillId="34" borderId="11" xfId="0" applyFill="1" applyBorder="1" applyAlignment="1">
      <alignment horizontal="center" vertical="center"/>
    </xf>
    <xf numFmtId="0" fontId="0" fillId="34" borderId="13" xfId="0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2" fontId="0" fillId="34" borderId="12" xfId="0" applyNumberFormat="1" applyFill="1" applyBorder="1" applyAlignment="1">
      <alignment horizontal="center" vertical="center"/>
    </xf>
    <xf numFmtId="0" fontId="0" fillId="34" borderId="64" xfId="0" applyFill="1" applyBorder="1" applyAlignment="1">
      <alignment horizontal="center" vertical="center"/>
    </xf>
    <xf numFmtId="2" fontId="0" fillId="35" borderId="11" xfId="0" applyNumberFormat="1" applyFont="1" applyFill="1" applyBorder="1" applyAlignment="1">
      <alignment horizontal="center" vertical="center" readingOrder="1"/>
    </xf>
    <xf numFmtId="2" fontId="0" fillId="35" borderId="13" xfId="0" applyNumberFormat="1" applyFill="1" applyBorder="1" applyAlignment="1">
      <alignment horizontal="center" vertical="center"/>
    </xf>
    <xf numFmtId="0" fontId="0" fillId="35" borderId="64" xfId="0" applyFill="1" applyBorder="1" applyAlignment="1">
      <alignment horizontal="center" vertical="center"/>
    </xf>
    <xf numFmtId="0" fontId="0" fillId="35" borderId="12" xfId="0" applyNumberFormat="1" applyFill="1" applyBorder="1" applyAlignment="1">
      <alignment horizontal="center" vertical="center"/>
    </xf>
    <xf numFmtId="2" fontId="16" fillId="34" borderId="65" xfId="0" applyNumberFormat="1" applyFont="1" applyFill="1" applyBorder="1" applyAlignment="1">
      <alignment horizontal="center" vertical="center"/>
    </xf>
    <xf numFmtId="2" fontId="16" fillId="34" borderId="66" xfId="0" applyNumberFormat="1" applyFont="1" applyFill="1" applyBorder="1" applyAlignment="1">
      <alignment horizontal="center" vertical="center"/>
    </xf>
    <xf numFmtId="0" fontId="16" fillId="37" borderId="36" xfId="0" applyNumberFormat="1" applyFont="1" applyFill="1" applyBorder="1" applyAlignment="1">
      <alignment horizontal="center" vertical="center" wrapText="1"/>
    </xf>
    <xf numFmtId="0" fontId="16" fillId="37" borderId="36" xfId="0" applyNumberFormat="1" applyFont="1" applyFill="1" applyBorder="1" applyAlignment="1">
      <alignment horizontal="center" vertical="center"/>
    </xf>
    <xf numFmtId="0" fontId="16" fillId="37" borderId="37" xfId="0" applyNumberFormat="1" applyFont="1" applyFill="1" applyBorder="1" applyAlignment="1">
      <alignment horizontal="center" vertical="center" wrapText="1"/>
    </xf>
    <xf numFmtId="2" fontId="0" fillId="35" borderId="25" xfId="0" applyNumberFormat="1" applyFont="1" applyFill="1" applyBorder="1" applyAlignment="1">
      <alignment horizontal="center" vertical="center" readingOrder="1"/>
    </xf>
    <xf numFmtId="2" fontId="0" fillId="35" borderId="14" xfId="0" applyNumberFormat="1" applyFont="1" applyFill="1" applyBorder="1" applyAlignment="1">
      <alignment horizontal="center" vertical="center" readingOrder="1"/>
    </xf>
    <xf numFmtId="0" fontId="0" fillId="35" borderId="10" xfId="0" applyNumberFormat="1" applyFill="1" applyBorder="1" applyAlignment="1">
      <alignment horizontal="center" vertical="center"/>
    </xf>
    <xf numFmtId="0" fontId="0" fillId="35" borderId="15" xfId="0" applyNumberFormat="1" applyFill="1" applyBorder="1" applyAlignment="1">
      <alignment horizontal="center" vertical="center"/>
    </xf>
    <xf numFmtId="0" fontId="0" fillId="34" borderId="38" xfId="0" applyFill="1" applyBorder="1" applyAlignment="1">
      <alignment horizontal="center" vertical="center"/>
    </xf>
    <xf numFmtId="0" fontId="0" fillId="34" borderId="28" xfId="0" applyFill="1" applyBorder="1" applyAlignment="1">
      <alignment horizontal="center" vertical="center"/>
    </xf>
    <xf numFmtId="0" fontId="0" fillId="34" borderId="29" xfId="0" applyFill="1" applyBorder="1" applyAlignment="1">
      <alignment horizontal="center" vertical="center"/>
    </xf>
    <xf numFmtId="0" fontId="16" fillId="37" borderId="35" xfId="0" applyNumberFormat="1" applyFont="1" applyFill="1" applyBorder="1" applyAlignment="1">
      <alignment horizontal="center" vertical="center" wrapText="1"/>
    </xf>
    <xf numFmtId="0" fontId="16" fillId="37" borderId="67" xfId="0" applyNumberFormat="1" applyFont="1" applyFill="1" applyBorder="1" applyAlignment="1">
      <alignment horizontal="center" vertical="center" wrapText="1"/>
    </xf>
    <xf numFmtId="0" fontId="0" fillId="34" borderId="60" xfId="0" applyFill="1" applyBorder="1" applyAlignment="1">
      <alignment horizontal="center" vertical="center"/>
    </xf>
    <xf numFmtId="0" fontId="16" fillId="37" borderId="68" xfId="0" applyFont="1" applyFill="1" applyBorder="1" applyAlignment="1">
      <alignment horizontal="center" vertical="center" wrapText="1"/>
    </xf>
    <xf numFmtId="0" fontId="0" fillId="34" borderId="69" xfId="0" applyFill="1" applyBorder="1" applyAlignment="1">
      <alignment horizontal="center" vertical="center"/>
    </xf>
    <xf numFmtId="0" fontId="16" fillId="37" borderId="63" xfId="0" applyFont="1" applyFill="1" applyBorder="1" applyAlignment="1">
      <alignment horizontal="center" vertical="center" wrapText="1"/>
    </xf>
    <xf numFmtId="2" fontId="0" fillId="34" borderId="61" xfId="0" applyNumberFormat="1" applyFill="1" applyBorder="1" applyAlignment="1">
      <alignment horizontal="center" vertical="center"/>
    </xf>
    <xf numFmtId="2" fontId="0" fillId="34" borderId="52" xfId="0" applyNumberFormat="1" applyFill="1" applyBorder="1" applyAlignment="1">
      <alignment horizontal="center" vertical="center"/>
    </xf>
    <xf numFmtId="2" fontId="0" fillId="34" borderId="53" xfId="0" applyNumberFormat="1" applyFill="1" applyBorder="1" applyAlignment="1">
      <alignment horizontal="center" vertical="center"/>
    </xf>
    <xf numFmtId="2" fontId="16" fillId="34" borderId="70" xfId="0" applyNumberFormat="1" applyFont="1" applyFill="1" applyBorder="1" applyAlignment="1">
      <alignment horizontal="center" vertical="center"/>
    </xf>
    <xf numFmtId="0" fontId="16" fillId="34" borderId="63" xfId="0" applyNumberFormat="1" applyFont="1" applyFill="1" applyBorder="1" applyAlignment="1">
      <alignment horizontal="center" vertical="center" wrapText="1"/>
    </xf>
    <xf numFmtId="0" fontId="0" fillId="36" borderId="0" xfId="0" applyNumberFormat="1" applyFill="1"/>
    <xf numFmtId="0" fontId="16" fillId="38" borderId="48" xfId="0" applyFont="1" applyFill="1" applyBorder="1" applyAlignment="1">
      <alignment horizontal="center" vertical="center"/>
    </xf>
    <xf numFmtId="0" fontId="16" fillId="38" borderId="26" xfId="0" applyFont="1" applyFill="1" applyBorder="1" applyAlignment="1">
      <alignment horizontal="center" vertical="center"/>
    </xf>
    <xf numFmtId="0" fontId="16" fillId="33" borderId="35" xfId="0" applyFont="1" applyFill="1" applyBorder="1" applyAlignment="1">
      <alignment horizontal="center"/>
    </xf>
    <xf numFmtId="0" fontId="16" fillId="33" borderId="36" xfId="0" applyFont="1" applyFill="1" applyBorder="1" applyAlignment="1">
      <alignment horizontal="center"/>
    </xf>
    <xf numFmtId="0" fontId="16" fillId="33" borderId="37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wrapText="1"/>
    </xf>
    <xf numFmtId="0" fontId="16" fillId="33" borderId="20" xfId="0" applyFont="1" applyFill="1" applyBorder="1" applyAlignment="1">
      <alignment horizontal="center" wrapText="1"/>
    </xf>
    <xf numFmtId="0" fontId="16" fillId="33" borderId="21" xfId="0" applyFont="1" applyFill="1" applyBorder="1" applyAlignment="1">
      <alignment horizontal="center" wrapText="1"/>
    </xf>
    <xf numFmtId="0" fontId="16" fillId="33" borderId="19" xfId="0" applyFont="1" applyFill="1" applyBorder="1" applyAlignment="1">
      <alignment horizontal="center" vertical="center" wrapText="1"/>
    </xf>
    <xf numFmtId="0" fontId="16" fillId="33" borderId="20" xfId="0" applyFont="1" applyFill="1" applyBorder="1" applyAlignment="1">
      <alignment horizontal="center" vertical="center" wrapText="1"/>
    </xf>
    <xf numFmtId="0" fontId="16" fillId="33" borderId="21" xfId="0" applyFont="1" applyFill="1" applyBorder="1" applyAlignment="1">
      <alignment horizontal="center" vertical="center" wrapText="1"/>
    </xf>
    <xf numFmtId="0" fontId="16" fillId="33" borderId="11" xfId="0" applyFont="1" applyFill="1" applyBorder="1" applyAlignment="1">
      <alignment horizontal="center" vertical="center"/>
    </xf>
    <xf numFmtId="0" fontId="16" fillId="33" borderId="12" xfId="0" applyFont="1" applyFill="1" applyBorder="1" applyAlignment="1">
      <alignment horizontal="center" vertical="center"/>
    </xf>
    <xf numFmtId="0" fontId="16" fillId="33" borderId="13" xfId="0" applyFont="1" applyFill="1" applyBorder="1" applyAlignment="1">
      <alignment horizontal="center" vertical="center"/>
    </xf>
    <xf numFmtId="0" fontId="0" fillId="37" borderId="42" xfId="0" applyFont="1" applyFill="1" applyBorder="1" applyAlignment="1">
      <alignment horizontal="center"/>
    </xf>
    <xf numFmtId="0" fontId="0" fillId="37" borderId="50" xfId="0" applyFont="1" applyFill="1" applyBorder="1" applyAlignment="1">
      <alignment horizontal="center"/>
    </xf>
    <xf numFmtId="0" fontId="0" fillId="37" borderId="43" xfId="0" applyFont="1" applyFill="1" applyBorder="1" applyAlignment="1">
      <alignment horizontal="center"/>
    </xf>
    <xf numFmtId="0" fontId="0" fillId="37" borderId="46" xfId="0" applyFont="1" applyFill="1" applyBorder="1" applyAlignment="1">
      <alignment horizontal="center"/>
    </xf>
    <xf numFmtId="0" fontId="0" fillId="37" borderId="0" xfId="0" applyFont="1" applyFill="1" applyBorder="1" applyAlignment="1">
      <alignment horizontal="center"/>
    </xf>
    <xf numFmtId="0" fontId="0" fillId="37" borderId="47" xfId="0" applyFont="1" applyFill="1" applyBorder="1" applyAlignment="1">
      <alignment horizontal="center"/>
    </xf>
    <xf numFmtId="0" fontId="0" fillId="37" borderId="44" xfId="0" applyFont="1" applyFill="1" applyBorder="1" applyAlignment="1">
      <alignment horizontal="center"/>
    </xf>
    <xf numFmtId="0" fontId="0" fillId="37" borderId="51" xfId="0" applyFont="1" applyFill="1" applyBorder="1" applyAlignment="1">
      <alignment horizontal="center"/>
    </xf>
    <xf numFmtId="0" fontId="0" fillId="37" borderId="45" xfId="0" applyFont="1" applyFill="1" applyBorder="1" applyAlignment="1">
      <alignment horizontal="center"/>
    </xf>
    <xf numFmtId="0" fontId="16" fillId="37" borderId="61" xfId="0" applyFont="1" applyFill="1" applyBorder="1" applyAlignment="1">
      <alignment horizontal="center" vertical="center"/>
    </xf>
    <xf numFmtId="0" fontId="16" fillId="37" borderId="27" xfId="0" applyFont="1" applyFill="1" applyBorder="1" applyAlignment="1">
      <alignment horizontal="center" vertical="center"/>
    </xf>
    <xf numFmtId="2" fontId="16" fillId="37" borderId="61" xfId="0" applyNumberFormat="1" applyFont="1" applyFill="1" applyBorder="1" applyAlignment="1">
      <alignment horizontal="center" vertical="center"/>
    </xf>
    <xf numFmtId="2" fontId="16" fillId="37" borderId="27" xfId="0" applyNumberFormat="1" applyFont="1" applyFill="1" applyBorder="1" applyAlignment="1">
      <alignment horizontal="center" vertical="center"/>
    </xf>
    <xf numFmtId="2" fontId="16" fillId="37" borderId="61" xfId="0" applyNumberFormat="1" applyFont="1" applyFill="1" applyBorder="1" applyAlignment="1">
      <alignment horizontal="center" vertical="center" readingOrder="1"/>
    </xf>
    <xf numFmtId="2" fontId="16" fillId="37" borderId="27" xfId="0" applyNumberFormat="1" applyFont="1" applyFill="1" applyBorder="1" applyAlignment="1">
      <alignment horizontal="center" vertical="center" readingOrder="1"/>
    </xf>
    <xf numFmtId="0" fontId="16" fillId="37" borderId="62" xfId="0" applyFont="1" applyFill="1" applyBorder="1" applyAlignment="1">
      <alignment horizontal="center" vertical="center"/>
    </xf>
    <xf numFmtId="0" fontId="16" fillId="37" borderId="12" xfId="0" applyFont="1" applyFill="1" applyBorder="1" applyAlignment="1">
      <alignment horizontal="center" vertical="center"/>
    </xf>
    <xf numFmtId="0" fontId="16" fillId="37" borderId="13" xfId="0" applyFont="1" applyFill="1" applyBorder="1" applyAlignment="1">
      <alignment horizontal="center" vertical="center"/>
    </xf>
    <xf numFmtId="0" fontId="16" fillId="34" borderId="11" xfId="0" applyFont="1" applyFill="1" applyBorder="1" applyAlignment="1">
      <alignment horizontal="center" vertical="center" wrapText="1"/>
    </xf>
    <xf numFmtId="0" fontId="16" fillId="34" borderId="14" xfId="0" applyFont="1" applyFill="1" applyBorder="1" applyAlignment="1">
      <alignment horizontal="center" vertical="center" wrapText="1"/>
    </xf>
    <xf numFmtId="0" fontId="16" fillId="34" borderId="12" xfId="0" applyFont="1" applyFill="1" applyBorder="1" applyAlignment="1">
      <alignment horizontal="center" vertical="center"/>
    </xf>
    <xf numFmtId="0" fontId="16" fillId="34" borderId="15" xfId="0" applyFont="1" applyFill="1" applyBorder="1" applyAlignment="1">
      <alignment horizontal="center" vertical="center"/>
    </xf>
    <xf numFmtId="0" fontId="22" fillId="34" borderId="42" xfId="0" applyFont="1" applyFill="1" applyBorder="1" applyAlignment="1">
      <alignment horizontal="center" vertical="center"/>
    </xf>
    <xf numFmtId="0" fontId="22" fillId="34" borderId="50" xfId="0" applyFont="1" applyFill="1" applyBorder="1" applyAlignment="1">
      <alignment horizontal="center" vertical="center"/>
    </xf>
    <xf numFmtId="0" fontId="22" fillId="34" borderId="43" xfId="0" applyFont="1" applyFill="1" applyBorder="1" applyAlignment="1">
      <alignment horizontal="center" vertical="center"/>
    </xf>
    <xf numFmtId="0" fontId="22" fillId="34" borderId="46" xfId="0" applyFont="1" applyFill="1" applyBorder="1" applyAlignment="1">
      <alignment horizontal="center" vertical="center"/>
    </xf>
    <xf numFmtId="0" fontId="22" fillId="34" borderId="0" xfId="0" applyFont="1" applyFill="1" applyBorder="1" applyAlignment="1">
      <alignment horizontal="center" vertical="center"/>
    </xf>
    <xf numFmtId="0" fontId="22" fillId="34" borderId="47" xfId="0" applyFont="1" applyFill="1" applyBorder="1" applyAlignment="1">
      <alignment horizontal="center" vertical="center"/>
    </xf>
    <xf numFmtId="0" fontId="22" fillId="34" borderId="44" xfId="0" applyFont="1" applyFill="1" applyBorder="1" applyAlignment="1">
      <alignment horizontal="center" vertical="center"/>
    </xf>
    <xf numFmtId="0" fontId="22" fillId="34" borderId="51" xfId="0" applyFont="1" applyFill="1" applyBorder="1" applyAlignment="1">
      <alignment horizontal="center" vertical="center"/>
    </xf>
    <xf numFmtId="0" fontId="22" fillId="34" borderId="45" xfId="0" applyFont="1" applyFill="1" applyBorder="1" applyAlignment="1">
      <alignment horizontal="center" vertical="center"/>
    </xf>
    <xf numFmtId="0" fontId="16" fillId="40" borderId="19" xfId="42" applyNumberFormat="1" applyFont="1" applyFill="1" applyBorder="1" applyAlignment="1">
      <alignment horizontal="center" vertical="center"/>
    </xf>
    <xf numFmtId="0" fontId="16" fillId="40" borderId="21" xfId="42" applyNumberFormat="1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34" borderId="13" xfId="0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0" fontId="0" fillId="34" borderId="16" xfId="0" applyFill="1" applyBorder="1" applyAlignment="1">
      <alignment horizontal="center" vertical="center"/>
    </xf>
    <xf numFmtId="0" fontId="19" fillId="41" borderId="42" xfId="0" applyFont="1" applyFill="1" applyBorder="1" applyAlignment="1">
      <alignment horizontal="center" vertical="center"/>
    </xf>
    <xf numFmtId="0" fontId="19" fillId="41" borderId="50" xfId="0" applyFont="1" applyFill="1" applyBorder="1" applyAlignment="1">
      <alignment horizontal="center" vertical="center"/>
    </xf>
    <xf numFmtId="0" fontId="19" fillId="41" borderId="43" xfId="0" applyFont="1" applyFill="1" applyBorder="1" applyAlignment="1">
      <alignment horizontal="center" vertical="center"/>
    </xf>
    <xf numFmtId="0" fontId="19" fillId="41" borderId="44" xfId="0" applyFont="1" applyFill="1" applyBorder="1" applyAlignment="1">
      <alignment horizontal="center" vertical="center"/>
    </xf>
    <xf numFmtId="0" fontId="19" fillId="41" borderId="51" xfId="0" applyFont="1" applyFill="1" applyBorder="1" applyAlignment="1">
      <alignment horizontal="center" vertical="center"/>
    </xf>
    <xf numFmtId="0" fontId="19" fillId="41" borderId="45" xfId="0" applyFont="1" applyFill="1" applyBorder="1" applyAlignment="1">
      <alignment horizontal="center" vertical="center"/>
    </xf>
    <xf numFmtId="0" fontId="16" fillId="42" borderId="11" xfId="0" applyFont="1" applyFill="1" applyBorder="1" applyAlignment="1">
      <alignment horizontal="center" vertical="center" wrapText="1"/>
    </xf>
    <xf numFmtId="0" fontId="16" fillId="42" borderId="12" xfId="0" applyFont="1" applyFill="1" applyBorder="1" applyAlignment="1">
      <alignment horizontal="center" vertical="center" wrapText="1"/>
    </xf>
    <xf numFmtId="0" fontId="16" fillId="42" borderId="14" xfId="0" applyFont="1" applyFill="1" applyBorder="1" applyAlignment="1">
      <alignment horizontal="center" vertical="center" wrapText="1"/>
    </xf>
    <xf numFmtId="0" fontId="16" fillId="42" borderId="15" xfId="0" applyFont="1" applyFill="1" applyBorder="1" applyAlignment="1">
      <alignment horizontal="center" vertical="center" wrapText="1"/>
    </xf>
    <xf numFmtId="0" fontId="0" fillId="42" borderId="13" xfId="0" applyNumberFormat="1" applyFill="1" applyBorder="1" applyAlignment="1">
      <alignment horizontal="center" vertical="center"/>
    </xf>
    <xf numFmtId="0" fontId="0" fillId="42" borderId="16" xfId="0" applyNumberFormat="1" applyFill="1" applyBorder="1" applyAlignment="1">
      <alignment horizontal="center" vertical="center"/>
    </xf>
    <xf numFmtId="0" fontId="16" fillId="37" borderId="55" xfId="0" applyFont="1" applyFill="1" applyBorder="1" applyAlignment="1">
      <alignment horizontal="center" vertical="center"/>
    </xf>
    <xf numFmtId="0" fontId="16" fillId="37" borderId="56" xfId="0" applyFont="1" applyFill="1" applyBorder="1" applyAlignment="1">
      <alignment horizontal="center" vertical="center"/>
    </xf>
    <xf numFmtId="0" fontId="16" fillId="37" borderId="57" xfId="0" applyFont="1" applyFill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PPM vs Fuel equivalance ratio (</a:t>
            </a:r>
            <a:r>
              <a:rPr lang="el-GR" sz="1400" b="1" i="0" u="none" strike="noStrike" cap="none" baseline="0">
                <a:effectLst/>
              </a:rPr>
              <a:t>ϕ</a:t>
            </a:r>
            <a:r>
              <a:rPr lang="en-GB" sz="1400" b="1" i="0" u="none" strike="noStrike" cap="none" baseline="0"/>
              <a:t>)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'Worksheet NOx'!$A$10:$A$22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'Worksheet NOx'!$W$10:$W$22</c:f>
              <c:numCache>
                <c:formatCode>General</c:formatCode>
                <c:ptCount val="13"/>
                <c:pt idx="0">
                  <c:v>0</c:v>
                </c:pt>
                <c:pt idx="1">
                  <c:v>17713.973261808806</c:v>
                </c:pt>
                <c:pt idx="2">
                  <c:v>20018.249506364446</c:v>
                </c:pt>
                <c:pt idx="3">
                  <c:v>19522.435075370049</c:v>
                </c:pt>
                <c:pt idx="4">
                  <c:v>17882.344596559065</c:v>
                </c:pt>
                <c:pt idx="5">
                  <c:v>15790.610446320745</c:v>
                </c:pt>
                <c:pt idx="6">
                  <c:v>6425.8020363818796</c:v>
                </c:pt>
                <c:pt idx="7">
                  <c:v>2027.4053084481484</c:v>
                </c:pt>
                <c:pt idx="8">
                  <c:v>529.7102974713606</c:v>
                </c:pt>
                <c:pt idx="9">
                  <c:v>115.63635820031556</c:v>
                </c:pt>
                <c:pt idx="10">
                  <c:v>20.935354507206394</c:v>
                </c:pt>
                <c:pt idx="11">
                  <c:v>3.0520949691327295</c:v>
                </c:pt>
                <c:pt idx="12">
                  <c:v>0.34504008093130767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D66-4099-AC5A-C51A6121D0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4745816"/>
        <c:axId val="563409544"/>
      </c:scatterChart>
      <c:valAx>
        <c:axId val="624745816"/>
        <c:scaling>
          <c:orientation val="minMax"/>
          <c:max val="1.05"/>
          <c:min val="0.5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Fuel Equivalence Ratio (</a:t>
                </a:r>
                <a:r>
                  <a:rPr lang="el-GR" sz="900" b="1" i="0" u="none" strike="noStrike" baseline="0">
                    <a:effectLst/>
                  </a:rPr>
                  <a:t>ϕ</a:t>
                </a:r>
                <a:r>
                  <a:rPr lang="en-US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3409544"/>
        <c:crosses val="autoZero"/>
        <c:crossBetween val="midCat"/>
        <c:majorUnit val="0.1"/>
        <c:minorUnit val="5.000000000000001E-3"/>
      </c:valAx>
      <c:valAx>
        <c:axId val="563409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745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Nox PPM vs Fuel Equivalence Ratio (</a:t>
            </a:r>
            <a:r>
              <a:rPr lang="el-GR"/>
              <a:t>φ</a:t>
            </a:r>
            <a:r>
              <a:rPr lang="en-GB"/>
              <a:t>) at Various EGR %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0% EGR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'Worksheet NOx'!$A$10:$A$22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'Worksheet NOx'!$W$10:$W$22</c:f>
              <c:numCache>
                <c:formatCode>General</c:formatCode>
                <c:ptCount val="13"/>
                <c:pt idx="0">
                  <c:v>0</c:v>
                </c:pt>
                <c:pt idx="1">
                  <c:v>17713.973261808806</c:v>
                </c:pt>
                <c:pt idx="2">
                  <c:v>20018.249506364446</c:v>
                </c:pt>
                <c:pt idx="3">
                  <c:v>19522.435075370049</c:v>
                </c:pt>
                <c:pt idx="4">
                  <c:v>17882.344596559065</c:v>
                </c:pt>
                <c:pt idx="5">
                  <c:v>15790.610446320745</c:v>
                </c:pt>
                <c:pt idx="6">
                  <c:v>6425.8020363818796</c:v>
                </c:pt>
                <c:pt idx="7">
                  <c:v>2027.4053084481484</c:v>
                </c:pt>
                <c:pt idx="8">
                  <c:v>529.7102974713606</c:v>
                </c:pt>
                <c:pt idx="9">
                  <c:v>115.63635820031556</c:v>
                </c:pt>
                <c:pt idx="10">
                  <c:v>20.935354507206394</c:v>
                </c:pt>
                <c:pt idx="11">
                  <c:v>3.0520949691327295</c:v>
                </c:pt>
                <c:pt idx="12">
                  <c:v>0.34504008093130767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41-4BED-9A5E-73FA12500CEF}"/>
            </c:ext>
          </c:extLst>
        </c:ser>
        <c:ser>
          <c:idx val="1"/>
          <c:order val="1"/>
          <c:tx>
            <c:v>5% EGR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5%'!$A$10:$A$22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5%'!$W$10:$W$22</c:f>
              <c:numCache>
                <c:formatCode>General</c:formatCode>
                <c:ptCount val="13"/>
                <c:pt idx="0">
                  <c:v>0</c:v>
                </c:pt>
                <c:pt idx="1">
                  <c:v>9167.0409565624832</c:v>
                </c:pt>
                <c:pt idx="2">
                  <c:v>10289.174944186547</c:v>
                </c:pt>
                <c:pt idx="3">
                  <c:v>9963.3334857488171</c:v>
                </c:pt>
                <c:pt idx="4">
                  <c:v>9054.3937368226962</c:v>
                </c:pt>
                <c:pt idx="5">
                  <c:v>7937.9934242494528</c:v>
                </c:pt>
                <c:pt idx="6">
                  <c:v>3124.2766414420576</c:v>
                </c:pt>
                <c:pt idx="7">
                  <c:v>947.88693664203561</c:v>
                </c:pt>
                <c:pt idx="8">
                  <c:v>238.68554966620141</c:v>
                </c:pt>
                <c:pt idx="9">
                  <c:v>49.585391551369938</c:v>
                </c:pt>
                <c:pt idx="10">
                  <c:v>8.5732870243248289</c:v>
                </c:pt>
                <c:pt idx="11">
                  <c:v>1.1824044836215648</c:v>
                </c:pt>
                <c:pt idx="12">
                  <c:v>0.12900869037411683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F41-4BED-9A5E-73FA12500CEF}"/>
            </c:ext>
          </c:extLst>
        </c:ser>
        <c:ser>
          <c:idx val="2"/>
          <c:order val="2"/>
          <c:tx>
            <c:v>10% EGR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10%'!$A$10:$A$22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10%'!$W$10:$W$22</c:f>
              <c:numCache>
                <c:formatCode>General</c:formatCode>
                <c:ptCount val="13"/>
                <c:pt idx="0">
                  <c:v>0</c:v>
                </c:pt>
                <c:pt idx="1">
                  <c:v>4115.3132038187177</c:v>
                </c:pt>
                <c:pt idx="2">
                  <c:v>4582.3683142215523</c:v>
                </c:pt>
                <c:pt idx="3">
                  <c:v>4405.3061296800788</c:v>
                </c:pt>
                <c:pt idx="4">
                  <c:v>3978.7899975744458</c:v>
                </c:pt>
                <c:pt idx="5">
                  <c:v>3463.7719468267655</c:v>
                </c:pt>
                <c:pt idx="6">
                  <c:v>1303.5065232482198</c:v>
                </c:pt>
                <c:pt idx="7">
                  <c:v>379.35986823036609</c:v>
                </c:pt>
                <c:pt idx="8">
                  <c:v>90.123753363767747</c:v>
                </c:pt>
                <c:pt idx="9">
                  <c:v>17.905882808500149</c:v>
                </c:pt>
                <c:pt idx="10">
                  <c:v>2.907749629998047</c:v>
                </c:pt>
                <c:pt idx="11">
                  <c:v>0.37810753290609556</c:v>
                </c:pt>
                <c:pt idx="12">
                  <c:v>3.7622308098630361E-2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F41-4BED-9A5E-73FA12500CEF}"/>
            </c:ext>
          </c:extLst>
        </c:ser>
        <c:ser>
          <c:idx val="3"/>
          <c:order val="3"/>
          <c:tx>
            <c:v>15% EGR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15%'!$A$10:$A$22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15%'!$W$10:$W$22</c:f>
              <c:numCache>
                <c:formatCode>General</c:formatCode>
                <c:ptCount val="13"/>
                <c:pt idx="0">
                  <c:v>0</c:v>
                </c:pt>
                <c:pt idx="1">
                  <c:v>1588.404447936342</c:v>
                </c:pt>
                <c:pt idx="2">
                  <c:v>1753.5326300684201</c:v>
                </c:pt>
                <c:pt idx="3">
                  <c:v>1669.7761019865261</c:v>
                </c:pt>
                <c:pt idx="4">
                  <c:v>1491.8591411225436</c:v>
                </c:pt>
                <c:pt idx="5">
                  <c:v>1285.8161558372872</c:v>
                </c:pt>
                <c:pt idx="6">
                  <c:v>461.73906089255729</c:v>
                </c:pt>
                <c:pt idx="7">
                  <c:v>127.42554168703016</c:v>
                </c:pt>
                <c:pt idx="8">
                  <c:v>28.600136948771507</c:v>
                </c:pt>
                <c:pt idx="9">
                  <c:v>5.3369095978562626</c:v>
                </c:pt>
                <c:pt idx="10">
                  <c:v>0.8111956757210409</c:v>
                </c:pt>
                <c:pt idx="11">
                  <c:v>9.8341542758702022E-2</c:v>
                </c:pt>
                <c:pt idx="12">
                  <c:v>9.0314643222924006E-3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F41-4BED-9A5E-73FA12500CEF}"/>
            </c:ext>
          </c:extLst>
        </c:ser>
        <c:ser>
          <c:idx val="4"/>
          <c:order val="4"/>
          <c:tx>
            <c:v>20% EGR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'EGR 20%'!$A$10:$A$22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20%'!$W$10:$W$22</c:f>
              <c:numCache>
                <c:formatCode>General</c:formatCode>
                <c:ptCount val="13"/>
                <c:pt idx="0">
                  <c:v>0</c:v>
                </c:pt>
                <c:pt idx="1">
                  <c:v>514.91014214812503</c:v>
                </c:pt>
                <c:pt idx="2">
                  <c:v>562.37654719527245</c:v>
                </c:pt>
                <c:pt idx="3">
                  <c:v>529.80224283149221</c:v>
                </c:pt>
                <c:pt idx="4">
                  <c:v>468.73794701176843</c:v>
                </c:pt>
                <c:pt idx="5">
                  <c:v>399.96080466496005</c:v>
                </c:pt>
                <c:pt idx="6">
                  <c:v>137.52751234332698</c:v>
                </c:pt>
                <c:pt idx="7">
                  <c:v>35.104067464003343</c:v>
                </c:pt>
                <c:pt idx="8">
                  <c:v>7.4146796088045193</c:v>
                </c:pt>
                <c:pt idx="9">
                  <c:v>1.2867239380314017</c:v>
                </c:pt>
                <c:pt idx="10">
                  <c:v>0.18148705455408895</c:v>
                </c:pt>
                <c:pt idx="11">
                  <c:v>2.0158813284871274E-2</c:v>
                </c:pt>
                <c:pt idx="12">
                  <c:v>1.6938376764690105E-3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F41-4BED-9A5E-73FA12500C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08744"/>
        <c:axId val="63308088"/>
      </c:scatterChart>
      <c:valAx>
        <c:axId val="63308744"/>
        <c:scaling>
          <c:orientation val="minMax"/>
          <c:min val="0.5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Fuel Equivalence ratio (</a:t>
                </a:r>
                <a:r>
                  <a:rPr lang="el-GR"/>
                  <a:t>φ</a:t>
                </a:r>
                <a:r>
                  <a:rPr lang="en-GB"/>
                  <a:t>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08088"/>
        <c:crosses val="autoZero"/>
        <c:crossBetween val="midCat"/>
      </c:valAx>
      <c:valAx>
        <c:axId val="63308088"/>
        <c:scaling>
          <c:orientation val="minMax"/>
          <c:min val="-100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08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5% EGR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'EGR 5%'!$A$10:$A$22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5%'!$W$10:$W$22</c:f>
              <c:numCache>
                <c:formatCode>General</c:formatCode>
                <c:ptCount val="13"/>
                <c:pt idx="0">
                  <c:v>0</c:v>
                </c:pt>
                <c:pt idx="1">
                  <c:v>9167.0409565624832</c:v>
                </c:pt>
                <c:pt idx="2">
                  <c:v>10289.174944186547</c:v>
                </c:pt>
                <c:pt idx="3">
                  <c:v>9963.3334857488171</c:v>
                </c:pt>
                <c:pt idx="4">
                  <c:v>9054.3937368226962</c:v>
                </c:pt>
                <c:pt idx="5">
                  <c:v>7937.9934242494528</c:v>
                </c:pt>
                <c:pt idx="6">
                  <c:v>3124.2766414420576</c:v>
                </c:pt>
                <c:pt idx="7">
                  <c:v>947.88693664203561</c:v>
                </c:pt>
                <c:pt idx="8">
                  <c:v>238.68554966620141</c:v>
                </c:pt>
                <c:pt idx="9">
                  <c:v>49.585391551369938</c:v>
                </c:pt>
                <c:pt idx="10">
                  <c:v>8.5732870243248289</c:v>
                </c:pt>
                <c:pt idx="11">
                  <c:v>1.1824044836215648</c:v>
                </c:pt>
                <c:pt idx="12">
                  <c:v>0.12900869037411683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46C-4D2C-8976-E035631D03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4277216"/>
        <c:axId val="794277544"/>
      </c:scatterChart>
      <c:valAx>
        <c:axId val="794277216"/>
        <c:scaling>
          <c:orientation val="minMax"/>
          <c:min val="0.5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Fuel Equivalence Ratio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277544"/>
        <c:crosses val="autoZero"/>
        <c:crossBetween val="midCat"/>
      </c:valAx>
      <c:valAx>
        <c:axId val="794277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2772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10% EGR Nox vs </a:t>
            </a:r>
            <a:r>
              <a:rPr lang="el-GR" sz="1400" b="1" i="0" u="none" strike="noStrike" cap="none" baseline="0">
                <a:effectLst/>
              </a:rPr>
              <a:t>φ</a:t>
            </a:r>
            <a:r>
              <a:rPr lang="el-GR" sz="1400" b="1" i="0" u="none" strike="noStrike" cap="none" baseline="0"/>
              <a:t> 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10% EGR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'EGR 10%'!$A$10:$A$22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10%'!$W$10:$W$22</c:f>
              <c:numCache>
                <c:formatCode>General</c:formatCode>
                <c:ptCount val="13"/>
                <c:pt idx="0">
                  <c:v>0</c:v>
                </c:pt>
                <c:pt idx="1">
                  <c:v>4115.3132038187177</c:v>
                </c:pt>
                <c:pt idx="2">
                  <c:v>4582.3683142215523</c:v>
                </c:pt>
                <c:pt idx="3">
                  <c:v>4405.3061296800788</c:v>
                </c:pt>
                <c:pt idx="4">
                  <c:v>3978.7899975744458</c:v>
                </c:pt>
                <c:pt idx="5">
                  <c:v>3463.7719468267655</c:v>
                </c:pt>
                <c:pt idx="6">
                  <c:v>1303.5065232482198</c:v>
                </c:pt>
                <c:pt idx="7">
                  <c:v>379.35986823036609</c:v>
                </c:pt>
                <c:pt idx="8">
                  <c:v>90.123753363767747</c:v>
                </c:pt>
                <c:pt idx="9">
                  <c:v>17.905882808500149</c:v>
                </c:pt>
                <c:pt idx="10">
                  <c:v>2.907749629998047</c:v>
                </c:pt>
                <c:pt idx="11">
                  <c:v>0.37810753290609556</c:v>
                </c:pt>
                <c:pt idx="12">
                  <c:v>3.7622308098630361E-2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70-402F-ABB8-0BF52F1835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8778840"/>
        <c:axId val="748776872"/>
      </c:scatterChart>
      <c:valAx>
        <c:axId val="748778840"/>
        <c:scaling>
          <c:orientation val="minMax"/>
          <c:min val="0.5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Fuel Equivalence Ratio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8776872"/>
        <c:crosses val="autoZero"/>
        <c:crossBetween val="midCat"/>
      </c:valAx>
      <c:valAx>
        <c:axId val="748776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87788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15% EGR Nox Vs </a:t>
            </a:r>
            <a:r>
              <a:rPr lang="el-GR" sz="1400" b="1" i="0" u="none" strike="noStrike" cap="none" baseline="0">
                <a:effectLst/>
              </a:rPr>
              <a:t>φ</a:t>
            </a:r>
            <a:r>
              <a:rPr lang="el-GR" sz="1400" b="1" i="0" u="none" strike="noStrike" cap="none" baseline="0"/>
              <a:t> 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15% EGR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'EGR 15%'!$A$10:$A$22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15%'!$W$10:$W$22</c:f>
              <c:numCache>
                <c:formatCode>General</c:formatCode>
                <c:ptCount val="13"/>
                <c:pt idx="0">
                  <c:v>0</c:v>
                </c:pt>
                <c:pt idx="1">
                  <c:v>1588.404447936342</c:v>
                </c:pt>
                <c:pt idx="2">
                  <c:v>1753.5326300684201</c:v>
                </c:pt>
                <c:pt idx="3">
                  <c:v>1669.7761019865261</c:v>
                </c:pt>
                <c:pt idx="4">
                  <c:v>1491.8591411225436</c:v>
                </c:pt>
                <c:pt idx="5">
                  <c:v>1285.8161558372872</c:v>
                </c:pt>
                <c:pt idx="6">
                  <c:v>461.73906089255729</c:v>
                </c:pt>
                <c:pt idx="7">
                  <c:v>127.42554168703016</c:v>
                </c:pt>
                <c:pt idx="8">
                  <c:v>28.600136948771507</c:v>
                </c:pt>
                <c:pt idx="9">
                  <c:v>5.3369095978562626</c:v>
                </c:pt>
                <c:pt idx="10">
                  <c:v>0.8111956757210409</c:v>
                </c:pt>
                <c:pt idx="11">
                  <c:v>9.8341542758702022E-2</c:v>
                </c:pt>
                <c:pt idx="12">
                  <c:v>9.0314643222924006E-3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78-40C0-B22D-A4D6663EF8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2723840"/>
        <c:axId val="792716624"/>
      </c:scatterChart>
      <c:valAx>
        <c:axId val="792723840"/>
        <c:scaling>
          <c:orientation val="minMax"/>
          <c:min val="0.5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Fuel Equivalence Ratio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2716624"/>
        <c:crosses val="autoZero"/>
        <c:crossBetween val="midCat"/>
      </c:valAx>
      <c:valAx>
        <c:axId val="792716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27238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20% EGR Nox Vs </a:t>
            </a:r>
            <a:r>
              <a:rPr lang="el-GR" sz="1400" b="1" i="0" u="none" strike="noStrike" cap="none" baseline="0">
                <a:effectLst/>
              </a:rPr>
              <a:t>φ</a:t>
            </a:r>
            <a:r>
              <a:rPr lang="el-GR" sz="1400" b="1" i="0" u="none" strike="noStrike" cap="none" baseline="0"/>
              <a:t> 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20% EGR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'EGR 20%'!$A$10:$A$22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20%'!$W$10:$W$22</c:f>
              <c:numCache>
                <c:formatCode>General</c:formatCode>
                <c:ptCount val="13"/>
                <c:pt idx="0">
                  <c:v>0</c:v>
                </c:pt>
                <c:pt idx="1">
                  <c:v>514.91014214812503</c:v>
                </c:pt>
                <c:pt idx="2">
                  <c:v>562.37654719527245</c:v>
                </c:pt>
                <c:pt idx="3">
                  <c:v>529.80224283149221</c:v>
                </c:pt>
                <c:pt idx="4">
                  <c:v>468.73794701176843</c:v>
                </c:pt>
                <c:pt idx="5">
                  <c:v>399.96080466496005</c:v>
                </c:pt>
                <c:pt idx="6">
                  <c:v>137.52751234332698</c:v>
                </c:pt>
                <c:pt idx="7">
                  <c:v>35.104067464003343</c:v>
                </c:pt>
                <c:pt idx="8">
                  <c:v>7.4146796088045193</c:v>
                </c:pt>
                <c:pt idx="9">
                  <c:v>1.2867239380314017</c:v>
                </c:pt>
                <c:pt idx="10">
                  <c:v>0.18148705455408895</c:v>
                </c:pt>
                <c:pt idx="11">
                  <c:v>2.0158813284871274E-2</c:v>
                </c:pt>
                <c:pt idx="12">
                  <c:v>1.6938376764690105E-3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4E-479C-9962-0F791B4F6F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3581960"/>
        <c:axId val="783582288"/>
      </c:scatterChart>
      <c:valAx>
        <c:axId val="783581960"/>
        <c:scaling>
          <c:orientation val="minMax"/>
          <c:min val="0.5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Fuel Equivalence Ratio</a:t>
                </a:r>
              </a:p>
            </c:rich>
          </c:tx>
          <c:layout>
            <c:manualLayout>
              <c:xMode val="edge"/>
              <c:yMode val="edge"/>
              <c:x val="0.34426268591426079"/>
              <c:y val="0.7876844561096529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582288"/>
        <c:crosses val="autoZero"/>
        <c:crossBetween val="midCat"/>
      </c:valAx>
      <c:valAx>
        <c:axId val="783582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5819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Temp. V Enthalpy CO2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poly"/>
            <c:order val="5"/>
            <c:dispRSqr val="1"/>
            <c:dispEq val="1"/>
            <c:trendlineLbl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'CO2'!$A$3:$A$70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'CO2'!$C$3:$C$70</c:f>
              <c:numCache>
                <c:formatCode>General</c:formatCode>
                <c:ptCount val="68"/>
                <c:pt idx="0">
                  <c:v>3.42</c:v>
                </c:pt>
                <c:pt idx="1">
                  <c:v>1.74</c:v>
                </c:pt>
                <c:pt idx="2">
                  <c:v>0</c:v>
                </c:pt>
                <c:pt idx="3">
                  <c:v>7.0000000000000007E-2</c:v>
                </c:pt>
                <c:pt idx="4">
                  <c:v>1.99</c:v>
                </c:pt>
                <c:pt idx="5">
                  <c:v>4</c:v>
                </c:pt>
                <c:pt idx="6">
                  <c:v>6.11</c:v>
                </c:pt>
                <c:pt idx="7">
                  <c:v>8.3000000000000007</c:v>
                </c:pt>
                <c:pt idx="8">
                  <c:v>10.56</c:v>
                </c:pt>
                <c:pt idx="9">
                  <c:v>12.9</c:v>
                </c:pt>
                <c:pt idx="10">
                  <c:v>15.29</c:v>
                </c:pt>
                <c:pt idx="11">
                  <c:v>17.75</c:v>
                </c:pt>
                <c:pt idx="12">
                  <c:v>20.25</c:v>
                </c:pt>
                <c:pt idx="13">
                  <c:v>22.81</c:v>
                </c:pt>
                <c:pt idx="14">
                  <c:v>25.41</c:v>
                </c:pt>
                <c:pt idx="15">
                  <c:v>28.05</c:v>
                </c:pt>
                <c:pt idx="16">
                  <c:v>30.72</c:v>
                </c:pt>
                <c:pt idx="17">
                  <c:v>33.42</c:v>
                </c:pt>
                <c:pt idx="18">
                  <c:v>36.15</c:v>
                </c:pt>
                <c:pt idx="19">
                  <c:v>38.909999999999997</c:v>
                </c:pt>
                <c:pt idx="20">
                  <c:v>41.69</c:v>
                </c:pt>
                <c:pt idx="21">
                  <c:v>44.49</c:v>
                </c:pt>
                <c:pt idx="22">
                  <c:v>47.31</c:v>
                </c:pt>
                <c:pt idx="23">
                  <c:v>50.15</c:v>
                </c:pt>
                <c:pt idx="24">
                  <c:v>53</c:v>
                </c:pt>
                <c:pt idx="25">
                  <c:v>55.88</c:v>
                </c:pt>
                <c:pt idx="26">
                  <c:v>58.77</c:v>
                </c:pt>
                <c:pt idx="27">
                  <c:v>61.68</c:v>
                </c:pt>
                <c:pt idx="28">
                  <c:v>64.599999999999994</c:v>
                </c:pt>
                <c:pt idx="29">
                  <c:v>67.540000000000006</c:v>
                </c:pt>
                <c:pt idx="30">
                  <c:v>70.48</c:v>
                </c:pt>
                <c:pt idx="31">
                  <c:v>73.44</c:v>
                </c:pt>
                <c:pt idx="32">
                  <c:v>76.41</c:v>
                </c:pt>
                <c:pt idx="33">
                  <c:v>79.400000000000006</c:v>
                </c:pt>
                <c:pt idx="34">
                  <c:v>82.39</c:v>
                </c:pt>
                <c:pt idx="35">
                  <c:v>85.39</c:v>
                </c:pt>
                <c:pt idx="36">
                  <c:v>88.4</c:v>
                </c:pt>
                <c:pt idx="37">
                  <c:v>91.42</c:v>
                </c:pt>
                <c:pt idx="38">
                  <c:v>94.44</c:v>
                </c:pt>
                <c:pt idx="39">
                  <c:v>97.47</c:v>
                </c:pt>
                <c:pt idx="40">
                  <c:v>100.51</c:v>
                </c:pt>
                <c:pt idx="41">
                  <c:v>103.56</c:v>
                </c:pt>
                <c:pt idx="42">
                  <c:v>106.61</c:v>
                </c:pt>
                <c:pt idx="43">
                  <c:v>109.66</c:v>
                </c:pt>
                <c:pt idx="44">
                  <c:v>112.73</c:v>
                </c:pt>
                <c:pt idx="45">
                  <c:v>115.79</c:v>
                </c:pt>
                <c:pt idx="46">
                  <c:v>118.86</c:v>
                </c:pt>
                <c:pt idx="47">
                  <c:v>121.94</c:v>
                </c:pt>
                <c:pt idx="48">
                  <c:v>125.02</c:v>
                </c:pt>
                <c:pt idx="49">
                  <c:v>128.1</c:v>
                </c:pt>
                <c:pt idx="50">
                  <c:v>131.19</c:v>
                </c:pt>
                <c:pt idx="51">
                  <c:v>134.28</c:v>
                </c:pt>
                <c:pt idx="52">
                  <c:v>137.37</c:v>
                </c:pt>
                <c:pt idx="53">
                  <c:v>140.47</c:v>
                </c:pt>
                <c:pt idx="54">
                  <c:v>143.57</c:v>
                </c:pt>
                <c:pt idx="55">
                  <c:v>146.66999999999999</c:v>
                </c:pt>
                <c:pt idx="56">
                  <c:v>149.78</c:v>
                </c:pt>
                <c:pt idx="57">
                  <c:v>152.88</c:v>
                </c:pt>
                <c:pt idx="58">
                  <c:v>155.99</c:v>
                </c:pt>
                <c:pt idx="59">
                  <c:v>159.11000000000001</c:v>
                </c:pt>
                <c:pt idx="60">
                  <c:v>162.22</c:v>
                </c:pt>
                <c:pt idx="61">
                  <c:v>165.34</c:v>
                </c:pt>
                <c:pt idx="62">
                  <c:v>168.46</c:v>
                </c:pt>
                <c:pt idx="63">
                  <c:v>171.59</c:v>
                </c:pt>
                <c:pt idx="64">
                  <c:v>174.72</c:v>
                </c:pt>
                <c:pt idx="65">
                  <c:v>177.84</c:v>
                </c:pt>
                <c:pt idx="66">
                  <c:v>180.98</c:v>
                </c:pt>
                <c:pt idx="67">
                  <c:v>184.11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159-4B22-BA31-94E5E2ACE3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5132368"/>
        <c:axId val="-55129888"/>
      </c:scatterChart>
      <c:valAx>
        <c:axId val="-55132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5129888"/>
        <c:crosses val="autoZero"/>
        <c:crossBetween val="midCat"/>
      </c:valAx>
      <c:valAx>
        <c:axId val="-5512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5132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Temp. vs Enthalpy H2O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-2.2550306211723499E-4"/>
                  <c:y val="-7.3330417031204397E-3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H2O!$A$3:$A$70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H2O!$C$3:$C$70</c:f>
              <c:numCache>
                <c:formatCode>General</c:formatCode>
                <c:ptCount val="68"/>
                <c:pt idx="0">
                  <c:v>3.23</c:v>
                </c:pt>
                <c:pt idx="1">
                  <c:v>1.6</c:v>
                </c:pt>
                <c:pt idx="2">
                  <c:v>0</c:v>
                </c:pt>
                <c:pt idx="3">
                  <c:v>0.06</c:v>
                </c:pt>
                <c:pt idx="4">
                  <c:v>1.75</c:v>
                </c:pt>
                <c:pt idx="5">
                  <c:v>3.46</c:v>
                </c:pt>
                <c:pt idx="6">
                  <c:v>5.19</c:v>
                </c:pt>
                <c:pt idx="7">
                  <c:v>6.95</c:v>
                </c:pt>
                <c:pt idx="8">
                  <c:v>8.73</c:v>
                </c:pt>
                <c:pt idx="9">
                  <c:v>10.53</c:v>
                </c:pt>
                <c:pt idx="10">
                  <c:v>12.35</c:v>
                </c:pt>
                <c:pt idx="11">
                  <c:v>14.21</c:v>
                </c:pt>
                <c:pt idx="12">
                  <c:v>16.09</c:v>
                </c:pt>
                <c:pt idx="13">
                  <c:v>18</c:v>
                </c:pt>
                <c:pt idx="14">
                  <c:v>19.95</c:v>
                </c:pt>
                <c:pt idx="15">
                  <c:v>21.93</c:v>
                </c:pt>
                <c:pt idx="16">
                  <c:v>23.94</c:v>
                </c:pt>
                <c:pt idx="17">
                  <c:v>25.99</c:v>
                </c:pt>
                <c:pt idx="18">
                  <c:v>28.07</c:v>
                </c:pt>
                <c:pt idx="19">
                  <c:v>30.19</c:v>
                </c:pt>
                <c:pt idx="20">
                  <c:v>32.340000000000003</c:v>
                </c:pt>
                <c:pt idx="21">
                  <c:v>34.520000000000003</c:v>
                </c:pt>
                <c:pt idx="22">
                  <c:v>36.72</c:v>
                </c:pt>
                <c:pt idx="23">
                  <c:v>38.96</c:v>
                </c:pt>
                <c:pt idx="24">
                  <c:v>41.23</c:v>
                </c:pt>
                <c:pt idx="25">
                  <c:v>43.52</c:v>
                </c:pt>
                <c:pt idx="26">
                  <c:v>45.84</c:v>
                </c:pt>
                <c:pt idx="27">
                  <c:v>48.18</c:v>
                </c:pt>
                <c:pt idx="28">
                  <c:v>50.55</c:v>
                </c:pt>
                <c:pt idx="29">
                  <c:v>52.94</c:v>
                </c:pt>
                <c:pt idx="30">
                  <c:v>55.35</c:v>
                </c:pt>
                <c:pt idx="31">
                  <c:v>57.78</c:v>
                </c:pt>
                <c:pt idx="32">
                  <c:v>60.24</c:v>
                </c:pt>
                <c:pt idx="33">
                  <c:v>62.71</c:v>
                </c:pt>
                <c:pt idx="34">
                  <c:v>65.209999999999994</c:v>
                </c:pt>
                <c:pt idx="35">
                  <c:v>67.72</c:v>
                </c:pt>
                <c:pt idx="36">
                  <c:v>70.25</c:v>
                </c:pt>
                <c:pt idx="37">
                  <c:v>72.8</c:v>
                </c:pt>
                <c:pt idx="38">
                  <c:v>75.37</c:v>
                </c:pt>
                <c:pt idx="39">
                  <c:v>77.95</c:v>
                </c:pt>
                <c:pt idx="40">
                  <c:v>80.540000000000006</c:v>
                </c:pt>
                <c:pt idx="41">
                  <c:v>83.16</c:v>
                </c:pt>
                <c:pt idx="42">
                  <c:v>85.78</c:v>
                </c:pt>
                <c:pt idx="43">
                  <c:v>88.42</c:v>
                </c:pt>
                <c:pt idx="44">
                  <c:v>91.07</c:v>
                </c:pt>
                <c:pt idx="45">
                  <c:v>93.74</c:v>
                </c:pt>
                <c:pt idx="46">
                  <c:v>96.42</c:v>
                </c:pt>
                <c:pt idx="47">
                  <c:v>99.11</c:v>
                </c:pt>
                <c:pt idx="48">
                  <c:v>101.81</c:v>
                </c:pt>
                <c:pt idx="49">
                  <c:v>104.52</c:v>
                </c:pt>
                <c:pt idx="50">
                  <c:v>107.24</c:v>
                </c:pt>
                <c:pt idx="51">
                  <c:v>109.97</c:v>
                </c:pt>
                <c:pt idx="52">
                  <c:v>112.72</c:v>
                </c:pt>
                <c:pt idx="53">
                  <c:v>115.47</c:v>
                </c:pt>
                <c:pt idx="54">
                  <c:v>118.23</c:v>
                </c:pt>
                <c:pt idx="55">
                  <c:v>120.99</c:v>
                </c:pt>
                <c:pt idx="56">
                  <c:v>123.77</c:v>
                </c:pt>
                <c:pt idx="57">
                  <c:v>126.56</c:v>
                </c:pt>
                <c:pt idx="58">
                  <c:v>129.35</c:v>
                </c:pt>
                <c:pt idx="59">
                  <c:v>132.15</c:v>
                </c:pt>
                <c:pt idx="60">
                  <c:v>134.96</c:v>
                </c:pt>
                <c:pt idx="61">
                  <c:v>137.77000000000001</c:v>
                </c:pt>
                <c:pt idx="62">
                  <c:v>140.59</c:v>
                </c:pt>
                <c:pt idx="63">
                  <c:v>143.41999999999999</c:v>
                </c:pt>
                <c:pt idx="64">
                  <c:v>146.25</c:v>
                </c:pt>
                <c:pt idx="65">
                  <c:v>149.09</c:v>
                </c:pt>
                <c:pt idx="66">
                  <c:v>151.94</c:v>
                </c:pt>
                <c:pt idx="67">
                  <c:v>154.79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9A4-4DB6-A676-FCEFA0826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5097728"/>
        <c:axId val="-55095248"/>
      </c:scatterChart>
      <c:valAx>
        <c:axId val="-55097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5095248"/>
        <c:crosses val="autoZero"/>
        <c:crossBetween val="midCat"/>
      </c:valAx>
      <c:valAx>
        <c:axId val="-5509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5097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Temp vs Enthalpy O2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poly"/>
            <c:order val="6"/>
            <c:dispRSqr val="1"/>
            <c:dispEq val="1"/>
            <c:trendlineLbl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'O2'!$A$3:$A$70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'O2'!$C$3:$C$70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1.53</c:v>
                </c:pt>
                <c:pt idx="5">
                  <c:v>3.03</c:v>
                </c:pt>
                <c:pt idx="6">
                  <c:v>4.55</c:v>
                </c:pt>
                <c:pt idx="7">
                  <c:v>6.1</c:v>
                </c:pt>
                <c:pt idx="8">
                  <c:v>7.66</c:v>
                </c:pt>
                <c:pt idx="9">
                  <c:v>9.25</c:v>
                </c:pt>
                <c:pt idx="10">
                  <c:v>10.87</c:v>
                </c:pt>
                <c:pt idx="11">
                  <c:v>12.5</c:v>
                </c:pt>
                <c:pt idx="12">
                  <c:v>14.16</c:v>
                </c:pt>
                <c:pt idx="13">
                  <c:v>15.84</c:v>
                </c:pt>
                <c:pt idx="14">
                  <c:v>17.53</c:v>
                </c:pt>
                <c:pt idx="15">
                  <c:v>19.25</c:v>
                </c:pt>
                <c:pt idx="16">
                  <c:v>20.98</c:v>
                </c:pt>
                <c:pt idx="17">
                  <c:v>22.72</c:v>
                </c:pt>
                <c:pt idx="18">
                  <c:v>24.47</c:v>
                </c:pt>
                <c:pt idx="19">
                  <c:v>26.23</c:v>
                </c:pt>
                <c:pt idx="20">
                  <c:v>28</c:v>
                </c:pt>
                <c:pt idx="21">
                  <c:v>29.77</c:v>
                </c:pt>
                <c:pt idx="22">
                  <c:v>31.56</c:v>
                </c:pt>
                <c:pt idx="23">
                  <c:v>33.35</c:v>
                </c:pt>
                <c:pt idx="24">
                  <c:v>35.15</c:v>
                </c:pt>
                <c:pt idx="25">
                  <c:v>36.950000000000003</c:v>
                </c:pt>
                <c:pt idx="26">
                  <c:v>38.770000000000003</c:v>
                </c:pt>
                <c:pt idx="27">
                  <c:v>40.590000000000003</c:v>
                </c:pt>
                <c:pt idx="28">
                  <c:v>42.42</c:v>
                </c:pt>
                <c:pt idx="29">
                  <c:v>44.25</c:v>
                </c:pt>
                <c:pt idx="30">
                  <c:v>46.09</c:v>
                </c:pt>
                <c:pt idx="31">
                  <c:v>47.94</c:v>
                </c:pt>
                <c:pt idx="32">
                  <c:v>49.8</c:v>
                </c:pt>
                <c:pt idx="33">
                  <c:v>51.66</c:v>
                </c:pt>
                <c:pt idx="34">
                  <c:v>53.53</c:v>
                </c:pt>
                <c:pt idx="35">
                  <c:v>55.4</c:v>
                </c:pt>
                <c:pt idx="36">
                  <c:v>57.28</c:v>
                </c:pt>
                <c:pt idx="37">
                  <c:v>59.17</c:v>
                </c:pt>
                <c:pt idx="38">
                  <c:v>61.06</c:v>
                </c:pt>
                <c:pt idx="39">
                  <c:v>62.96</c:v>
                </c:pt>
                <c:pt idx="40">
                  <c:v>64.86</c:v>
                </c:pt>
                <c:pt idx="41">
                  <c:v>66.77</c:v>
                </c:pt>
                <c:pt idx="42">
                  <c:v>68.69</c:v>
                </c:pt>
                <c:pt idx="43">
                  <c:v>70.61</c:v>
                </c:pt>
                <c:pt idx="44">
                  <c:v>72.53</c:v>
                </c:pt>
                <c:pt idx="45">
                  <c:v>74.459999999999994</c:v>
                </c:pt>
                <c:pt idx="46">
                  <c:v>76.400000000000006</c:v>
                </c:pt>
                <c:pt idx="47">
                  <c:v>78.34</c:v>
                </c:pt>
                <c:pt idx="48">
                  <c:v>80.290000000000006</c:v>
                </c:pt>
                <c:pt idx="49">
                  <c:v>82.24</c:v>
                </c:pt>
                <c:pt idx="50">
                  <c:v>84.2</c:v>
                </c:pt>
                <c:pt idx="51">
                  <c:v>86.16</c:v>
                </c:pt>
                <c:pt idx="52">
                  <c:v>88.13</c:v>
                </c:pt>
                <c:pt idx="53">
                  <c:v>90.1</c:v>
                </c:pt>
                <c:pt idx="54">
                  <c:v>92.07</c:v>
                </c:pt>
                <c:pt idx="55">
                  <c:v>94.06</c:v>
                </c:pt>
                <c:pt idx="56">
                  <c:v>96.04</c:v>
                </c:pt>
                <c:pt idx="57">
                  <c:v>98.03</c:v>
                </c:pt>
                <c:pt idx="58">
                  <c:v>100.03</c:v>
                </c:pt>
                <c:pt idx="59">
                  <c:v>102.02</c:v>
                </c:pt>
                <c:pt idx="60">
                  <c:v>104.03</c:v>
                </c:pt>
                <c:pt idx="61">
                  <c:v>106.03</c:v>
                </c:pt>
                <c:pt idx="62">
                  <c:v>108.05</c:v>
                </c:pt>
                <c:pt idx="63">
                  <c:v>110.06</c:v>
                </c:pt>
                <c:pt idx="64">
                  <c:v>112.08</c:v>
                </c:pt>
                <c:pt idx="65">
                  <c:v>114.11</c:v>
                </c:pt>
                <c:pt idx="66">
                  <c:v>116.13</c:v>
                </c:pt>
                <c:pt idx="67">
                  <c:v>118.17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9C6-4218-8B2F-EA842981B7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5931248"/>
        <c:axId val="-118439728"/>
      </c:scatterChart>
      <c:valAx>
        <c:axId val="-55931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8439728"/>
        <c:crosses val="autoZero"/>
        <c:crossBetween val="midCat"/>
      </c:valAx>
      <c:valAx>
        <c:axId val="-11843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5931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 vs Enthalpy N2</a:t>
            </a:r>
          </a:p>
        </c:rich>
      </c:tx>
      <c:layout>
        <c:manualLayout>
          <c:xMode val="edge"/>
          <c:yMode val="edge"/>
          <c:x val="0.26590966754155698"/>
          <c:y val="3.24074074074073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-3.9216972878390198E-4"/>
                  <c:y val="-9.6759259259259298E-3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'N2'!$A$3:$A$70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'N2'!$C$3:$C$70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1.51</c:v>
                </c:pt>
                <c:pt idx="5">
                  <c:v>2.97</c:v>
                </c:pt>
                <c:pt idx="6">
                  <c:v>4.4400000000000004</c:v>
                </c:pt>
                <c:pt idx="7">
                  <c:v>5.92</c:v>
                </c:pt>
                <c:pt idx="8">
                  <c:v>7.41</c:v>
                </c:pt>
                <c:pt idx="9">
                  <c:v>8.9</c:v>
                </c:pt>
                <c:pt idx="10">
                  <c:v>10.42</c:v>
                </c:pt>
                <c:pt idx="11">
                  <c:v>11.94</c:v>
                </c:pt>
                <c:pt idx="12">
                  <c:v>13.48</c:v>
                </c:pt>
                <c:pt idx="13">
                  <c:v>15.04</c:v>
                </c:pt>
                <c:pt idx="14">
                  <c:v>16.62</c:v>
                </c:pt>
                <c:pt idx="15">
                  <c:v>18.22</c:v>
                </c:pt>
                <c:pt idx="16">
                  <c:v>19.84</c:v>
                </c:pt>
                <c:pt idx="17">
                  <c:v>21.47</c:v>
                </c:pt>
                <c:pt idx="18">
                  <c:v>23.11</c:v>
                </c:pt>
                <c:pt idx="19">
                  <c:v>24.77</c:v>
                </c:pt>
                <c:pt idx="20">
                  <c:v>26.44</c:v>
                </c:pt>
                <c:pt idx="21">
                  <c:v>28.12</c:v>
                </c:pt>
                <c:pt idx="22">
                  <c:v>29.81</c:v>
                </c:pt>
                <c:pt idx="23">
                  <c:v>31.51</c:v>
                </c:pt>
                <c:pt idx="24">
                  <c:v>33.22</c:v>
                </c:pt>
                <c:pt idx="25">
                  <c:v>34.94</c:v>
                </c:pt>
                <c:pt idx="26">
                  <c:v>36.67</c:v>
                </c:pt>
                <c:pt idx="27">
                  <c:v>38.4</c:v>
                </c:pt>
                <c:pt idx="28">
                  <c:v>40.15</c:v>
                </c:pt>
                <c:pt idx="29">
                  <c:v>41.9</c:v>
                </c:pt>
                <c:pt idx="30">
                  <c:v>43.66</c:v>
                </c:pt>
                <c:pt idx="31">
                  <c:v>45.42</c:v>
                </c:pt>
                <c:pt idx="32">
                  <c:v>47.19</c:v>
                </c:pt>
                <c:pt idx="33">
                  <c:v>48.97</c:v>
                </c:pt>
                <c:pt idx="34">
                  <c:v>50.75</c:v>
                </c:pt>
                <c:pt idx="35">
                  <c:v>52.54</c:v>
                </c:pt>
                <c:pt idx="36">
                  <c:v>54.33</c:v>
                </c:pt>
                <c:pt idx="37">
                  <c:v>56.13</c:v>
                </c:pt>
                <c:pt idx="38">
                  <c:v>57.93</c:v>
                </c:pt>
                <c:pt idx="39">
                  <c:v>59.73</c:v>
                </c:pt>
                <c:pt idx="40">
                  <c:v>61.54</c:v>
                </c:pt>
                <c:pt idx="41">
                  <c:v>63.36</c:v>
                </c:pt>
                <c:pt idx="42">
                  <c:v>65.17</c:v>
                </c:pt>
                <c:pt idx="43">
                  <c:v>66.989999999999995</c:v>
                </c:pt>
                <c:pt idx="44">
                  <c:v>68.819999999999993</c:v>
                </c:pt>
                <c:pt idx="45">
                  <c:v>70.64</c:v>
                </c:pt>
                <c:pt idx="46">
                  <c:v>72.47</c:v>
                </c:pt>
                <c:pt idx="47">
                  <c:v>74.3</c:v>
                </c:pt>
                <c:pt idx="48">
                  <c:v>76.13</c:v>
                </c:pt>
                <c:pt idx="49">
                  <c:v>77.97</c:v>
                </c:pt>
                <c:pt idx="50">
                  <c:v>79.81</c:v>
                </c:pt>
                <c:pt idx="51">
                  <c:v>81.650000000000006</c:v>
                </c:pt>
                <c:pt idx="52">
                  <c:v>83.49</c:v>
                </c:pt>
                <c:pt idx="53">
                  <c:v>85.33</c:v>
                </c:pt>
                <c:pt idx="54">
                  <c:v>87.18</c:v>
                </c:pt>
                <c:pt idx="55">
                  <c:v>89.03</c:v>
                </c:pt>
                <c:pt idx="56">
                  <c:v>90.88</c:v>
                </c:pt>
                <c:pt idx="57">
                  <c:v>92.73</c:v>
                </c:pt>
                <c:pt idx="58">
                  <c:v>94.58</c:v>
                </c:pt>
                <c:pt idx="59">
                  <c:v>96.43</c:v>
                </c:pt>
                <c:pt idx="60">
                  <c:v>98.29</c:v>
                </c:pt>
                <c:pt idx="61">
                  <c:v>100.14</c:v>
                </c:pt>
                <c:pt idx="62">
                  <c:v>102</c:v>
                </c:pt>
                <c:pt idx="63">
                  <c:v>103.86</c:v>
                </c:pt>
                <c:pt idx="64">
                  <c:v>105.72</c:v>
                </c:pt>
                <c:pt idx="65">
                  <c:v>107.58</c:v>
                </c:pt>
                <c:pt idx="66">
                  <c:v>109.45</c:v>
                </c:pt>
                <c:pt idx="67">
                  <c:v>111.31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F05-446C-ABC6-F449B268A4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6030736"/>
        <c:axId val="-56028416"/>
      </c:scatterChart>
      <c:valAx>
        <c:axId val="-56030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6028416"/>
        <c:crosses val="autoZero"/>
        <c:crossBetween val="midCat"/>
      </c:valAx>
      <c:valAx>
        <c:axId val="-5602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6030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Temp. Vs Enthalpy H2</a:t>
            </a:r>
          </a:p>
        </c:rich>
      </c:tx>
      <c:layout>
        <c:manualLayout>
          <c:xMode val="edge"/>
          <c:yMode val="edge"/>
          <c:x val="0.28257633420822398"/>
          <c:y val="2.77777777777778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poly"/>
            <c:order val="6"/>
            <c:dispRSqr val="0"/>
            <c:dispEq val="1"/>
            <c:trendlineLbl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'H2'!$A$3:$A$70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'H2'!$C$3:$C$70</c:f>
              <c:numCache>
                <c:formatCode>General</c:formatCode>
                <c:ptCount val="68"/>
                <c:pt idx="0">
                  <c:v>2.82</c:v>
                </c:pt>
                <c:pt idx="1">
                  <c:v>1.39</c:v>
                </c:pt>
                <c:pt idx="2">
                  <c:v>0</c:v>
                </c:pt>
                <c:pt idx="3">
                  <c:v>0.05</c:v>
                </c:pt>
                <c:pt idx="4">
                  <c:v>1.5</c:v>
                </c:pt>
                <c:pt idx="5">
                  <c:v>2.95</c:v>
                </c:pt>
                <c:pt idx="6">
                  <c:v>4.41</c:v>
                </c:pt>
                <c:pt idx="7">
                  <c:v>5.87</c:v>
                </c:pt>
                <c:pt idx="8">
                  <c:v>7.34</c:v>
                </c:pt>
                <c:pt idx="9">
                  <c:v>8.81</c:v>
                </c:pt>
                <c:pt idx="10">
                  <c:v>10.28</c:v>
                </c:pt>
                <c:pt idx="11">
                  <c:v>11.75</c:v>
                </c:pt>
                <c:pt idx="12">
                  <c:v>13.22</c:v>
                </c:pt>
                <c:pt idx="13">
                  <c:v>14.7</c:v>
                </c:pt>
                <c:pt idx="14">
                  <c:v>16.18</c:v>
                </c:pt>
                <c:pt idx="15">
                  <c:v>17.670000000000002</c:v>
                </c:pt>
                <c:pt idx="16">
                  <c:v>19.16</c:v>
                </c:pt>
                <c:pt idx="17">
                  <c:v>20.66</c:v>
                </c:pt>
                <c:pt idx="18">
                  <c:v>22.18</c:v>
                </c:pt>
                <c:pt idx="19">
                  <c:v>23.7</c:v>
                </c:pt>
                <c:pt idx="20">
                  <c:v>25.24</c:v>
                </c:pt>
                <c:pt idx="21">
                  <c:v>26.79</c:v>
                </c:pt>
                <c:pt idx="22">
                  <c:v>28.35</c:v>
                </c:pt>
                <c:pt idx="23">
                  <c:v>29.92</c:v>
                </c:pt>
                <c:pt idx="24">
                  <c:v>31.5</c:v>
                </c:pt>
                <c:pt idx="25">
                  <c:v>33.090000000000003</c:v>
                </c:pt>
                <c:pt idx="26">
                  <c:v>34.69</c:v>
                </c:pt>
                <c:pt idx="27">
                  <c:v>36.299999999999997</c:v>
                </c:pt>
                <c:pt idx="28">
                  <c:v>37.93</c:v>
                </c:pt>
                <c:pt idx="29">
                  <c:v>39.56</c:v>
                </c:pt>
                <c:pt idx="30">
                  <c:v>41.2</c:v>
                </c:pt>
                <c:pt idx="31">
                  <c:v>42.86</c:v>
                </c:pt>
                <c:pt idx="32">
                  <c:v>44.52</c:v>
                </c:pt>
                <c:pt idx="33">
                  <c:v>46.19</c:v>
                </c:pt>
                <c:pt idx="34">
                  <c:v>47.87</c:v>
                </c:pt>
                <c:pt idx="35">
                  <c:v>49.56</c:v>
                </c:pt>
                <c:pt idx="36">
                  <c:v>51.26</c:v>
                </c:pt>
                <c:pt idx="37">
                  <c:v>52.97</c:v>
                </c:pt>
                <c:pt idx="38">
                  <c:v>54.68</c:v>
                </c:pt>
                <c:pt idx="39">
                  <c:v>56.41</c:v>
                </c:pt>
                <c:pt idx="40">
                  <c:v>58.14</c:v>
                </c:pt>
                <c:pt idx="41">
                  <c:v>59.88</c:v>
                </c:pt>
                <c:pt idx="42">
                  <c:v>61.63</c:v>
                </c:pt>
                <c:pt idx="43">
                  <c:v>63.39</c:v>
                </c:pt>
                <c:pt idx="44">
                  <c:v>65.150000000000006</c:v>
                </c:pt>
                <c:pt idx="45">
                  <c:v>66.92</c:v>
                </c:pt>
                <c:pt idx="46">
                  <c:v>68.7</c:v>
                </c:pt>
                <c:pt idx="47">
                  <c:v>70.489999999999995</c:v>
                </c:pt>
                <c:pt idx="48">
                  <c:v>72.28</c:v>
                </c:pt>
                <c:pt idx="49">
                  <c:v>74.08</c:v>
                </c:pt>
                <c:pt idx="50">
                  <c:v>75.89</c:v>
                </c:pt>
                <c:pt idx="51">
                  <c:v>77.709999999999994</c:v>
                </c:pt>
                <c:pt idx="52">
                  <c:v>79.53</c:v>
                </c:pt>
                <c:pt idx="53">
                  <c:v>81.349999999999994</c:v>
                </c:pt>
                <c:pt idx="54">
                  <c:v>83.19</c:v>
                </c:pt>
                <c:pt idx="55">
                  <c:v>85.03</c:v>
                </c:pt>
                <c:pt idx="56">
                  <c:v>86.88</c:v>
                </c:pt>
                <c:pt idx="57">
                  <c:v>88.73</c:v>
                </c:pt>
                <c:pt idx="58">
                  <c:v>90.59</c:v>
                </c:pt>
                <c:pt idx="59">
                  <c:v>92.45</c:v>
                </c:pt>
                <c:pt idx="60">
                  <c:v>94.32</c:v>
                </c:pt>
                <c:pt idx="61">
                  <c:v>96.2</c:v>
                </c:pt>
                <c:pt idx="62">
                  <c:v>98.08</c:v>
                </c:pt>
                <c:pt idx="63">
                  <c:v>99.96</c:v>
                </c:pt>
                <c:pt idx="64">
                  <c:v>101.86</c:v>
                </c:pt>
                <c:pt idx="65">
                  <c:v>103.75</c:v>
                </c:pt>
                <c:pt idx="66">
                  <c:v>105.65</c:v>
                </c:pt>
                <c:pt idx="67">
                  <c:v>107.56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A0E-4261-81F4-5EE793323E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5902640"/>
        <c:axId val="-55900160"/>
      </c:scatterChart>
      <c:valAx>
        <c:axId val="-55902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5900160"/>
        <c:crosses val="autoZero"/>
        <c:crossBetween val="midCat"/>
      </c:valAx>
      <c:valAx>
        <c:axId val="-5590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5902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533400</xdr:colOff>
      <xdr:row>20</xdr:row>
      <xdr:rowOff>147637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4DA7D6E-2F9D-4BE4-9E8D-66EF99D3C059}"/>
            </a:ext>
          </a:extLst>
        </xdr:cNvPr>
        <xdr:cNvSpPr txBox="1"/>
      </xdr:nvSpPr>
      <xdr:spPr>
        <a:xfrm>
          <a:off x="8458200" y="31956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576942</xdr:colOff>
      <xdr:row>0</xdr:row>
      <xdr:rowOff>176212</xdr:rowOff>
    </xdr:from>
    <xdr:ext cx="4204869" cy="3375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F39E3BFD-5DFF-4152-A2C9-672E21F402C8}"/>
                </a:ext>
              </a:extLst>
            </xdr:cNvPr>
            <xdr:cNvSpPr txBox="1"/>
          </xdr:nvSpPr>
          <xdr:spPr>
            <a:xfrm>
              <a:off x="1801585" y="176212"/>
              <a:ext cx="4204869" cy="3375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𝝋</m:t>
                    </m:r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𝑪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𝟖</m:t>
                        </m:r>
                      </m:sub>
                    </m:sSub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𝟏𝟖</m:t>
                        </m:r>
                      </m:sub>
                    </m:sSub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𝟏𝟐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𝟓</m:t>
                    </m:r>
                    <m:d>
                      <m:d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𝑶</m:t>
                            </m:r>
                          </m:e>
                          <m:sub>
                            <m: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𝟐</m:t>
                            </m:r>
                          </m:sub>
                        </m:s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𝟑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.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𝟕𝟔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 </m:t>
                        </m:r>
                        <m:sSub>
                          <m:sSubPr>
                            <m:ctrlP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𝑵</m:t>
                            </m:r>
                          </m:e>
                          <m:sub>
                            <m: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→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𝟖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𝑪</m:t>
                    </m:r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𝟗</m:t>
                    </m:r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𝑶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𝟎</m:t>
                    </m:r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𝟒𝟕</m:t>
                    </m:r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.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𝟎𝟐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𝑵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𝟐</m:t>
                        </m:r>
                      </m:sub>
                    </m:sSub>
                  </m:oMath>
                </m:oMathPara>
              </a14:m>
              <a:endParaRPr lang="en-GB" sz="1100" b="1" i="1">
                <a:latin typeface="Cambria Math" panose="02040503050406030204" pitchFamily="18" charset="0"/>
                <a:ea typeface="Cambria Math" panose="02040503050406030204" pitchFamily="18" charset="0"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F39E3BFD-5DFF-4152-A2C9-672E21F402C8}"/>
                </a:ext>
              </a:extLst>
            </xdr:cNvPr>
            <xdr:cNvSpPr txBox="1"/>
          </xdr:nvSpPr>
          <xdr:spPr>
            <a:xfrm>
              <a:off x="1801585" y="176212"/>
              <a:ext cx="4204869" cy="3375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/>
              <a:r>
                <a:rPr lang="en-GB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𝝋𝑪_𝟖 𝑯_𝟏𝟖+𝟏𝟐.𝟓(𝑶_𝟐+𝟑.𝟕𝟔 𝑵_𝟐 )→𝟖𝑪𝑶_𝟐+𝟗𝑯_𝟐 𝑶+𝟎𝑶_𝟐+𝟒𝟕〖</a:t>
              </a:r>
              <a:r>
                <a:rPr lang="en-US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.𝟎𝟐</a:t>
              </a:r>
              <a:r>
                <a:rPr lang="en-GB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𝑵〗_𝟐</a:t>
              </a:r>
              <a:endParaRPr lang="en-GB" sz="1100" b="1" i="1">
                <a:latin typeface="Cambria Math" panose="02040503050406030204" pitchFamily="18" charset="0"/>
                <a:ea typeface="Cambria Math" panose="02040503050406030204" pitchFamily="18" charset="0"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533400</xdr:colOff>
      <xdr:row>20</xdr:row>
      <xdr:rowOff>147637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523AA96-3EE2-490B-B64A-6FE0719C75D3}"/>
            </a:ext>
          </a:extLst>
        </xdr:cNvPr>
        <xdr:cNvSpPr txBox="1"/>
      </xdr:nvSpPr>
      <xdr:spPr>
        <a:xfrm>
          <a:off x="8458200" y="31956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533400</xdr:colOff>
      <xdr:row>20</xdr:row>
      <xdr:rowOff>147637</xdr:rowOff>
    </xdr:from>
    <xdr:ext cx="1454943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D0B8AF3E-B638-41B2-8329-8347F88EFB7C}"/>
            </a:ext>
          </a:extLst>
        </xdr:cNvPr>
        <xdr:cNvSpPr txBox="1"/>
      </xdr:nvSpPr>
      <xdr:spPr>
        <a:xfrm>
          <a:off x="8427244" y="3195637"/>
          <a:ext cx="1454943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64C5289-AC7F-4D12-8878-58DF6ADB4F3A}"/>
            </a:ext>
          </a:extLst>
        </xdr:cNvPr>
        <xdr:cNvSpPr txBox="1"/>
      </xdr:nvSpPr>
      <xdr:spPr>
        <a:xfrm>
          <a:off x="609600" y="762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217170</xdr:colOff>
      <xdr:row>8</xdr:row>
      <xdr:rowOff>15240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844E8D5-9883-4623-8A34-62F75D96D428}"/>
            </a:ext>
          </a:extLst>
        </xdr:cNvPr>
        <xdr:cNvSpPr txBox="1"/>
      </xdr:nvSpPr>
      <xdr:spPr>
        <a:xfrm>
          <a:off x="824389" y="777240"/>
          <a:ext cx="65" cy="172227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0" tIns="0" rIns="0" bIns="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twoCellAnchor>
    <xdr:from>
      <xdr:col>24</xdr:col>
      <xdr:colOff>124386</xdr:colOff>
      <xdr:row>2</xdr:row>
      <xdr:rowOff>44824</xdr:rowOff>
    </xdr:from>
    <xdr:to>
      <xdr:col>33</xdr:col>
      <xdr:colOff>100853</xdr:colOff>
      <xdr:row>22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6F81191-5949-4327-8648-47701E658A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294154</xdr:colOff>
      <xdr:row>0</xdr:row>
      <xdr:rowOff>121024</xdr:rowOff>
    </xdr:from>
    <xdr:to>
      <xdr:col>51</xdr:col>
      <xdr:colOff>195543</xdr:colOff>
      <xdr:row>27</xdr:row>
      <xdr:rowOff>130549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1F0C1ED-C7DD-4173-B0D0-CEBC6B2EEB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533400</xdr:colOff>
      <xdr:row>20</xdr:row>
      <xdr:rowOff>147637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D940F24-A0E0-4CD7-871C-886B8E55F776}"/>
            </a:ext>
          </a:extLst>
        </xdr:cNvPr>
        <xdr:cNvSpPr txBox="1"/>
      </xdr:nvSpPr>
      <xdr:spPr>
        <a:xfrm>
          <a:off x="15001875" y="417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576942</xdr:colOff>
      <xdr:row>0</xdr:row>
      <xdr:rowOff>81059</xdr:rowOff>
    </xdr:from>
    <xdr:ext cx="4691284" cy="5279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48CF64D1-49B2-43F4-9E69-B2FF8506F46F}"/>
                </a:ext>
              </a:extLst>
            </xdr:cNvPr>
            <xdr:cNvSpPr txBox="1"/>
          </xdr:nvSpPr>
          <xdr:spPr>
            <a:xfrm>
              <a:off x="1652707" y="81059"/>
              <a:ext cx="4691284" cy="5279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𝝋</m:t>
                    </m:r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𝑪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𝟖</m:t>
                        </m:r>
                      </m:sub>
                    </m:sSub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𝟏𝟖</m:t>
                        </m:r>
                      </m:sub>
                    </m:sSub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𝟏𝟐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𝟓</m:t>
                    </m:r>
                    <m:d>
                      <m:d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𝑶</m:t>
                            </m:r>
                          </m:e>
                          <m:sub>
                            <m: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𝟐</m:t>
                            </m:r>
                          </m:sub>
                        </m:s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𝟑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.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𝟕𝟔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 </m:t>
                        </m:r>
                        <m:sSub>
                          <m:sSubPr>
                            <m:ctrlP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𝑵</m:t>
                            </m:r>
                          </m:e>
                          <m:sub>
                            <m:r>
                              <a:rPr lang="en-GB" sz="1100" b="1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US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𝟎</m:t>
                    </m:r>
                    <m:r>
                      <a:rPr lang="en-US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  <m:r>
                      <a:rPr lang="en-US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𝟎𝟓</m:t>
                    </m:r>
                    <m:r>
                      <a:rPr lang="en-US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(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𝟖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𝑪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𝟗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𝑶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𝟒𝟕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𝟎𝟐</m:t>
                    </m:r>
                    <m:sSup>
                      <m:sSupPr>
                        <m:ctrlP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pPr>
                      <m:e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𝑵</m:t>
                        </m:r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₂</m:t>
                        </m:r>
                      </m:e>
                      <m:sup/>
                    </m:sSup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US">
                <a:effectLst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→</m:t>
                    </m:r>
                    <m:r>
                      <a:rPr lang="en-US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𝟏</m:t>
                    </m:r>
                    <m:r>
                      <a:rPr lang="en-US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  <m:r>
                      <a:rPr lang="en-US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𝟎𝟓</m:t>
                    </m:r>
                    <m:r>
                      <a:rPr lang="en-US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(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𝟖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𝟒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𝑪</m:t>
                    </m:r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𝟗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𝟒𝟓</m:t>
                    </m:r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𝑶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𝟎</m:t>
                    </m:r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𝟒𝟗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𝟑𝟕𝟓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𝑵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𝟐</m:t>
                    </m:r>
                    <m:r>
                      <a:rPr lang="en-US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100" b="1" i="1">
                <a:latin typeface="Cambria Math" panose="02040503050406030204" pitchFamily="18" charset="0"/>
                <a:ea typeface="Cambria Math" panose="02040503050406030204" pitchFamily="18" charset="0"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48CF64D1-49B2-43F4-9E69-B2FF8506F46F}"/>
                </a:ext>
              </a:extLst>
            </xdr:cNvPr>
            <xdr:cNvSpPr txBox="1"/>
          </xdr:nvSpPr>
          <xdr:spPr>
            <a:xfrm>
              <a:off x="1652707" y="81059"/>
              <a:ext cx="4691284" cy="5279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𝝋𝑪_𝟖 𝑯_𝟏𝟖+𝟏𝟐.𝟓(𝑶_𝟐+𝟑.𝟕𝟔 𝑵_𝟐 )</a:t>
              </a:r>
              <a:r>
                <a:rPr lang="en-US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+𝟎.𝟎𝟓(</a:t>
              </a:r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𝟖𝑪𝑶_𝟐+𝟗𝑯_𝟐 𝑶+𝟎𝑶_𝟐+𝟒𝟕.𝟎𝟐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〖𝑵₂〗^ )</a:t>
              </a:r>
              <a:endParaRPr lang="en-US">
                <a:effectLst/>
              </a:endParaRPr>
            </a:p>
            <a:p>
              <a:pPr/>
              <a:r>
                <a:rPr lang="en-GB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→</a:t>
              </a:r>
              <a:r>
                <a:rPr lang="en-US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𝟏.𝟎𝟓(</a:t>
              </a:r>
              <a:r>
                <a:rPr lang="en-GB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𝟖.𝟒𝑪𝑶_𝟐+𝟗.𝟒𝟓𝑯_𝟐 𝑶+𝟎𝑶_𝟐+𝟒𝟗.𝟑𝟕𝟓𝑵𝟐</a:t>
              </a:r>
              <a:r>
                <a:rPr lang="en-US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endParaRPr lang="en-GB" sz="1100" b="1" i="1">
                <a:latin typeface="Cambria Math" panose="02040503050406030204" pitchFamily="18" charset="0"/>
                <a:ea typeface="Cambria Math" panose="02040503050406030204" pitchFamily="18" charset="0"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533400</xdr:colOff>
      <xdr:row>20</xdr:row>
      <xdr:rowOff>147637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BC02E89-875A-46C6-B4AE-C91E9EA030C6}"/>
            </a:ext>
          </a:extLst>
        </xdr:cNvPr>
        <xdr:cNvSpPr txBox="1"/>
      </xdr:nvSpPr>
      <xdr:spPr>
        <a:xfrm>
          <a:off x="15001875" y="417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533400</xdr:colOff>
      <xdr:row>20</xdr:row>
      <xdr:rowOff>147637</xdr:rowOff>
    </xdr:from>
    <xdr:ext cx="1454943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A660686-6CA1-4063-8302-C6B41AEF5397}"/>
            </a:ext>
          </a:extLst>
        </xdr:cNvPr>
        <xdr:cNvSpPr txBox="1"/>
      </xdr:nvSpPr>
      <xdr:spPr>
        <a:xfrm>
          <a:off x="15001875" y="4171950"/>
          <a:ext cx="1454943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5905AFD-403B-4853-8CE4-74DD66FBEEC2}"/>
            </a:ext>
          </a:extLst>
        </xdr:cNvPr>
        <xdr:cNvSpPr txBox="1"/>
      </xdr:nvSpPr>
      <xdr:spPr>
        <a:xfrm>
          <a:off x="1223963" y="146208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217170</xdr:colOff>
      <xdr:row>8</xdr:row>
      <xdr:rowOff>15240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5EB5D4EF-BBB5-4073-86DE-73926658C70F}"/>
            </a:ext>
          </a:extLst>
        </xdr:cNvPr>
        <xdr:cNvSpPr txBox="1"/>
      </xdr:nvSpPr>
      <xdr:spPr>
        <a:xfrm>
          <a:off x="1441133" y="1477328"/>
          <a:ext cx="65" cy="172227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0" tIns="0" rIns="0" bIns="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twoCellAnchor>
    <xdr:from>
      <xdr:col>24</xdr:col>
      <xdr:colOff>117660</xdr:colOff>
      <xdr:row>0</xdr:row>
      <xdr:rowOff>124385</xdr:rowOff>
    </xdr:from>
    <xdr:to>
      <xdr:col>35</xdr:col>
      <xdr:colOff>571499</xdr:colOff>
      <xdr:row>22</xdr:row>
      <xdr:rowOff>44824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E892D1F-9D36-48C0-8E8F-B217C80C94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533400</xdr:colOff>
      <xdr:row>20</xdr:row>
      <xdr:rowOff>147637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2FC19A1-64F8-4EA8-BB76-E60D8E7176E7}"/>
            </a:ext>
          </a:extLst>
        </xdr:cNvPr>
        <xdr:cNvSpPr txBox="1"/>
      </xdr:nvSpPr>
      <xdr:spPr>
        <a:xfrm>
          <a:off x="15001875" y="417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576942</xdr:colOff>
      <xdr:row>0</xdr:row>
      <xdr:rowOff>77628</xdr:rowOff>
    </xdr:from>
    <xdr:ext cx="4616007" cy="53476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1F07819A-EF4A-4224-BF6B-719C1BE0AEFC}"/>
                </a:ext>
              </a:extLst>
            </xdr:cNvPr>
            <xdr:cNvSpPr txBox="1"/>
          </xdr:nvSpPr>
          <xdr:spPr>
            <a:xfrm>
              <a:off x="1182060" y="77628"/>
              <a:ext cx="4616007" cy="53476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 eaLnBrk="1" fontAlgn="auto" latinLnBrk="0" hangingPunct="1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𝝋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𝑪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𝟖</m:t>
                        </m:r>
                      </m:sub>
                    </m:sSub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𝟏𝟖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𝟏𝟐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𝟓</m:t>
                    </m:r>
                    <m:d>
                      <m:d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𝑶</m:t>
                            </m:r>
                          </m:e>
                          <m:sub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𝟐</m:t>
                            </m:r>
                          </m:sub>
                        </m:s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+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𝟑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.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𝟕𝟔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 </m:t>
                        </m:r>
                        <m:sSub>
                          <m:sSubPr>
                            <m:ctrlP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𝑵</m:t>
                            </m:r>
                          </m:e>
                          <m:sub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(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𝟖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𝑪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𝟗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𝑶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𝟒𝟕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𝟎𝟐</m:t>
                    </m:r>
                    <m:sSup>
                      <m:sSupPr>
                        <m:ctrlP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pPr>
                      <m:e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𝑵</m:t>
                        </m:r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₂</m:t>
                        </m:r>
                      </m:e>
                      <m:sup/>
                    </m:sSup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US">
                <a:effectLst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→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(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𝟖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𝟖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𝑪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𝟗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.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𝟗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𝑶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𝟓𝟏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𝟕𝟑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𝑵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𝟐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US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1F07819A-EF4A-4224-BF6B-719C1BE0AEFC}"/>
                </a:ext>
              </a:extLst>
            </xdr:cNvPr>
            <xdr:cNvSpPr txBox="1"/>
          </xdr:nvSpPr>
          <xdr:spPr>
            <a:xfrm>
              <a:off x="1182060" y="77628"/>
              <a:ext cx="4616007" cy="53476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 eaLnBrk="1" fontAlgn="auto" latinLnBrk="0" hangingPunct="1"/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𝝋𝑪_𝟖 𝑯_𝟏𝟖+𝟏𝟐.𝟓(𝑶_𝟐+𝟑.𝟕𝟔 𝑵_𝟐 )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+𝟎.𝟏(</a:t>
              </a:r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𝟖𝑪𝑶_𝟐+𝟗𝑯_𝟐 𝑶+𝟎𝑶_𝟐+𝟒𝟕.𝟎𝟐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〖𝑵₂〗^ )</a:t>
              </a:r>
              <a:endParaRPr lang="en-US">
                <a:effectLst/>
              </a:endParaRPr>
            </a:p>
            <a:p>
              <a:pPr/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→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𝟏.𝟏(</a:t>
              </a:r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𝟖.𝟖𝑪𝑶_𝟐+𝟗〖.𝟗𝑯〗_𝟐 𝑶+𝟎𝑶_𝟐+𝟓𝟏.𝟕𝟑𝑵𝟐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endParaRPr lang="en-US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533400</xdr:colOff>
      <xdr:row>20</xdr:row>
      <xdr:rowOff>147637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D093972-B603-4D3B-AE1D-DDBF45C56ED9}"/>
            </a:ext>
          </a:extLst>
        </xdr:cNvPr>
        <xdr:cNvSpPr txBox="1"/>
      </xdr:nvSpPr>
      <xdr:spPr>
        <a:xfrm>
          <a:off x="15001875" y="417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533400</xdr:colOff>
      <xdr:row>20</xdr:row>
      <xdr:rowOff>147637</xdr:rowOff>
    </xdr:from>
    <xdr:ext cx="1454943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4E3309E-17FD-4A94-A149-3B1C3F6D6274}"/>
            </a:ext>
          </a:extLst>
        </xdr:cNvPr>
        <xdr:cNvSpPr txBox="1"/>
      </xdr:nvSpPr>
      <xdr:spPr>
        <a:xfrm>
          <a:off x="15001875" y="4171950"/>
          <a:ext cx="1454943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0A1E5FB-11B5-4612-8651-D27848B5032B}"/>
            </a:ext>
          </a:extLst>
        </xdr:cNvPr>
        <xdr:cNvSpPr txBox="1"/>
      </xdr:nvSpPr>
      <xdr:spPr>
        <a:xfrm>
          <a:off x="1223963" y="146208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217170</xdr:colOff>
      <xdr:row>8</xdr:row>
      <xdr:rowOff>15240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8CFD681-FA96-4EE9-A8C5-AB392654CDFB}"/>
            </a:ext>
          </a:extLst>
        </xdr:cNvPr>
        <xdr:cNvSpPr txBox="1"/>
      </xdr:nvSpPr>
      <xdr:spPr>
        <a:xfrm>
          <a:off x="1441133" y="1477328"/>
          <a:ext cx="65" cy="172227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0" tIns="0" rIns="0" bIns="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twoCellAnchor>
    <xdr:from>
      <xdr:col>24</xdr:col>
      <xdr:colOff>156480</xdr:colOff>
      <xdr:row>2</xdr:row>
      <xdr:rowOff>81643</xdr:rowOff>
    </xdr:from>
    <xdr:to>
      <xdr:col>36</xdr:col>
      <xdr:colOff>530678</xdr:colOff>
      <xdr:row>22</xdr:row>
      <xdr:rowOff>13607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33BC8BC-3B50-4619-B64F-AB58E2BDB6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533400</xdr:colOff>
      <xdr:row>20</xdr:row>
      <xdr:rowOff>147637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E630E3D-9772-48D0-B22D-275A30C920F4}"/>
            </a:ext>
          </a:extLst>
        </xdr:cNvPr>
        <xdr:cNvSpPr txBox="1"/>
      </xdr:nvSpPr>
      <xdr:spPr>
        <a:xfrm>
          <a:off x="15001875" y="417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576942</xdr:colOff>
      <xdr:row>0</xdr:row>
      <xdr:rowOff>77628</xdr:rowOff>
    </xdr:from>
    <xdr:ext cx="4702249" cy="53476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95322FBF-EA23-480F-8B2F-C60D85E7DB38}"/>
                </a:ext>
              </a:extLst>
            </xdr:cNvPr>
            <xdr:cNvSpPr txBox="1"/>
          </xdr:nvSpPr>
          <xdr:spPr>
            <a:xfrm>
              <a:off x="1182060" y="77628"/>
              <a:ext cx="4702249" cy="53476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 eaLnBrk="1" fontAlgn="auto" latinLnBrk="0" hangingPunct="1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𝝋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𝑪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𝟖</m:t>
                        </m:r>
                      </m:sub>
                    </m:sSub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𝟏𝟖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𝟏𝟐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𝟓</m:t>
                    </m:r>
                    <m:d>
                      <m:d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𝑶</m:t>
                            </m:r>
                          </m:e>
                          <m:sub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𝟐</m:t>
                            </m:r>
                          </m:sub>
                        </m:s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+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𝟑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.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𝟕𝟔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 </m:t>
                        </m:r>
                        <m:sSub>
                          <m:sSubPr>
                            <m:ctrlP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𝑵</m:t>
                            </m:r>
                          </m:e>
                          <m:sub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𝟏𝟓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(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𝟖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𝑪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𝟗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𝑶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𝟒𝟕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𝟎𝟐</m:t>
                    </m:r>
                    <m:sSup>
                      <m:sSupPr>
                        <m:ctrlP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pPr>
                      <m:e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𝑵</m:t>
                        </m:r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₂</m:t>
                        </m:r>
                      </m:e>
                      <m:sup/>
                    </m:sSup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US">
                <a:effectLst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→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𝟏𝟓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(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𝟗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𝟐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𝑪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𝟏𝟎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𝟑𝟓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𝑶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𝟓𝟒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𝟎𝟖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𝑵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𝟐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US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95322FBF-EA23-480F-8B2F-C60D85E7DB38}"/>
                </a:ext>
              </a:extLst>
            </xdr:cNvPr>
            <xdr:cNvSpPr txBox="1"/>
          </xdr:nvSpPr>
          <xdr:spPr>
            <a:xfrm>
              <a:off x="1182060" y="77628"/>
              <a:ext cx="4702249" cy="53476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 eaLnBrk="1" fontAlgn="auto" latinLnBrk="0" hangingPunct="1"/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𝝋𝑪_𝟖 𝑯_𝟏𝟖+𝟏𝟐.𝟓(𝑶_𝟐+𝟑.𝟕𝟔 𝑵_𝟐 )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+𝟎.𝟏𝟓(</a:t>
              </a:r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𝟖𝑪𝑶_𝟐+𝟗𝑯_𝟐 𝑶+𝟎𝑶_𝟐+𝟒𝟕.𝟎𝟐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〖𝑵₂〗^ )</a:t>
              </a:r>
              <a:endParaRPr lang="en-US">
                <a:effectLst/>
              </a:endParaRPr>
            </a:p>
            <a:p>
              <a:pPr/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→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𝟏.𝟏𝟓(</a:t>
              </a:r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𝟗.𝟐𝑪𝑶_𝟐+𝟏𝟎.𝟑𝟓𝑯_𝟐 𝑶+𝟎𝑶_𝟐+𝟓𝟒.𝟎𝟖𝑵𝟐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endParaRPr lang="en-US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533400</xdr:colOff>
      <xdr:row>20</xdr:row>
      <xdr:rowOff>147637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1C0C455-7DD5-49CD-B4EC-F8A82CB132E2}"/>
            </a:ext>
          </a:extLst>
        </xdr:cNvPr>
        <xdr:cNvSpPr txBox="1"/>
      </xdr:nvSpPr>
      <xdr:spPr>
        <a:xfrm>
          <a:off x="15001875" y="417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533400</xdr:colOff>
      <xdr:row>20</xdr:row>
      <xdr:rowOff>147637</xdr:rowOff>
    </xdr:from>
    <xdr:ext cx="1454943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9E8E5EA-9C12-4679-AEDA-1BA9990F6CB9}"/>
            </a:ext>
          </a:extLst>
        </xdr:cNvPr>
        <xdr:cNvSpPr txBox="1"/>
      </xdr:nvSpPr>
      <xdr:spPr>
        <a:xfrm>
          <a:off x="15001875" y="4171950"/>
          <a:ext cx="1454943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614928E-2880-45D9-89C6-5389EAFE199D}"/>
            </a:ext>
          </a:extLst>
        </xdr:cNvPr>
        <xdr:cNvSpPr txBox="1"/>
      </xdr:nvSpPr>
      <xdr:spPr>
        <a:xfrm>
          <a:off x="1223963" y="146208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217170</xdr:colOff>
      <xdr:row>8</xdr:row>
      <xdr:rowOff>15240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E0BBF19-EB14-4C49-8F36-7BC4B5340AEC}"/>
            </a:ext>
          </a:extLst>
        </xdr:cNvPr>
        <xdr:cNvSpPr txBox="1"/>
      </xdr:nvSpPr>
      <xdr:spPr>
        <a:xfrm>
          <a:off x="1441133" y="1477328"/>
          <a:ext cx="65" cy="172227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0" tIns="0" rIns="0" bIns="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twoCellAnchor>
    <xdr:from>
      <xdr:col>24</xdr:col>
      <xdr:colOff>210908</xdr:colOff>
      <xdr:row>2</xdr:row>
      <xdr:rowOff>136071</xdr:rowOff>
    </xdr:from>
    <xdr:to>
      <xdr:col>33</xdr:col>
      <xdr:colOff>421820</xdr:colOff>
      <xdr:row>22</xdr:row>
      <xdr:rowOff>10885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5AEEBD8-BE8F-4FBD-B846-AD70C1D7EB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533400</xdr:colOff>
      <xdr:row>20</xdr:row>
      <xdr:rowOff>147637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2108463-3EE6-4421-97C2-6E4136EB1422}"/>
            </a:ext>
          </a:extLst>
        </xdr:cNvPr>
        <xdr:cNvSpPr txBox="1"/>
      </xdr:nvSpPr>
      <xdr:spPr>
        <a:xfrm>
          <a:off x="15001875" y="417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576942</xdr:colOff>
      <xdr:row>0</xdr:row>
      <xdr:rowOff>77628</xdr:rowOff>
    </xdr:from>
    <xdr:ext cx="4640181" cy="53476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F7DFC131-AEE8-47A6-8FF0-8F3A9718E8D7}"/>
                </a:ext>
              </a:extLst>
            </xdr:cNvPr>
            <xdr:cNvSpPr txBox="1"/>
          </xdr:nvSpPr>
          <xdr:spPr>
            <a:xfrm>
              <a:off x="1182060" y="77628"/>
              <a:ext cx="4640181" cy="53476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 eaLnBrk="1" fontAlgn="auto" latinLnBrk="0" hangingPunct="1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𝝋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𝑪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𝟖</m:t>
                        </m:r>
                      </m:sub>
                    </m:sSub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𝟏𝟖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𝟏𝟐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𝟓</m:t>
                    </m:r>
                    <m:d>
                      <m:d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𝑶</m:t>
                            </m:r>
                          </m:e>
                          <m:sub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𝟐</m:t>
                            </m:r>
                          </m:sub>
                        </m:s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+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𝟑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.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𝟕𝟔</m:t>
                        </m:r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 </m:t>
                        </m:r>
                        <m:sSub>
                          <m:sSubPr>
                            <m:ctrlP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𝑵</m:t>
                            </m:r>
                          </m:e>
                          <m:sub>
                            <m:r>
                              <a:rPr lang="en-GB" sz="1100" b="1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𝟐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(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𝟖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𝑪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𝟗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𝑯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𝟐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𝑶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𝟒𝟕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𝟎𝟐</m:t>
                    </m:r>
                    <m:sSup>
                      <m:sSupPr>
                        <m:ctrlP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pPr>
                      <m:e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𝑵</m:t>
                        </m:r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₂</m:t>
                        </m:r>
                      </m:e>
                      <m:sup/>
                    </m:sSup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US">
                <a:effectLst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→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𝟐</m:t>
                    </m:r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(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𝟗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𝟔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𝑪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𝟏𝟎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𝟖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𝑯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𝑶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𝟎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𝑶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𝟓𝟔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.</m:t>
                    </m:r>
                    <m:r>
                      <a:rPr lang="en-GB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𝟒𝟑</m:t>
                    </m:r>
                    <m:sSub>
                      <m:sSubPr>
                        <m:ctrlP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𝑵</m:t>
                        </m:r>
                      </m:e>
                      <m:sub>
                        <m:r>
                          <a:rPr lang="en-GB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b>
                    </m:sSub>
                    <m:r>
                      <a:rPr lang="en-US" sz="1100" b="1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US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F7DFC131-AEE8-47A6-8FF0-8F3A9718E8D7}"/>
                </a:ext>
              </a:extLst>
            </xdr:cNvPr>
            <xdr:cNvSpPr txBox="1"/>
          </xdr:nvSpPr>
          <xdr:spPr>
            <a:xfrm>
              <a:off x="1182060" y="77628"/>
              <a:ext cx="4640181" cy="53476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 eaLnBrk="1" fontAlgn="auto" latinLnBrk="0" hangingPunct="1"/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𝝋𝑪_𝟖 𝑯_𝟏𝟖+𝟏𝟐.𝟓(𝑶_𝟐+𝟑.𝟕𝟔 𝑵_𝟐 )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+𝟎.𝟐(</a:t>
              </a:r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𝟖𝑪𝑶_𝟐+𝟗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𝑯𝟐</a:t>
              </a:r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𝑶+𝟎𝑶_𝟐+𝟒𝟕.𝟎𝟐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〖𝑵₂〗^ )</a:t>
              </a:r>
              <a:endParaRPr lang="en-US">
                <a:effectLst/>
              </a:endParaRPr>
            </a:p>
            <a:p>
              <a:pPr/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→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𝟏.𝟐(</a:t>
              </a:r>
              <a:r>
                <a:rPr lang="en-GB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𝟗.𝟔𝑪𝑶_𝟐+𝟏𝟎.𝟖𝑯_𝟐 𝑶+𝟎𝑶_𝟐+𝟓𝟔.𝟒𝟑𝑵_𝟐</a:t>
              </a:r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endParaRPr lang="en-US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533400</xdr:colOff>
      <xdr:row>20</xdr:row>
      <xdr:rowOff>147637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9037CD9-223E-4548-A951-3553AAC4AEB7}"/>
            </a:ext>
          </a:extLst>
        </xdr:cNvPr>
        <xdr:cNvSpPr txBox="1"/>
      </xdr:nvSpPr>
      <xdr:spPr>
        <a:xfrm>
          <a:off x="15001875" y="417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533400</xdr:colOff>
      <xdr:row>20</xdr:row>
      <xdr:rowOff>147637</xdr:rowOff>
    </xdr:from>
    <xdr:ext cx="1454943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15864FD-287D-4CE6-A33A-DE1FB2A14C5F}"/>
            </a:ext>
          </a:extLst>
        </xdr:cNvPr>
        <xdr:cNvSpPr txBox="1"/>
      </xdr:nvSpPr>
      <xdr:spPr>
        <a:xfrm>
          <a:off x="15001875" y="4171950"/>
          <a:ext cx="1454943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06A1205-9951-48ED-A0E1-FD3D4BE76CB9}"/>
            </a:ext>
          </a:extLst>
        </xdr:cNvPr>
        <xdr:cNvSpPr txBox="1"/>
      </xdr:nvSpPr>
      <xdr:spPr>
        <a:xfrm>
          <a:off x="1223963" y="146208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217170</xdr:colOff>
      <xdr:row>8</xdr:row>
      <xdr:rowOff>15240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2CEE630-869B-431F-B51B-9A063D1745D7}"/>
            </a:ext>
          </a:extLst>
        </xdr:cNvPr>
        <xdr:cNvSpPr txBox="1"/>
      </xdr:nvSpPr>
      <xdr:spPr>
        <a:xfrm>
          <a:off x="1441133" y="1477328"/>
          <a:ext cx="65" cy="172227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0" tIns="0" rIns="0" bIns="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twoCellAnchor>
    <xdr:from>
      <xdr:col>24</xdr:col>
      <xdr:colOff>108856</xdr:colOff>
      <xdr:row>2</xdr:row>
      <xdr:rowOff>95250</xdr:rowOff>
    </xdr:from>
    <xdr:to>
      <xdr:col>35</xdr:col>
      <xdr:colOff>68035</xdr:colOff>
      <xdr:row>22</xdr:row>
      <xdr:rowOff>38100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DE23C87-73D7-4C92-99C5-E57F9E913D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333374</xdr:colOff>
      <xdr:row>0</xdr:row>
      <xdr:rowOff>0</xdr:rowOff>
    </xdr:from>
    <xdr:to>
      <xdr:col>14</xdr:col>
      <xdr:colOff>6803</xdr:colOff>
      <xdr:row>12</xdr:row>
      <xdr:rowOff>48986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CB08C54-3A4C-4702-B2C6-5653466920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223837</xdr:colOff>
      <xdr:row>0</xdr:row>
      <xdr:rowOff>0</xdr:rowOff>
    </xdr:from>
    <xdr:to>
      <xdr:col>12</xdr:col>
      <xdr:colOff>528637</xdr:colOff>
      <xdr:row>12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90316E-3BD3-4300-B700-E0754D41A9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566737</xdr:colOff>
      <xdr:row>0</xdr:row>
      <xdr:rowOff>0</xdr:rowOff>
    </xdr:from>
    <xdr:to>
      <xdr:col>13</xdr:col>
      <xdr:colOff>261937</xdr:colOff>
      <xdr:row>13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8BEF0F1-746F-4A13-9BF7-344D2EF3B8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166687</xdr:colOff>
      <xdr:row>0</xdr:row>
      <xdr:rowOff>0</xdr:rowOff>
    </xdr:from>
    <xdr:to>
      <xdr:col>12</xdr:col>
      <xdr:colOff>471487</xdr:colOff>
      <xdr:row>12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59D390-5CB3-4C06-AF70-4ACED0966D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</xdr:colOff>
      <xdr:row>0</xdr:row>
      <xdr:rowOff>0</xdr:rowOff>
    </xdr:from>
    <xdr:to>
      <xdr:col>13</xdr:col>
      <xdr:colOff>357187</xdr:colOff>
      <xdr:row>13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EE6AAD7-BCED-4A23-940B-3BB80766E9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78"/>
  <sheetViews>
    <sheetView zoomScale="85" zoomScaleNormal="85" zoomScalePageLayoutView="85" workbookViewId="0">
      <selection activeCell="O5" sqref="O5"/>
    </sheetView>
  </sheetViews>
  <sheetFormatPr defaultColWidth="8.85546875" defaultRowHeight="15" x14ac:dyDescent="0.25"/>
  <cols>
    <col min="1" max="1" width="17.140625" customWidth="1"/>
    <col min="5" max="5" width="11.85546875" bestFit="1" customWidth="1"/>
    <col min="6" max="6" width="12.140625" bestFit="1" customWidth="1"/>
    <col min="8" max="8" width="12.140625" bestFit="1" customWidth="1"/>
    <col min="10" max="10" width="12.140625" bestFit="1" customWidth="1"/>
    <col min="11" max="12" width="12.42578125" customWidth="1"/>
    <col min="14" max="14" width="12.140625" bestFit="1" customWidth="1"/>
    <col min="16" max="16" width="12.140625" bestFit="1" customWidth="1"/>
    <col min="20" max="24" width="12.140625" bestFit="1" customWidth="1"/>
    <col min="26" max="26" width="12.140625" bestFit="1" customWidth="1"/>
    <col min="28" max="28" width="12.28515625" bestFit="1" customWidth="1"/>
  </cols>
  <sheetData>
    <row r="1" spans="1:28" x14ac:dyDescent="0.25">
      <c r="A1" s="215"/>
      <c r="B1" s="216"/>
      <c r="C1" s="216"/>
      <c r="D1" s="216"/>
      <c r="E1" s="216"/>
      <c r="F1" s="216"/>
      <c r="G1" s="216"/>
      <c r="H1" s="216"/>
      <c r="I1" s="216"/>
      <c r="J1" s="216"/>
      <c r="K1" s="217"/>
      <c r="L1" s="55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54"/>
      <c r="AB1" s="54"/>
    </row>
    <row r="2" spans="1:28" x14ac:dyDescent="0.25">
      <c r="A2" s="218"/>
      <c r="B2" s="219"/>
      <c r="C2" s="219"/>
      <c r="D2" s="219"/>
      <c r="E2" s="219"/>
      <c r="F2" s="219"/>
      <c r="G2" s="219"/>
      <c r="H2" s="219"/>
      <c r="I2" s="219"/>
      <c r="J2" s="219"/>
      <c r="K2" s="220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54"/>
      <c r="AB2" s="54"/>
    </row>
    <row r="3" spans="1:28" ht="15.75" thickBot="1" x14ac:dyDescent="0.3">
      <c r="A3" s="221"/>
      <c r="B3" s="222"/>
      <c r="C3" s="222"/>
      <c r="D3" s="222"/>
      <c r="E3" s="222"/>
      <c r="F3" s="222"/>
      <c r="G3" s="222"/>
      <c r="H3" s="222"/>
      <c r="I3" s="222"/>
      <c r="J3" s="222"/>
      <c r="K3" s="223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54"/>
      <c r="AB3" s="54"/>
    </row>
    <row r="4" spans="1:28" ht="15.75" thickBot="1" x14ac:dyDescent="0.3">
      <c r="A4" s="78" t="s">
        <v>17</v>
      </c>
      <c r="B4" s="59">
        <v>1800</v>
      </c>
      <c r="C4" s="53"/>
      <c r="D4" s="134" t="s">
        <v>25</v>
      </c>
      <c r="E4" s="133">
        <f>((10^5*(B6*B5)*10^-6))/(8314*293)</f>
        <v>6.5681391066181393E-6</v>
      </c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54"/>
      <c r="AB4" s="54"/>
    </row>
    <row r="5" spans="1:28" x14ac:dyDescent="0.25">
      <c r="A5" s="47" t="s">
        <v>20</v>
      </c>
      <c r="B5" s="56">
        <v>0.4</v>
      </c>
      <c r="C5" s="53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54"/>
      <c r="U5" s="54"/>
      <c r="V5" s="54"/>
      <c r="W5" s="54"/>
      <c r="X5" s="54"/>
      <c r="Y5" s="54"/>
      <c r="Z5" s="54"/>
      <c r="AA5" s="54"/>
      <c r="AB5" s="54"/>
    </row>
    <row r="6" spans="1:28" x14ac:dyDescent="0.25">
      <c r="A6" s="47" t="s">
        <v>18</v>
      </c>
      <c r="B6" s="25">
        <v>400</v>
      </c>
      <c r="C6" s="53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54"/>
      <c r="U6" s="54"/>
      <c r="V6" s="54"/>
      <c r="W6" s="54"/>
      <c r="X6" s="54"/>
      <c r="Y6" s="54"/>
      <c r="Z6" s="54"/>
      <c r="AA6" s="54"/>
      <c r="AB6" s="54"/>
    </row>
    <row r="7" spans="1:28" x14ac:dyDescent="0.25">
      <c r="A7" s="47" t="s">
        <v>19</v>
      </c>
      <c r="B7" s="25">
        <v>40</v>
      </c>
      <c r="C7" s="53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54"/>
      <c r="AB7" s="54"/>
    </row>
    <row r="8" spans="1:28" ht="15.75" thickBot="1" x14ac:dyDescent="0.3">
      <c r="A8" s="51" t="s">
        <v>59</v>
      </c>
      <c r="B8" s="52">
        <v>1.17</v>
      </c>
      <c r="C8" s="53"/>
      <c r="D8" s="54"/>
      <c r="E8" s="54"/>
      <c r="F8" s="54"/>
      <c r="G8" s="54"/>
      <c r="H8" s="54"/>
      <c r="I8" s="54"/>
      <c r="J8" s="54"/>
      <c r="K8" s="54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54"/>
      <c r="AB8" s="54"/>
    </row>
    <row r="9" spans="1:28" ht="45.75" thickBot="1" x14ac:dyDescent="0.3">
      <c r="A9" s="113" t="s">
        <v>16</v>
      </c>
      <c r="B9" s="143" t="s">
        <v>0</v>
      </c>
      <c r="C9" s="81" t="s">
        <v>21</v>
      </c>
      <c r="D9" s="144" t="s">
        <v>1</v>
      </c>
      <c r="E9" s="81" t="s">
        <v>21</v>
      </c>
      <c r="F9" s="144" t="s">
        <v>8</v>
      </c>
      <c r="G9" s="81" t="s">
        <v>21</v>
      </c>
      <c r="H9" s="144" t="s">
        <v>7</v>
      </c>
      <c r="I9" s="81" t="s">
        <v>21</v>
      </c>
      <c r="J9" s="81" t="s">
        <v>22</v>
      </c>
      <c r="K9" s="81" t="s">
        <v>23</v>
      </c>
      <c r="L9" s="67" t="s">
        <v>47</v>
      </c>
      <c r="M9" s="123" t="s">
        <v>48</v>
      </c>
      <c r="N9" s="179" t="s">
        <v>49</v>
      </c>
      <c r="O9" s="180" t="s">
        <v>50</v>
      </c>
      <c r="P9" s="181" t="s">
        <v>51</v>
      </c>
      <c r="Q9" s="199" t="s">
        <v>52</v>
      </c>
      <c r="R9" s="189" t="s">
        <v>53</v>
      </c>
      <c r="S9" s="179" t="s">
        <v>54</v>
      </c>
      <c r="T9" s="179" t="s">
        <v>55</v>
      </c>
      <c r="U9" s="190" t="s">
        <v>67</v>
      </c>
      <c r="V9" s="141" t="s">
        <v>61</v>
      </c>
      <c r="W9" s="142" t="s">
        <v>62</v>
      </c>
      <c r="X9" s="54"/>
      <c r="Y9" s="54"/>
      <c r="Z9" s="54"/>
      <c r="AA9" s="54"/>
    </row>
    <row r="10" spans="1:28" ht="16.149999999999999" customHeight="1" x14ac:dyDescent="0.25">
      <c r="A10" s="45">
        <v>1</v>
      </c>
      <c r="B10" s="168">
        <v>8</v>
      </c>
      <c r="C10" s="129">
        <v>115.18600000000001</v>
      </c>
      <c r="D10" s="129">
        <v>9</v>
      </c>
      <c r="E10" s="129">
        <v>93.212940000000003</v>
      </c>
      <c r="F10" s="129">
        <v>0</v>
      </c>
      <c r="G10" s="129">
        <v>74.391679999999994</v>
      </c>
      <c r="H10" s="129">
        <f>(79/21)*12.5</f>
        <v>47.023809523809526</v>
      </c>
      <c r="I10" s="129">
        <v>70.280730000000005</v>
      </c>
      <c r="J10" s="129">
        <v>5065</v>
      </c>
      <c r="K10" s="195">
        <f>FORECAST(5065,A55:A56,B55:B56)</f>
        <v>2390.0286225656614</v>
      </c>
      <c r="L10" s="173">
        <f>(-8.5358E-16*(K10^5))+(8.92213971E-12*(K10^4))-(3.576722317485E-08*(K10^3))+(0.0000699095086815875*(K10^2))-(0.00826892770480903*(K10))-0.895619545925062</f>
        <v>114.9314739787638</v>
      </c>
      <c r="M10" s="21">
        <f t="shared" ref="M10:M22" si="0">(6.7E-19*(K10^6))-(7.89843E-15*(K10^5))+(3.687984988E-11*(K10^4))-(8.638622855912E-08*(K10^3))+(0.000110740178605573*(K10^2))-(0.031241611607915*(K10))+3.30066945333761</f>
        <v>94.117654672209298</v>
      </c>
      <c r="N10" s="21">
        <f t="shared" ref="N10:N22" si="1">(6.5E-19*(K10^6))-(7.82245E-15*(K10^5))+(0.0000000000371204177*(K10^4))-(8.798317617007E-08*(K10^3))+(0.000109823272345614*(K10^2))-(0.0326064446414848*(K10))+3.57864890028521</f>
        <v>74.141114415735416</v>
      </c>
      <c r="O10" s="21">
        <f t="shared" ref="O10:O22" si="2">(5.9E-19*(K10^6))-(7.10207E-15*(K10^5))+(3.346089681E-11*(K10^4))-(7.890960163412E-08*(K10^3))+(0.000098599769211504*(K10^2))-(0.028172899155961*(K10))+3.05378907997741</f>
        <v>69.564629426442778</v>
      </c>
      <c r="P10" s="174">
        <f t="shared" ref="P10:P22" si="3">(L10*B10)+(M10*D10)+(N10*F10)+(O10*H10)</f>
        <v>5037.7045676234347</v>
      </c>
      <c r="Q10" s="198">
        <f>FORECAST(P10,A$55:A$56,B55:B56)</f>
        <v>2379.8508487352829</v>
      </c>
      <c r="R10" s="20">
        <f t="shared" ref="R10:R22" si="4">(F10*T10)/($B$7*10^-6)</f>
        <v>0</v>
      </c>
      <c r="S10" s="21">
        <f t="shared" ref="S10:S22" si="5">(H10*T10)/($B$7*10^-6)</f>
        <v>0.12757744625856438</v>
      </c>
      <c r="T10" s="21">
        <f>$E$4/(A10+(12.5*(1+(79/21))))</f>
        <v>1.085215745389307E-7</v>
      </c>
      <c r="U10" s="22">
        <f t="shared" ref="U10:U22" si="6">(B10+D10+F10+H10)*T10</f>
        <v>6.9479646175043955E-6</v>
      </c>
      <c r="V10" s="186">
        <f>D42</f>
        <v>0</v>
      </c>
      <c r="W10" s="80">
        <f>(V10/U10)*10^6</f>
        <v>0</v>
      </c>
      <c r="X10" s="54"/>
      <c r="Y10" s="54"/>
      <c r="Z10" s="54"/>
      <c r="AA10" s="54"/>
    </row>
    <row r="11" spans="1:28" x14ac:dyDescent="0.25">
      <c r="A11" s="45">
        <v>0.99</v>
      </c>
      <c r="B11" s="47">
        <f>$B$10*A11</f>
        <v>7.92</v>
      </c>
      <c r="C11" s="43">
        <f>$C$10*A11</f>
        <v>114.03414000000001</v>
      </c>
      <c r="D11" s="43">
        <f>$D$10*A11</f>
        <v>8.91</v>
      </c>
      <c r="E11" s="43">
        <f>$E$10*A11</f>
        <v>92.280810600000009</v>
      </c>
      <c r="F11" s="43">
        <f>12.5*(1-A11)</f>
        <v>0.12500000000000011</v>
      </c>
      <c r="G11" s="43">
        <f>$G$10*A11</f>
        <v>73.6477632</v>
      </c>
      <c r="H11" s="79">
        <f t="shared" ref="H11:H22" si="7">(79/21)*12.5</f>
        <v>47.023809523809526</v>
      </c>
      <c r="I11" s="43">
        <f>$I$10*A11</f>
        <v>69.577922700000002</v>
      </c>
      <c r="J11" s="43">
        <f>$J$10*A11</f>
        <v>5014.3500000000004</v>
      </c>
      <c r="K11" s="196">
        <f>FORECAST(5014.35,A55:A56,C55:C56)</f>
        <v>2371.2240976381399</v>
      </c>
      <c r="L11" s="182">
        <f t="shared" ref="L11:L22" si="8">(-8.5358E-16*(K11^5))+(8.92213971E-12*(K11^4))-(3.576722317485E-08*(K11^3))+(0.0000699095086815875*(K11^2))-(0.00826892770480903*(K11))-0.895619545925062</f>
        <v>113.78639174865771</v>
      </c>
      <c r="M11" s="24">
        <f t="shared" si="0"/>
        <v>93.054889827625672</v>
      </c>
      <c r="N11" s="24">
        <f t="shared" si="1"/>
        <v>73.395632913829132</v>
      </c>
      <c r="O11" s="24">
        <f t="shared" si="2"/>
        <v>68.895623421044235</v>
      </c>
      <c r="P11" s="145">
        <f t="shared" si="3"/>
        <v>4979.2164179030369</v>
      </c>
      <c r="Q11" s="177">
        <f>FORECAST(P11,A55:A56,B55:B56)</f>
        <v>2358.0421024439938</v>
      </c>
      <c r="R11" s="23">
        <f t="shared" si="4"/>
        <v>3.3918596217456521E-4</v>
      </c>
      <c r="S11" s="24">
        <f t="shared" si="5"/>
        <v>0.12759852862757445</v>
      </c>
      <c r="T11" s="24">
        <f t="shared" ref="T11:T22" si="9">$E$4/(A11+(12.5*(1+(79/21))))</f>
        <v>1.0853950789586077E-7</v>
      </c>
      <c r="U11" s="25">
        <f t="shared" si="6"/>
        <v>6.9442285014772966E-6</v>
      </c>
      <c r="V11" s="187">
        <f>F42</f>
        <v>1.2300987799905944E-7</v>
      </c>
      <c r="W11" s="76">
        <f t="shared" ref="W11:W22" si="10">(V11/U11)*10^6</f>
        <v>17713.973261808806</v>
      </c>
      <c r="X11" s="54"/>
      <c r="Y11" s="54"/>
      <c r="Z11" s="54"/>
      <c r="AA11" s="54"/>
    </row>
    <row r="12" spans="1:28" x14ac:dyDescent="0.25">
      <c r="A12" s="45">
        <v>0.98</v>
      </c>
      <c r="B12" s="47">
        <f t="shared" ref="B12:B22" si="11">$B$10*A12</f>
        <v>7.84</v>
      </c>
      <c r="C12" s="43">
        <f t="shared" ref="C12:C22" si="12">$C$10*A12</f>
        <v>112.88228000000001</v>
      </c>
      <c r="D12" s="43">
        <f t="shared" ref="D12:D22" si="13">$D$10*A12</f>
        <v>8.82</v>
      </c>
      <c r="E12" s="43">
        <f t="shared" ref="E12:E22" si="14">$E$10*A12</f>
        <v>91.348681200000001</v>
      </c>
      <c r="F12" s="43">
        <f t="shared" ref="F12:F22" si="15">12.5*(1-A12)</f>
        <v>0.25000000000000022</v>
      </c>
      <c r="G12" s="43">
        <f t="shared" ref="G12:G22" si="16">$G$10*A12</f>
        <v>72.903846399999992</v>
      </c>
      <c r="H12" s="79">
        <f t="shared" si="7"/>
        <v>47.023809523809526</v>
      </c>
      <c r="I12" s="43">
        <f t="shared" ref="I12:I22" si="17">$I$10*A12</f>
        <v>68.875115399999999</v>
      </c>
      <c r="J12" s="43">
        <f t="shared" ref="J12:J22" si="18">$J$10*A12</f>
        <v>4963.7</v>
      </c>
      <c r="K12" s="196">
        <f>FORECAST(4963.7,A55:A56,D55:D56)</f>
        <v>2352.3187397308907</v>
      </c>
      <c r="L12" s="182">
        <f t="shared" si="8"/>
        <v>112.63707060979259</v>
      </c>
      <c r="M12" s="24">
        <f t="shared" si="0"/>
        <v>91.990033108472488</v>
      </c>
      <c r="N12" s="24">
        <f t="shared" si="1"/>
        <v>72.647254500411066</v>
      </c>
      <c r="O12" s="24">
        <f t="shared" si="2"/>
        <v>68.222317833643061</v>
      </c>
      <c r="P12" s="145">
        <f t="shared" si="3"/>
        <v>4920.6618183046285</v>
      </c>
      <c r="Q12" s="177">
        <f>FORECAST(P12,A54:A55,D54:D55)</f>
        <v>2336.3066041324691</v>
      </c>
      <c r="R12" s="23">
        <f t="shared" si="4"/>
        <v>6.784840448800009E-4</v>
      </c>
      <c r="S12" s="24">
        <f t="shared" si="5"/>
        <v>0.12761961796552387</v>
      </c>
      <c r="T12" s="24">
        <f t="shared" si="9"/>
        <v>1.0855744718080005E-7</v>
      </c>
      <c r="U12" s="25">
        <f t="shared" si="6"/>
        <v>6.9404911504482839E-6</v>
      </c>
      <c r="V12" s="187">
        <f>H42</f>
        <v>1.3893648354638816E-7</v>
      </c>
      <c r="W12" s="76">
        <f t="shared" si="10"/>
        <v>20018.249506364446</v>
      </c>
      <c r="X12" s="54"/>
      <c r="Y12" s="54"/>
      <c r="Z12" s="54"/>
      <c r="AA12" s="54"/>
    </row>
    <row r="13" spans="1:28" x14ac:dyDescent="0.25">
      <c r="A13" s="201">
        <v>0.97</v>
      </c>
      <c r="B13" s="47">
        <f t="shared" si="11"/>
        <v>7.76</v>
      </c>
      <c r="C13" s="43">
        <f t="shared" si="12"/>
        <v>111.73042000000001</v>
      </c>
      <c r="D13" s="43">
        <f t="shared" si="13"/>
        <v>8.73</v>
      </c>
      <c r="E13" s="43">
        <f t="shared" si="14"/>
        <v>90.416551800000008</v>
      </c>
      <c r="F13" s="43">
        <f t="shared" si="15"/>
        <v>0.37500000000000033</v>
      </c>
      <c r="G13" s="43">
        <f t="shared" si="16"/>
        <v>72.159929599999998</v>
      </c>
      <c r="H13" s="79">
        <f t="shared" si="7"/>
        <v>47.023809523809526</v>
      </c>
      <c r="I13" s="43">
        <f t="shared" si="17"/>
        <v>68.172308100000009</v>
      </c>
      <c r="J13" s="43">
        <f t="shared" si="18"/>
        <v>4913.05</v>
      </c>
      <c r="K13" s="196">
        <f>FORECAST(4913.05,A54:A55,E54:E55)</f>
        <v>2333.4572983595631</v>
      </c>
      <c r="L13" s="182">
        <f t="shared" si="8"/>
        <v>111.49228237824565</v>
      </c>
      <c r="M13" s="24">
        <f t="shared" si="0"/>
        <v>90.931335291586691</v>
      </c>
      <c r="N13" s="24">
        <f t="shared" si="1"/>
        <v>71.901809845610856</v>
      </c>
      <c r="O13" s="24">
        <f t="shared" si="2"/>
        <v>67.55000566254418</v>
      </c>
      <c r="P13" s="145">
        <f t="shared" si="3"/>
        <v>4862.432446650575</v>
      </c>
      <c r="Q13" s="177">
        <f>FORECAST(P13,A54:A55,E54:E55)</f>
        <v>2314.6319381055964</v>
      </c>
      <c r="R13" s="23">
        <f t="shared" si="4"/>
        <v>1.0178943037189537E-3</v>
      </c>
      <c r="S13" s="24">
        <f t="shared" si="5"/>
        <v>0.12764071427586871</v>
      </c>
      <c r="T13" s="24">
        <f t="shared" si="9"/>
        <v>1.085753923966883E-7</v>
      </c>
      <c r="U13" s="25">
        <f t="shared" si="6"/>
        <v>6.9367525638048967E-6</v>
      </c>
      <c r="V13" s="187">
        <f>J42</f>
        <v>1.3542230156078781E-7</v>
      </c>
      <c r="W13" s="202">
        <f t="shared" si="10"/>
        <v>19522.435075370049</v>
      </c>
      <c r="X13" s="54"/>
      <c r="Y13" s="54"/>
      <c r="Z13" s="54"/>
      <c r="AA13" s="54"/>
    </row>
    <row r="14" spans="1:28" x14ac:dyDescent="0.25">
      <c r="A14" s="45">
        <v>0.96</v>
      </c>
      <c r="B14" s="47">
        <f t="shared" si="11"/>
        <v>7.68</v>
      </c>
      <c r="C14" s="43">
        <f t="shared" si="12"/>
        <v>110.57856</v>
      </c>
      <c r="D14" s="43">
        <f t="shared" si="13"/>
        <v>8.64</v>
      </c>
      <c r="E14" s="43">
        <f t="shared" si="14"/>
        <v>89.4844224</v>
      </c>
      <c r="F14" s="43">
        <f t="shared" si="15"/>
        <v>0.50000000000000044</v>
      </c>
      <c r="G14" s="43">
        <f t="shared" si="16"/>
        <v>71.41601279999999</v>
      </c>
      <c r="H14" s="79">
        <f t="shared" si="7"/>
        <v>47.023809523809526</v>
      </c>
      <c r="I14" s="43">
        <f t="shared" si="17"/>
        <v>67.469500800000006</v>
      </c>
      <c r="J14" s="43">
        <f t="shared" si="18"/>
        <v>4862.3999999999996</v>
      </c>
      <c r="K14" s="196">
        <f>FORECAST(4862.4,A54:A55,F54:F55)</f>
        <v>2314.6006001449032</v>
      </c>
      <c r="L14" s="182">
        <f t="shared" si="8"/>
        <v>110.34960227541916</v>
      </c>
      <c r="M14" s="24">
        <f t="shared" si="0"/>
        <v>89.876663400608521</v>
      </c>
      <c r="N14" s="24">
        <f t="shared" si="1"/>
        <v>71.157838934253192</v>
      </c>
      <c r="O14" s="24">
        <f t="shared" si="2"/>
        <v>66.877430390205106</v>
      </c>
      <c r="P14" s="145">
        <f t="shared" si="3"/>
        <v>4804.4297848344386</v>
      </c>
      <c r="Q14" s="177">
        <f>FORECAST(P14,A53:A54,F53:F54)</f>
        <v>2293.0026326702728</v>
      </c>
      <c r="R14" s="23">
        <f t="shared" si="4"/>
        <v>1.3574167943308428E-3</v>
      </c>
      <c r="S14" s="24">
        <f t="shared" si="5"/>
        <v>0.12766181756206726</v>
      </c>
      <c r="T14" s="24">
        <f t="shared" si="9"/>
        <v>1.0859334354646731E-7</v>
      </c>
      <c r="U14" s="25">
        <f t="shared" si="6"/>
        <v>6.9330127409342693E-6</v>
      </c>
      <c r="V14" s="187">
        <f>L42</f>
        <v>1.2397852292572108E-7</v>
      </c>
      <c r="W14" s="76">
        <f t="shared" si="10"/>
        <v>17882.344596559065</v>
      </c>
      <c r="X14" s="54"/>
      <c r="Y14" s="54"/>
      <c r="Z14" s="54"/>
      <c r="AA14" s="54"/>
    </row>
    <row r="15" spans="1:28" x14ac:dyDescent="0.25">
      <c r="A15" s="45">
        <v>0.95</v>
      </c>
      <c r="B15" s="47">
        <f t="shared" si="11"/>
        <v>7.6</v>
      </c>
      <c r="C15" s="43">
        <f t="shared" si="12"/>
        <v>109.4267</v>
      </c>
      <c r="D15" s="43">
        <f t="shared" si="13"/>
        <v>8.5499999999999989</v>
      </c>
      <c r="E15" s="43">
        <f t="shared" si="14"/>
        <v>88.552293000000006</v>
      </c>
      <c r="F15" s="43">
        <f t="shared" si="15"/>
        <v>0.62500000000000056</v>
      </c>
      <c r="G15" s="43">
        <f t="shared" si="16"/>
        <v>70.672095999999996</v>
      </c>
      <c r="H15" s="79">
        <f t="shared" si="7"/>
        <v>47.023809523809526</v>
      </c>
      <c r="I15" s="43">
        <f t="shared" si="17"/>
        <v>66.766693500000002</v>
      </c>
      <c r="J15" s="43">
        <f t="shared" si="18"/>
        <v>4811.75</v>
      </c>
      <c r="K15" s="196">
        <f>FORECAST(4811.75,A53:A54,G53:G54)</f>
        <v>2295.7196536849629</v>
      </c>
      <c r="L15" s="182">
        <f t="shared" si="8"/>
        <v>109.20723313225993</v>
      </c>
      <c r="M15" s="24">
        <f t="shared" si="0"/>
        <v>88.824480283012335</v>
      </c>
      <c r="N15" s="24">
        <f t="shared" si="1"/>
        <v>70.414289673617304</v>
      </c>
      <c r="O15" s="24">
        <f t="shared" si="2"/>
        <v>66.203691391029253</v>
      </c>
      <c r="P15" s="145">
        <f t="shared" si="3"/>
        <v>4746.58298301577</v>
      </c>
      <c r="Q15" s="177">
        <f>FORECAST(P15,A$53:A$54,F53:F54)</f>
        <v>2271.372873180072</v>
      </c>
      <c r="R15" s="23">
        <f t="shared" si="4"/>
        <v>1.6970515723918884E-3</v>
      </c>
      <c r="S15" s="24">
        <f t="shared" si="5"/>
        <v>0.12768292782758006</v>
      </c>
      <c r="T15" s="24">
        <f t="shared" si="9"/>
        <v>1.0861130063308076E-7</v>
      </c>
      <c r="U15" s="25">
        <f t="shared" si="6"/>
        <v>6.9292716812231322E-6</v>
      </c>
      <c r="V15" s="187">
        <f>N42</f>
        <v>1.0941742979491649E-7</v>
      </c>
      <c r="W15" s="76">
        <f t="shared" si="10"/>
        <v>15790.610446320745</v>
      </c>
      <c r="X15" s="54"/>
      <c r="Y15" s="54"/>
      <c r="Z15" s="54"/>
      <c r="AA15" s="54"/>
    </row>
    <row r="16" spans="1:28" x14ac:dyDescent="0.25">
      <c r="A16" s="45">
        <v>0.9</v>
      </c>
      <c r="B16" s="47">
        <f t="shared" si="11"/>
        <v>7.2</v>
      </c>
      <c r="C16" s="43">
        <f t="shared" si="12"/>
        <v>103.66740000000001</v>
      </c>
      <c r="D16" s="43">
        <f t="shared" si="13"/>
        <v>8.1</v>
      </c>
      <c r="E16" s="43">
        <f t="shared" si="14"/>
        <v>83.891646000000009</v>
      </c>
      <c r="F16" s="43">
        <f t="shared" si="15"/>
        <v>1.2499999999999998</v>
      </c>
      <c r="G16" s="43">
        <f t="shared" si="16"/>
        <v>66.952511999999999</v>
      </c>
      <c r="H16" s="79">
        <f t="shared" si="7"/>
        <v>47.023809523809526</v>
      </c>
      <c r="I16" s="43">
        <f t="shared" si="17"/>
        <v>63.252657000000006</v>
      </c>
      <c r="J16" s="43">
        <f t="shared" si="18"/>
        <v>4558.5</v>
      </c>
      <c r="K16" s="196">
        <f>FORECAST(4558.5,A52:A53,H52:H53)</f>
        <v>2200.6683016876846</v>
      </c>
      <c r="L16" s="182">
        <f t="shared" si="8"/>
        <v>103.48158984214442</v>
      </c>
      <c r="M16" s="24">
        <f t="shared" si="0"/>
        <v>83.588597804350883</v>
      </c>
      <c r="N16" s="24">
        <f t="shared" si="1"/>
        <v>66.694953013145152</v>
      </c>
      <c r="O16" s="24">
        <f t="shared" si="2"/>
        <v>62.811858101539514</v>
      </c>
      <c r="P16" s="145">
        <f t="shared" si="3"/>
        <v>4459.1566315484597</v>
      </c>
      <c r="Q16" s="177">
        <f>FORECAST(P16,A$51:A$52,G51:G52)</f>
        <v>2163.5820754894903</v>
      </c>
      <c r="R16" s="23">
        <f t="shared" si="4"/>
        <v>3.3969117256822078E-3</v>
      </c>
      <c r="S16" s="24">
        <f t="shared" si="5"/>
        <v>0.12778858396614023</v>
      </c>
      <c r="T16" s="24">
        <f t="shared" si="9"/>
        <v>1.0870117522183066E-7</v>
      </c>
      <c r="U16" s="25">
        <f t="shared" si="6"/>
        <v>6.9105478085669064E-6</v>
      </c>
      <c r="V16" s="187">
        <f>P42</f>
        <v>4.4405812180803564E-8</v>
      </c>
      <c r="W16" s="76">
        <f t="shared" si="10"/>
        <v>6425.8020363818796</v>
      </c>
      <c r="X16" s="54"/>
      <c r="Y16" s="54"/>
      <c r="Z16" s="54"/>
      <c r="AA16" s="54"/>
    </row>
    <row r="17" spans="1:28" x14ac:dyDescent="0.25">
      <c r="A17" s="45">
        <v>0.85</v>
      </c>
      <c r="B17" s="47">
        <f t="shared" si="11"/>
        <v>6.8</v>
      </c>
      <c r="C17" s="43">
        <f t="shared" si="12"/>
        <v>97.908100000000005</v>
      </c>
      <c r="D17" s="43">
        <f t="shared" si="13"/>
        <v>7.6499999999999995</v>
      </c>
      <c r="E17" s="43">
        <f t="shared" si="14"/>
        <v>79.230998999999997</v>
      </c>
      <c r="F17" s="43">
        <f t="shared" si="15"/>
        <v>1.8750000000000002</v>
      </c>
      <c r="G17" s="43">
        <f t="shared" si="16"/>
        <v>63.232927999999994</v>
      </c>
      <c r="H17" s="79">
        <f t="shared" si="7"/>
        <v>47.023809523809526</v>
      </c>
      <c r="I17" s="43">
        <f t="shared" si="17"/>
        <v>59.738620500000003</v>
      </c>
      <c r="J17" s="43">
        <f t="shared" si="18"/>
        <v>4305.25</v>
      </c>
      <c r="K17" s="196">
        <f>FORECAST(4305.25,A50:A51,I50:I51)</f>
        <v>2105.4087162751498</v>
      </c>
      <c r="L17" s="182">
        <f t="shared" si="8"/>
        <v>97.78063810137472</v>
      </c>
      <c r="M17" s="24">
        <f t="shared" si="0"/>
        <v>78.449465984472639</v>
      </c>
      <c r="N17" s="24">
        <f t="shared" si="1"/>
        <v>63.013842128923109</v>
      </c>
      <c r="O17" s="24">
        <f t="shared" si="2"/>
        <v>59.422890011472148</v>
      </c>
      <c r="P17" s="145">
        <f t="shared" si="3"/>
        <v>4177.4883691160449</v>
      </c>
      <c r="Q17" s="177">
        <f>FORECAST(P17,A$49:A$50,H49:H50)</f>
        <v>2057.1931846675971</v>
      </c>
      <c r="R17" s="23">
        <f t="shared" si="4"/>
        <v>5.0995874378492977E-3</v>
      </c>
      <c r="S17" s="24">
        <f t="shared" si="5"/>
        <v>0.12789441510796651</v>
      </c>
      <c r="T17" s="24">
        <f t="shared" si="9"/>
        <v>1.0879119867411832E-7</v>
      </c>
      <c r="U17" s="25">
        <f t="shared" si="6"/>
        <v>6.8917929226736404E-6</v>
      </c>
      <c r="V17" s="187">
        <f>R42</f>
        <v>1.397245755615392E-8</v>
      </c>
      <c r="W17" s="76">
        <f t="shared" si="10"/>
        <v>2027.4053084481484</v>
      </c>
      <c r="X17" s="54"/>
      <c r="Y17" s="54"/>
      <c r="Z17" s="54"/>
      <c r="AA17" s="54"/>
    </row>
    <row r="18" spans="1:28" x14ac:dyDescent="0.25">
      <c r="A18" s="45">
        <v>0.8</v>
      </c>
      <c r="B18" s="47">
        <f t="shared" si="11"/>
        <v>6.4</v>
      </c>
      <c r="C18" s="43">
        <f t="shared" si="12"/>
        <v>92.148800000000008</v>
      </c>
      <c r="D18" s="43">
        <f t="shared" si="13"/>
        <v>7.2</v>
      </c>
      <c r="E18" s="43">
        <f t="shared" si="14"/>
        <v>74.570352</v>
      </c>
      <c r="F18" s="43">
        <f t="shared" si="15"/>
        <v>2.4999999999999996</v>
      </c>
      <c r="G18" s="43">
        <f t="shared" si="16"/>
        <v>59.513343999999996</v>
      </c>
      <c r="H18" s="79">
        <f t="shared" si="7"/>
        <v>47.023809523809526</v>
      </c>
      <c r="I18" s="43">
        <f t="shared" si="17"/>
        <v>56.224584000000007</v>
      </c>
      <c r="J18" s="43">
        <f t="shared" si="18"/>
        <v>4052</v>
      </c>
      <c r="K18" s="196">
        <f>FORECAST(4052,A48:A49,J48:J49)</f>
        <v>2009.3136801219853</v>
      </c>
      <c r="L18" s="182">
        <f t="shared" si="8"/>
        <v>92.059639007415029</v>
      </c>
      <c r="M18" s="24">
        <f t="shared" si="0"/>
        <v>73.381090361403025</v>
      </c>
      <c r="N18" s="24">
        <f t="shared" si="1"/>
        <v>59.353537917413668</v>
      </c>
      <c r="O18" s="24">
        <f t="shared" si="2"/>
        <v>56.026104754599999</v>
      </c>
      <c r="P18" s="145">
        <f t="shared" si="3"/>
        <v>3900.4702633844017</v>
      </c>
      <c r="Q18" s="177">
        <f>FORECAST(P18,A47:A$48,I47:I48)</f>
        <v>1951.9381135125882</v>
      </c>
      <c r="R18" s="23">
        <f t="shared" si="4"/>
        <v>6.8050857100065568E-3</v>
      </c>
      <c r="S18" s="24">
        <f t="shared" si="5"/>
        <v>0.1280004216882186</v>
      </c>
      <c r="T18" s="24">
        <f t="shared" si="9"/>
        <v>1.0888137136010493E-7</v>
      </c>
      <c r="U18" s="25">
        <f t="shared" si="6"/>
        <v>6.8730069464264333E-6</v>
      </c>
      <c r="V18" s="187">
        <f>T42</f>
        <v>3.6407025541142732E-9</v>
      </c>
      <c r="W18" s="76">
        <f t="shared" si="10"/>
        <v>529.7102974713606</v>
      </c>
      <c r="X18" s="54"/>
      <c r="Y18" s="54"/>
      <c r="Z18" s="54"/>
      <c r="AA18" s="54"/>
    </row>
    <row r="19" spans="1:28" x14ac:dyDescent="0.25">
      <c r="A19" s="45">
        <v>0.75</v>
      </c>
      <c r="B19" s="47">
        <f t="shared" si="11"/>
        <v>6</v>
      </c>
      <c r="C19" s="43">
        <f t="shared" si="12"/>
        <v>86.389499999999998</v>
      </c>
      <c r="D19" s="43">
        <f t="shared" si="13"/>
        <v>6.75</v>
      </c>
      <c r="E19" s="43">
        <f t="shared" si="14"/>
        <v>69.909705000000002</v>
      </c>
      <c r="F19" s="43">
        <f t="shared" si="15"/>
        <v>3.125</v>
      </c>
      <c r="G19" s="43">
        <f t="shared" si="16"/>
        <v>55.793759999999992</v>
      </c>
      <c r="H19" s="79">
        <f t="shared" si="7"/>
        <v>47.023809523809526</v>
      </c>
      <c r="I19" s="43">
        <f t="shared" si="17"/>
        <v>52.710547500000004</v>
      </c>
      <c r="J19" s="43">
        <f t="shared" si="18"/>
        <v>3798.75</v>
      </c>
      <c r="K19" s="196">
        <f>FORECAST(3798.75,A46:A47,K46:K47)</f>
        <v>1912.7508198925964</v>
      </c>
      <c r="L19" s="182">
        <f t="shared" si="8"/>
        <v>86.333016214029556</v>
      </c>
      <c r="M19" s="24">
        <f t="shared" si="0"/>
        <v>68.407921251711343</v>
      </c>
      <c r="N19" s="24">
        <f t="shared" si="1"/>
        <v>55.731224273086127</v>
      </c>
      <c r="O19" s="24">
        <f t="shared" si="2"/>
        <v>52.642402172642122</v>
      </c>
      <c r="P19" s="145">
        <f t="shared" si="3"/>
        <v>3629.357934228723</v>
      </c>
      <c r="Q19" s="177">
        <f>FORECAST(P19,P62:P63,Z62:Z63)</f>
        <v>1847.9157013128329</v>
      </c>
      <c r="R19" s="23">
        <f t="shared" si="4"/>
        <v>8.5134135664984272E-3</v>
      </c>
      <c r="S19" s="24">
        <f t="shared" si="5"/>
        <v>0.12810660414350017</v>
      </c>
      <c r="T19" s="24">
        <f t="shared" si="9"/>
        <v>1.0897169365117987E-7</v>
      </c>
      <c r="U19" s="25">
        <f t="shared" si="6"/>
        <v>6.8541898024524863E-6</v>
      </c>
      <c r="V19" s="187">
        <f>V42</f>
        <v>7.9259354716934591E-10</v>
      </c>
      <c r="W19" s="76">
        <f t="shared" si="10"/>
        <v>115.63635820031556</v>
      </c>
      <c r="X19" s="54"/>
      <c r="Y19" s="54"/>
      <c r="Z19" s="54"/>
      <c r="AA19" s="54"/>
    </row>
    <row r="20" spans="1:28" x14ac:dyDescent="0.25">
      <c r="A20" s="45">
        <v>0.7</v>
      </c>
      <c r="B20" s="47">
        <f t="shared" si="11"/>
        <v>5.6</v>
      </c>
      <c r="C20" s="43">
        <f t="shared" si="12"/>
        <v>80.630200000000002</v>
      </c>
      <c r="D20" s="43">
        <f t="shared" si="13"/>
        <v>6.3</v>
      </c>
      <c r="E20" s="43">
        <f t="shared" si="14"/>
        <v>65.249058000000005</v>
      </c>
      <c r="F20" s="43">
        <f t="shared" si="15"/>
        <v>3.7500000000000004</v>
      </c>
      <c r="G20" s="43">
        <f t="shared" si="16"/>
        <v>52.074175999999994</v>
      </c>
      <c r="H20" s="79">
        <f t="shared" si="7"/>
        <v>47.023809523809526</v>
      </c>
      <c r="I20" s="43">
        <f t="shared" si="17"/>
        <v>49.196511000000001</v>
      </c>
      <c r="J20" s="43">
        <f t="shared" si="18"/>
        <v>3545.5</v>
      </c>
      <c r="K20" s="196">
        <f>FORECAST(3545.5,P62:P63,AA62:AA63)</f>
        <v>1815.4578494691507</v>
      </c>
      <c r="L20" s="182">
        <f t="shared" si="8"/>
        <v>80.578121857092185</v>
      </c>
      <c r="M20" s="24">
        <f t="shared" si="0"/>
        <v>63.517510269829216</v>
      </c>
      <c r="N20" s="24">
        <f t="shared" si="1"/>
        <v>52.135876193516978</v>
      </c>
      <c r="O20" s="24">
        <f t="shared" si="2"/>
        <v>49.266265996311645</v>
      </c>
      <c r="P20" s="145">
        <f t="shared" si="3"/>
        <v>3363.5948409852217</v>
      </c>
      <c r="Q20" s="177">
        <f>FORECAST(P20,P60:P61,AA60:AA61)</f>
        <v>1745.3149049661872</v>
      </c>
      <c r="R20" s="23">
        <f t="shared" si="4"/>
        <v>1.0224578054996809E-2</v>
      </c>
      <c r="S20" s="24">
        <f t="shared" si="5"/>
        <v>0.12821296291186471</v>
      </c>
      <c r="T20" s="24">
        <f t="shared" si="9"/>
        <v>1.0906216591996593E-7</v>
      </c>
      <c r="U20" s="25">
        <f t="shared" si="6"/>
        <v>6.8353414131220555E-6</v>
      </c>
      <c r="V20" s="187">
        <f>X42</f>
        <v>1.4310029566149936E-10</v>
      </c>
      <c r="W20" s="76">
        <f t="shared" si="10"/>
        <v>20.935354507206394</v>
      </c>
      <c r="X20" s="54"/>
      <c r="Y20" s="54"/>
      <c r="Z20" s="54"/>
      <c r="AA20" s="54"/>
    </row>
    <row r="21" spans="1:28" x14ac:dyDescent="0.25">
      <c r="A21" s="45">
        <v>0.65</v>
      </c>
      <c r="B21" s="47">
        <f t="shared" si="11"/>
        <v>5.2</v>
      </c>
      <c r="C21" s="43">
        <f t="shared" si="12"/>
        <v>74.870900000000006</v>
      </c>
      <c r="D21" s="43">
        <f t="shared" si="13"/>
        <v>5.8500000000000005</v>
      </c>
      <c r="E21" s="43">
        <f t="shared" si="14"/>
        <v>60.588411000000001</v>
      </c>
      <c r="F21" s="43">
        <f t="shared" si="15"/>
        <v>4.375</v>
      </c>
      <c r="G21" s="43">
        <f t="shared" si="16"/>
        <v>48.354591999999997</v>
      </c>
      <c r="H21" s="79">
        <f t="shared" si="7"/>
        <v>47.023809523809526</v>
      </c>
      <c r="I21" s="43">
        <f t="shared" si="17"/>
        <v>45.682474500000005</v>
      </c>
      <c r="J21" s="43">
        <f t="shared" si="18"/>
        <v>3292.25</v>
      </c>
      <c r="K21" s="196">
        <f>FORECAST(3292.25,P60:P61,AB60:AB61)</f>
        <v>1717.4320204673395</v>
      </c>
      <c r="L21" s="182">
        <f t="shared" si="8"/>
        <v>74.789112396518291</v>
      </c>
      <c r="M21" s="24">
        <f t="shared" si="0"/>
        <v>58.707212660262961</v>
      </c>
      <c r="N21" s="24">
        <f t="shared" si="1"/>
        <v>48.562034970943039</v>
      </c>
      <c r="O21" s="24">
        <f t="shared" si="2"/>
        <v>45.897088029387731</v>
      </c>
      <c r="P21" s="145">
        <f t="shared" si="3"/>
        <v>3103.0554067137564</v>
      </c>
      <c r="Q21" s="177">
        <f>FORECAST(P21,P58:P59,AB58:AB59)</f>
        <v>1643.6894899774602</v>
      </c>
      <c r="R21" s="23">
        <f t="shared" si="4"/>
        <v>1.1938586246597981E-2</v>
      </c>
      <c r="S21" s="24">
        <f t="shared" si="5"/>
        <v>0.12831949843282184</v>
      </c>
      <c r="T21" s="24">
        <f t="shared" si="9"/>
        <v>1.0915278854032439E-7</v>
      </c>
      <c r="U21" s="25">
        <f t="shared" si="6"/>
        <v>6.8164617005473775E-6</v>
      </c>
      <c r="V21" s="187">
        <f>Z42</f>
        <v>2.0804488463526581E-11</v>
      </c>
      <c r="W21" s="76">
        <f t="shared" si="10"/>
        <v>3.0520949691327295</v>
      </c>
      <c r="X21" s="200">
        <f>((V23-'EGR 5%'!V23)/'Worksheet NOx'!V23)*100</f>
        <v>46.703632736045712</v>
      </c>
      <c r="Y21" s="54"/>
      <c r="Z21" s="54"/>
      <c r="AA21" s="54"/>
    </row>
    <row r="22" spans="1:28" ht="15.75" thickBot="1" x14ac:dyDescent="0.3">
      <c r="A22" s="46">
        <v>0.6</v>
      </c>
      <c r="B22" s="170">
        <f t="shared" si="11"/>
        <v>4.8</v>
      </c>
      <c r="C22" s="44">
        <f t="shared" si="12"/>
        <v>69.111599999999996</v>
      </c>
      <c r="D22" s="44">
        <f t="shared" si="13"/>
        <v>5.3999999999999995</v>
      </c>
      <c r="E22" s="44">
        <f t="shared" si="14"/>
        <v>55.927764000000003</v>
      </c>
      <c r="F22" s="44">
        <f t="shared" si="15"/>
        <v>5</v>
      </c>
      <c r="G22" s="44">
        <f t="shared" si="16"/>
        <v>44.635007999999992</v>
      </c>
      <c r="H22" s="172">
        <f t="shared" si="7"/>
        <v>47.023809523809526</v>
      </c>
      <c r="I22" s="44">
        <f t="shared" si="17"/>
        <v>42.168438000000002</v>
      </c>
      <c r="J22" s="44">
        <f t="shared" si="18"/>
        <v>3039</v>
      </c>
      <c r="K22" s="197">
        <f>FORECAST(3039,P58:P59,AC58:AC59)</f>
        <v>1618.3786119295037</v>
      </c>
      <c r="L22" s="183">
        <f t="shared" si="8"/>
        <v>68.945286078916538</v>
      </c>
      <c r="M22" s="28">
        <f t="shared" si="0"/>
        <v>53.956626053778088</v>
      </c>
      <c r="N22" s="28">
        <f t="shared" si="1"/>
        <v>44.989638589979855</v>
      </c>
      <c r="O22" s="28">
        <f t="shared" si="2"/>
        <v>42.520256256779263</v>
      </c>
      <c r="P22" s="146">
        <f t="shared" si="3"/>
        <v>2846.7157779414583</v>
      </c>
      <c r="Q22" s="178">
        <f>FORECAST(P22,P57:P58,AC57:AC58)</f>
        <v>1542.8114066684475</v>
      </c>
      <c r="R22" s="125">
        <f t="shared" si="4"/>
        <v>1.3655445235920018E-2</v>
      </c>
      <c r="S22" s="28">
        <f t="shared" si="5"/>
        <v>0.12842621114734304</v>
      </c>
      <c r="T22" s="28">
        <f t="shared" si="9"/>
        <v>1.0924356188736014E-7</v>
      </c>
      <c r="U22" s="29">
        <f t="shared" si="6"/>
        <v>6.7975505865815949E-6</v>
      </c>
      <c r="V22" s="188">
        <f>AB42</f>
        <v>2.3454274045287716E-12</v>
      </c>
      <c r="W22" s="120">
        <f t="shared" si="10"/>
        <v>0.34504008093130767</v>
      </c>
      <c r="X22" s="54"/>
      <c r="Y22" s="54"/>
      <c r="Z22" s="54"/>
      <c r="AA22" s="54"/>
    </row>
    <row r="23" spans="1:28" ht="15.75" thickBot="1" x14ac:dyDescent="0.3">
      <c r="A23" s="147"/>
      <c r="B23" s="53"/>
      <c r="C23" s="53"/>
      <c r="D23" s="53"/>
      <c r="E23" s="53"/>
      <c r="F23" s="53"/>
      <c r="G23" s="53"/>
      <c r="H23" s="53"/>
      <c r="I23" s="53"/>
      <c r="J23" s="53"/>
      <c r="K23" s="148"/>
      <c r="L23" s="53"/>
      <c r="M23" s="149"/>
      <c r="N23" s="53"/>
      <c r="O23" s="53"/>
      <c r="P23" s="53"/>
      <c r="Q23" s="148"/>
      <c r="R23" s="150"/>
      <c r="S23" s="53"/>
      <c r="T23" s="53"/>
      <c r="U23" s="53"/>
      <c r="V23" s="53">
        <f>AVERAGE(V10:V22)</f>
        <v>5.3364802452049511E-8</v>
      </c>
    </row>
    <row r="24" spans="1:28" ht="19.5" customHeight="1" x14ac:dyDescent="0.25">
      <c r="A24" s="114"/>
      <c r="B24" s="113" t="s">
        <v>16</v>
      </c>
      <c r="C24" s="224">
        <v>1</v>
      </c>
      <c r="D24" s="225"/>
      <c r="E24" s="224">
        <v>0.99</v>
      </c>
      <c r="F24" s="225"/>
      <c r="G24" s="224">
        <v>0.98</v>
      </c>
      <c r="H24" s="225"/>
      <c r="I24" s="224">
        <v>0.97</v>
      </c>
      <c r="J24" s="225"/>
      <c r="K24" s="226">
        <v>0.96</v>
      </c>
      <c r="L24" s="227"/>
      <c r="M24" s="228">
        <v>0.95</v>
      </c>
      <c r="N24" s="229"/>
      <c r="O24" s="224">
        <v>0.9</v>
      </c>
      <c r="P24" s="225"/>
      <c r="Q24" s="226">
        <v>0.85</v>
      </c>
      <c r="R24" s="227"/>
      <c r="S24" s="224">
        <v>0.8</v>
      </c>
      <c r="T24" s="225"/>
      <c r="U24" s="224">
        <v>0.75</v>
      </c>
      <c r="V24" s="230"/>
      <c r="W24" s="231">
        <v>0.7</v>
      </c>
      <c r="X24" s="231"/>
      <c r="Y24" s="231">
        <v>0.65</v>
      </c>
      <c r="Z24" s="231"/>
      <c r="AA24" s="231">
        <v>0.6</v>
      </c>
      <c r="AB24" s="232"/>
    </row>
    <row r="25" spans="1:28" ht="45.75" thickBot="1" x14ac:dyDescent="0.3">
      <c r="A25" s="155" t="s">
        <v>56</v>
      </c>
      <c r="B25" s="156" t="s">
        <v>57</v>
      </c>
      <c r="C25" s="158" t="s">
        <v>58</v>
      </c>
      <c r="D25" s="158" t="s">
        <v>60</v>
      </c>
      <c r="E25" s="158" t="s">
        <v>58</v>
      </c>
      <c r="F25" s="158" t="s">
        <v>60</v>
      </c>
      <c r="G25" s="158" t="s">
        <v>58</v>
      </c>
      <c r="H25" s="158" t="s">
        <v>60</v>
      </c>
      <c r="I25" s="158" t="s">
        <v>58</v>
      </c>
      <c r="J25" s="158" t="s">
        <v>60</v>
      </c>
      <c r="K25" s="158" t="s">
        <v>58</v>
      </c>
      <c r="L25" s="158" t="s">
        <v>60</v>
      </c>
      <c r="M25" s="158" t="s">
        <v>58</v>
      </c>
      <c r="N25" s="158" t="s">
        <v>60</v>
      </c>
      <c r="O25" s="158" t="s">
        <v>58</v>
      </c>
      <c r="P25" s="158" t="s">
        <v>60</v>
      </c>
      <c r="Q25" s="158" t="s">
        <v>58</v>
      </c>
      <c r="R25" s="158" t="s">
        <v>60</v>
      </c>
      <c r="S25" s="158" t="s">
        <v>58</v>
      </c>
      <c r="T25" s="158" t="s">
        <v>60</v>
      </c>
      <c r="U25" s="158" t="s">
        <v>58</v>
      </c>
      <c r="V25" s="158" t="s">
        <v>60</v>
      </c>
      <c r="W25" s="158" t="s">
        <v>58</v>
      </c>
      <c r="X25" s="158" t="s">
        <v>60</v>
      </c>
      <c r="Y25" s="158" t="s">
        <v>58</v>
      </c>
      <c r="Z25" s="158" t="s">
        <v>60</v>
      </c>
      <c r="AA25" s="158" t="s">
        <v>58</v>
      </c>
      <c r="AB25" s="158" t="s">
        <v>60</v>
      </c>
    </row>
    <row r="26" spans="1:28" ht="15.75" thickBot="1" x14ac:dyDescent="0.3">
      <c r="A26" s="116">
        <v>0</v>
      </c>
      <c r="B26" s="117">
        <v>10</v>
      </c>
      <c r="C26" s="159">
        <f>Q10</f>
        <v>2379.8508487352829</v>
      </c>
      <c r="D26" s="118">
        <f t="shared" ref="D26:D41" si="19">((4.7*(10^13)*($S$10*$R$10)^0.5)*EXP(-67837/C26)/($B$4*6))*$B$7*10^-6</f>
        <v>0</v>
      </c>
      <c r="E26" s="159">
        <f>Q11</f>
        <v>2358.0421024439938</v>
      </c>
      <c r="F26" s="118">
        <f t="shared" ref="F26:F41" si="20">((4.7*(10^13)*$S$11*$R$11^0.5*EXP(-67837/E26)/($B$4*6))*$B$7*10^-6)</f>
        <v>1.3117752983348129E-10</v>
      </c>
      <c r="G26" s="159">
        <f>Q12</f>
        <v>2336.3066041324691</v>
      </c>
      <c r="H26" s="118">
        <f t="shared" ref="H26:H41" si="21">((4.7*10^13*$S$12*$R$12^0.5*EXP(-67837/G26)/($B$4*6))*$B$7*10^-6)</f>
        <v>1.4198632185729416E-10</v>
      </c>
      <c r="I26" s="159">
        <f>Q13</f>
        <v>2314.6319381055964</v>
      </c>
      <c r="J26" s="118">
        <f t="shared" ref="J26:J41" si="22">((4.7*10^13*$S$13*$R$13^0.5*EXP(-67837/I26)/($B$4*6))*$B$7*10^-6)</f>
        <v>1.3253045047260356E-10</v>
      </c>
      <c r="K26" s="159">
        <f>Q14</f>
        <v>2293.0026326702728</v>
      </c>
      <c r="L26" s="118">
        <f t="shared" ref="L26:L41" si="23">((4.7*10^13*$S$14*$R$14^0.5*EXP(-67837/K26)/($B$4*6))*$B$7*10^-6)</f>
        <v>1.1609949690411192E-10</v>
      </c>
      <c r="M26" s="162">
        <f>Q15</f>
        <v>2271.372873180072</v>
      </c>
      <c r="N26" s="118">
        <f t="shared" ref="N26:N41" si="24">((4.7*10^13*$S$15*$R$15^0.5*EXP(-67837/M26)/($B$4*6))*$B$7*10^-6)</f>
        <v>9.7958349707273145E-11</v>
      </c>
      <c r="O26" s="159">
        <f>Q16</f>
        <v>2163.5820754894903</v>
      </c>
      <c r="P26" s="118">
        <f t="shared" ref="P26:P41" si="25">((4.7*10^13*$S$16*$R$16^0.5*EXP(-67837/O26)/($B$4*6))*$B$7*10^-6)</f>
        <v>3.1324888999823616E-11</v>
      </c>
      <c r="Q26" s="159">
        <f>Q17</f>
        <v>2057.1931846675971</v>
      </c>
      <c r="R26" s="165">
        <f t="shared" ref="R26:R41" si="26">((4.7*10^13*$S$17*$R$17^0.5*EXP(-67837/Q26)/($B$4*6))*$B$7*10^-6)</f>
        <v>7.5904930858465682E-12</v>
      </c>
      <c r="S26" s="159">
        <f>Q18</f>
        <v>1951.9381135125882</v>
      </c>
      <c r="T26" s="118">
        <f t="shared" ref="T26:T41" si="27">((4.7*10^13*$S$18*$R$18^0.5*EXP(-67837/S26)/($B$4*6))*$B$7*10^-6)</f>
        <v>1.4826481234654023E-12</v>
      </c>
      <c r="U26" s="159">
        <f>Q19</f>
        <v>1847.9157013128329</v>
      </c>
      <c r="V26" s="118">
        <f t="shared" ref="V26:V41" si="28">((4.7*10^13*$S$19*$R$19^0.5*EXP(-67837/U26)/($B$4*6))*$B$7*10^-6)</f>
        <v>2.3464084573096487E-13</v>
      </c>
      <c r="W26" s="159">
        <f>Q20</f>
        <v>1745.3149049661872</v>
      </c>
      <c r="X26" s="118">
        <f t="shared" ref="X26:X41" si="29">((4.7*10^13*$S$20*$R$20^0.5*EXP(-67837/W26)/($B$4*6))*$B$7*10^-6)</f>
        <v>2.97375957559345E-14</v>
      </c>
      <c r="Y26" s="159">
        <f>Q21</f>
        <v>1643.6894899774602</v>
      </c>
      <c r="Z26" s="118">
        <f t="shared" ref="Z26:Z41" si="30">((4.7*10^13*$S$21*$R$21^0.5*EXP(-67837/Y26)/($B$4*6))*$B$7*10^-6)</f>
        <v>2.908430777037057E-15</v>
      </c>
      <c r="AA26" s="159">
        <f>Q22</f>
        <v>1542.8114066684475</v>
      </c>
      <c r="AB26" s="118">
        <f t="shared" ref="AB26:AB41" si="31">((4.7*10^13*$S$22*$R$22^0.5*EXP(-67837/AA26)/($B$4*6))*$B$7*10^-6)</f>
        <v>2.0952211328830564E-16</v>
      </c>
    </row>
    <row r="27" spans="1:28" ht="15.75" thickBot="1" x14ac:dyDescent="0.3">
      <c r="A27" s="151">
        <v>1</v>
      </c>
      <c r="B27" s="154">
        <v>12</v>
      </c>
      <c r="C27" s="160">
        <f>(((B26*10^5)^(1-$B$8))*((B27*10^5)^($B$8-1))*(C26^$B$8))^(1/$B$8)</f>
        <v>2443.7383647015949</v>
      </c>
      <c r="D27" s="169">
        <f t="shared" si="19"/>
        <v>0</v>
      </c>
      <c r="E27" s="47">
        <f>(((B26*10^5)^(1-$B$8))*((B27*10^5)^($B$8-1))*(E26^$B$8))^(1/$B$8)</f>
        <v>2421.3441587679004</v>
      </c>
      <c r="F27" s="169">
        <f t="shared" si="20"/>
        <v>2.7828700004349145E-10</v>
      </c>
      <c r="G27" s="47">
        <f>(((B26*10^5)^(1-$B$8))*((B27*10^5)^($B$8-1))*(G26^$B$8))^(1/$B$8)</f>
        <v>2399.0251671689057</v>
      </c>
      <c r="H27" s="169">
        <f t="shared" si="21"/>
        <v>3.0333237661226307E-10</v>
      </c>
      <c r="I27" s="47">
        <f>(((B26*10^5)^(1-$B$8))*((B27*10^5)^($B$8-1))*(I26^$B$8))^(1/$B$8)</f>
        <v>2376.7686409079811</v>
      </c>
      <c r="J27" s="169">
        <f t="shared" si="22"/>
        <v>2.851510981757508E-10</v>
      </c>
      <c r="K27" s="160">
        <f>(((B26*10^5)^(1-$B$8))*((B27*10^5)^($B$8-1))*(K26^$B$8))^(1/$B$8)</f>
        <v>2354.5586929516858</v>
      </c>
      <c r="L27" s="169">
        <f t="shared" si="23"/>
        <v>2.5161037553634126E-10</v>
      </c>
      <c r="M27" s="163">
        <f>(((B26*10^5)^(1-$B$8))*((B27*10^5)^($B$8-1))*(M26^$B$8))^(1/$B$8)</f>
        <v>2332.3482787513335</v>
      </c>
      <c r="N27" s="169">
        <f t="shared" si="24"/>
        <v>2.1386432690381458E-10</v>
      </c>
      <c r="O27" s="47">
        <f>(((B26*10^5)^(1-$B$8))*((B27*10^5)^($B$8-1))*(O26^$B$8))^(1/$B$8)</f>
        <v>2221.66381807673</v>
      </c>
      <c r="P27" s="169">
        <f t="shared" si="25"/>
        <v>7.1101770540125488E-11</v>
      </c>
      <c r="Q27" s="160">
        <f>(((B26*10^5)^(1-$B$8))*((B27*10^5)^($B$8-1))*(Q26^$B$8))^(1/$B$8)</f>
        <v>2112.418898708077</v>
      </c>
      <c r="R27" s="165">
        <f t="shared" si="26"/>
        <v>1.7975092336001087E-11</v>
      </c>
      <c r="S27" s="47">
        <f>(((B26*10^5)^(1-$B$8))*((B27*10^5)^($B$8-1))*(S26^$B$8))^(1/$B$8)</f>
        <v>2004.3382365953289</v>
      </c>
      <c r="T27" s="169">
        <f t="shared" si="27"/>
        <v>3.678139550488182E-12</v>
      </c>
      <c r="U27" s="47">
        <f>(((B26*10^5)^(1-$B$8))*((B27*10^5)^($B$8-1))*(U26^$B$8))^(1/$B$8)</f>
        <v>1897.5233243849948</v>
      </c>
      <c r="V27" s="169">
        <f t="shared" si="28"/>
        <v>6.1264076914771569E-13</v>
      </c>
      <c r="W27" s="47">
        <f>(((B26*10^5)^(1-$B$8))*((B27*10^5)^($B$8-1))*(W26^$B$8))^(1/$B$8)</f>
        <v>1792.1681915561974</v>
      </c>
      <c r="X27" s="169">
        <f t="shared" si="29"/>
        <v>8.2150543638835381E-14</v>
      </c>
      <c r="Y27" s="47">
        <f>(((B26*10^5)^(1-$B$8))*((B27*10^5)^($B$8-1))*(Y26^$B$8))^(1/$B$8)</f>
        <v>1687.8146243699803</v>
      </c>
      <c r="Z27" s="169">
        <f t="shared" si="30"/>
        <v>8.5555539439685597E-15</v>
      </c>
      <c r="AA27" s="47">
        <f>(((B26*10^5)^(1-$B$8))*((B27*10^5)^($B$8-1))*(AA26^$B$8))^(1/$B$8)</f>
        <v>1584.22845111429</v>
      </c>
      <c r="AB27" s="169">
        <f t="shared" si="31"/>
        <v>6.6139117993646344E-16</v>
      </c>
    </row>
    <row r="28" spans="1:28" ht="15.75" thickBot="1" x14ac:dyDescent="0.3">
      <c r="A28" s="151">
        <v>2</v>
      </c>
      <c r="B28" s="154">
        <v>14</v>
      </c>
      <c r="C28" s="160">
        <f t="shared" ref="C28:C41" si="32">(((B27*10^5)^(1-$B$8))*((B28*10^5)^($B$8-1))*(C27^$B$8))^(1/$B$8)</f>
        <v>2499.0906995175892</v>
      </c>
      <c r="D28" s="169">
        <f t="shared" si="19"/>
        <v>0</v>
      </c>
      <c r="E28" s="47">
        <f t="shared" ref="E28:E41" si="33">(((B27*10^5)^(1-$B$8))*((B28*10^5)^($B$8-1))*(E27^$B$8))^(1/$B$8)</f>
        <v>2476.1892495995585</v>
      </c>
      <c r="F28" s="169">
        <f t="shared" si="20"/>
        <v>5.1759068592514487E-10</v>
      </c>
      <c r="G28" s="47">
        <f t="shared" ref="G28:G41" si="34">(((B27*10^5)^(1-$B$8))*((B28*10^5)^($B$8-1))*(G27^$B$8))^(1/$B$8)</f>
        <v>2453.3647176720297</v>
      </c>
      <c r="H28" s="169">
        <f t="shared" si="21"/>
        <v>5.6743941135518097E-10</v>
      </c>
      <c r="I28" s="47">
        <f t="shared" ref="I28:I41" si="35">(((B27*10^5)^(1-$B$8))*((B28*10^5)^($B$8-1))*(I27^$B$8))^(1/$B$8)</f>
        <v>2430.604065964932</v>
      </c>
      <c r="J28" s="169">
        <f t="shared" si="22"/>
        <v>5.3656562347449655E-10</v>
      </c>
      <c r="K28" s="160">
        <f t="shared" ref="K28:K41" si="36">(((B27*10^5)^(1-$B$8))*((B28*10^5)^($B$8-1))*(K27^$B$8))^(1/$B$8)</f>
        <v>2407.8910475927219</v>
      </c>
      <c r="L28" s="169">
        <f t="shared" si="23"/>
        <v>4.7628409762515112E-10</v>
      </c>
      <c r="M28" s="163">
        <f t="shared" ref="M28:M41" si="37">(((B27*10^5)^(1-$B$8))*((B28*10^5)^($B$8-1))*(M27^$B$8))^(1/$B$8)</f>
        <v>2385.1775524157079</v>
      </c>
      <c r="N28" s="169">
        <f t="shared" si="24"/>
        <v>4.0730055456222792E-10</v>
      </c>
      <c r="O28" s="47">
        <f t="shared" ref="O28:O41" si="38">(((B27*10^5)^(1-$B$8))*((B28*10^5)^($B$8-1))*(O27^$B$8))^(1/$B$8)</f>
        <v>2271.9860134815458</v>
      </c>
      <c r="P28" s="169">
        <f t="shared" si="25"/>
        <v>1.3982849641512716E-10</v>
      </c>
      <c r="Q28" s="160">
        <f t="shared" ref="Q28:Q41" si="39">(((B27*10^5)^(1-$B$8))*((B28*10^5)^($B$8-1))*(Q27^$B$8))^(1/$B$8)</f>
        <v>2160.2666224422819</v>
      </c>
      <c r="R28" s="165">
        <f t="shared" si="26"/>
        <v>3.6608004068090666E-11</v>
      </c>
      <c r="S28" s="47">
        <f t="shared" ref="S28:S41" si="40">(((B27*10^5)^(1-$B$8))*((B28*10^5)^($B$8-1))*(S27^$B$8))^(1/$B$8)</f>
        <v>2049.7378598770429</v>
      </c>
      <c r="T28" s="169">
        <f t="shared" si="27"/>
        <v>7.783775767083412E-12</v>
      </c>
      <c r="U28" s="47">
        <f t="shared" ref="U28:U41" si="41">(((B27*10^5)^(1-$B$8))*((B28*10^5)^($B$8-1))*(U27^$B$8))^(1/$B$8)</f>
        <v>1940.5035173097567</v>
      </c>
      <c r="V28" s="169">
        <f t="shared" si="28"/>
        <v>1.3523667044963284E-12</v>
      </c>
      <c r="W28" s="47">
        <f t="shared" ref="W28:W41" si="42">(((B27*10^5)^(1-$B$8))*((B28*10^5)^($B$8-1))*(W27^$B$8))^(1/$B$8)</f>
        <v>1832.7620191191193</v>
      </c>
      <c r="X28" s="169">
        <f t="shared" si="29"/>
        <v>1.8998310962865871E-13</v>
      </c>
      <c r="Y28" s="47">
        <f t="shared" ref="Y28:Y41" si="43">(((B27*10^5)^(1-$B$8))*((B28*10^5)^($B$8-1))*(Y27^$B$8))^(1/$B$8)</f>
        <v>1726.0447727135681</v>
      </c>
      <c r="Z28" s="169">
        <f t="shared" si="30"/>
        <v>2.0838401578917446E-14</v>
      </c>
      <c r="AA28" s="47">
        <f t="shared" ref="AA28:AA41" si="44">(((B27*10^5)^(1-$B$8))*((B28*10^5)^($B$8-1))*(AA27^$B$8))^(1/$B$8)</f>
        <v>1620.112302232618</v>
      </c>
      <c r="AB28" s="169">
        <f t="shared" si="31"/>
        <v>1.7074732699756006E-15</v>
      </c>
    </row>
    <row r="29" spans="1:28" ht="15.75" thickBot="1" x14ac:dyDescent="0.3">
      <c r="A29" s="151">
        <v>3</v>
      </c>
      <c r="B29" s="154">
        <v>16</v>
      </c>
      <c r="C29" s="160">
        <f t="shared" si="32"/>
        <v>2548.0514829314202</v>
      </c>
      <c r="D29" s="169">
        <f t="shared" si="19"/>
        <v>0</v>
      </c>
      <c r="E29" s="47">
        <f t="shared" si="33"/>
        <v>2524.7013606504738</v>
      </c>
      <c r="F29" s="169">
        <f t="shared" si="20"/>
        <v>8.7619908275750808E-10</v>
      </c>
      <c r="G29" s="47">
        <f t="shared" si="34"/>
        <v>2501.4296632941587</v>
      </c>
      <c r="H29" s="169">
        <f t="shared" si="21"/>
        <v>9.6530095926619267E-10</v>
      </c>
      <c r="I29" s="47">
        <f t="shared" si="35"/>
        <v>2478.223097663727</v>
      </c>
      <c r="J29" s="169">
        <f t="shared" si="22"/>
        <v>9.1733256535770301E-10</v>
      </c>
      <c r="K29" s="160">
        <f t="shared" si="36"/>
        <v>2455.0650985737639</v>
      </c>
      <c r="L29" s="169">
        <f t="shared" si="23"/>
        <v>8.1840254450530955E-10</v>
      </c>
      <c r="M29" s="163">
        <f t="shared" si="37"/>
        <v>2431.9066133377064</v>
      </c>
      <c r="N29" s="169">
        <f t="shared" si="24"/>
        <v>7.0348477462687786E-10</v>
      </c>
      <c r="O29" s="47">
        <f t="shared" si="38"/>
        <v>2316.4974892542341</v>
      </c>
      <c r="P29" s="169">
        <f t="shared" si="25"/>
        <v>2.4817599835857757E-10</v>
      </c>
      <c r="Q29" s="160">
        <f t="shared" si="39"/>
        <v>2202.5893545615868</v>
      </c>
      <c r="R29" s="165">
        <f t="shared" si="26"/>
        <v>6.6930766805399239E-11</v>
      </c>
      <c r="S29" s="47">
        <f t="shared" si="40"/>
        <v>2089.8951744682827</v>
      </c>
      <c r="T29" s="169">
        <f t="shared" si="27"/>
        <v>1.4701805410741276E-11</v>
      </c>
      <c r="U29" s="47">
        <f t="shared" si="41"/>
        <v>1978.5207739235802</v>
      </c>
      <c r="V29" s="169">
        <f t="shared" si="28"/>
        <v>2.6474117961142861E-12</v>
      </c>
      <c r="W29" s="47">
        <f t="shared" si="42"/>
        <v>1868.6684647253187</v>
      </c>
      <c r="X29" s="169">
        <f t="shared" si="29"/>
        <v>3.868936539820909E-13</v>
      </c>
      <c r="Y29" s="47">
        <f t="shared" si="43"/>
        <v>1759.8604738786828</v>
      </c>
      <c r="Z29" s="169">
        <f t="shared" si="30"/>
        <v>4.4344332757047331E-14</v>
      </c>
      <c r="AA29" s="47">
        <f t="shared" si="44"/>
        <v>1651.8526338464351</v>
      </c>
      <c r="AB29" s="169">
        <f t="shared" si="31"/>
        <v>3.8174423381444654E-15</v>
      </c>
    </row>
    <row r="30" spans="1:28" ht="15.75" thickBot="1" x14ac:dyDescent="0.3">
      <c r="A30" s="151">
        <v>4</v>
      </c>
      <c r="B30" s="154">
        <v>18</v>
      </c>
      <c r="C30" s="160">
        <f t="shared" si="32"/>
        <v>2592.0335372223572</v>
      </c>
      <c r="D30" s="169">
        <f t="shared" si="19"/>
        <v>0</v>
      </c>
      <c r="E30" s="47">
        <f t="shared" si="33"/>
        <v>2568.2803672193613</v>
      </c>
      <c r="F30" s="169">
        <f t="shared" si="20"/>
        <v>1.3823169794334572E-9</v>
      </c>
      <c r="G30" s="47">
        <f t="shared" si="34"/>
        <v>2544.6069758378571</v>
      </c>
      <c r="H30" s="169">
        <f t="shared" si="21"/>
        <v>1.5293598914400149E-9</v>
      </c>
      <c r="I30" s="47">
        <f t="shared" si="35"/>
        <v>2520.9998404244757</v>
      </c>
      <c r="J30" s="169">
        <f t="shared" si="22"/>
        <v>1.4596380490831951E-9</v>
      </c>
      <c r="K30" s="160">
        <f t="shared" si="36"/>
        <v>2497.4421098612406</v>
      </c>
      <c r="L30" s="169">
        <f t="shared" si="23"/>
        <v>1.3079408171290931E-9</v>
      </c>
      <c r="M30" s="163">
        <f t="shared" si="37"/>
        <v>2473.8838847605175</v>
      </c>
      <c r="N30" s="169">
        <f t="shared" si="24"/>
        <v>1.1293143887407675E-9</v>
      </c>
      <c r="O30" s="47">
        <f t="shared" si="38"/>
        <v>2356.4826775519159</v>
      </c>
      <c r="P30" s="169">
        <f t="shared" si="25"/>
        <v>4.0790690023115411E-10</v>
      </c>
      <c r="Q30" s="160">
        <f t="shared" si="39"/>
        <v>2240.6083683930965</v>
      </c>
      <c r="R30" s="165">
        <f t="shared" si="26"/>
        <v>1.1287229564858076E-10</v>
      </c>
      <c r="S30" s="47">
        <f t="shared" si="40"/>
        <v>2125.9689679695366</v>
      </c>
      <c r="T30" s="169">
        <f t="shared" si="27"/>
        <v>2.550179548393239E-11</v>
      </c>
      <c r="U30" s="47">
        <f t="shared" si="41"/>
        <v>2012.6721278806606</v>
      </c>
      <c r="V30" s="169">
        <f t="shared" si="28"/>
        <v>4.7368167077744344E-12</v>
      </c>
      <c r="W30" s="47">
        <f t="shared" si="42"/>
        <v>1900.9236520391785</v>
      </c>
      <c r="X30" s="169">
        <f t="shared" si="29"/>
        <v>7.163247541488281E-13</v>
      </c>
      <c r="Y30" s="47">
        <f t="shared" si="43"/>
        <v>1790.2375205848032</v>
      </c>
      <c r="Z30" s="169">
        <f t="shared" si="30"/>
        <v>8.5289683278856116E-14</v>
      </c>
      <c r="AA30" s="47">
        <f t="shared" si="44"/>
        <v>1680.3653513912466</v>
      </c>
      <c r="AB30" s="169">
        <f t="shared" si="31"/>
        <v>7.6630960711780803E-15</v>
      </c>
    </row>
    <row r="31" spans="1:28" ht="15.75" thickBot="1" x14ac:dyDescent="0.3">
      <c r="A31" s="151">
        <v>5</v>
      </c>
      <c r="B31" s="154">
        <v>20</v>
      </c>
      <c r="C31" s="160">
        <f t="shared" si="32"/>
        <v>2632.0197310193644</v>
      </c>
      <c r="D31" s="169">
        <f t="shared" si="19"/>
        <v>0</v>
      </c>
      <c r="E31" s="47">
        <f t="shared" si="33"/>
        <v>2607.900131012515</v>
      </c>
      <c r="F31" s="169">
        <f t="shared" si="20"/>
        <v>2.0648113289020902E-9</v>
      </c>
      <c r="G31" s="47">
        <f t="shared" si="34"/>
        <v>2583.8615403378612</v>
      </c>
      <c r="H31" s="169">
        <f t="shared" si="21"/>
        <v>2.292998389944712E-9</v>
      </c>
      <c r="I31" s="47">
        <f t="shared" si="35"/>
        <v>2559.8902277338389</v>
      </c>
      <c r="J31" s="169">
        <f t="shared" si="22"/>
        <v>2.1967788344982858E-9</v>
      </c>
      <c r="K31" s="160">
        <f t="shared" si="36"/>
        <v>2535.9690821274758</v>
      </c>
      <c r="L31" s="169">
        <f t="shared" si="23"/>
        <v>1.9760774082593464E-9</v>
      </c>
      <c r="M31" s="163">
        <f t="shared" si="37"/>
        <v>2512.0474343546061</v>
      </c>
      <c r="N31" s="169">
        <f t="shared" si="24"/>
        <v>1.7129210752144324E-9</v>
      </c>
      <c r="O31" s="47">
        <f t="shared" si="38"/>
        <v>2392.8351288881959</v>
      </c>
      <c r="P31" s="169">
        <f t="shared" si="25"/>
        <v>6.3168010225616631E-10</v>
      </c>
      <c r="Q31" s="160">
        <f t="shared" si="39"/>
        <v>2275.1732762753345</v>
      </c>
      <c r="R31" s="165">
        <f t="shared" si="26"/>
        <v>1.7879120708129411E-10</v>
      </c>
      <c r="S31" s="47">
        <f t="shared" si="40"/>
        <v>2158.7653828071125</v>
      </c>
      <c r="T31" s="169">
        <f t="shared" si="27"/>
        <v>4.1409617938877442E-11</v>
      </c>
      <c r="U31" s="47">
        <f t="shared" si="41"/>
        <v>2043.7207607781781</v>
      </c>
      <c r="V31" s="169">
        <f t="shared" si="28"/>
        <v>7.9043866075208785E-12</v>
      </c>
      <c r="W31" s="47">
        <f t="shared" si="42"/>
        <v>1930.248388950263</v>
      </c>
      <c r="X31" s="169">
        <f t="shared" si="29"/>
        <v>1.2318691196713936E-12</v>
      </c>
      <c r="Y31" s="47">
        <f t="shared" si="43"/>
        <v>1817.854749842372</v>
      </c>
      <c r="Z31" s="169">
        <f t="shared" si="30"/>
        <v>1.5167315114818677E-13</v>
      </c>
      <c r="AA31" s="47">
        <f t="shared" si="44"/>
        <v>1706.2876296432901</v>
      </c>
      <c r="AB31" s="169">
        <f t="shared" si="31"/>
        <v>1.4150238075640562E-14</v>
      </c>
    </row>
    <row r="32" spans="1:28" ht="15.75" thickBot="1" x14ac:dyDescent="0.3">
      <c r="A32" s="151">
        <v>6</v>
      </c>
      <c r="B32" s="154">
        <v>22</v>
      </c>
      <c r="C32" s="160">
        <f t="shared" si="32"/>
        <v>2668.7227780667413</v>
      </c>
      <c r="D32" s="169">
        <f t="shared" si="19"/>
        <v>0</v>
      </c>
      <c r="E32" s="47">
        <f t="shared" si="33"/>
        <v>2644.2668345274392</v>
      </c>
      <c r="F32" s="169">
        <f t="shared" si="20"/>
        <v>2.9528903916564284E-9</v>
      </c>
      <c r="G32" s="47">
        <f t="shared" si="34"/>
        <v>2619.8930299810631</v>
      </c>
      <c r="H32" s="169">
        <f t="shared" si="21"/>
        <v>3.2901533214914904E-9</v>
      </c>
      <c r="I32" s="47">
        <f t="shared" si="35"/>
        <v>2595.5874416860484</v>
      </c>
      <c r="J32" s="169">
        <f t="shared" si="22"/>
        <v>3.1627666028747454E-9</v>
      </c>
      <c r="K32" s="160">
        <f t="shared" si="36"/>
        <v>2571.3327199585528</v>
      </c>
      <c r="L32" s="169">
        <f t="shared" si="23"/>
        <v>2.8548137771886305E-9</v>
      </c>
      <c r="M32" s="163">
        <f t="shared" si="37"/>
        <v>2547.0774890619282</v>
      </c>
      <c r="N32" s="169">
        <f t="shared" si="24"/>
        <v>2.4833199244502186E-9</v>
      </c>
      <c r="O32" s="47">
        <f t="shared" si="38"/>
        <v>2426.2027891975604</v>
      </c>
      <c r="P32" s="169">
        <f t="shared" si="25"/>
        <v>9.3288548302599149E-10</v>
      </c>
      <c r="Q32" s="160">
        <f t="shared" si="39"/>
        <v>2306.9001629760382</v>
      </c>
      <c r="R32" s="165">
        <f t="shared" si="26"/>
        <v>2.6942280199755655E-10</v>
      </c>
      <c r="S32" s="47">
        <f t="shared" si="40"/>
        <v>2188.8689821364119</v>
      </c>
      <c r="T32" s="169">
        <f t="shared" si="27"/>
        <v>6.3795864968600146E-11</v>
      </c>
      <c r="U32" s="47">
        <f t="shared" si="41"/>
        <v>2072.2200833138381</v>
      </c>
      <c r="V32" s="169">
        <f t="shared" si="28"/>
        <v>1.2477424558932626E-11</v>
      </c>
      <c r="W32" s="47">
        <f t="shared" si="42"/>
        <v>1957.1653594417137</v>
      </c>
      <c r="X32" s="169">
        <f t="shared" si="29"/>
        <v>1.9974510800743681E-12</v>
      </c>
      <c r="Y32" s="47">
        <f t="shared" si="43"/>
        <v>1843.2044110255431</v>
      </c>
      <c r="Z32" s="169">
        <f t="shared" si="30"/>
        <v>2.5339534200325122E-13</v>
      </c>
      <c r="AA32" s="47">
        <f t="shared" si="44"/>
        <v>1730.0815071773707</v>
      </c>
      <c r="AB32" s="169">
        <f t="shared" si="31"/>
        <v>2.4447109517986432E-14</v>
      </c>
    </row>
    <row r="33" spans="1:29" ht="15.75" thickBot="1" x14ac:dyDescent="0.3">
      <c r="A33" s="151">
        <v>7</v>
      </c>
      <c r="B33" s="154">
        <v>24</v>
      </c>
      <c r="C33" s="160">
        <f t="shared" si="32"/>
        <v>2702.6767651265704</v>
      </c>
      <c r="D33" s="169">
        <f t="shared" si="19"/>
        <v>0</v>
      </c>
      <c r="E33" s="47">
        <f t="shared" si="33"/>
        <v>2677.9096702015595</v>
      </c>
      <c r="F33" s="169">
        <f t="shared" si="20"/>
        <v>4.0758641806774109E-9</v>
      </c>
      <c r="G33" s="47">
        <f t="shared" si="34"/>
        <v>2653.2257593185614</v>
      </c>
      <c r="H33" s="169">
        <f t="shared" si="21"/>
        <v>4.5550246000741299E-9</v>
      </c>
      <c r="I33" s="47">
        <f t="shared" si="35"/>
        <v>2628.6109325978719</v>
      </c>
      <c r="J33" s="169">
        <f t="shared" si="22"/>
        <v>4.3920235214838117E-9</v>
      </c>
      <c r="K33" s="160">
        <f t="shared" si="36"/>
        <v>2604.0476196167465</v>
      </c>
      <c r="L33" s="169">
        <f t="shared" si="23"/>
        <v>3.9766775983297425E-9</v>
      </c>
      <c r="M33" s="163">
        <f t="shared" si="37"/>
        <v>2579.4837909883654</v>
      </c>
      <c r="N33" s="169">
        <f t="shared" si="24"/>
        <v>3.4701320703608272E-9</v>
      </c>
      <c r="O33" s="47">
        <f t="shared" si="38"/>
        <v>2457.0712101463305</v>
      </c>
      <c r="P33" s="169">
        <f t="shared" si="25"/>
        <v>1.3255046404995431E-9</v>
      </c>
      <c r="Q33" s="160">
        <f t="shared" si="39"/>
        <v>2336.2507043382807</v>
      </c>
      <c r="R33" s="165">
        <f t="shared" si="26"/>
        <v>3.8983122725880636E-10</v>
      </c>
      <c r="S33" s="47">
        <f t="shared" si="40"/>
        <v>2216.7178204293728</v>
      </c>
      <c r="T33" s="169">
        <f t="shared" si="27"/>
        <v>9.4164324270661138E-11</v>
      </c>
      <c r="U33" s="47">
        <f t="shared" si="41"/>
        <v>2098.5848052220936</v>
      </c>
      <c r="V33" s="169">
        <f t="shared" si="28"/>
        <v>1.8825104974806275E-11</v>
      </c>
      <c r="W33" s="47">
        <f t="shared" si="42"/>
        <v>1982.0662475499084</v>
      </c>
      <c r="X33" s="169">
        <f t="shared" si="29"/>
        <v>3.0873693650853127E-12</v>
      </c>
      <c r="Y33" s="47">
        <f t="shared" si="43"/>
        <v>1866.6553813679623</v>
      </c>
      <c r="Z33" s="169">
        <f t="shared" si="30"/>
        <v>4.0234947473842781E-13</v>
      </c>
      <c r="AA33" s="47">
        <f t="shared" si="44"/>
        <v>1752.0932221407738</v>
      </c>
      <c r="AB33" s="169">
        <f t="shared" si="31"/>
        <v>4.000940833699102E-14</v>
      </c>
    </row>
    <row r="34" spans="1:29" ht="15.75" thickBot="1" x14ac:dyDescent="0.3">
      <c r="A34" s="151">
        <v>8</v>
      </c>
      <c r="B34" s="154">
        <v>26</v>
      </c>
      <c r="C34" s="160">
        <f t="shared" si="32"/>
        <v>2734.2927590111681</v>
      </c>
      <c r="D34" s="169">
        <f t="shared" si="19"/>
        <v>0</v>
      </c>
      <c r="E34" s="47">
        <f t="shared" si="33"/>
        <v>2709.2359378666579</v>
      </c>
      <c r="F34" s="169">
        <f t="shared" si="20"/>
        <v>5.4629649417541568E-9</v>
      </c>
      <c r="G34" s="47">
        <f t="shared" si="34"/>
        <v>2684.2632738535799</v>
      </c>
      <c r="H34" s="169">
        <f t="shared" si="21"/>
        <v>6.1218531112043008E-9</v>
      </c>
      <c r="I34" s="47">
        <f t="shared" si="35"/>
        <v>2659.360502151414</v>
      </c>
      <c r="J34" s="169">
        <f t="shared" si="22"/>
        <v>5.9191469887397405E-9</v>
      </c>
      <c r="K34" s="160">
        <f t="shared" si="36"/>
        <v>2634.5098467980824</v>
      </c>
      <c r="L34" s="169">
        <f t="shared" si="23"/>
        <v>5.3744902787804257E-9</v>
      </c>
      <c r="M34" s="163">
        <f t="shared" si="37"/>
        <v>2609.6586697654388</v>
      </c>
      <c r="N34" s="169">
        <f t="shared" si="24"/>
        <v>4.7033645554660752E-9</v>
      </c>
      <c r="O34" s="47">
        <f t="shared" si="38"/>
        <v>2485.8141028800715</v>
      </c>
      <c r="P34" s="169">
        <f t="shared" si="25"/>
        <v>1.8239936440735063E-9</v>
      </c>
      <c r="Q34" s="160">
        <f t="shared" si="39"/>
        <v>2363.5802351702027</v>
      </c>
      <c r="R34" s="165">
        <f t="shared" si="26"/>
        <v>5.4536673585432918E-10</v>
      </c>
      <c r="S34" s="47">
        <f t="shared" si="40"/>
        <v>2242.6490519990834</v>
      </c>
      <c r="T34" s="169">
        <f t="shared" si="27"/>
        <v>1.3414086077374637E-10</v>
      </c>
      <c r="U34" s="47">
        <f t="shared" si="41"/>
        <v>2123.1341132356638</v>
      </c>
      <c r="V34" s="169">
        <f t="shared" si="28"/>
        <v>2.735663771312578E-11</v>
      </c>
      <c r="W34" s="47">
        <f t="shared" si="42"/>
        <v>2005.2525179800205</v>
      </c>
      <c r="X34" s="169">
        <f t="shared" si="29"/>
        <v>4.5862362758456935E-12</v>
      </c>
      <c r="Y34" s="47">
        <f t="shared" si="43"/>
        <v>1888.4915720229026</v>
      </c>
      <c r="Z34" s="169">
        <f t="shared" si="30"/>
        <v>6.1248781499325101E-13</v>
      </c>
      <c r="AA34" s="47">
        <f t="shared" si="44"/>
        <v>1772.5892612199634</v>
      </c>
      <c r="AB34" s="169">
        <f t="shared" si="31"/>
        <v>6.2602067347519741E-14</v>
      </c>
    </row>
    <row r="35" spans="1:29" ht="15.75" thickBot="1" x14ac:dyDescent="0.3">
      <c r="A35" s="151">
        <v>9</v>
      </c>
      <c r="B35" s="154">
        <v>28</v>
      </c>
      <c r="C35" s="160">
        <f t="shared" si="32"/>
        <v>2763.894230696365</v>
      </c>
      <c r="D35" s="169">
        <f t="shared" si="19"/>
        <v>0</v>
      </c>
      <c r="E35" s="47">
        <f t="shared" si="33"/>
        <v>2738.5661442386609</v>
      </c>
      <c r="F35" s="169">
        <f t="shared" si="20"/>
        <v>7.1432124401594224E-9</v>
      </c>
      <c r="G35" s="47">
        <f t="shared" si="34"/>
        <v>2713.3231259980585</v>
      </c>
      <c r="H35" s="169">
        <f t="shared" si="21"/>
        <v>8.0247511701583154E-9</v>
      </c>
      <c r="I35" s="47">
        <f t="shared" si="35"/>
        <v>2688.1507567229942</v>
      </c>
      <c r="J35" s="169">
        <f t="shared" si="22"/>
        <v>7.7787272436743493E-9</v>
      </c>
      <c r="K35" s="160">
        <f t="shared" si="36"/>
        <v>2663.0310680087046</v>
      </c>
      <c r="L35" s="169">
        <f t="shared" si="23"/>
        <v>7.081184170514103E-9</v>
      </c>
      <c r="M35" s="163">
        <f t="shared" si="37"/>
        <v>2637.9108519673991</v>
      </c>
      <c r="N35" s="169">
        <f t="shared" si="24"/>
        <v>6.2132349850561108E-9</v>
      </c>
      <c r="O35" s="47">
        <f t="shared" si="38"/>
        <v>2512.7255429731481</v>
      </c>
      <c r="P35" s="169">
        <f t="shared" si="25"/>
        <v>2.4431842185914984E-9</v>
      </c>
      <c r="Q35" s="160">
        <f t="shared" si="39"/>
        <v>2389.1683705944351</v>
      </c>
      <c r="R35" s="165">
        <f t="shared" si="26"/>
        <v>7.4162770280478411E-10</v>
      </c>
      <c r="S35" s="47">
        <f t="shared" si="40"/>
        <v>2266.9279856259955</v>
      </c>
      <c r="T35" s="169">
        <f t="shared" si="27"/>
        <v>1.8546288511380625E-10</v>
      </c>
      <c r="U35" s="47">
        <f t="shared" si="41"/>
        <v>2146.1191773366795</v>
      </c>
      <c r="V35" s="169">
        <f t="shared" si="28"/>
        <v>3.8519324432263234E-11</v>
      </c>
      <c r="W35" s="47">
        <f t="shared" si="42"/>
        <v>2026.961395142873</v>
      </c>
      <c r="X35" s="169">
        <f t="shared" si="29"/>
        <v>6.5888400594642904E-12</v>
      </c>
      <c r="Y35" s="47">
        <f t="shared" si="43"/>
        <v>1908.9363944043878</v>
      </c>
      <c r="Z35" s="169">
        <f t="shared" si="30"/>
        <v>8.9986783170669431E-13</v>
      </c>
      <c r="AA35" s="47">
        <f t="shared" si="44"/>
        <v>1791.7793244099994</v>
      </c>
      <c r="AB35" s="169">
        <f t="shared" si="31"/>
        <v>9.4318026624406818E-14</v>
      </c>
    </row>
    <row r="36" spans="1:29" ht="15.75" thickBot="1" x14ac:dyDescent="0.3">
      <c r="A36" s="151">
        <v>10</v>
      </c>
      <c r="B36" s="154">
        <v>30</v>
      </c>
      <c r="C36" s="160">
        <f t="shared" si="32"/>
        <v>2791.7405201707193</v>
      </c>
      <c r="D36" s="169">
        <f t="shared" si="19"/>
        <v>0</v>
      </c>
      <c r="E36" s="47">
        <f t="shared" si="33"/>
        <v>2766.1572527370213</v>
      </c>
      <c r="F36" s="169">
        <f t="shared" si="20"/>
        <v>9.1453130202464125E-9</v>
      </c>
      <c r="G36" s="47">
        <f t="shared" si="34"/>
        <v>2740.6599105844084</v>
      </c>
      <c r="H36" s="169">
        <f t="shared" si="21"/>
        <v>1.0297573021773841E-8</v>
      </c>
      <c r="I36" s="47">
        <f t="shared" si="35"/>
        <v>2715.2339291870694</v>
      </c>
      <c r="J36" s="169">
        <f t="shared" si="22"/>
        <v>1.0005205711084775E-8</v>
      </c>
      <c r="K36" s="160">
        <f t="shared" si="36"/>
        <v>2689.8611591082076</v>
      </c>
      <c r="L36" s="169">
        <f t="shared" si="23"/>
        <v>9.1296584920118474E-9</v>
      </c>
      <c r="M36" s="163">
        <f t="shared" si="37"/>
        <v>2664.4878563894977</v>
      </c>
      <c r="N36" s="169">
        <f t="shared" si="24"/>
        <v>8.0300314496919272E-9</v>
      </c>
      <c r="O36" s="47">
        <f t="shared" si="38"/>
        <v>2538.0413029114738</v>
      </c>
      <c r="P36" s="169">
        <f t="shared" si="25"/>
        <v>3.1982003153723436E-9</v>
      </c>
      <c r="Q36" s="160">
        <f t="shared" si="39"/>
        <v>2413.2392895578505</v>
      </c>
      <c r="R36" s="165">
        <f t="shared" si="26"/>
        <v>9.8442695589997092E-10</v>
      </c>
      <c r="S36" s="47">
        <f t="shared" si="40"/>
        <v>2289.7673302739117</v>
      </c>
      <c r="T36" s="169">
        <f t="shared" si="27"/>
        <v>2.4996949137695744E-10</v>
      </c>
      <c r="U36" s="47">
        <f t="shared" si="41"/>
        <v>2167.7413708326762</v>
      </c>
      <c r="V36" s="169">
        <f t="shared" si="28"/>
        <v>5.2796575750110148E-11</v>
      </c>
      <c r="W36" s="47">
        <f t="shared" si="42"/>
        <v>2047.3830716077764</v>
      </c>
      <c r="X36" s="169">
        <f t="shared" si="29"/>
        <v>9.199950956080214E-12</v>
      </c>
      <c r="Y36" s="47">
        <f t="shared" si="43"/>
        <v>1928.168966633943</v>
      </c>
      <c r="Z36" s="169">
        <f t="shared" si="30"/>
        <v>1.2826814945281411E-12</v>
      </c>
      <c r="AA36" s="47">
        <f t="shared" si="44"/>
        <v>1809.8315368237547</v>
      </c>
      <c r="AB36" s="169">
        <f t="shared" si="31"/>
        <v>1.3759426002912334E-13</v>
      </c>
    </row>
    <row r="37" spans="1:29" ht="15.75" thickBot="1" x14ac:dyDescent="0.3">
      <c r="A37" s="151">
        <v>11</v>
      </c>
      <c r="B37" s="154">
        <v>32</v>
      </c>
      <c r="C37" s="160">
        <f t="shared" si="32"/>
        <v>2818.0428963826421</v>
      </c>
      <c r="D37" s="169">
        <f t="shared" si="19"/>
        <v>0</v>
      </c>
      <c r="E37" s="47">
        <f t="shared" si="33"/>
        <v>2792.2185962598705</v>
      </c>
      <c r="F37" s="169">
        <f t="shared" si="20"/>
        <v>1.1497584347558759E-8</v>
      </c>
      <c r="G37" s="47">
        <f t="shared" si="34"/>
        <v>2766.481030963002</v>
      </c>
      <c r="H37" s="169">
        <f t="shared" si="21"/>
        <v>1.2973816119657732E-8</v>
      </c>
      <c r="I37" s="47">
        <f t="shared" si="35"/>
        <v>2740.8154987465814</v>
      </c>
      <c r="J37" s="169">
        <f t="shared" si="22"/>
        <v>1.2632764987059066E-8</v>
      </c>
      <c r="K37" s="160">
        <f t="shared" si="36"/>
        <v>2715.2036791789401</v>
      </c>
      <c r="L37" s="169">
        <f t="shared" si="23"/>
        <v>1.1552665623422733E-8</v>
      </c>
      <c r="M37" s="163">
        <f t="shared" si="37"/>
        <v>2689.5913219531849</v>
      </c>
      <c r="N37" s="169">
        <f t="shared" si="24"/>
        <v>1.0184000400576921E-8</v>
      </c>
      <c r="O37" s="47">
        <f t="shared" si="38"/>
        <v>2561.9534525930976</v>
      </c>
      <c r="P37" s="169">
        <f t="shared" si="25"/>
        <v>4.1043875301445727E-9</v>
      </c>
      <c r="Q37" s="160">
        <f t="shared" si="39"/>
        <v>2435.975617388011</v>
      </c>
      <c r="R37" s="165">
        <f t="shared" si="26"/>
        <v>1.2797619626218002E-9</v>
      </c>
      <c r="S37" s="47">
        <f t="shared" si="40"/>
        <v>2311.3403673536441</v>
      </c>
      <c r="T37" s="169">
        <f t="shared" si="27"/>
        <v>3.2959228914219014E-10</v>
      </c>
      <c r="U37" s="47">
        <f t="shared" si="41"/>
        <v>2188.1647406458219</v>
      </c>
      <c r="V37" s="169">
        <f t="shared" si="28"/>
        <v>7.0705935215453039E-11</v>
      </c>
      <c r="W37" s="47">
        <f t="shared" si="42"/>
        <v>2066.6724860108229</v>
      </c>
      <c r="X37" s="169">
        <f t="shared" si="29"/>
        <v>1.2534086562911365E-11</v>
      </c>
      <c r="Y37" s="47">
        <f t="shared" si="43"/>
        <v>1946.3352056501174</v>
      </c>
      <c r="Z37" s="169">
        <f t="shared" si="30"/>
        <v>1.7812706015263547E-12</v>
      </c>
      <c r="AA37" s="47">
        <f t="shared" si="44"/>
        <v>1826.8828600458821</v>
      </c>
      <c r="AB37" s="169">
        <f t="shared" si="31"/>
        <v>1.952253178804497E-13</v>
      </c>
    </row>
    <row r="38" spans="1:29" ht="15.75" thickBot="1" x14ac:dyDescent="0.3">
      <c r="A38" s="151">
        <v>12</v>
      </c>
      <c r="B38" s="154">
        <v>34</v>
      </c>
      <c r="C38" s="160">
        <f t="shared" si="32"/>
        <v>2842.9758593506058</v>
      </c>
      <c r="D38" s="169">
        <f t="shared" si="19"/>
        <v>0</v>
      </c>
      <c r="E38" s="47">
        <f t="shared" si="33"/>
        <v>2816.9230757226846</v>
      </c>
      <c r="F38" s="169">
        <f t="shared" si="20"/>
        <v>1.4227899831971285E-8</v>
      </c>
      <c r="G38" s="47">
        <f t="shared" si="34"/>
        <v>2790.9577943171448</v>
      </c>
      <c r="H38" s="169">
        <f t="shared" si="21"/>
        <v>1.6086546244889948E-8</v>
      </c>
      <c r="I38" s="47">
        <f t="shared" si="35"/>
        <v>2765.0651833131255</v>
      </c>
      <c r="J38" s="169">
        <f t="shared" si="22"/>
        <v>1.5695243580257519E-8</v>
      </c>
      <c r="K38" s="160">
        <f t="shared" si="36"/>
        <v>2739.226760186808</v>
      </c>
      <c r="L38" s="169">
        <f t="shared" si="23"/>
        <v>1.4382721399174829E-8</v>
      </c>
      <c r="M38" s="163">
        <f t="shared" si="37"/>
        <v>2713.387794645384</v>
      </c>
      <c r="N38" s="169">
        <f t="shared" si="24"/>
        <v>1.2705256821120902E-8</v>
      </c>
      <c r="O38" s="47">
        <f t="shared" si="38"/>
        <v>2584.6206343599706</v>
      </c>
      <c r="P38" s="169">
        <f t="shared" si="25"/>
        <v>5.177253266931102E-9</v>
      </c>
      <c r="Q38" s="160">
        <f t="shared" si="39"/>
        <v>2457.5281955752225</v>
      </c>
      <c r="R38" s="165">
        <f t="shared" si="26"/>
        <v>1.6337884347038863E-9</v>
      </c>
      <c r="S38" s="47">
        <f t="shared" si="40"/>
        <v>2331.7902206399667</v>
      </c>
      <c r="T38" s="169">
        <f t="shared" si="27"/>
        <v>4.2634692146995378E-10</v>
      </c>
      <c r="U38" s="47">
        <f t="shared" si="41"/>
        <v>2207.5247832187574</v>
      </c>
      <c r="V38" s="169">
        <f t="shared" si="28"/>
        <v>9.2797140618944972E-11</v>
      </c>
      <c r="W38" s="47">
        <f t="shared" si="42"/>
        <v>2084.9576117009824</v>
      </c>
      <c r="X38" s="169">
        <f t="shared" si="29"/>
        <v>1.6715248492069194E-11</v>
      </c>
      <c r="Y38" s="47">
        <f t="shared" si="43"/>
        <v>1963.5556332270044</v>
      </c>
      <c r="Z38" s="169">
        <f t="shared" si="30"/>
        <v>2.4181305646523177E-12</v>
      </c>
      <c r="AA38" s="47">
        <f t="shared" si="44"/>
        <v>1843.0464190728937</v>
      </c>
      <c r="AB38" s="169">
        <f t="shared" si="31"/>
        <v>2.7037463771630257E-13</v>
      </c>
    </row>
    <row r="39" spans="1:29" ht="15.75" thickBot="1" x14ac:dyDescent="0.3">
      <c r="A39" s="151">
        <v>13</v>
      </c>
      <c r="B39" s="154">
        <v>36</v>
      </c>
      <c r="C39" s="160">
        <f t="shared" si="32"/>
        <v>2866.6852870459188</v>
      </c>
      <c r="D39" s="169">
        <f t="shared" si="19"/>
        <v>0</v>
      </c>
      <c r="E39" s="47">
        <f t="shared" si="33"/>
        <v>2840.4152322837167</v>
      </c>
      <c r="F39" s="169">
        <f t="shared" si="20"/>
        <v>1.7363648231600278E-8</v>
      </c>
      <c r="G39" s="47">
        <f t="shared" si="34"/>
        <v>2814.2334094819325</v>
      </c>
      <c r="H39" s="169">
        <f t="shared" si="21"/>
        <v>1.9668341211618454E-8</v>
      </c>
      <c r="I39" s="47">
        <f t="shared" si="35"/>
        <v>2788.1248631274889</v>
      </c>
      <c r="J39" s="169">
        <f t="shared" si="22"/>
        <v>1.9226070149359529E-8</v>
      </c>
      <c r="K39" s="160">
        <f t="shared" si="36"/>
        <v>2762.0709565587572</v>
      </c>
      <c r="L39" s="169">
        <f t="shared" si="23"/>
        <v>1.7652034480655979E-8</v>
      </c>
      <c r="M39" s="163">
        <f t="shared" si="37"/>
        <v>2736.0165030513658</v>
      </c>
      <c r="N39" s="169">
        <f t="shared" si="24"/>
        <v>1.5623712289545483E-8</v>
      </c>
      <c r="O39" s="47">
        <f t="shared" si="38"/>
        <v>2606.1754695333407</v>
      </c>
      <c r="P39" s="169">
        <f t="shared" si="25"/>
        <v>6.4324159151620001E-9</v>
      </c>
      <c r="Q39" s="160">
        <f t="shared" si="39"/>
        <v>2478.0231241095394</v>
      </c>
      <c r="R39" s="165">
        <f t="shared" si="26"/>
        <v>2.0527969481371273E-9</v>
      </c>
      <c r="S39" s="47">
        <f t="shared" si="40"/>
        <v>2351.2365382916132</v>
      </c>
      <c r="T39" s="169">
        <f t="shared" si="27"/>
        <v>5.423252416768496E-10</v>
      </c>
      <c r="U39" s="47">
        <f t="shared" si="41"/>
        <v>2225.9347704373236</v>
      </c>
      <c r="V39" s="169">
        <f t="shared" si="28"/>
        <v>1.1965024246675397E-10</v>
      </c>
      <c r="W39" s="47">
        <f t="shared" si="42"/>
        <v>2102.3454314321384</v>
      </c>
      <c r="X39" s="169">
        <f t="shared" si="29"/>
        <v>2.1876639504409837E-11</v>
      </c>
      <c r="Y39" s="47">
        <f t="shared" si="43"/>
        <v>1979.9310027745862</v>
      </c>
      <c r="Z39" s="169">
        <f t="shared" si="30"/>
        <v>3.217904685878384E-12</v>
      </c>
      <c r="AA39" s="47">
        <f t="shared" si="44"/>
        <v>1858.4167837801394</v>
      </c>
      <c r="AB39" s="169">
        <f t="shared" si="31"/>
        <v>3.6658385882007278E-13</v>
      </c>
    </row>
    <row r="40" spans="1:29" ht="15.75" thickBot="1" x14ac:dyDescent="0.3">
      <c r="A40" s="151">
        <v>14</v>
      </c>
      <c r="B40" s="154">
        <v>38</v>
      </c>
      <c r="C40" s="160">
        <f t="shared" si="32"/>
        <v>2889.294431855828</v>
      </c>
      <c r="D40" s="169">
        <f t="shared" si="19"/>
        <v>0</v>
      </c>
      <c r="E40" s="47">
        <f t="shared" si="33"/>
        <v>2862.8171888560587</v>
      </c>
      <c r="F40" s="169">
        <f t="shared" si="20"/>
        <v>2.0931705029300395E-8</v>
      </c>
      <c r="G40" s="47">
        <f t="shared" si="34"/>
        <v>2836.4288736898047</v>
      </c>
      <c r="H40" s="169">
        <f t="shared" si="21"/>
        <v>2.375124914642581E-8</v>
      </c>
      <c r="I40" s="47">
        <f t="shared" si="35"/>
        <v>2810.1144128919545</v>
      </c>
      <c r="J40" s="169">
        <f t="shared" si="22"/>
        <v>2.3258213183009671E-8</v>
      </c>
      <c r="K40" s="160">
        <f t="shared" si="36"/>
        <v>2783.8550228161403</v>
      </c>
      <c r="L40" s="169">
        <f t="shared" si="23"/>
        <v>2.1392450985773402E-8</v>
      </c>
      <c r="M40" s="163">
        <f t="shared" si="37"/>
        <v>2757.5950814880407</v>
      </c>
      <c r="N40" s="169">
        <f t="shared" si="24"/>
        <v>1.8969017477063294E-8</v>
      </c>
      <c r="O40" s="47">
        <f t="shared" si="38"/>
        <v>2626.7300099487038</v>
      </c>
      <c r="P40" s="169">
        <f t="shared" si="25"/>
        <v>7.8855616107014799E-9</v>
      </c>
      <c r="Q40" s="160">
        <f t="shared" si="39"/>
        <v>2497.5669449497509</v>
      </c>
      <c r="R40" s="165">
        <f t="shared" si="26"/>
        <v>2.5431922180924584E-9</v>
      </c>
      <c r="S40" s="47">
        <f t="shared" si="40"/>
        <v>2369.7804111111391</v>
      </c>
      <c r="T40" s="169">
        <f t="shared" si="27"/>
        <v>6.7968811181180535E-10</v>
      </c>
      <c r="U40" s="47">
        <f t="shared" si="41"/>
        <v>2243.4904057871963</v>
      </c>
      <c r="V40" s="169">
        <f t="shared" si="28"/>
        <v>1.5187379200458887E-10</v>
      </c>
      <c r="W40" s="47">
        <f t="shared" si="42"/>
        <v>2118.9263349985276</v>
      </c>
      <c r="X40" s="169">
        <f t="shared" si="29"/>
        <v>2.8160368164845136E-11</v>
      </c>
      <c r="Y40" s="47">
        <f t="shared" si="43"/>
        <v>1995.5464409106239</v>
      </c>
      <c r="Z40" s="169">
        <f t="shared" si="30"/>
        <v>4.2073706242790467E-12</v>
      </c>
      <c r="AA40" s="47">
        <f t="shared" si="44"/>
        <v>1873.0738563131865</v>
      </c>
      <c r="AB40" s="169">
        <f t="shared" si="31"/>
        <v>4.8778035719646271E-13</v>
      </c>
    </row>
    <row r="41" spans="1:29" ht="15.75" thickBot="1" x14ac:dyDescent="0.3">
      <c r="A41" s="152">
        <v>15</v>
      </c>
      <c r="B41" s="157">
        <v>40</v>
      </c>
      <c r="C41" s="161">
        <f t="shared" si="32"/>
        <v>2910.9084160281477</v>
      </c>
      <c r="D41" s="169">
        <f t="shared" si="19"/>
        <v>0</v>
      </c>
      <c r="E41" s="119">
        <f t="shared" si="33"/>
        <v>2884.2331043563822</v>
      </c>
      <c r="F41" s="169">
        <f t="shared" si="20"/>
        <v>2.4958412977239712E-8</v>
      </c>
      <c r="G41" s="119">
        <f t="shared" si="34"/>
        <v>2857.6473857617862</v>
      </c>
      <c r="H41" s="169">
        <f t="shared" si="21"/>
        <v>2.8366758248618488E-8</v>
      </c>
      <c r="I41" s="119">
        <f t="shared" si="35"/>
        <v>2831.136074018973</v>
      </c>
      <c r="J41" s="169">
        <f t="shared" si="22"/>
        <v>2.7824142972182579E-8</v>
      </c>
      <c r="K41" s="161">
        <f t="shared" si="36"/>
        <v>2804.6802449664974</v>
      </c>
      <c r="L41" s="169">
        <f t="shared" si="23"/>
        <v>2.5635411379910042E-8</v>
      </c>
      <c r="M41" s="164">
        <f t="shared" si="37"/>
        <v>2778.2238605379739</v>
      </c>
      <c r="N41" s="169">
        <f t="shared" si="24"/>
        <v>2.2770516351829326E-8</v>
      </c>
      <c r="O41" s="119">
        <f t="shared" si="38"/>
        <v>2646.3798248772346</v>
      </c>
      <c r="P41" s="169">
        <f t="shared" si="25"/>
        <v>9.552407399500546E-9</v>
      </c>
      <c r="Q41" s="161">
        <f t="shared" si="39"/>
        <v>2516.250527980359</v>
      </c>
      <c r="R41" s="165">
        <f t="shared" si="26"/>
        <v>3.1114747097579884E-9</v>
      </c>
      <c r="S41" s="119">
        <f t="shared" si="40"/>
        <v>2387.5080596792136</v>
      </c>
      <c r="T41" s="169">
        <f t="shared" si="27"/>
        <v>8.4065878123511498E-10</v>
      </c>
      <c r="U41" s="119">
        <f t="shared" si="41"/>
        <v>2260.273314993959</v>
      </c>
      <c r="V41" s="169">
        <f t="shared" si="28"/>
        <v>1.901031060035823E-10</v>
      </c>
      <c r="W41" s="119">
        <f t="shared" si="42"/>
        <v>2134.7774160659415</v>
      </c>
      <c r="X41" s="169">
        <f t="shared" si="29"/>
        <v>3.5717146423888189E-11</v>
      </c>
      <c r="Y41" s="119">
        <f t="shared" si="43"/>
        <v>2010.4745523254483</v>
      </c>
      <c r="Z41" s="169">
        <f t="shared" si="30"/>
        <v>5.4154204757367023E-12</v>
      </c>
      <c r="AA41" s="119">
        <f t="shared" si="44"/>
        <v>1887.0857853978714</v>
      </c>
      <c r="AB41" s="169">
        <f t="shared" si="31"/>
        <v>6.3828319801129263E-13</v>
      </c>
    </row>
    <row r="42" spans="1:29" x14ac:dyDescent="0.25">
      <c r="A42" s="147"/>
      <c r="B42" s="147"/>
      <c r="C42" s="233" t="s">
        <v>61</v>
      </c>
      <c r="D42" s="169">
        <f>SUM(D26:D41)</f>
        <v>0</v>
      </c>
      <c r="E42" s="235" t="s">
        <v>61</v>
      </c>
      <c r="F42" s="169">
        <f>SUM(F26:F41)</f>
        <v>1.2300987799905944E-7</v>
      </c>
      <c r="G42" s="235" t="s">
        <v>61</v>
      </c>
      <c r="H42" s="169">
        <f>SUM(H26:H41)</f>
        <v>1.3893648354638816E-7</v>
      </c>
      <c r="I42" s="235" t="s">
        <v>61</v>
      </c>
      <c r="J42" s="169">
        <f>SUM(J26:J41)</f>
        <v>1.3542230156078781E-7</v>
      </c>
      <c r="K42" s="235" t="s">
        <v>61</v>
      </c>
      <c r="L42" s="169">
        <f>SUM(L26:L41)</f>
        <v>1.2397852292572108E-7</v>
      </c>
      <c r="M42" s="235" t="s">
        <v>61</v>
      </c>
      <c r="N42" s="169">
        <f>SUM(N26:N41)</f>
        <v>1.0941742979491649E-7</v>
      </c>
      <c r="O42" s="235" t="s">
        <v>61</v>
      </c>
      <c r="P42" s="169">
        <f>SUM(P26:P41)</f>
        <v>4.4405812180803564E-8</v>
      </c>
      <c r="Q42" s="235" t="s">
        <v>61</v>
      </c>
      <c r="R42" s="165">
        <f>SUM(R26:R41)</f>
        <v>1.397245755615392E-8</v>
      </c>
      <c r="S42" s="235" t="s">
        <v>61</v>
      </c>
      <c r="T42" s="169">
        <f>SUM(T26:T41)</f>
        <v>3.6407025541142732E-9</v>
      </c>
      <c r="U42" s="235" t="s">
        <v>61</v>
      </c>
      <c r="V42" s="169">
        <f>SUM(V26:V41)</f>
        <v>7.9259354716934591E-10</v>
      </c>
      <c r="W42" s="235" t="s">
        <v>61</v>
      </c>
      <c r="X42" s="169">
        <f>SUM(X26:X41)</f>
        <v>1.4310029566149936E-10</v>
      </c>
      <c r="Y42" s="235" t="s">
        <v>61</v>
      </c>
      <c r="Z42" s="169">
        <f>SUM(Z26:Z41)</f>
        <v>2.0804488463526581E-11</v>
      </c>
      <c r="AA42" s="235" t="s">
        <v>61</v>
      </c>
      <c r="AB42" s="169">
        <f>SUM(AB26:AB41)</f>
        <v>2.3454274045287716E-12</v>
      </c>
    </row>
    <row r="43" spans="1:29" ht="15.75" thickBot="1" x14ac:dyDescent="0.3">
      <c r="A43" s="147"/>
      <c r="B43" s="147"/>
      <c r="C43" s="234"/>
      <c r="D43" s="44"/>
      <c r="E43" s="236"/>
      <c r="F43" s="44"/>
      <c r="G43" s="236"/>
      <c r="H43" s="44"/>
      <c r="I43" s="236"/>
      <c r="J43" s="44"/>
      <c r="K43" s="236"/>
      <c r="L43" s="44"/>
      <c r="M43" s="236"/>
      <c r="N43" s="44"/>
      <c r="O43" s="236"/>
      <c r="P43" s="44"/>
      <c r="Q43" s="236"/>
      <c r="R43" s="153"/>
      <c r="S43" s="236"/>
      <c r="T43" s="44"/>
      <c r="U43" s="236"/>
      <c r="V43" s="44"/>
      <c r="W43" s="236"/>
      <c r="X43" s="44"/>
      <c r="Y43" s="236"/>
      <c r="Z43" s="44"/>
      <c r="AA43" s="236"/>
      <c r="AB43" s="120"/>
    </row>
    <row r="44" spans="1:29" ht="15.75" thickBot="1" x14ac:dyDescent="0.3">
      <c r="A44" s="166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:29" ht="30.75" thickBot="1" x14ac:dyDescent="0.3">
      <c r="A45" s="66" t="str">
        <f>'Enthalpy Data'!X1</f>
        <v>Deg K</v>
      </c>
      <c r="B45" s="81" t="str">
        <f>'Enthalpy Data'!Y1</f>
        <v>Net Enthalpy</v>
      </c>
      <c r="C45" s="81">
        <f>'Enthalpy Data'!Z1</f>
        <v>0.99</v>
      </c>
      <c r="D45" s="81">
        <f>'Enthalpy Data'!AA1</f>
        <v>0.98</v>
      </c>
      <c r="E45" s="81">
        <f>'Enthalpy Data'!AB1</f>
        <v>0.97</v>
      </c>
      <c r="F45" s="81">
        <f>'Enthalpy Data'!AC1</f>
        <v>0.96</v>
      </c>
      <c r="G45" s="81">
        <f>'Enthalpy Data'!AD1</f>
        <v>0.95</v>
      </c>
      <c r="H45" s="81">
        <f>'Enthalpy Data'!AE1</f>
        <v>0.9</v>
      </c>
      <c r="I45" s="81">
        <f>'Enthalpy Data'!AF1</f>
        <v>0.85</v>
      </c>
      <c r="J45" s="81">
        <f>'Enthalpy Data'!AG1</f>
        <v>0.8</v>
      </c>
      <c r="K45" s="81">
        <f>'Enthalpy Data'!AH1</f>
        <v>0.75</v>
      </c>
      <c r="L45" s="81">
        <f>'Enthalpy Data'!AI1</f>
        <v>0.7</v>
      </c>
      <c r="M45" s="81">
        <f>'Enthalpy Data'!AJ1</f>
        <v>0.65</v>
      </c>
      <c r="N45" s="82">
        <f>'Enthalpy Data'!AK1</f>
        <v>0.6</v>
      </c>
      <c r="P45" s="66" t="str">
        <f>'Enthalpy Data'!X38</f>
        <v>Deg K</v>
      </c>
      <c r="Q45" s="81" t="str">
        <f>'Enthalpy Data'!Y38</f>
        <v>Net Enthalpy</v>
      </c>
      <c r="R45" s="81">
        <f>'Enthalpy Data'!Z38</f>
        <v>0.99</v>
      </c>
      <c r="S45" s="81">
        <f>'Enthalpy Data'!AA38</f>
        <v>0.98</v>
      </c>
      <c r="T45" s="81">
        <f>'Enthalpy Data'!AB38</f>
        <v>0.97</v>
      </c>
      <c r="U45" s="81">
        <f>'Enthalpy Data'!AC38</f>
        <v>0.96</v>
      </c>
      <c r="V45" s="81">
        <f>'Enthalpy Data'!AD38</f>
        <v>0.95</v>
      </c>
      <c r="W45" s="81">
        <f>'Enthalpy Data'!AE38</f>
        <v>0.9</v>
      </c>
      <c r="X45" s="81">
        <f>'Enthalpy Data'!AF38</f>
        <v>0.85</v>
      </c>
      <c r="Y45" s="81">
        <f>'Enthalpy Data'!AG38</f>
        <v>0.8</v>
      </c>
      <c r="Z45" s="81">
        <f>'Enthalpy Data'!AH38</f>
        <v>0.75</v>
      </c>
      <c r="AA45" s="81">
        <f>'Enthalpy Data'!AI38</f>
        <v>0.7</v>
      </c>
      <c r="AB45" s="81">
        <f>'Enthalpy Data'!AJ38</f>
        <v>0.65</v>
      </c>
      <c r="AC45" s="82">
        <f>'Enthalpy Data'!AK38</f>
        <v>0.6</v>
      </c>
    </row>
    <row r="46" spans="1:29" x14ac:dyDescent="0.25">
      <c r="A46" s="130">
        <f>'Enthalpy Data'!X2</f>
        <v>1900</v>
      </c>
      <c r="B46" s="78">
        <f>'Enthalpy Data'!Y2</f>
        <v>3763.2309523809522</v>
      </c>
      <c r="C46" s="79">
        <f>'Enthalpy Data'!Z2</f>
        <v>3763.1246000000001</v>
      </c>
      <c r="D46" s="79">
        <f>'Enthalpy Data'!AA2</f>
        <v>3763.2184000000002</v>
      </c>
      <c r="E46" s="79">
        <f>'Enthalpy Data'!AB2</f>
        <v>3763.3122000000003</v>
      </c>
      <c r="F46" s="79">
        <f>'Enthalpy Data'!AC2</f>
        <v>3763.4059999999999</v>
      </c>
      <c r="G46" s="79">
        <f>'Enthalpy Data'!AD2</f>
        <v>3763.4998000000001</v>
      </c>
      <c r="H46" s="79">
        <f>'Enthalpy Data'!AE2</f>
        <v>3763.9688000000001</v>
      </c>
      <c r="I46" s="79">
        <f>'Enthalpy Data'!AF2</f>
        <v>3764.4378000000002</v>
      </c>
      <c r="J46" s="79">
        <f>'Enthalpy Data'!AG2</f>
        <v>3764.9068000000002</v>
      </c>
      <c r="K46" s="79">
        <f>'Enthalpy Data'!AH2</f>
        <v>3765.3758000000003</v>
      </c>
      <c r="L46" s="79">
        <f>'Enthalpy Data'!AI2</f>
        <v>3765.8447999999999</v>
      </c>
      <c r="M46" s="79">
        <f>'Enthalpy Data'!AJ2</f>
        <v>3766.3137999999999</v>
      </c>
      <c r="N46" s="80">
        <f>'Enthalpy Data'!AK2</f>
        <v>3766.7828</v>
      </c>
      <c r="P46" s="126">
        <f>'Enthalpy Data'!X39</f>
        <v>1000</v>
      </c>
      <c r="Q46" s="105">
        <f>'Enthalpy Data'!Y39</f>
        <v>1510.7894000000001</v>
      </c>
      <c r="R46" s="129">
        <f>'Enthalpy Data'!Z39</f>
        <v>1510.9558</v>
      </c>
      <c r="S46" s="129">
        <f>'Enthalpy Data'!AA39</f>
        <v>1511.1222</v>
      </c>
      <c r="T46" s="129">
        <f>'Enthalpy Data'!AB39</f>
        <v>1511.2885999999999</v>
      </c>
      <c r="U46" s="129">
        <f>'Enthalpy Data'!AC39</f>
        <v>1511.4549999999999</v>
      </c>
      <c r="V46" s="129">
        <f>'Enthalpy Data'!AD39</f>
        <v>1511.6214</v>
      </c>
      <c r="W46" s="129">
        <f>'Enthalpy Data'!AE39</f>
        <v>1512.4534000000001</v>
      </c>
      <c r="X46" s="129">
        <f>'Enthalpy Data'!AF39</f>
        <v>1513.2854</v>
      </c>
      <c r="Y46" s="129">
        <f>'Enthalpy Data'!AG39</f>
        <v>1514.1173999999999</v>
      </c>
      <c r="Z46" s="129">
        <f>'Enthalpy Data'!AH39</f>
        <v>1514.9494</v>
      </c>
      <c r="AA46" s="129">
        <f>'Enthalpy Data'!AI39</f>
        <v>1515.7814000000001</v>
      </c>
      <c r="AB46" s="129">
        <f>'Enthalpy Data'!AJ39</f>
        <v>1516.6134000000002</v>
      </c>
      <c r="AC46" s="106">
        <f>'Enthalpy Data'!AK39</f>
        <v>1517.4454000000001</v>
      </c>
    </row>
    <row r="47" spans="1:29" x14ac:dyDescent="0.25">
      <c r="A47" s="131">
        <f>'Enthalpy Data'!X3</f>
        <v>1950</v>
      </c>
      <c r="B47" s="47">
        <f>'Enthalpy Data'!Y3</f>
        <v>3894.2535714285714</v>
      </c>
      <c r="C47" s="43">
        <f>'Enthalpy Data'!Z3</f>
        <v>3894.1346000000003</v>
      </c>
      <c r="D47" s="43">
        <f>'Enthalpy Data'!AA3</f>
        <v>3894.2226000000005</v>
      </c>
      <c r="E47" s="43">
        <f>'Enthalpy Data'!AB3</f>
        <v>3894.3106000000002</v>
      </c>
      <c r="F47" s="43">
        <f>'Enthalpy Data'!AC3</f>
        <v>3894.3986</v>
      </c>
      <c r="G47" s="43">
        <f>'Enthalpy Data'!AD3</f>
        <v>3894.4866000000006</v>
      </c>
      <c r="H47" s="43">
        <f>'Enthalpy Data'!AE3</f>
        <v>3894.9266000000002</v>
      </c>
      <c r="I47" s="43">
        <f>'Enthalpy Data'!AF3</f>
        <v>3895.3666000000003</v>
      </c>
      <c r="J47" s="43">
        <f>'Enthalpy Data'!AG3</f>
        <v>3895.8066000000003</v>
      </c>
      <c r="K47" s="43">
        <f>'Enthalpy Data'!AH3</f>
        <v>3896.2466000000004</v>
      </c>
      <c r="L47" s="43">
        <f>'Enthalpy Data'!AI3</f>
        <v>3896.6866000000005</v>
      </c>
      <c r="M47" s="43">
        <f>'Enthalpy Data'!AJ3</f>
        <v>3897.1266000000001</v>
      </c>
      <c r="N47" s="76">
        <f>'Enthalpy Data'!AK3</f>
        <v>3897.5666000000006</v>
      </c>
      <c r="P47" s="127">
        <f>'Enthalpy Data'!X40</f>
        <v>1050</v>
      </c>
      <c r="Q47" s="47">
        <f>'Enthalpy Data'!Y40</f>
        <v>1628.4621999999999</v>
      </c>
      <c r="R47" s="43">
        <f>'Enthalpy Data'!Z40</f>
        <v>1628.62895</v>
      </c>
      <c r="S47" s="43">
        <f>'Enthalpy Data'!AA40</f>
        <v>1628.7957000000001</v>
      </c>
      <c r="T47" s="43">
        <f>'Enthalpy Data'!AB40</f>
        <v>1628.96245</v>
      </c>
      <c r="U47" s="43">
        <f>'Enthalpy Data'!AC40</f>
        <v>1629.1291999999999</v>
      </c>
      <c r="V47" s="43">
        <f>'Enthalpy Data'!AD40</f>
        <v>1629.2959499999999</v>
      </c>
      <c r="W47" s="43">
        <f>'Enthalpy Data'!AE40</f>
        <v>1630.1297</v>
      </c>
      <c r="X47" s="43">
        <f>'Enthalpy Data'!AF40</f>
        <v>1630.96345</v>
      </c>
      <c r="Y47" s="43">
        <f>'Enthalpy Data'!AG40</f>
        <v>1631.7972</v>
      </c>
      <c r="Z47" s="43">
        <f>'Enthalpy Data'!AH40</f>
        <v>1632.63095</v>
      </c>
      <c r="AA47" s="43">
        <f>'Enthalpy Data'!AI40</f>
        <v>1633.4647</v>
      </c>
      <c r="AB47" s="43">
        <f>'Enthalpy Data'!AJ40</f>
        <v>1634.2984500000002</v>
      </c>
      <c r="AC47" s="76">
        <f>'Enthalpy Data'!AK40</f>
        <v>1635.1322</v>
      </c>
    </row>
    <row r="48" spans="1:29" x14ac:dyDescent="0.25">
      <c r="A48" s="131">
        <f>'Enthalpy Data'!X4</f>
        <v>2000</v>
      </c>
      <c r="B48" s="47">
        <f>'Enthalpy Data'!Y4</f>
        <v>4026.0064285714288</v>
      </c>
      <c r="C48" s="43">
        <f>'Enthalpy Data'!Z4</f>
        <v>4025.8752500000001</v>
      </c>
      <c r="D48" s="43">
        <f>'Enthalpy Data'!AA4</f>
        <v>4025.9579000000003</v>
      </c>
      <c r="E48" s="43">
        <f>'Enthalpy Data'!AB4</f>
        <v>4026.0405500000002</v>
      </c>
      <c r="F48" s="43">
        <f>'Enthalpy Data'!AC4</f>
        <v>4026.1232</v>
      </c>
      <c r="G48" s="43">
        <f>'Enthalpy Data'!AD4</f>
        <v>4026.2058500000003</v>
      </c>
      <c r="H48" s="43">
        <f>'Enthalpy Data'!AE4</f>
        <v>4026.6191000000003</v>
      </c>
      <c r="I48" s="43">
        <f>'Enthalpy Data'!AF4</f>
        <v>4027.03235</v>
      </c>
      <c r="J48" s="43">
        <f>'Enthalpy Data'!AG4</f>
        <v>4027.4456000000005</v>
      </c>
      <c r="K48" s="43">
        <f>'Enthalpy Data'!AH4</f>
        <v>4027.8588500000001</v>
      </c>
      <c r="L48" s="43">
        <f>'Enthalpy Data'!AI4</f>
        <v>4028.2721000000001</v>
      </c>
      <c r="M48" s="43">
        <f>'Enthalpy Data'!AJ4</f>
        <v>4028.6853500000002</v>
      </c>
      <c r="N48" s="76">
        <f>'Enthalpy Data'!AK4</f>
        <v>4029.0985999999998</v>
      </c>
      <c r="P48" s="127">
        <f>'Enthalpy Data'!X41</f>
        <v>1100</v>
      </c>
      <c r="Q48" s="47">
        <f>'Enthalpy Data'!Y41</f>
        <v>1747.6754000000001</v>
      </c>
      <c r="R48" s="43">
        <f>'Enthalpy Data'!Z41</f>
        <v>1747.8413500000001</v>
      </c>
      <c r="S48" s="43">
        <f>'Enthalpy Data'!AA41</f>
        <v>1748.0073</v>
      </c>
      <c r="T48" s="43">
        <f>'Enthalpy Data'!AB41</f>
        <v>1748.1732500000001</v>
      </c>
      <c r="U48" s="43">
        <f>'Enthalpy Data'!AC41</f>
        <v>1748.3392000000001</v>
      </c>
      <c r="V48" s="43">
        <f>'Enthalpy Data'!AD41</f>
        <v>1748.50515</v>
      </c>
      <c r="W48" s="43">
        <f>'Enthalpy Data'!AE41</f>
        <v>1749.3349000000001</v>
      </c>
      <c r="X48" s="43">
        <f>'Enthalpy Data'!AF41</f>
        <v>1750.1646500000002</v>
      </c>
      <c r="Y48" s="43">
        <f>'Enthalpy Data'!AG41</f>
        <v>1750.9944000000003</v>
      </c>
      <c r="Z48" s="43">
        <f>'Enthalpy Data'!AH41</f>
        <v>1751.8241500000001</v>
      </c>
      <c r="AA48" s="43">
        <f>'Enthalpy Data'!AI41</f>
        <v>1752.6539</v>
      </c>
      <c r="AB48" s="43">
        <f>'Enthalpy Data'!AJ41</f>
        <v>1753.4836500000001</v>
      </c>
      <c r="AC48" s="76">
        <f>'Enthalpy Data'!AK41</f>
        <v>1754.3134000000002</v>
      </c>
    </row>
    <row r="49" spans="1:29" x14ac:dyDescent="0.25">
      <c r="A49" s="131">
        <f>'Enthalpy Data'!X5</f>
        <v>2050</v>
      </c>
      <c r="B49" s="47">
        <f>'Enthalpy Data'!Y5</f>
        <v>4157.9392857142857</v>
      </c>
      <c r="C49" s="43">
        <f>'Enthalpy Data'!Z5</f>
        <v>4157.7959000000001</v>
      </c>
      <c r="D49" s="43">
        <f>'Enthalpy Data'!AA5</f>
        <v>4157.8732000000009</v>
      </c>
      <c r="E49" s="43">
        <f>'Enthalpy Data'!AB5</f>
        <v>4157.9504999999999</v>
      </c>
      <c r="F49" s="43">
        <f>'Enthalpy Data'!AC5</f>
        <v>4158.0277999999998</v>
      </c>
      <c r="G49" s="43">
        <f>'Enthalpy Data'!AD5</f>
        <v>4158.1051000000007</v>
      </c>
      <c r="H49" s="43">
        <f>'Enthalpy Data'!AE5</f>
        <v>4158.4916000000003</v>
      </c>
      <c r="I49" s="43">
        <f>'Enthalpy Data'!AF5</f>
        <v>4158.8780999999999</v>
      </c>
      <c r="J49" s="43">
        <f>'Enthalpy Data'!AG5</f>
        <v>4159.2646000000004</v>
      </c>
      <c r="K49" s="43">
        <f>'Enthalpy Data'!AH5</f>
        <v>4159.6511</v>
      </c>
      <c r="L49" s="43">
        <f>'Enthalpy Data'!AI5</f>
        <v>4160.0376000000006</v>
      </c>
      <c r="M49" s="43">
        <f>'Enthalpy Data'!AJ5</f>
        <v>4160.4241000000002</v>
      </c>
      <c r="N49" s="76">
        <f>'Enthalpy Data'!AK5</f>
        <v>4160.8106000000007</v>
      </c>
      <c r="P49" s="127">
        <f>'Enthalpy Data'!X42</f>
        <v>1150</v>
      </c>
      <c r="Q49" s="47">
        <f>'Enthalpy Data'!Y42</f>
        <v>1867.7888000000003</v>
      </c>
      <c r="R49" s="43">
        <f>'Enthalpy Data'!Z42</f>
        <v>1867.9536000000003</v>
      </c>
      <c r="S49" s="43">
        <f>'Enthalpy Data'!AA42</f>
        <v>1868.1184000000001</v>
      </c>
      <c r="T49" s="43">
        <f>'Enthalpy Data'!AB42</f>
        <v>1868.2832000000001</v>
      </c>
      <c r="U49" s="43">
        <f>'Enthalpy Data'!AC42</f>
        <v>1868.4480000000001</v>
      </c>
      <c r="V49" s="43">
        <f>'Enthalpy Data'!AD42</f>
        <v>1868.6128000000001</v>
      </c>
      <c r="W49" s="43">
        <f>'Enthalpy Data'!AE42</f>
        <v>1869.4368000000002</v>
      </c>
      <c r="X49" s="43">
        <f>'Enthalpy Data'!AF42</f>
        <v>1870.2608</v>
      </c>
      <c r="Y49" s="43">
        <f>'Enthalpy Data'!AG42</f>
        <v>1871.0848000000001</v>
      </c>
      <c r="Z49" s="43">
        <f>'Enthalpy Data'!AH42</f>
        <v>1871.9088000000002</v>
      </c>
      <c r="AA49" s="43">
        <f>'Enthalpy Data'!AI42</f>
        <v>1872.7328000000002</v>
      </c>
      <c r="AB49" s="43">
        <f>'Enthalpy Data'!AJ42</f>
        <v>1873.5568000000003</v>
      </c>
      <c r="AC49" s="76">
        <f>'Enthalpy Data'!AK42</f>
        <v>1874.3808000000001</v>
      </c>
    </row>
    <row r="50" spans="1:29" x14ac:dyDescent="0.25">
      <c r="A50" s="131">
        <f>'Enthalpy Data'!X6</f>
        <v>2100</v>
      </c>
      <c r="B50" s="47">
        <f>'Enthalpy Data'!Y6</f>
        <v>4290.0421428571426</v>
      </c>
      <c r="C50" s="43">
        <f>'Enthalpy Data'!Z6</f>
        <v>4289.8869999999997</v>
      </c>
      <c r="D50" s="43">
        <f>'Enthalpy Data'!AA6</f>
        <v>4289.9593999999997</v>
      </c>
      <c r="E50" s="43">
        <f>'Enthalpy Data'!AB6</f>
        <v>4290.0317999999997</v>
      </c>
      <c r="F50" s="43">
        <f>'Enthalpy Data'!AC6</f>
        <v>4290.1041999999998</v>
      </c>
      <c r="G50" s="43">
        <f>'Enthalpy Data'!AD6</f>
        <v>4290.1766000000007</v>
      </c>
      <c r="H50" s="43">
        <f>'Enthalpy Data'!AE6</f>
        <v>4290.5385999999999</v>
      </c>
      <c r="I50" s="43">
        <f>'Enthalpy Data'!AF6</f>
        <v>4290.9005999999999</v>
      </c>
      <c r="J50" s="43">
        <f>'Enthalpy Data'!AG6</f>
        <v>4291.2626</v>
      </c>
      <c r="K50" s="43">
        <f>'Enthalpy Data'!AH6</f>
        <v>4291.6246000000001</v>
      </c>
      <c r="L50" s="43">
        <f>'Enthalpy Data'!AI6</f>
        <v>4291.9866000000002</v>
      </c>
      <c r="M50" s="43">
        <f>'Enthalpy Data'!AJ6</f>
        <v>4292.3486000000003</v>
      </c>
      <c r="N50" s="76">
        <f>'Enthalpy Data'!AK6</f>
        <v>4292.7106000000003</v>
      </c>
      <c r="P50" s="127">
        <f>'Enthalpy Data'!X43</f>
        <v>1200</v>
      </c>
      <c r="Q50" s="47">
        <f>'Enthalpy Data'!Y43</f>
        <v>1988.8024</v>
      </c>
      <c r="R50" s="43">
        <f>'Enthalpy Data'!Z43</f>
        <v>1988.9644500000002</v>
      </c>
      <c r="S50" s="43">
        <f>'Enthalpy Data'!AA43</f>
        <v>1989.1265000000003</v>
      </c>
      <c r="T50" s="43">
        <f>'Enthalpy Data'!AB43</f>
        <v>1989.28855</v>
      </c>
      <c r="U50" s="43">
        <f>'Enthalpy Data'!AC43</f>
        <v>1989.4506000000001</v>
      </c>
      <c r="V50" s="43">
        <f>'Enthalpy Data'!AD43</f>
        <v>1989.6126500000003</v>
      </c>
      <c r="W50" s="43">
        <f>'Enthalpy Data'!AE43</f>
        <v>1990.4229000000003</v>
      </c>
      <c r="X50" s="43">
        <f>'Enthalpy Data'!AF43</f>
        <v>1991.23315</v>
      </c>
      <c r="Y50" s="43">
        <f>'Enthalpy Data'!AG43</f>
        <v>1992.0434000000002</v>
      </c>
      <c r="Z50" s="43">
        <f>'Enthalpy Data'!AH43</f>
        <v>1992.85365</v>
      </c>
      <c r="AA50" s="43">
        <f>'Enthalpy Data'!AI43</f>
        <v>1993.6639000000002</v>
      </c>
      <c r="AB50" s="43">
        <f>'Enthalpy Data'!AJ43</f>
        <v>1994.4741500000002</v>
      </c>
      <c r="AC50" s="76">
        <f>'Enthalpy Data'!AK43</f>
        <v>1995.2844</v>
      </c>
    </row>
    <row r="51" spans="1:29" x14ac:dyDescent="0.25">
      <c r="A51" s="131">
        <f>'Enthalpy Data'!X7</f>
        <v>2150</v>
      </c>
      <c r="B51" s="47">
        <f>'Enthalpy Data'!Y7</f>
        <v>4422.7852380952381</v>
      </c>
      <c r="C51" s="43">
        <f>'Enthalpy Data'!Z7</f>
        <v>4422.6175000000003</v>
      </c>
      <c r="D51" s="43">
        <f>'Enthalpy Data'!AA7</f>
        <v>4422.6841999999997</v>
      </c>
      <c r="E51" s="43">
        <f>'Enthalpy Data'!AB7</f>
        <v>4422.7509</v>
      </c>
      <c r="F51" s="43">
        <f>'Enthalpy Data'!AC7</f>
        <v>4422.8176000000003</v>
      </c>
      <c r="G51" s="43">
        <f>'Enthalpy Data'!AD7</f>
        <v>4422.8842999999997</v>
      </c>
      <c r="H51" s="43">
        <f>'Enthalpy Data'!AE7</f>
        <v>4423.2177999999994</v>
      </c>
      <c r="I51" s="43">
        <f>'Enthalpy Data'!AF7</f>
        <v>4423.5513000000001</v>
      </c>
      <c r="J51" s="43">
        <f>'Enthalpy Data'!AG7</f>
        <v>4423.8847999999998</v>
      </c>
      <c r="K51" s="43">
        <f>'Enthalpy Data'!AH7</f>
        <v>4424.2183000000005</v>
      </c>
      <c r="L51" s="43">
        <f>'Enthalpy Data'!AI7</f>
        <v>4424.5518000000002</v>
      </c>
      <c r="M51" s="43">
        <f>'Enthalpy Data'!AJ7</f>
        <v>4424.8852999999999</v>
      </c>
      <c r="N51" s="76">
        <f>'Enthalpy Data'!AK7</f>
        <v>4425.2187999999996</v>
      </c>
      <c r="P51" s="127">
        <f>'Enthalpy Data'!X44</f>
        <v>1250</v>
      </c>
      <c r="Q51" s="47">
        <f>'Enthalpy Data'!Y44</f>
        <v>2110.6262000000002</v>
      </c>
      <c r="R51" s="43">
        <f>'Enthalpy Data'!Z44</f>
        <v>2110.7864000000004</v>
      </c>
      <c r="S51" s="43">
        <f>'Enthalpy Data'!AA44</f>
        <v>2110.9465999999998</v>
      </c>
      <c r="T51" s="43">
        <f>'Enthalpy Data'!AB44</f>
        <v>2111.1068000000005</v>
      </c>
      <c r="U51" s="43">
        <f>'Enthalpy Data'!AC44</f>
        <v>2111.2670000000003</v>
      </c>
      <c r="V51" s="43">
        <f>'Enthalpy Data'!AD44</f>
        <v>2111.4272000000001</v>
      </c>
      <c r="W51" s="43">
        <f>'Enthalpy Data'!AE44</f>
        <v>2112.2282</v>
      </c>
      <c r="X51" s="43">
        <f>'Enthalpy Data'!AF44</f>
        <v>2113.0292000000004</v>
      </c>
      <c r="Y51" s="43">
        <f>'Enthalpy Data'!AG44</f>
        <v>2113.8302000000003</v>
      </c>
      <c r="Z51" s="43">
        <f>'Enthalpy Data'!AH44</f>
        <v>2114.6312000000003</v>
      </c>
      <c r="AA51" s="43">
        <f>'Enthalpy Data'!AI44</f>
        <v>2115.4322000000002</v>
      </c>
      <c r="AB51" s="43">
        <f>'Enthalpy Data'!AJ44</f>
        <v>2116.2332000000001</v>
      </c>
      <c r="AC51" s="76">
        <f>'Enthalpy Data'!AK44</f>
        <v>2117.0342000000001</v>
      </c>
    </row>
    <row r="52" spans="1:29" x14ac:dyDescent="0.25">
      <c r="A52" s="131">
        <f>'Enthalpy Data'!X8</f>
        <v>2200</v>
      </c>
      <c r="B52" s="47">
        <f>'Enthalpy Data'!Y8</f>
        <v>4556.3485714285716</v>
      </c>
      <c r="C52" s="43">
        <f>'Enthalpy Data'!Z8</f>
        <v>4556.1686499999996</v>
      </c>
      <c r="D52" s="43">
        <f>'Enthalpy Data'!AA8</f>
        <v>4556.2300999999998</v>
      </c>
      <c r="E52" s="43">
        <f>'Enthalpy Data'!AB8</f>
        <v>4556.2915499999999</v>
      </c>
      <c r="F52" s="43">
        <f>'Enthalpy Data'!AC8</f>
        <v>4556.353000000001</v>
      </c>
      <c r="G52" s="43">
        <f>'Enthalpy Data'!AD8</f>
        <v>4556.4144500000002</v>
      </c>
      <c r="H52" s="43">
        <f>'Enthalpy Data'!AE8</f>
        <v>4556.7217000000001</v>
      </c>
      <c r="I52" s="43">
        <f>'Enthalpy Data'!AF8</f>
        <v>4557.0289500000008</v>
      </c>
      <c r="J52" s="43">
        <f>'Enthalpy Data'!AG8</f>
        <v>4557.3362000000006</v>
      </c>
      <c r="K52" s="43">
        <f>'Enthalpy Data'!AH8</f>
        <v>4557.6434500000005</v>
      </c>
      <c r="L52" s="43">
        <f>'Enthalpy Data'!AI8</f>
        <v>4557.9507000000003</v>
      </c>
      <c r="M52" s="43">
        <f>'Enthalpy Data'!AJ8</f>
        <v>4558.2579500000002</v>
      </c>
      <c r="N52" s="76">
        <f>'Enthalpy Data'!AK8</f>
        <v>4558.5652000000009</v>
      </c>
      <c r="P52" s="127">
        <f>'Enthalpy Data'!X45</f>
        <v>1300</v>
      </c>
      <c r="Q52" s="47">
        <f>'Enthalpy Data'!Y45</f>
        <v>2233.4402</v>
      </c>
      <c r="R52" s="43">
        <f>'Enthalpy Data'!Z45</f>
        <v>2233.5969500000001</v>
      </c>
      <c r="S52" s="43">
        <f>'Enthalpy Data'!AA45</f>
        <v>2233.7537000000002</v>
      </c>
      <c r="T52" s="43">
        <f>'Enthalpy Data'!AB45</f>
        <v>2233.9104499999999</v>
      </c>
      <c r="U52" s="43">
        <f>'Enthalpy Data'!AC45</f>
        <v>2234.0672000000004</v>
      </c>
      <c r="V52" s="43">
        <f>'Enthalpy Data'!AD45</f>
        <v>2234.2239500000001</v>
      </c>
      <c r="W52" s="43">
        <f>'Enthalpy Data'!AE45</f>
        <v>2235.0077000000001</v>
      </c>
      <c r="X52" s="43">
        <f>'Enthalpy Data'!AF45</f>
        <v>2235.7914500000002</v>
      </c>
      <c r="Y52" s="43">
        <f>'Enthalpy Data'!AG45</f>
        <v>2236.5752000000002</v>
      </c>
      <c r="Z52" s="43">
        <f>'Enthalpy Data'!AH45</f>
        <v>2237.3589499999998</v>
      </c>
      <c r="AA52" s="43">
        <f>'Enthalpy Data'!AI45</f>
        <v>2238.1427000000003</v>
      </c>
      <c r="AB52" s="43">
        <f>'Enthalpy Data'!AJ45</f>
        <v>2238.9264499999999</v>
      </c>
      <c r="AC52" s="76">
        <f>'Enthalpy Data'!AK45</f>
        <v>2239.7102</v>
      </c>
    </row>
    <row r="53" spans="1:29" x14ac:dyDescent="0.25">
      <c r="A53" s="131">
        <f>'Enthalpy Data'!X9</f>
        <v>2250</v>
      </c>
      <c r="B53" s="47">
        <f>'Enthalpy Data'!Y9</f>
        <v>4689.4416666666675</v>
      </c>
      <c r="C53" s="43">
        <f>'Enthalpy Data'!Z9</f>
        <v>4689.2508500000004</v>
      </c>
      <c r="D53" s="43">
        <f>'Enthalpy Data'!AA9</f>
        <v>4689.3082999999997</v>
      </c>
      <c r="E53" s="43">
        <f>'Enthalpy Data'!AB9</f>
        <v>4689.3657499999999</v>
      </c>
      <c r="F53" s="43">
        <f>'Enthalpy Data'!AC9</f>
        <v>4689.4232000000002</v>
      </c>
      <c r="G53" s="43">
        <f>'Enthalpy Data'!AD9</f>
        <v>4689.4806499999995</v>
      </c>
      <c r="H53" s="43">
        <f>'Enthalpy Data'!AE9</f>
        <v>4689.7679000000007</v>
      </c>
      <c r="I53" s="43">
        <f>'Enthalpy Data'!AF9</f>
        <v>4690.0551500000001</v>
      </c>
      <c r="J53" s="43">
        <f>'Enthalpy Data'!AG9</f>
        <v>4690.3424000000014</v>
      </c>
      <c r="K53" s="43">
        <f>'Enthalpy Data'!AH9</f>
        <v>4690.6296500000008</v>
      </c>
      <c r="L53" s="43">
        <f>'Enthalpy Data'!AI9</f>
        <v>4690.9169000000002</v>
      </c>
      <c r="M53" s="43">
        <f>'Enthalpy Data'!AJ9</f>
        <v>4691.2041500000005</v>
      </c>
      <c r="N53" s="76">
        <f>'Enthalpy Data'!AK9</f>
        <v>4691.4913999999999</v>
      </c>
      <c r="P53" s="127">
        <f>'Enthalpy Data'!X46</f>
        <v>1350</v>
      </c>
      <c r="Q53" s="47">
        <f>'Enthalpy Data'!Y46</f>
        <v>2357.0744</v>
      </c>
      <c r="R53" s="43">
        <f>'Enthalpy Data'!Z46</f>
        <v>2357.2281499999999</v>
      </c>
      <c r="S53" s="43">
        <f>'Enthalpy Data'!AA46</f>
        <v>2357.3818999999999</v>
      </c>
      <c r="T53" s="43">
        <f>'Enthalpy Data'!AB46</f>
        <v>2357.5356500000003</v>
      </c>
      <c r="U53" s="43">
        <f>'Enthalpy Data'!AC46</f>
        <v>2357.6893999999998</v>
      </c>
      <c r="V53" s="43">
        <f>'Enthalpy Data'!AD46</f>
        <v>2357.8431499999997</v>
      </c>
      <c r="W53" s="43">
        <f>'Enthalpy Data'!AE46</f>
        <v>2358.6118999999999</v>
      </c>
      <c r="X53" s="43">
        <f>'Enthalpy Data'!AF46</f>
        <v>2359.3806500000001</v>
      </c>
      <c r="Y53" s="43">
        <f>'Enthalpy Data'!AG46</f>
        <v>2360.1494000000002</v>
      </c>
      <c r="Z53" s="43">
        <f>'Enthalpy Data'!AH46</f>
        <v>2360.91815</v>
      </c>
      <c r="AA53" s="43">
        <f>'Enthalpy Data'!AI46</f>
        <v>2361.6868999999997</v>
      </c>
      <c r="AB53" s="43">
        <f>'Enthalpy Data'!AJ46</f>
        <v>2362.4556499999999</v>
      </c>
      <c r="AC53" s="76">
        <f>'Enthalpy Data'!AK46</f>
        <v>2363.2244000000001</v>
      </c>
    </row>
    <row r="54" spans="1:29" x14ac:dyDescent="0.25">
      <c r="A54" s="131">
        <f>'Enthalpy Data'!X10</f>
        <v>2300</v>
      </c>
      <c r="B54" s="47">
        <f>'Enthalpy Data'!Y10</f>
        <v>4823.1849999999995</v>
      </c>
      <c r="C54" s="43">
        <f>'Enthalpy Data'!Z10</f>
        <v>4822.9832500000002</v>
      </c>
      <c r="D54" s="43">
        <f>'Enthalpy Data'!AA10</f>
        <v>4823.0367000000006</v>
      </c>
      <c r="E54" s="43">
        <f>'Enthalpy Data'!AB10</f>
        <v>4823.09015</v>
      </c>
      <c r="F54" s="43">
        <f>'Enthalpy Data'!AC10</f>
        <v>4823.1436000000003</v>
      </c>
      <c r="G54" s="43">
        <f>'Enthalpy Data'!AD10</f>
        <v>4823.1970500000007</v>
      </c>
      <c r="H54" s="43">
        <f>'Enthalpy Data'!AE10</f>
        <v>4823.4642999999996</v>
      </c>
      <c r="I54" s="43">
        <f>'Enthalpy Data'!AF10</f>
        <v>4823.7315499999995</v>
      </c>
      <c r="J54" s="43">
        <f>'Enthalpy Data'!AG10</f>
        <v>4823.9987999999994</v>
      </c>
      <c r="K54" s="43">
        <f>'Enthalpy Data'!AH10</f>
        <v>4824.2660500000002</v>
      </c>
      <c r="L54" s="43">
        <f>'Enthalpy Data'!AI10</f>
        <v>4824.5333000000001</v>
      </c>
      <c r="M54" s="43">
        <f>'Enthalpy Data'!AJ10</f>
        <v>4824.8005499999999</v>
      </c>
      <c r="N54" s="76">
        <f>'Enthalpy Data'!AK10</f>
        <v>4825.0677999999998</v>
      </c>
      <c r="P54" s="127">
        <f>'Enthalpy Data'!X47</f>
        <v>1400</v>
      </c>
      <c r="Q54" s="47">
        <f>'Enthalpy Data'!Y47</f>
        <v>2481.5987999999998</v>
      </c>
      <c r="R54" s="43">
        <f>'Enthalpy Data'!Z47</f>
        <v>2481.7471500000001</v>
      </c>
      <c r="S54" s="43">
        <f>'Enthalpy Data'!AA47</f>
        <v>2481.8955000000001</v>
      </c>
      <c r="T54" s="43">
        <f>'Enthalpy Data'!AB47</f>
        <v>2482.04385</v>
      </c>
      <c r="U54" s="43">
        <f>'Enthalpy Data'!AC47</f>
        <v>2482.1922</v>
      </c>
      <c r="V54" s="43">
        <f>'Enthalpy Data'!AD47</f>
        <v>2482.3405499999999</v>
      </c>
      <c r="W54" s="43">
        <f>'Enthalpy Data'!AE47</f>
        <v>2483.0823</v>
      </c>
      <c r="X54" s="43">
        <f>'Enthalpy Data'!AF47</f>
        <v>2483.8240500000002</v>
      </c>
      <c r="Y54" s="43">
        <f>'Enthalpy Data'!AG47</f>
        <v>2484.5658000000003</v>
      </c>
      <c r="Z54" s="43">
        <f>'Enthalpy Data'!AH47</f>
        <v>2485.30755</v>
      </c>
      <c r="AA54" s="43">
        <f>'Enthalpy Data'!AI47</f>
        <v>2486.0492999999997</v>
      </c>
      <c r="AB54" s="43">
        <f>'Enthalpy Data'!AJ47</f>
        <v>2486.7910499999998</v>
      </c>
      <c r="AC54" s="76">
        <f>'Enthalpy Data'!AK47</f>
        <v>2487.5328</v>
      </c>
    </row>
    <row r="55" spans="1:29" x14ac:dyDescent="0.25">
      <c r="A55" s="131">
        <f>'Enthalpy Data'!X11</f>
        <v>2350</v>
      </c>
      <c r="B55" s="47">
        <f>'Enthalpy Data'!Y11</f>
        <v>4957.6485714285709</v>
      </c>
      <c r="C55" s="43">
        <f>'Enthalpy Data'!Z11</f>
        <v>4957.4342500000002</v>
      </c>
      <c r="D55" s="43">
        <f>'Enthalpy Data'!AA11</f>
        <v>4957.4820999999993</v>
      </c>
      <c r="E55" s="43">
        <f>'Enthalpy Data'!AB11</f>
        <v>4957.5299500000001</v>
      </c>
      <c r="F55" s="43">
        <f>'Enthalpy Data'!AC11</f>
        <v>4957.5778</v>
      </c>
      <c r="G55" s="43">
        <f>'Enthalpy Data'!AD11</f>
        <v>4957.62565</v>
      </c>
      <c r="H55" s="43">
        <f>'Enthalpy Data'!AE11</f>
        <v>4957.8649000000005</v>
      </c>
      <c r="I55" s="43">
        <f>'Enthalpy Data'!AF11</f>
        <v>4958.1041499999992</v>
      </c>
      <c r="J55" s="43">
        <f>'Enthalpy Data'!AG11</f>
        <v>4958.3433999999997</v>
      </c>
      <c r="K55" s="43">
        <f>'Enthalpy Data'!AH11</f>
        <v>4958.5826500000003</v>
      </c>
      <c r="L55" s="43">
        <f>'Enthalpy Data'!AI11</f>
        <v>4958.8218999999999</v>
      </c>
      <c r="M55" s="43">
        <f>'Enthalpy Data'!AJ11</f>
        <v>4959.0611500000005</v>
      </c>
      <c r="N55" s="76">
        <f>'Enthalpy Data'!AK11</f>
        <v>4959.3004000000001</v>
      </c>
      <c r="P55" s="127">
        <f>'Enthalpy Data'!X48</f>
        <v>1450</v>
      </c>
      <c r="Q55" s="47">
        <f>'Enthalpy Data'!Y48</f>
        <v>2606.9434000000001</v>
      </c>
      <c r="R55" s="43">
        <f>'Enthalpy Data'!Z48</f>
        <v>2607.0880500000003</v>
      </c>
      <c r="S55" s="43">
        <f>'Enthalpy Data'!AA48</f>
        <v>2607.2327000000005</v>
      </c>
      <c r="T55" s="43">
        <f>'Enthalpy Data'!AB48</f>
        <v>2607.3773500000002</v>
      </c>
      <c r="U55" s="43">
        <f>'Enthalpy Data'!AC48</f>
        <v>2607.5220000000004</v>
      </c>
      <c r="V55" s="43">
        <f>'Enthalpy Data'!AD48</f>
        <v>2607.6666500000001</v>
      </c>
      <c r="W55" s="43">
        <f>'Enthalpy Data'!AE48</f>
        <v>2608.3899000000001</v>
      </c>
      <c r="X55" s="43">
        <f>'Enthalpy Data'!AF48</f>
        <v>2609.1131500000001</v>
      </c>
      <c r="Y55" s="43">
        <f>'Enthalpy Data'!AG48</f>
        <v>2609.8364000000001</v>
      </c>
      <c r="Z55" s="43">
        <f>'Enthalpy Data'!AH48</f>
        <v>2610.5596500000001</v>
      </c>
      <c r="AA55" s="43">
        <f>'Enthalpy Data'!AI48</f>
        <v>2611.2829000000002</v>
      </c>
      <c r="AB55" s="43">
        <f>'Enthalpy Data'!AJ48</f>
        <v>2612.0061500000002</v>
      </c>
      <c r="AC55" s="76">
        <f>'Enthalpy Data'!AK48</f>
        <v>2612.7294000000002</v>
      </c>
    </row>
    <row r="56" spans="1:29" x14ac:dyDescent="0.25">
      <c r="A56" s="131">
        <f>'Enthalpy Data'!X12</f>
        <v>2400</v>
      </c>
      <c r="B56" s="47">
        <f>'Enthalpy Data'!Y12</f>
        <v>5091.7419047619051</v>
      </c>
      <c r="C56" s="43">
        <f>'Enthalpy Data'!Z12</f>
        <v>5091.5171</v>
      </c>
      <c r="D56" s="43">
        <f>'Enthalpy Data'!AA12</f>
        <v>5091.5614000000005</v>
      </c>
      <c r="E56" s="43">
        <f>'Enthalpy Data'!AB12</f>
        <v>5091.6057000000001</v>
      </c>
      <c r="F56" s="43">
        <f>'Enthalpy Data'!AC12</f>
        <v>5091.6499999999996</v>
      </c>
      <c r="G56" s="43">
        <f>'Enthalpy Data'!AD12</f>
        <v>5091.694300000001</v>
      </c>
      <c r="H56" s="43">
        <f>'Enthalpy Data'!AE12</f>
        <v>5091.9157999999998</v>
      </c>
      <c r="I56" s="43">
        <f>'Enthalpy Data'!AF12</f>
        <v>5092.1373000000012</v>
      </c>
      <c r="J56" s="43">
        <f>'Enthalpy Data'!AG12</f>
        <v>5092.3588</v>
      </c>
      <c r="K56" s="43">
        <f>'Enthalpy Data'!AH12</f>
        <v>5092.5803000000005</v>
      </c>
      <c r="L56" s="43">
        <f>'Enthalpy Data'!AI12</f>
        <v>5092.8018000000011</v>
      </c>
      <c r="M56" s="43">
        <f>'Enthalpy Data'!AJ12</f>
        <v>5093.0232999999998</v>
      </c>
      <c r="N56" s="76">
        <f>'Enthalpy Data'!AK12</f>
        <v>5093.2448000000004</v>
      </c>
      <c r="P56" s="127">
        <f>'Enthalpy Data'!X49</f>
        <v>1500</v>
      </c>
      <c r="Q56" s="47">
        <f>'Enthalpy Data'!Y49</f>
        <v>2732.6279999999997</v>
      </c>
      <c r="R56" s="43">
        <f>'Enthalpy Data'!Z49</f>
        <v>2732.7673500000001</v>
      </c>
      <c r="S56" s="43">
        <f>'Enthalpy Data'!AA49</f>
        <v>2732.9067</v>
      </c>
      <c r="T56" s="43">
        <f>'Enthalpy Data'!AB49</f>
        <v>2733.0460499999999</v>
      </c>
      <c r="U56" s="43">
        <f>'Enthalpy Data'!AC49</f>
        <v>2733.1854000000003</v>
      </c>
      <c r="V56" s="43">
        <f>'Enthalpy Data'!AD49</f>
        <v>2733.3247500000002</v>
      </c>
      <c r="W56" s="43">
        <f>'Enthalpy Data'!AE49</f>
        <v>2734.0215000000003</v>
      </c>
      <c r="X56" s="43">
        <f>'Enthalpy Data'!AF49</f>
        <v>2734.7182499999999</v>
      </c>
      <c r="Y56" s="43">
        <f>'Enthalpy Data'!AG49</f>
        <v>2735.415</v>
      </c>
      <c r="Z56" s="43">
        <f>'Enthalpy Data'!AH49</f>
        <v>2736.11175</v>
      </c>
      <c r="AA56" s="43">
        <f>'Enthalpy Data'!AI49</f>
        <v>2736.8085000000001</v>
      </c>
      <c r="AB56" s="43">
        <f>'Enthalpy Data'!AJ49</f>
        <v>2737.5052500000002</v>
      </c>
      <c r="AC56" s="76">
        <f>'Enthalpy Data'!AK49</f>
        <v>2738.2019999999998</v>
      </c>
    </row>
    <row r="57" spans="1:29" x14ac:dyDescent="0.25">
      <c r="A57" s="131">
        <f>'Enthalpy Data'!X13</f>
        <v>2450</v>
      </c>
      <c r="B57" s="47">
        <f>'Enthalpy Data'!Y13</f>
        <v>5226.475476190476</v>
      </c>
      <c r="C57" s="43">
        <f>'Enthalpy Data'!Z13</f>
        <v>5226.2406000000001</v>
      </c>
      <c r="D57" s="43">
        <f>'Enthalpy Data'!AA13</f>
        <v>5226.2818000000007</v>
      </c>
      <c r="E57" s="43">
        <f>'Enthalpy Data'!AB13</f>
        <v>5226.3229999999994</v>
      </c>
      <c r="F57" s="43">
        <f>'Enthalpy Data'!AC13</f>
        <v>5226.3642</v>
      </c>
      <c r="G57" s="43">
        <f>'Enthalpy Data'!AD13</f>
        <v>5226.4053999999996</v>
      </c>
      <c r="H57" s="43">
        <f>'Enthalpy Data'!AE13</f>
        <v>5226.6113999999998</v>
      </c>
      <c r="I57" s="43">
        <f>'Enthalpy Data'!AF13</f>
        <v>5226.8173999999999</v>
      </c>
      <c r="J57" s="43">
        <f>'Enthalpy Data'!AG13</f>
        <v>5227.0234</v>
      </c>
      <c r="K57" s="43">
        <f>'Enthalpy Data'!AH13</f>
        <v>5227.2294000000002</v>
      </c>
      <c r="L57" s="43">
        <f>'Enthalpy Data'!AI13</f>
        <v>5227.4354000000003</v>
      </c>
      <c r="M57" s="43">
        <f>'Enthalpy Data'!AJ13</f>
        <v>5227.6414000000004</v>
      </c>
      <c r="N57" s="76">
        <f>'Enthalpy Data'!AK13</f>
        <v>5227.8474000000006</v>
      </c>
      <c r="P57" s="127">
        <f>'Enthalpy Data'!X50</f>
        <v>1550</v>
      </c>
      <c r="Q57" s="47">
        <f>'Enthalpy Data'!Y50</f>
        <v>2859.6030000000001</v>
      </c>
      <c r="R57" s="43">
        <f>'Enthalpy Data'!Z50</f>
        <v>2859.7374999999997</v>
      </c>
      <c r="S57" s="43">
        <f>'Enthalpy Data'!AA50</f>
        <v>2859.8719999999998</v>
      </c>
      <c r="T57" s="43">
        <f>'Enthalpy Data'!AB50</f>
        <v>2860.0065</v>
      </c>
      <c r="U57" s="43">
        <f>'Enthalpy Data'!AC50</f>
        <v>2860.1410000000001</v>
      </c>
      <c r="V57" s="43">
        <f>'Enthalpy Data'!AD50</f>
        <v>2860.2754999999997</v>
      </c>
      <c r="W57" s="43">
        <f>'Enthalpy Data'!AE50</f>
        <v>2860.9479999999999</v>
      </c>
      <c r="X57" s="43">
        <f>'Enthalpy Data'!AF50</f>
        <v>2861.6205</v>
      </c>
      <c r="Y57" s="43">
        <f>'Enthalpy Data'!AG50</f>
        <v>2862.2930000000001</v>
      </c>
      <c r="Z57" s="43">
        <f>'Enthalpy Data'!AH50</f>
        <v>2862.9655000000002</v>
      </c>
      <c r="AA57" s="43">
        <f>'Enthalpy Data'!AI50</f>
        <v>2863.6379999999999</v>
      </c>
      <c r="AB57" s="43">
        <f>'Enthalpy Data'!AJ50</f>
        <v>2864.3105</v>
      </c>
      <c r="AC57" s="76">
        <f>'Enthalpy Data'!AK50</f>
        <v>2864.9829999999997</v>
      </c>
    </row>
    <row r="58" spans="1:29" x14ac:dyDescent="0.25">
      <c r="A58" s="131">
        <f>'Enthalpy Data'!X14</f>
        <v>2500</v>
      </c>
      <c r="B58" s="47">
        <f>'Enthalpy Data'!Y14</f>
        <v>5361.3790476190479</v>
      </c>
      <c r="C58" s="43">
        <f>'Enthalpy Data'!Z14</f>
        <v>5361.1332999999995</v>
      </c>
      <c r="D58" s="43">
        <f>'Enthalpy Data'!AA14</f>
        <v>5361.1706000000004</v>
      </c>
      <c r="E58" s="43">
        <f>'Enthalpy Data'!AB14</f>
        <v>5361.2079000000003</v>
      </c>
      <c r="F58" s="43">
        <f>'Enthalpy Data'!AC14</f>
        <v>5361.2452000000003</v>
      </c>
      <c r="G58" s="43">
        <f>'Enthalpy Data'!AD14</f>
        <v>5361.2824999999993</v>
      </c>
      <c r="H58" s="43">
        <f>'Enthalpy Data'!AE14</f>
        <v>5361.4690000000001</v>
      </c>
      <c r="I58" s="43">
        <f>'Enthalpy Data'!AF14</f>
        <v>5361.6554999999998</v>
      </c>
      <c r="J58" s="43">
        <f>'Enthalpy Data'!AG14</f>
        <v>5361.8420000000006</v>
      </c>
      <c r="K58" s="43">
        <f>'Enthalpy Data'!AH14</f>
        <v>5362.0285000000003</v>
      </c>
      <c r="L58" s="43">
        <f>'Enthalpy Data'!AI14</f>
        <v>5362.2150000000001</v>
      </c>
      <c r="M58" s="43">
        <f>'Enthalpy Data'!AJ14</f>
        <v>5362.4015000000009</v>
      </c>
      <c r="N58" s="76">
        <f>'Enthalpy Data'!AK14</f>
        <v>5362.5880000000006</v>
      </c>
      <c r="P58" s="127">
        <f>'Enthalpy Data'!X51</f>
        <v>1600</v>
      </c>
      <c r="Q58" s="47">
        <f>'Enthalpy Data'!Y51</f>
        <v>2986.9180000000001</v>
      </c>
      <c r="R58" s="43">
        <f>'Enthalpy Data'!Z51</f>
        <v>2987.0460499999999</v>
      </c>
      <c r="S58" s="43">
        <f>'Enthalpy Data'!AA51</f>
        <v>2987.1741000000002</v>
      </c>
      <c r="T58" s="43">
        <f>'Enthalpy Data'!AB51</f>
        <v>2987.3021500000004</v>
      </c>
      <c r="U58" s="43">
        <f>'Enthalpy Data'!AC51</f>
        <v>2987.4302000000002</v>
      </c>
      <c r="V58" s="43">
        <f>'Enthalpy Data'!AD51</f>
        <v>2987.55825</v>
      </c>
      <c r="W58" s="43">
        <f>'Enthalpy Data'!AE51</f>
        <v>2988.1985000000004</v>
      </c>
      <c r="X58" s="43">
        <f>'Enthalpy Data'!AF51</f>
        <v>2988.8387499999999</v>
      </c>
      <c r="Y58" s="43">
        <f>'Enthalpy Data'!AG51</f>
        <v>2989.4790000000003</v>
      </c>
      <c r="Z58" s="43">
        <f>'Enthalpy Data'!AH51</f>
        <v>2990.1192500000002</v>
      </c>
      <c r="AA58" s="43">
        <f>'Enthalpy Data'!AI51</f>
        <v>2990.7595000000001</v>
      </c>
      <c r="AB58" s="43">
        <f>'Enthalpy Data'!AJ51</f>
        <v>2991.39975</v>
      </c>
      <c r="AC58" s="76">
        <f>'Enthalpy Data'!AK51</f>
        <v>2992.04</v>
      </c>
    </row>
    <row r="59" spans="1:29" x14ac:dyDescent="0.25">
      <c r="A59" s="131">
        <f>'Enthalpy Data'!X15</f>
        <v>2550</v>
      </c>
      <c r="B59" s="47">
        <f>'Enthalpy Data'!Y15</f>
        <v>5496.3726190476191</v>
      </c>
      <c r="C59" s="43">
        <f>'Enthalpy Data'!Z15</f>
        <v>5496.1172500000002</v>
      </c>
      <c r="D59" s="43">
        <f>'Enthalpy Data'!AA15</f>
        <v>5496.1518999999998</v>
      </c>
      <c r="E59" s="43">
        <f>'Enthalpy Data'!AB15</f>
        <v>5496.1865500000004</v>
      </c>
      <c r="F59" s="43">
        <f>'Enthalpy Data'!AC15</f>
        <v>5496.2212</v>
      </c>
      <c r="G59" s="43">
        <f>'Enthalpy Data'!AD15</f>
        <v>5496.2558499999996</v>
      </c>
      <c r="H59" s="43">
        <f>'Enthalpy Data'!AE15</f>
        <v>5496.4291000000003</v>
      </c>
      <c r="I59" s="43">
        <f>'Enthalpy Data'!AF15</f>
        <v>5496.6023500000001</v>
      </c>
      <c r="J59" s="43">
        <f>'Enthalpy Data'!AG15</f>
        <v>5496.7756000000008</v>
      </c>
      <c r="K59" s="43">
        <f>'Enthalpy Data'!AH15</f>
        <v>5496.9488499999998</v>
      </c>
      <c r="L59" s="43">
        <f>'Enthalpy Data'!AI15</f>
        <v>5497.1220999999996</v>
      </c>
      <c r="M59" s="43">
        <f>'Enthalpy Data'!AJ15</f>
        <v>5497.2953500000003</v>
      </c>
      <c r="N59" s="76">
        <f>'Enthalpy Data'!AK15</f>
        <v>5497.4685999999992</v>
      </c>
      <c r="P59" s="127">
        <f>'Enthalpy Data'!X52</f>
        <v>1650</v>
      </c>
      <c r="Q59" s="47">
        <f>'Enthalpy Data'!Y52</f>
        <v>3114.8832000000002</v>
      </c>
      <c r="R59" s="43">
        <f>'Enthalpy Data'!Z52</f>
        <v>3115.00605</v>
      </c>
      <c r="S59" s="43">
        <f>'Enthalpy Data'!AA52</f>
        <v>3115.1289000000002</v>
      </c>
      <c r="T59" s="43">
        <f>'Enthalpy Data'!AB52</f>
        <v>3115.2517499999999</v>
      </c>
      <c r="U59" s="43">
        <f>'Enthalpy Data'!AC52</f>
        <v>3115.3746000000001</v>
      </c>
      <c r="V59" s="43">
        <f>'Enthalpy Data'!AD52</f>
        <v>3115.4974500000003</v>
      </c>
      <c r="W59" s="43">
        <f>'Enthalpy Data'!AE52</f>
        <v>3116.1117000000004</v>
      </c>
      <c r="X59" s="43">
        <f>'Enthalpy Data'!AF52</f>
        <v>3116.72595</v>
      </c>
      <c r="Y59" s="43">
        <f>'Enthalpy Data'!AG52</f>
        <v>3117.3402000000001</v>
      </c>
      <c r="Z59" s="43">
        <f>'Enthalpy Data'!AH52</f>
        <v>3117.9544500000002</v>
      </c>
      <c r="AA59" s="43">
        <f>'Enthalpy Data'!AI52</f>
        <v>3118.5687000000003</v>
      </c>
      <c r="AB59" s="43">
        <f>'Enthalpy Data'!AJ52</f>
        <v>3119.1829500000003</v>
      </c>
      <c r="AC59" s="76">
        <f>'Enthalpy Data'!AK52</f>
        <v>3119.7972</v>
      </c>
    </row>
    <row r="60" spans="1:29" x14ac:dyDescent="0.25">
      <c r="A60" s="131">
        <f>'Enthalpy Data'!X16</f>
        <v>2600</v>
      </c>
      <c r="B60" s="47">
        <f>'Enthalpy Data'!Y16</f>
        <v>5631.9264285714289</v>
      </c>
      <c r="C60" s="43">
        <f>'Enthalpy Data'!Z16</f>
        <v>5631.6614</v>
      </c>
      <c r="D60" s="43">
        <f>'Enthalpy Data'!AA16</f>
        <v>5631.693400000001</v>
      </c>
      <c r="E60" s="43">
        <f>'Enthalpy Data'!AB16</f>
        <v>5631.7254000000003</v>
      </c>
      <c r="F60" s="43">
        <f>'Enthalpy Data'!AC16</f>
        <v>5631.7573999999995</v>
      </c>
      <c r="G60" s="43">
        <f>'Enthalpy Data'!AD16</f>
        <v>5631.7893999999997</v>
      </c>
      <c r="H60" s="43">
        <f>'Enthalpy Data'!AE16</f>
        <v>5631.9494000000004</v>
      </c>
      <c r="I60" s="43">
        <f>'Enthalpy Data'!AF16</f>
        <v>5632.1094000000003</v>
      </c>
      <c r="J60" s="43">
        <f>'Enthalpy Data'!AG16</f>
        <v>5632.269400000001</v>
      </c>
      <c r="K60" s="43">
        <f>'Enthalpy Data'!AH16</f>
        <v>5632.4294</v>
      </c>
      <c r="L60" s="43">
        <f>'Enthalpy Data'!AI16</f>
        <v>5632.5893999999998</v>
      </c>
      <c r="M60" s="43">
        <f>'Enthalpy Data'!AJ16</f>
        <v>5632.7494000000006</v>
      </c>
      <c r="N60" s="76">
        <f>'Enthalpy Data'!AK16</f>
        <v>5632.9093999999996</v>
      </c>
      <c r="P60" s="127">
        <f>'Enthalpy Data'!X53</f>
        <v>1700</v>
      </c>
      <c r="Q60" s="47">
        <f>'Enthalpy Data'!Y53</f>
        <v>3243.1884</v>
      </c>
      <c r="R60" s="43">
        <f>'Enthalpy Data'!Z53</f>
        <v>3243.3056999999999</v>
      </c>
      <c r="S60" s="43">
        <f>'Enthalpy Data'!AA53</f>
        <v>3243.4230000000002</v>
      </c>
      <c r="T60" s="43">
        <f>'Enthalpy Data'!AB53</f>
        <v>3243.5403000000001</v>
      </c>
      <c r="U60" s="43">
        <f>'Enthalpy Data'!AC53</f>
        <v>3243.6576</v>
      </c>
      <c r="V60" s="43">
        <f>'Enthalpy Data'!AD53</f>
        <v>3243.7748999999999</v>
      </c>
      <c r="W60" s="43">
        <f>'Enthalpy Data'!AE53</f>
        <v>3244.3614000000002</v>
      </c>
      <c r="X60" s="43">
        <f>'Enthalpy Data'!AF53</f>
        <v>3244.9479000000001</v>
      </c>
      <c r="Y60" s="43">
        <f>'Enthalpy Data'!AG53</f>
        <v>3245.5344</v>
      </c>
      <c r="Z60" s="43">
        <f>'Enthalpy Data'!AH53</f>
        <v>3246.1208999999999</v>
      </c>
      <c r="AA60" s="43">
        <f>'Enthalpy Data'!AI53</f>
        <v>3246.7073999999998</v>
      </c>
      <c r="AB60" s="43">
        <f>'Enthalpy Data'!AJ53</f>
        <v>3247.2939000000001</v>
      </c>
      <c r="AC60" s="76">
        <f>'Enthalpy Data'!AK53</f>
        <v>3247.8804</v>
      </c>
    </row>
    <row r="61" spans="1:29" x14ac:dyDescent="0.25">
      <c r="A61" s="131">
        <f>'Enthalpy Data'!X17</f>
        <v>2650</v>
      </c>
      <c r="B61" s="47">
        <f>'Enthalpy Data'!Y17</f>
        <v>5767.6502380952388</v>
      </c>
      <c r="C61" s="43">
        <f>'Enthalpy Data'!Z17</f>
        <v>5767.3760000000002</v>
      </c>
      <c r="D61" s="43">
        <f>'Enthalpy Data'!AA17</f>
        <v>5767.4058000000014</v>
      </c>
      <c r="E61" s="43">
        <f>'Enthalpy Data'!AB17</f>
        <v>5767.4355999999998</v>
      </c>
      <c r="F61" s="43">
        <f>'Enthalpy Data'!AC17</f>
        <v>5767.465400000001</v>
      </c>
      <c r="G61" s="43">
        <f>'Enthalpy Data'!AD17</f>
        <v>5767.4952000000003</v>
      </c>
      <c r="H61" s="43">
        <f>'Enthalpy Data'!AE17</f>
        <v>5767.6442000000006</v>
      </c>
      <c r="I61" s="43">
        <f>'Enthalpy Data'!AF17</f>
        <v>5767.7932000000001</v>
      </c>
      <c r="J61" s="43">
        <f>'Enthalpy Data'!AG17</f>
        <v>5767.9422000000004</v>
      </c>
      <c r="K61" s="43">
        <f>'Enthalpy Data'!AH17</f>
        <v>5768.0912000000008</v>
      </c>
      <c r="L61" s="43">
        <f>'Enthalpy Data'!AI17</f>
        <v>5768.2402000000002</v>
      </c>
      <c r="M61" s="43">
        <f>'Enthalpy Data'!AJ17</f>
        <v>5768.3892000000005</v>
      </c>
      <c r="N61" s="76">
        <f>'Enthalpy Data'!AK17</f>
        <v>5768.5382000000009</v>
      </c>
      <c r="P61" s="127">
        <f>'Enthalpy Data'!X54</f>
        <v>1750</v>
      </c>
      <c r="Q61" s="47">
        <f>'Enthalpy Data'!Y54</f>
        <v>3372.3137999999999</v>
      </c>
      <c r="R61" s="43">
        <f>'Enthalpy Data'!Z54</f>
        <v>3372.4259999999999</v>
      </c>
      <c r="S61" s="43">
        <f>'Enthalpy Data'!AA54</f>
        <v>3372.5381999999995</v>
      </c>
      <c r="T61" s="43">
        <f>'Enthalpy Data'!AB54</f>
        <v>3372.6504</v>
      </c>
      <c r="U61" s="43">
        <f>'Enthalpy Data'!AC54</f>
        <v>3372.7626</v>
      </c>
      <c r="V61" s="43">
        <f>'Enthalpy Data'!AD54</f>
        <v>3372.8747999999996</v>
      </c>
      <c r="W61" s="43">
        <f>'Enthalpy Data'!AE54</f>
        <v>3373.4357999999997</v>
      </c>
      <c r="X61" s="43">
        <f>'Enthalpy Data'!AF54</f>
        <v>3373.9967999999999</v>
      </c>
      <c r="Y61" s="43">
        <f>'Enthalpy Data'!AG54</f>
        <v>3374.5577999999996</v>
      </c>
      <c r="Z61" s="43">
        <f>'Enthalpy Data'!AH54</f>
        <v>3375.1187999999997</v>
      </c>
      <c r="AA61" s="43">
        <f>'Enthalpy Data'!AI54</f>
        <v>3375.6797999999999</v>
      </c>
      <c r="AB61" s="43">
        <f>'Enthalpy Data'!AJ54</f>
        <v>3376.2407999999996</v>
      </c>
      <c r="AC61" s="76">
        <f>'Enthalpy Data'!AK54</f>
        <v>3376.8017999999997</v>
      </c>
    </row>
    <row r="62" spans="1:29" x14ac:dyDescent="0.25">
      <c r="A62" s="131">
        <f>'Enthalpy Data'!X18</f>
        <v>2700</v>
      </c>
      <c r="B62" s="47">
        <f>'Enthalpy Data'!Y18</f>
        <v>5903.4640476190489</v>
      </c>
      <c r="C62" s="43">
        <f>'Enthalpy Data'!Z18</f>
        <v>5903.1806000000015</v>
      </c>
      <c r="D62" s="43">
        <f>'Enthalpy Data'!AA18</f>
        <v>5903.2082</v>
      </c>
      <c r="E62" s="43">
        <f>'Enthalpy Data'!AB18</f>
        <v>5903.2358000000013</v>
      </c>
      <c r="F62" s="43">
        <f>'Enthalpy Data'!AC18</f>
        <v>5903.2633999999998</v>
      </c>
      <c r="G62" s="43">
        <f>'Enthalpy Data'!AD18</f>
        <v>5903.2910000000011</v>
      </c>
      <c r="H62" s="43">
        <f>'Enthalpy Data'!AE18</f>
        <v>5903.4290000000001</v>
      </c>
      <c r="I62" s="43">
        <f>'Enthalpy Data'!AF18</f>
        <v>5903.567</v>
      </c>
      <c r="J62" s="43">
        <f>'Enthalpy Data'!AG18</f>
        <v>5903.7049999999999</v>
      </c>
      <c r="K62" s="43">
        <f>'Enthalpy Data'!AH18</f>
        <v>5903.8430000000008</v>
      </c>
      <c r="L62" s="43">
        <f>'Enthalpy Data'!AI18</f>
        <v>5903.9810000000007</v>
      </c>
      <c r="M62" s="43">
        <f>'Enthalpy Data'!AJ18</f>
        <v>5904.1190000000006</v>
      </c>
      <c r="N62" s="76">
        <f>'Enthalpy Data'!AK18</f>
        <v>5904.2570000000005</v>
      </c>
      <c r="P62" s="127">
        <f>'Enthalpy Data'!X55</f>
        <v>1800</v>
      </c>
      <c r="Q62" s="47">
        <f>'Enthalpy Data'!Y55</f>
        <v>3502.1594000000005</v>
      </c>
      <c r="R62" s="43">
        <f>'Enthalpy Data'!Z55</f>
        <v>3502.2649000000006</v>
      </c>
      <c r="S62" s="43">
        <f>'Enthalpy Data'!AA55</f>
        <v>3502.3704000000002</v>
      </c>
      <c r="T62" s="43">
        <f>'Enthalpy Data'!AB55</f>
        <v>3502.4759000000004</v>
      </c>
      <c r="U62" s="43">
        <f>'Enthalpy Data'!AC55</f>
        <v>3502.5814</v>
      </c>
      <c r="V62" s="43">
        <f>'Enthalpy Data'!AD55</f>
        <v>3502.6869000000002</v>
      </c>
      <c r="W62" s="43">
        <f>'Enthalpy Data'!AE55</f>
        <v>3503.2144000000003</v>
      </c>
      <c r="X62" s="43">
        <f>'Enthalpy Data'!AF55</f>
        <v>3503.7419000000004</v>
      </c>
      <c r="Y62" s="43">
        <f>'Enthalpy Data'!AG55</f>
        <v>3504.2694000000006</v>
      </c>
      <c r="Z62" s="43">
        <f>'Enthalpy Data'!AH55</f>
        <v>3504.7969000000003</v>
      </c>
      <c r="AA62" s="43">
        <f>'Enthalpy Data'!AI55</f>
        <v>3505.3244</v>
      </c>
      <c r="AB62" s="43">
        <f>'Enthalpy Data'!AJ55</f>
        <v>3505.8519000000001</v>
      </c>
      <c r="AC62" s="76">
        <f>'Enthalpy Data'!AK55</f>
        <v>3506.3794000000007</v>
      </c>
    </row>
    <row r="63" spans="1:29" ht="15.75" thickBot="1" x14ac:dyDescent="0.3">
      <c r="A63" s="131">
        <f>'Enthalpy Data'!X19</f>
        <v>2750</v>
      </c>
      <c r="B63" s="47">
        <f>'Enthalpy Data'!Y19</f>
        <v>6039.4578571428574</v>
      </c>
      <c r="C63" s="43">
        <f>'Enthalpy Data'!Z19</f>
        <v>6039.1664499999997</v>
      </c>
      <c r="D63" s="43">
        <f>'Enthalpy Data'!AA19</f>
        <v>6039.1930999999995</v>
      </c>
      <c r="E63" s="43">
        <f>'Enthalpy Data'!AB19</f>
        <v>6039.2197500000002</v>
      </c>
      <c r="F63" s="43">
        <f>'Enthalpy Data'!AC19</f>
        <v>6039.2463999999991</v>
      </c>
      <c r="G63" s="43">
        <f>'Enthalpy Data'!AD19</f>
        <v>6039.2730500000007</v>
      </c>
      <c r="H63" s="43">
        <f>'Enthalpy Data'!AE19</f>
        <v>6039.4063000000006</v>
      </c>
      <c r="I63" s="43">
        <f>'Enthalpy Data'!AF19</f>
        <v>6039.5395499999995</v>
      </c>
      <c r="J63" s="43">
        <f>'Enthalpy Data'!AG19</f>
        <v>6039.6727999999994</v>
      </c>
      <c r="K63" s="43">
        <f>'Enthalpy Data'!AH19</f>
        <v>6039.8060500000001</v>
      </c>
      <c r="L63" s="43">
        <f>'Enthalpy Data'!AI19</f>
        <v>6039.9393</v>
      </c>
      <c r="M63" s="43">
        <f>'Enthalpy Data'!AJ19</f>
        <v>6040.0725500000008</v>
      </c>
      <c r="N63" s="76">
        <f>'Enthalpy Data'!AK19</f>
        <v>6040.2057999999997</v>
      </c>
      <c r="P63" s="128">
        <f>'Enthalpy Data'!X56</f>
        <v>1850</v>
      </c>
      <c r="Q63" s="107">
        <f>'Enthalpy Data'!Y56</f>
        <v>3632.2750000000005</v>
      </c>
      <c r="R63" s="44">
        <f>'Enthalpy Data'!Z56</f>
        <v>3632.3750500000001</v>
      </c>
      <c r="S63" s="44">
        <f>'Enthalpy Data'!AA56</f>
        <v>3632.4751000000006</v>
      </c>
      <c r="T63" s="44">
        <f>'Enthalpy Data'!AB56</f>
        <v>3632.5751500000001</v>
      </c>
      <c r="U63" s="44">
        <f>'Enthalpy Data'!AC56</f>
        <v>3632.6752000000001</v>
      </c>
      <c r="V63" s="44">
        <f>'Enthalpy Data'!AD56</f>
        <v>3632.7752500000006</v>
      </c>
      <c r="W63" s="44">
        <f>'Enthalpy Data'!AE56</f>
        <v>3633.2755000000002</v>
      </c>
      <c r="X63" s="44">
        <f>'Enthalpy Data'!AF56</f>
        <v>3633.7757500000002</v>
      </c>
      <c r="Y63" s="44">
        <f>'Enthalpy Data'!AG56</f>
        <v>3634.2760000000003</v>
      </c>
      <c r="Z63" s="44">
        <f>'Enthalpy Data'!AH56</f>
        <v>3634.7762500000003</v>
      </c>
      <c r="AA63" s="44">
        <f>'Enthalpy Data'!AI56</f>
        <v>3635.2765000000004</v>
      </c>
      <c r="AB63" s="44">
        <f>'Enthalpy Data'!AJ56</f>
        <v>3635.7767500000004</v>
      </c>
      <c r="AC63" s="108">
        <f>'Enthalpy Data'!AK56</f>
        <v>3636.2770000000005</v>
      </c>
    </row>
    <row r="64" spans="1:29" x14ac:dyDescent="0.25">
      <c r="A64" s="131">
        <f>'Enthalpy Data'!X20</f>
        <v>2800</v>
      </c>
      <c r="B64" s="47">
        <f>'Enthalpy Data'!Y20</f>
        <v>6175.5316666666658</v>
      </c>
      <c r="C64" s="43">
        <f>'Enthalpy Data'!Z20</f>
        <v>6175.2315000000008</v>
      </c>
      <c r="D64" s="43">
        <f>'Enthalpy Data'!AA20</f>
        <v>6175.2564000000002</v>
      </c>
      <c r="E64" s="43">
        <f>'Enthalpy Data'!AB20</f>
        <v>6175.2813000000006</v>
      </c>
      <c r="F64" s="43">
        <f>'Enthalpy Data'!AC20</f>
        <v>6175.3062</v>
      </c>
      <c r="G64" s="43">
        <f>'Enthalpy Data'!AD20</f>
        <v>6175.3310999999994</v>
      </c>
      <c r="H64" s="43">
        <f>'Enthalpy Data'!AE20</f>
        <v>6175.4556000000002</v>
      </c>
      <c r="I64" s="43">
        <f>'Enthalpy Data'!AF20</f>
        <v>6175.5801000000001</v>
      </c>
      <c r="J64" s="43">
        <f>'Enthalpy Data'!AG20</f>
        <v>6175.7046</v>
      </c>
      <c r="K64" s="43">
        <f>'Enthalpy Data'!AH20</f>
        <v>6175.8290999999999</v>
      </c>
      <c r="L64" s="43">
        <f>'Enthalpy Data'!AI20</f>
        <v>6175.9536000000007</v>
      </c>
      <c r="M64" s="43">
        <f>'Enthalpy Data'!AJ20</f>
        <v>6176.0781000000006</v>
      </c>
      <c r="N64" s="76">
        <f>'Enthalpy Data'!AK20</f>
        <v>6176.2026000000005</v>
      </c>
    </row>
    <row r="65" spans="1:14" x14ac:dyDescent="0.25">
      <c r="A65" s="131">
        <f>'Enthalpy Data'!X21</f>
        <v>2850</v>
      </c>
      <c r="B65" s="47">
        <f>'Enthalpy Data'!Y21</f>
        <v>6312.1657142857148</v>
      </c>
      <c r="C65" s="43">
        <f>'Enthalpy Data'!Z21</f>
        <v>6311.8567500000008</v>
      </c>
      <c r="D65" s="43">
        <f>'Enthalpy Data'!AA21</f>
        <v>6311.8799000000008</v>
      </c>
      <c r="E65" s="43">
        <f>'Enthalpy Data'!AB21</f>
        <v>6311.9030500000008</v>
      </c>
      <c r="F65" s="43">
        <f>'Enthalpy Data'!AC21</f>
        <v>6311.9261999999999</v>
      </c>
      <c r="G65" s="43">
        <f>'Enthalpy Data'!AD21</f>
        <v>6311.9493499999999</v>
      </c>
      <c r="H65" s="43">
        <f>'Enthalpy Data'!AE21</f>
        <v>6312.0650999999998</v>
      </c>
      <c r="I65" s="43">
        <f>'Enthalpy Data'!AF21</f>
        <v>6312.1808500000006</v>
      </c>
      <c r="J65" s="43">
        <f>'Enthalpy Data'!AG21</f>
        <v>6312.2966000000006</v>
      </c>
      <c r="K65" s="43">
        <f>'Enthalpy Data'!AH21</f>
        <v>6312.4123500000005</v>
      </c>
      <c r="L65" s="43">
        <f>'Enthalpy Data'!AI21</f>
        <v>6312.5281000000004</v>
      </c>
      <c r="M65" s="43">
        <f>'Enthalpy Data'!AJ21</f>
        <v>6312.6438500000004</v>
      </c>
      <c r="N65" s="76">
        <f>'Enthalpy Data'!AK21</f>
        <v>6312.7596000000012</v>
      </c>
    </row>
    <row r="66" spans="1:14" x14ac:dyDescent="0.25">
      <c r="A66" s="131">
        <f>'Enthalpy Data'!X22</f>
        <v>2900</v>
      </c>
      <c r="B66" s="47">
        <f>'Enthalpy Data'!Y22</f>
        <v>6448.7997619047619</v>
      </c>
      <c r="C66" s="43">
        <f>'Enthalpy Data'!Z22</f>
        <v>6448.4844999999996</v>
      </c>
      <c r="D66" s="43">
        <f>'Enthalpy Data'!AA22</f>
        <v>6448.5083999999997</v>
      </c>
      <c r="E66" s="43">
        <f>'Enthalpy Data'!AB22</f>
        <v>6448.5322999999999</v>
      </c>
      <c r="F66" s="43">
        <f>'Enthalpy Data'!AC22</f>
        <v>6448.5561999999991</v>
      </c>
      <c r="G66" s="43">
        <f>'Enthalpy Data'!AD22</f>
        <v>6448.5801000000001</v>
      </c>
      <c r="H66" s="43">
        <f>'Enthalpy Data'!AE22</f>
        <v>6448.699599999999</v>
      </c>
      <c r="I66" s="43">
        <f>'Enthalpy Data'!AF22</f>
        <v>6448.8190999999997</v>
      </c>
      <c r="J66" s="43">
        <f>'Enthalpy Data'!AG22</f>
        <v>6448.9385999999995</v>
      </c>
      <c r="K66" s="43">
        <f>'Enthalpy Data'!AH22</f>
        <v>6449.0581000000002</v>
      </c>
      <c r="L66" s="43">
        <f>'Enthalpy Data'!AI22</f>
        <v>6449.1776</v>
      </c>
      <c r="M66" s="43">
        <f>'Enthalpy Data'!AJ22</f>
        <v>6449.2970999999998</v>
      </c>
      <c r="N66" s="76">
        <f>'Enthalpy Data'!AK22</f>
        <v>6449.4165999999996</v>
      </c>
    </row>
    <row r="67" spans="1:14" x14ac:dyDescent="0.25">
      <c r="A67" s="131">
        <f>'Enthalpy Data'!X23</f>
        <v>2950</v>
      </c>
      <c r="B67" s="47">
        <f>'Enthalpy Data'!Y23</f>
        <v>6585.6938095238093</v>
      </c>
      <c r="C67" s="43">
        <f>'Enthalpy Data'!Z23</f>
        <v>6585.3702000000003</v>
      </c>
      <c r="D67" s="43">
        <f>'Enthalpy Data'!AA23</f>
        <v>6585.3928000000005</v>
      </c>
      <c r="E67" s="43">
        <f>'Enthalpy Data'!AB23</f>
        <v>6585.4154000000008</v>
      </c>
      <c r="F67" s="43">
        <f>'Enthalpy Data'!AC23</f>
        <v>6585.4380000000001</v>
      </c>
      <c r="G67" s="43">
        <f>'Enthalpy Data'!AD23</f>
        <v>6585.4605999999994</v>
      </c>
      <c r="H67" s="43">
        <f>'Enthalpy Data'!AE23</f>
        <v>6585.5736000000006</v>
      </c>
      <c r="I67" s="43">
        <f>'Enthalpy Data'!AF23</f>
        <v>6585.6866</v>
      </c>
      <c r="J67" s="43">
        <f>'Enthalpy Data'!AG23</f>
        <v>6585.7996000000003</v>
      </c>
      <c r="K67" s="43">
        <f>'Enthalpy Data'!AH23</f>
        <v>6585.9125999999997</v>
      </c>
      <c r="L67" s="43">
        <f>'Enthalpy Data'!AI23</f>
        <v>6586.025599999999</v>
      </c>
      <c r="M67" s="43">
        <f>'Enthalpy Data'!AJ23</f>
        <v>6586.1386000000002</v>
      </c>
      <c r="N67" s="76">
        <f>'Enthalpy Data'!AK23</f>
        <v>6586.2515999999996</v>
      </c>
    </row>
    <row r="68" spans="1:14" x14ac:dyDescent="0.25">
      <c r="A68" s="131">
        <f>'Enthalpy Data'!X24</f>
        <v>3000</v>
      </c>
      <c r="B68" s="47">
        <f>'Enthalpy Data'!Y24</f>
        <v>6722.5978571428577</v>
      </c>
      <c r="C68" s="43">
        <f>'Enthalpy Data'!Z24</f>
        <v>6722.2679499999995</v>
      </c>
      <c r="D68" s="43">
        <f>'Enthalpy Data'!AA24</f>
        <v>6722.2912999999999</v>
      </c>
      <c r="E68" s="43">
        <f>'Enthalpy Data'!AB24</f>
        <v>6722.3146499999993</v>
      </c>
      <c r="F68" s="43">
        <f>'Enthalpy Data'!AC24</f>
        <v>6722.3380000000006</v>
      </c>
      <c r="G68" s="43">
        <f>'Enthalpy Data'!AD24</f>
        <v>6722.3613500000001</v>
      </c>
      <c r="H68" s="43">
        <f>'Enthalpy Data'!AE24</f>
        <v>6722.4781000000003</v>
      </c>
      <c r="I68" s="43">
        <f>'Enthalpy Data'!AF24</f>
        <v>6722.5948499999995</v>
      </c>
      <c r="J68" s="43">
        <f>'Enthalpy Data'!AG24</f>
        <v>6722.7115999999996</v>
      </c>
      <c r="K68" s="43">
        <f>'Enthalpy Data'!AH24</f>
        <v>6722.8283499999998</v>
      </c>
      <c r="L68" s="43">
        <f>'Enthalpy Data'!AI24</f>
        <v>6722.9450999999999</v>
      </c>
      <c r="M68" s="43">
        <f>'Enthalpy Data'!AJ24</f>
        <v>6723.06185</v>
      </c>
      <c r="N68" s="76">
        <f>'Enthalpy Data'!AK24</f>
        <v>6723.1785999999993</v>
      </c>
    </row>
    <row r="69" spans="1:14" x14ac:dyDescent="0.25">
      <c r="A69" s="131">
        <f>'Enthalpy Data'!X25</f>
        <v>3050</v>
      </c>
      <c r="B69" s="47">
        <f>'Enthalpy Data'!Y25</f>
        <v>6859.5819047619043</v>
      </c>
      <c r="C69" s="43">
        <f>'Enthalpy Data'!Z25</f>
        <v>6859.2461499999999</v>
      </c>
      <c r="D69" s="43">
        <f>'Enthalpy Data'!AA25</f>
        <v>6859.2707</v>
      </c>
      <c r="E69" s="43">
        <f>'Enthalpy Data'!AB25</f>
        <v>6859.2952499999992</v>
      </c>
      <c r="F69" s="43">
        <f>'Enthalpy Data'!AC25</f>
        <v>6859.3198000000002</v>
      </c>
      <c r="G69" s="43">
        <f>'Enthalpy Data'!AD25</f>
        <v>6859.3443500000003</v>
      </c>
      <c r="H69" s="43">
        <f>'Enthalpy Data'!AE25</f>
        <v>6859.4671000000008</v>
      </c>
      <c r="I69" s="43">
        <f>'Enthalpy Data'!AF25</f>
        <v>6859.5898499999994</v>
      </c>
      <c r="J69" s="43">
        <f>'Enthalpy Data'!AG25</f>
        <v>6859.7125999999998</v>
      </c>
      <c r="K69" s="43">
        <f>'Enthalpy Data'!AH25</f>
        <v>6859.8353500000003</v>
      </c>
      <c r="L69" s="43">
        <f>'Enthalpy Data'!AI25</f>
        <v>6859.9581000000007</v>
      </c>
      <c r="M69" s="43">
        <f>'Enthalpy Data'!AJ25</f>
        <v>6860.0808500000003</v>
      </c>
      <c r="N69" s="76">
        <f>'Enthalpy Data'!AK25</f>
        <v>6860.2035999999998</v>
      </c>
    </row>
    <row r="70" spans="1:14" x14ac:dyDescent="0.25">
      <c r="A70" s="131">
        <f>'Enthalpy Data'!X26</f>
        <v>3100</v>
      </c>
      <c r="B70" s="47">
        <f>'Enthalpy Data'!Y26</f>
        <v>6996.7359523809537</v>
      </c>
      <c r="C70" s="43">
        <f>'Enthalpy Data'!Z26</f>
        <v>6996.3923000000004</v>
      </c>
      <c r="D70" s="43">
        <f>'Enthalpy Data'!AA26</f>
        <v>6996.4160000000002</v>
      </c>
      <c r="E70" s="43">
        <f>'Enthalpy Data'!AB26</f>
        <v>6996.4396999999999</v>
      </c>
      <c r="F70" s="43">
        <f>'Enthalpy Data'!AC26</f>
        <v>6996.4634000000005</v>
      </c>
      <c r="G70" s="43">
        <f>'Enthalpy Data'!AD26</f>
        <v>6996.4871000000003</v>
      </c>
      <c r="H70" s="43">
        <f>'Enthalpy Data'!AE26</f>
        <v>6996.6055999999999</v>
      </c>
      <c r="I70" s="43">
        <f>'Enthalpy Data'!AF26</f>
        <v>6996.7241000000013</v>
      </c>
      <c r="J70" s="43">
        <f>'Enthalpy Data'!AG26</f>
        <v>6996.8426000000009</v>
      </c>
      <c r="K70" s="43">
        <f>'Enthalpy Data'!AH26</f>
        <v>6996.9611000000004</v>
      </c>
      <c r="L70" s="43">
        <f>'Enthalpy Data'!AI26</f>
        <v>6997.0796</v>
      </c>
      <c r="M70" s="43">
        <f>'Enthalpy Data'!AJ26</f>
        <v>6997.1980999999996</v>
      </c>
      <c r="N70" s="76">
        <f>'Enthalpy Data'!AK26</f>
        <v>6997.316600000001</v>
      </c>
    </row>
    <row r="71" spans="1:14" x14ac:dyDescent="0.25">
      <c r="A71" s="131">
        <f>'Enthalpy Data'!X27</f>
        <v>3150</v>
      </c>
      <c r="B71" s="47">
        <f>'Enthalpy Data'!Y27</f>
        <v>7134.3702380952382</v>
      </c>
      <c r="C71" s="43">
        <f>'Enthalpy Data'!Z27</f>
        <v>7134.0219500000012</v>
      </c>
      <c r="D71" s="43">
        <f>'Enthalpy Data'!AA27</f>
        <v>7134.0481000000009</v>
      </c>
      <c r="E71" s="43">
        <f>'Enthalpy Data'!AB27</f>
        <v>7134.0742500000006</v>
      </c>
      <c r="F71" s="43">
        <f>'Enthalpy Data'!AC27</f>
        <v>7134.1004000000012</v>
      </c>
      <c r="G71" s="43">
        <f>'Enthalpy Data'!AD27</f>
        <v>7134.1265500000009</v>
      </c>
      <c r="H71" s="43">
        <f>'Enthalpy Data'!AE27</f>
        <v>7134.2573000000011</v>
      </c>
      <c r="I71" s="43">
        <f>'Enthalpy Data'!AF27</f>
        <v>7134.3880500000005</v>
      </c>
      <c r="J71" s="43">
        <f>'Enthalpy Data'!AG27</f>
        <v>7134.5188000000007</v>
      </c>
      <c r="K71" s="43">
        <f>'Enthalpy Data'!AH27</f>
        <v>7134.649550000001</v>
      </c>
      <c r="L71" s="43">
        <f>'Enthalpy Data'!AI27</f>
        <v>7134.7803000000013</v>
      </c>
      <c r="M71" s="43">
        <f>'Enthalpy Data'!AJ27</f>
        <v>7134.9110500000015</v>
      </c>
      <c r="N71" s="76">
        <f>'Enthalpy Data'!AK27</f>
        <v>7135.0418000000009</v>
      </c>
    </row>
    <row r="72" spans="1:14" x14ac:dyDescent="0.25">
      <c r="A72" s="131">
        <f>'Enthalpy Data'!X28</f>
        <v>3200</v>
      </c>
      <c r="B72" s="47">
        <f>'Enthalpy Data'!Y28</f>
        <v>7271.6142857142859</v>
      </c>
      <c r="C72" s="43">
        <f>'Enthalpy Data'!Z28</f>
        <v>7271.2593500000003</v>
      </c>
      <c r="D72" s="43">
        <f>'Enthalpy Data'!AA28</f>
        <v>7271.2858999999999</v>
      </c>
      <c r="E72" s="43">
        <f>'Enthalpy Data'!AB28</f>
        <v>7271.3124499999994</v>
      </c>
      <c r="F72" s="43">
        <f>'Enthalpy Data'!AC28</f>
        <v>7271.3390000000009</v>
      </c>
      <c r="G72" s="43">
        <f>'Enthalpy Data'!AD28</f>
        <v>7271.3655500000004</v>
      </c>
      <c r="H72" s="43">
        <f>'Enthalpy Data'!AE28</f>
        <v>7271.4983000000011</v>
      </c>
      <c r="I72" s="43">
        <f>'Enthalpy Data'!AF28</f>
        <v>7271.63105</v>
      </c>
      <c r="J72" s="43">
        <f>'Enthalpy Data'!AG28</f>
        <v>7271.7637999999997</v>
      </c>
      <c r="K72" s="43">
        <f>'Enthalpy Data'!AH28</f>
        <v>7271.8965500000004</v>
      </c>
      <c r="L72" s="43">
        <f>'Enthalpy Data'!AI28</f>
        <v>7272.0293000000001</v>
      </c>
      <c r="M72" s="43">
        <f>'Enthalpy Data'!AJ28</f>
        <v>7272.1620500000008</v>
      </c>
      <c r="N72" s="76">
        <f>'Enthalpy Data'!AK28</f>
        <v>7272.2947999999997</v>
      </c>
    </row>
    <row r="73" spans="1:14" x14ac:dyDescent="0.25">
      <c r="A73" s="131">
        <f>'Enthalpy Data'!X29</f>
        <v>3250</v>
      </c>
      <c r="B73" s="47">
        <f>'Enthalpy Data'!Y29</f>
        <v>7409.4185714285713</v>
      </c>
      <c r="C73" s="43">
        <f>'Enthalpy Data'!Z29</f>
        <v>7409.0594500000007</v>
      </c>
      <c r="D73" s="43">
        <f>'Enthalpy Data'!AA29</f>
        <v>7409.0888999999997</v>
      </c>
      <c r="E73" s="43">
        <f>'Enthalpy Data'!AB29</f>
        <v>7409.1183499999997</v>
      </c>
      <c r="F73" s="43">
        <f>'Enthalpy Data'!AC29</f>
        <v>7409.1477999999997</v>
      </c>
      <c r="G73" s="43">
        <f>'Enthalpy Data'!AD29</f>
        <v>7409.1772499999997</v>
      </c>
      <c r="H73" s="43">
        <f>'Enthalpy Data'!AE29</f>
        <v>7409.3244999999997</v>
      </c>
      <c r="I73" s="43">
        <f>'Enthalpy Data'!AF29</f>
        <v>7409.4717499999997</v>
      </c>
      <c r="J73" s="43">
        <f>'Enthalpy Data'!AG29</f>
        <v>7409.6189999999997</v>
      </c>
      <c r="K73" s="43">
        <f>'Enthalpy Data'!AH29</f>
        <v>7409.7662499999997</v>
      </c>
      <c r="L73" s="43">
        <f>'Enthalpy Data'!AI29</f>
        <v>7409.9134999999997</v>
      </c>
      <c r="M73" s="43">
        <f>'Enthalpy Data'!AJ29</f>
        <v>7410.0607500000006</v>
      </c>
      <c r="N73" s="76">
        <f>'Enthalpy Data'!AK29</f>
        <v>7410.2080000000005</v>
      </c>
    </row>
    <row r="74" spans="1:14" x14ac:dyDescent="0.25">
      <c r="A74" s="131">
        <f>'Enthalpy Data'!X30</f>
        <v>3300</v>
      </c>
      <c r="B74" s="47">
        <f>'Enthalpy Data'!Y30</f>
        <v>7547.3928571428569</v>
      </c>
      <c r="C74" s="43">
        <f>'Enthalpy Data'!Z30</f>
        <v>7547.0275000000001</v>
      </c>
      <c r="D74" s="43">
        <f>'Enthalpy Data'!AA30</f>
        <v>7547.0578000000014</v>
      </c>
      <c r="E74" s="43">
        <f>'Enthalpy Data'!AB30</f>
        <v>7547.0881000000008</v>
      </c>
      <c r="F74" s="43">
        <f>'Enthalpy Data'!AC30</f>
        <v>7547.1184000000003</v>
      </c>
      <c r="G74" s="43">
        <f>'Enthalpy Data'!AD30</f>
        <v>7547.1487000000016</v>
      </c>
      <c r="H74" s="43">
        <f>'Enthalpy Data'!AE30</f>
        <v>7547.3002000000006</v>
      </c>
      <c r="I74" s="43">
        <f>'Enthalpy Data'!AF30</f>
        <v>7547.4517000000005</v>
      </c>
      <c r="J74" s="43">
        <f>'Enthalpy Data'!AG30</f>
        <v>7547.6032000000005</v>
      </c>
      <c r="K74" s="43">
        <f>'Enthalpy Data'!AH30</f>
        <v>7547.7547000000004</v>
      </c>
      <c r="L74" s="43">
        <f>'Enthalpy Data'!AI30</f>
        <v>7547.9062000000013</v>
      </c>
      <c r="M74" s="43">
        <f>'Enthalpy Data'!AJ30</f>
        <v>7548.0577000000003</v>
      </c>
      <c r="N74" s="76">
        <f>'Enthalpy Data'!AK30</f>
        <v>7548.2092000000002</v>
      </c>
    </row>
    <row r="75" spans="1:14" x14ac:dyDescent="0.25">
      <c r="A75" s="131">
        <f>'Enthalpy Data'!X31</f>
        <v>3350</v>
      </c>
      <c r="B75" s="47">
        <f>'Enthalpy Data'!Y31</f>
        <v>7685.3671428571433</v>
      </c>
      <c r="C75" s="43">
        <f>'Enthalpy Data'!Z31</f>
        <v>7684.9968000000008</v>
      </c>
      <c r="D75" s="43">
        <f>'Enthalpy Data'!AA31</f>
        <v>7685.0292000000009</v>
      </c>
      <c r="E75" s="43">
        <f>'Enthalpy Data'!AB31</f>
        <v>7685.0616</v>
      </c>
      <c r="F75" s="43">
        <f>'Enthalpy Data'!AC31</f>
        <v>7685.0940000000001</v>
      </c>
      <c r="G75" s="43">
        <f>'Enthalpy Data'!AD31</f>
        <v>7685.1264000000001</v>
      </c>
      <c r="H75" s="43">
        <f>'Enthalpy Data'!AE31</f>
        <v>7685.2884000000013</v>
      </c>
      <c r="I75" s="43">
        <f>'Enthalpy Data'!AF31</f>
        <v>7685.4503999999997</v>
      </c>
      <c r="J75" s="43">
        <f>'Enthalpy Data'!AG31</f>
        <v>7685.6124000000009</v>
      </c>
      <c r="K75" s="43">
        <f>'Enthalpy Data'!AH31</f>
        <v>7685.7744000000002</v>
      </c>
      <c r="L75" s="43">
        <f>'Enthalpy Data'!AI31</f>
        <v>7685.9364000000005</v>
      </c>
      <c r="M75" s="43">
        <f>'Enthalpy Data'!AJ31</f>
        <v>7686.0984000000008</v>
      </c>
      <c r="N75" s="76">
        <f>'Enthalpy Data'!AK31</f>
        <v>7686.2604000000001</v>
      </c>
    </row>
    <row r="76" spans="1:14" x14ac:dyDescent="0.25">
      <c r="A76" s="131">
        <f>'Enthalpy Data'!X32</f>
        <v>3400</v>
      </c>
      <c r="B76" s="47">
        <f>'Enthalpy Data'!Y32</f>
        <v>7823.3514285714282</v>
      </c>
      <c r="C76" s="43">
        <f>'Enthalpy Data'!Z32</f>
        <v>7822.9781500000008</v>
      </c>
      <c r="D76" s="43">
        <f>'Enthalpy Data'!AA32</f>
        <v>7823.0147000000006</v>
      </c>
      <c r="E76" s="43">
        <f>'Enthalpy Data'!AB32</f>
        <v>7823.0512500000004</v>
      </c>
      <c r="F76" s="43">
        <f>'Enthalpy Data'!AC32</f>
        <v>7823.0878000000002</v>
      </c>
      <c r="G76" s="43">
        <f>'Enthalpy Data'!AD32</f>
        <v>7823.124350000001</v>
      </c>
      <c r="H76" s="43">
        <f>'Enthalpy Data'!AE32</f>
        <v>7823.3071</v>
      </c>
      <c r="I76" s="43">
        <f>'Enthalpy Data'!AF32</f>
        <v>7823.4898500000008</v>
      </c>
      <c r="J76" s="43">
        <f>'Enthalpy Data'!AG32</f>
        <v>7823.6725999999999</v>
      </c>
      <c r="K76" s="43">
        <f>'Enthalpy Data'!AH32</f>
        <v>7823.8553499999998</v>
      </c>
      <c r="L76" s="43">
        <f>'Enthalpy Data'!AI32</f>
        <v>7824.0381000000007</v>
      </c>
      <c r="M76" s="43">
        <f>'Enthalpy Data'!AJ32</f>
        <v>7824.2208500000006</v>
      </c>
      <c r="N76" s="76">
        <f>'Enthalpy Data'!AK32</f>
        <v>7824.4036000000006</v>
      </c>
    </row>
    <row r="77" spans="1:14" x14ac:dyDescent="0.25">
      <c r="A77" s="131">
        <f>'Enthalpy Data'!X33</f>
        <v>3450</v>
      </c>
      <c r="B77" s="47">
        <f>'Enthalpy Data'!Y33</f>
        <v>7962.0559523809525</v>
      </c>
      <c r="C77" s="43">
        <f>'Enthalpy Data'!Z33</f>
        <v>7961.6768500000007</v>
      </c>
      <c r="D77" s="43">
        <f>'Enthalpy Data'!AA33</f>
        <v>7961.7147000000014</v>
      </c>
      <c r="E77" s="43">
        <f>'Enthalpy Data'!AB33</f>
        <v>7961.7525500000011</v>
      </c>
      <c r="F77" s="43">
        <f>'Enthalpy Data'!AC33</f>
        <v>7961.7904000000008</v>
      </c>
      <c r="G77" s="43">
        <f>'Enthalpy Data'!AD33</f>
        <v>7961.8282500000014</v>
      </c>
      <c r="H77" s="43">
        <f>'Enthalpy Data'!AE33</f>
        <v>7962.0175000000017</v>
      </c>
      <c r="I77" s="43">
        <f>'Enthalpy Data'!AF33</f>
        <v>7962.2067500000003</v>
      </c>
      <c r="J77" s="43">
        <f>'Enthalpy Data'!AG33</f>
        <v>7962.3960000000006</v>
      </c>
      <c r="K77" s="43">
        <f>'Enthalpy Data'!AH33</f>
        <v>7962.585250000001</v>
      </c>
      <c r="L77" s="43">
        <f>'Enthalpy Data'!AI33</f>
        <v>7962.7745000000004</v>
      </c>
      <c r="M77" s="43">
        <f>'Enthalpy Data'!AJ33</f>
        <v>7962.9637500000008</v>
      </c>
      <c r="N77" s="76">
        <f>'Enthalpy Data'!AK33</f>
        <v>7963.1530000000002</v>
      </c>
    </row>
    <row r="78" spans="1:14" ht="15.75" thickBot="1" x14ac:dyDescent="0.3">
      <c r="A78" s="132">
        <f>'Enthalpy Data'!X34</f>
        <v>3500</v>
      </c>
      <c r="B78" s="48">
        <f>'Enthalpy Data'!Y34</f>
        <v>8100.2102380952383</v>
      </c>
      <c r="C78" s="44">
        <f>'Enthalpy Data'!Z34</f>
        <v>8099.8286500000004</v>
      </c>
      <c r="D78" s="44">
        <f>'Enthalpy Data'!AA34</f>
        <v>8099.8711000000003</v>
      </c>
      <c r="E78" s="44">
        <f>'Enthalpy Data'!AB34</f>
        <v>8099.9135500000011</v>
      </c>
      <c r="F78" s="44">
        <f>'Enthalpy Data'!AC34</f>
        <v>8099.956000000001</v>
      </c>
      <c r="G78" s="44">
        <f>'Enthalpy Data'!AD34</f>
        <v>8099.99845</v>
      </c>
      <c r="H78" s="44">
        <f>'Enthalpy Data'!AE34</f>
        <v>8100.2107000000005</v>
      </c>
      <c r="I78" s="44">
        <f>'Enthalpy Data'!AF34</f>
        <v>8100.422950000001</v>
      </c>
      <c r="J78" s="44">
        <f>'Enthalpy Data'!AG34</f>
        <v>8100.6352000000006</v>
      </c>
      <c r="K78" s="44">
        <f>'Enthalpy Data'!AH34</f>
        <v>8100.8474500000011</v>
      </c>
      <c r="L78" s="44">
        <f>'Enthalpy Data'!AI34</f>
        <v>8101.0597000000007</v>
      </c>
      <c r="M78" s="44">
        <f>'Enthalpy Data'!AJ34</f>
        <v>8101.2719500000003</v>
      </c>
      <c r="N78" s="77">
        <f>'Enthalpy Data'!AK34</f>
        <v>8101.4842000000008</v>
      </c>
    </row>
  </sheetData>
  <mergeCells count="27">
    <mergeCell ref="W24:X24"/>
    <mergeCell ref="Y24:Z24"/>
    <mergeCell ref="AA24:AB24"/>
    <mergeCell ref="C42:C43"/>
    <mergeCell ref="E42:E43"/>
    <mergeCell ref="G42:G43"/>
    <mergeCell ref="I42:I43"/>
    <mergeCell ref="K42:K43"/>
    <mergeCell ref="M42:M43"/>
    <mergeCell ref="O42:O43"/>
    <mergeCell ref="Q42:Q43"/>
    <mergeCell ref="S42:S43"/>
    <mergeCell ref="U42:U43"/>
    <mergeCell ref="W42:W43"/>
    <mergeCell ref="Y42:Y43"/>
    <mergeCell ref="AA42:AA43"/>
    <mergeCell ref="M24:N24"/>
    <mergeCell ref="O24:P24"/>
    <mergeCell ref="Q24:R24"/>
    <mergeCell ref="S24:T24"/>
    <mergeCell ref="U24:V24"/>
    <mergeCell ref="A1:K3"/>
    <mergeCell ref="C24:D24"/>
    <mergeCell ref="E24:F24"/>
    <mergeCell ref="G24:H24"/>
    <mergeCell ref="I24:J24"/>
    <mergeCell ref="K24:L24"/>
  </mergeCells>
  <conditionalFormatting sqref="C26:C41 V11 E26:E41 G26:G41 I26:I41 K26:K41 M26:M40 O26:O41 Q26:Q40 S26:S41 U26:U41 W26:W41 Y26:Y41 AA26:AA41">
    <cfRule type="colorScale" priority="4">
      <colorScale>
        <cfvo type="min"/>
        <cfvo type="max"/>
        <color theme="9" tint="0.79998168889431442"/>
        <color rgb="FFFF0000"/>
      </colorScale>
    </cfRule>
  </conditionalFormatting>
  <conditionalFormatting sqref="Q26:Q41">
    <cfRule type="colorScale" priority="2">
      <colorScale>
        <cfvo type="min"/>
        <cfvo type="max"/>
        <color rgb="FFFF0000"/>
        <color theme="9" tint="0.79998168889431442"/>
      </colorScale>
    </cfRule>
    <cfRule type="colorScale" priority="3">
      <colorScale>
        <cfvo type="min"/>
        <cfvo type="max"/>
        <color theme="9" tint="0.79998168889431442"/>
        <color rgb="FFFF0000"/>
      </colorScale>
    </cfRule>
  </conditionalFormatting>
  <conditionalFormatting sqref="C26:C41 E26:E40 G26:G41 I26:I40 K26:K41 M26:M41 O26:O41 Q26:Q41 S26:S41 U26:U41 W26:W41 Y26:Y41 AA26:AA41">
    <cfRule type="colorScale" priority="1">
      <colorScale>
        <cfvo type="min"/>
        <cfvo type="max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78"/>
  <sheetViews>
    <sheetView zoomScale="85" zoomScaleNormal="85" workbookViewId="0">
      <selection activeCell="R5" sqref="R5"/>
    </sheetView>
  </sheetViews>
  <sheetFormatPr defaultRowHeight="15" x14ac:dyDescent="0.25"/>
  <cols>
    <col min="1" max="1" width="16.140625" bestFit="1" customWidth="1"/>
    <col min="6" max="6" width="12.28515625" bestFit="1" customWidth="1"/>
    <col min="8" max="8" width="12.28515625" bestFit="1" customWidth="1"/>
    <col min="10" max="10" width="12.28515625" bestFit="1" customWidth="1"/>
    <col min="12" max="12" width="12.28515625" bestFit="1" customWidth="1"/>
    <col min="14" max="14" width="13.42578125" customWidth="1"/>
    <col min="16" max="16" width="12.28515625" bestFit="1" customWidth="1"/>
    <col min="20" max="22" width="12.28515625" bestFit="1" customWidth="1"/>
    <col min="23" max="23" width="11.7109375" bestFit="1" customWidth="1"/>
    <col min="24" max="24" width="11.28515625" bestFit="1" customWidth="1"/>
    <col min="26" max="26" width="12.28515625" bestFit="1" customWidth="1"/>
    <col min="28" max="28" width="12.28515625" bestFit="1" customWidth="1"/>
  </cols>
  <sheetData>
    <row r="1" spans="1:28" x14ac:dyDescent="0.25">
      <c r="A1" s="215"/>
      <c r="B1" s="216"/>
      <c r="C1" s="216"/>
      <c r="D1" s="216"/>
      <c r="E1" s="216"/>
      <c r="F1" s="216"/>
      <c r="G1" s="216"/>
      <c r="H1" s="216"/>
      <c r="I1" s="216"/>
      <c r="J1" s="216"/>
      <c r="K1" s="217"/>
      <c r="L1" s="55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54"/>
      <c r="AB1" s="54"/>
    </row>
    <row r="2" spans="1:28" x14ac:dyDescent="0.25">
      <c r="A2" s="218"/>
      <c r="B2" s="219"/>
      <c r="C2" s="219"/>
      <c r="D2" s="219"/>
      <c r="E2" s="219"/>
      <c r="F2" s="219"/>
      <c r="G2" s="219"/>
      <c r="H2" s="219"/>
      <c r="I2" s="219"/>
      <c r="J2" s="219"/>
      <c r="K2" s="220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54"/>
      <c r="AB2" s="54"/>
    </row>
    <row r="3" spans="1:28" ht="15.75" thickBot="1" x14ac:dyDescent="0.3">
      <c r="A3" s="221"/>
      <c r="B3" s="222"/>
      <c r="C3" s="222"/>
      <c r="D3" s="222"/>
      <c r="E3" s="222"/>
      <c r="F3" s="222"/>
      <c r="G3" s="222"/>
      <c r="H3" s="222"/>
      <c r="I3" s="222"/>
      <c r="J3" s="222"/>
      <c r="K3" s="223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54"/>
      <c r="AB3" s="54"/>
    </row>
    <row r="4" spans="1:28" ht="15.75" thickBot="1" x14ac:dyDescent="0.3">
      <c r="A4" s="78" t="s">
        <v>17</v>
      </c>
      <c r="B4" s="59">
        <v>1800</v>
      </c>
      <c r="C4" s="53"/>
      <c r="D4" s="134" t="s">
        <v>25</v>
      </c>
      <c r="E4" s="167">
        <f>((10^5*(B6*B5)*10^-6))/(8314*293)</f>
        <v>6.5681391066181393E-6</v>
      </c>
      <c r="F4" s="237" t="s">
        <v>63</v>
      </c>
      <c r="G4" s="238"/>
      <c r="H4" s="238"/>
      <c r="I4" s="238"/>
      <c r="J4" s="238"/>
      <c r="K4" s="23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54"/>
      <c r="AB4" s="54"/>
    </row>
    <row r="5" spans="1:28" x14ac:dyDescent="0.25">
      <c r="A5" s="47" t="s">
        <v>20</v>
      </c>
      <c r="B5" s="56">
        <v>0.4</v>
      </c>
      <c r="C5" s="53"/>
      <c r="D5" s="49"/>
      <c r="E5" s="49"/>
      <c r="F5" s="240"/>
      <c r="G5" s="241"/>
      <c r="H5" s="241"/>
      <c r="I5" s="241"/>
      <c r="J5" s="241"/>
      <c r="K5" s="242"/>
      <c r="L5" s="49"/>
      <c r="M5" s="49"/>
      <c r="N5" s="49"/>
      <c r="O5" s="49"/>
      <c r="P5" s="49"/>
      <c r="Q5" s="49"/>
      <c r="R5" s="49"/>
      <c r="S5" s="49"/>
      <c r="T5" s="54"/>
      <c r="U5" s="54"/>
      <c r="V5" s="54"/>
      <c r="W5" s="54"/>
      <c r="X5" s="54"/>
      <c r="Y5" s="54"/>
      <c r="Z5" s="54"/>
      <c r="AA5" s="54"/>
      <c r="AB5" s="54"/>
    </row>
    <row r="6" spans="1:28" x14ac:dyDescent="0.25">
      <c r="A6" s="47" t="s">
        <v>18</v>
      </c>
      <c r="B6" s="25">
        <v>400</v>
      </c>
      <c r="C6" s="53"/>
      <c r="D6" s="49"/>
      <c r="E6" s="49"/>
      <c r="F6" s="240"/>
      <c r="G6" s="241"/>
      <c r="H6" s="241"/>
      <c r="I6" s="241"/>
      <c r="J6" s="241"/>
      <c r="K6" s="242"/>
      <c r="L6" s="49"/>
      <c r="M6" s="49"/>
      <c r="N6" s="49"/>
      <c r="O6" s="49"/>
      <c r="P6" s="49"/>
      <c r="Q6" s="49"/>
      <c r="R6" s="49"/>
      <c r="S6" s="49"/>
      <c r="T6" s="54"/>
      <c r="U6" s="54"/>
      <c r="V6" s="54"/>
      <c r="W6" s="54"/>
      <c r="X6" s="54"/>
      <c r="Y6" s="54"/>
      <c r="Z6" s="54"/>
      <c r="AA6" s="54"/>
      <c r="AB6" s="54"/>
    </row>
    <row r="7" spans="1:28" x14ac:dyDescent="0.25">
      <c r="A7" s="47" t="s">
        <v>19</v>
      </c>
      <c r="B7" s="25">
        <v>40</v>
      </c>
      <c r="C7" s="53"/>
      <c r="D7" s="49"/>
      <c r="E7" s="49"/>
      <c r="F7" s="240"/>
      <c r="G7" s="241"/>
      <c r="H7" s="241"/>
      <c r="I7" s="241"/>
      <c r="J7" s="241"/>
      <c r="K7" s="242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54"/>
      <c r="AB7" s="54"/>
    </row>
    <row r="8" spans="1:28" ht="15.75" thickBot="1" x14ac:dyDescent="0.3">
      <c r="A8" s="51" t="s">
        <v>59</v>
      </c>
      <c r="B8" s="52">
        <v>1.17</v>
      </c>
      <c r="C8" s="53"/>
      <c r="D8" s="54"/>
      <c r="E8" s="54"/>
      <c r="F8" s="243"/>
      <c r="G8" s="244"/>
      <c r="H8" s="244"/>
      <c r="I8" s="244"/>
      <c r="J8" s="244"/>
      <c r="K8" s="245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54"/>
      <c r="AB8" s="54"/>
    </row>
    <row r="9" spans="1:28" ht="60.75" thickBot="1" x14ac:dyDescent="0.3">
      <c r="A9" s="113" t="s">
        <v>16</v>
      </c>
      <c r="B9" s="143" t="s">
        <v>0</v>
      </c>
      <c r="C9" s="81" t="s">
        <v>21</v>
      </c>
      <c r="D9" s="144" t="s">
        <v>1</v>
      </c>
      <c r="E9" s="81" t="s">
        <v>21</v>
      </c>
      <c r="F9" s="144" t="s">
        <v>8</v>
      </c>
      <c r="G9" s="81" t="s">
        <v>21</v>
      </c>
      <c r="H9" s="144" t="s">
        <v>7</v>
      </c>
      <c r="I9" s="81" t="s">
        <v>21</v>
      </c>
      <c r="J9" s="81" t="s">
        <v>22</v>
      </c>
      <c r="K9" s="81" t="s">
        <v>23</v>
      </c>
      <c r="L9" s="67" t="s">
        <v>47</v>
      </c>
      <c r="M9" s="123" t="s">
        <v>48</v>
      </c>
      <c r="N9" s="179" t="s">
        <v>49</v>
      </c>
      <c r="O9" s="180" t="s">
        <v>50</v>
      </c>
      <c r="P9" s="181" t="s">
        <v>51</v>
      </c>
      <c r="Q9" s="199" t="s">
        <v>52</v>
      </c>
      <c r="R9" s="189" t="s">
        <v>53</v>
      </c>
      <c r="S9" s="179" t="s">
        <v>54</v>
      </c>
      <c r="T9" s="179" t="s">
        <v>55</v>
      </c>
      <c r="U9" s="190" t="s">
        <v>67</v>
      </c>
      <c r="V9" s="141" t="s">
        <v>61</v>
      </c>
      <c r="W9" s="142" t="s">
        <v>62</v>
      </c>
      <c r="X9" s="54"/>
      <c r="Y9" s="54"/>
      <c r="Z9" s="54"/>
      <c r="AA9" s="54"/>
    </row>
    <row r="10" spans="1:28" x14ac:dyDescent="0.25">
      <c r="A10" s="45">
        <v>1</v>
      </c>
      <c r="B10" s="168">
        <v>8.4</v>
      </c>
      <c r="C10" s="129">
        <v>115.18600000000001</v>
      </c>
      <c r="D10" s="129">
        <v>9.4499999999999993</v>
      </c>
      <c r="E10" s="129">
        <v>93.212940000000003</v>
      </c>
      <c r="F10" s="129">
        <v>0</v>
      </c>
      <c r="G10" s="129">
        <v>74.391679999999994</v>
      </c>
      <c r="H10" s="129">
        <v>49.375</v>
      </c>
      <c r="I10" s="129">
        <v>70.280730000000005</v>
      </c>
      <c r="J10" s="129">
        <v>5065</v>
      </c>
      <c r="K10" s="171">
        <f>FORECAST(5065,A55:A56,B55:B56)</f>
        <v>2390.0286225656614</v>
      </c>
      <c r="L10" s="173">
        <f t="shared" ref="L10:L22" si="0">(((-8.5358E-16*(K10^5))+(8.92213971E-12*(K10^4))-(3.576722317485E-08*(K10^3))+(0.0000699095086815875*(K10^2))-(0.00826892770480903*(K10))-(0.895619545925062)))*0.95</f>
        <v>109.18490027982561</v>
      </c>
      <c r="M10" s="176">
        <f t="shared" ref="M10:M22" si="1">(((6.7E-19*(K10^6))-(7.89843E-15*(K10^5))+(3.687984988E-11*(K10^4))-(8.638622855912E-08*(K10^3))+(0.000110740178605573*(K10^2))-(0.031241611607915*(K10))+(3.30066945333761)))*0.95</f>
        <v>89.411771938598832</v>
      </c>
      <c r="N10" s="21">
        <f t="shared" ref="N10:N22" si="2">(((6.5E-19*(K10^6))-(7.82245E-15*(K10^5))+(0.0000000000371204177*(K10^4))-(8.798317617007E-08*(K10^3))+(0.000109823272345614*(K10^2))-(0.0326064446414848*(K10))+(3.57864890028521)))*0.95</f>
        <v>70.434058694948646</v>
      </c>
      <c r="O10" s="21">
        <f t="shared" ref="O10:O22" si="3">(((5.9E-19*(K10^6))-(7.10207E-15*(K10^5))+(3.346089681E-11*(K10^4))-(7.890960163412E-08*(K10^3))+(0.000098599769211504*(K10^2))-(0.028172899155961*(K10))+(3.05378907997741)))*0.95</f>
        <v>66.086397955120631</v>
      </c>
      <c r="P10" s="174">
        <f t="shared" ref="P10:P22" si="4">(L10*B10)+(M10*D10)+(N10*F10)+(O10*H10)*0.95</f>
        <v>4861.9595112526713</v>
      </c>
      <c r="Q10" s="198">
        <f>FORECAST(P10,A$54:A$55,B54:B55)</f>
        <v>2314.4182215453311</v>
      </c>
      <c r="R10" s="20">
        <f t="shared" ref="R10:R22" si="5">(F10*T10)/($B$7*10^-6)</f>
        <v>0</v>
      </c>
      <c r="S10" s="21">
        <f t="shared" ref="S10:S22" si="6">(H10*T10)/($B$7*10^-6)</f>
        <v>0.13395631857149259</v>
      </c>
      <c r="T10" s="21">
        <f>$E$4/(A10+12.5*(1+(79/21)))</f>
        <v>1.085215745389307E-7</v>
      </c>
      <c r="U10" s="22">
        <f t="shared" ref="U10:U22" si="7">(B10+D10+F10+H10)*T10</f>
        <v>7.2953628483796152E-6</v>
      </c>
      <c r="V10" s="78">
        <f>D42</f>
        <v>0</v>
      </c>
      <c r="W10" s="80">
        <f>(V10/U10)*10^6</f>
        <v>0</v>
      </c>
      <c r="X10" s="54"/>
      <c r="Y10" s="54"/>
      <c r="Z10" s="54"/>
      <c r="AA10" s="54"/>
    </row>
    <row r="11" spans="1:28" x14ac:dyDescent="0.25">
      <c r="A11" s="45">
        <v>0.99</v>
      </c>
      <c r="B11" s="47">
        <f>$B$10*A11</f>
        <v>8.3160000000000007</v>
      </c>
      <c r="C11" s="43">
        <f>$C$10*A11</f>
        <v>114.03414000000001</v>
      </c>
      <c r="D11" s="43">
        <f>$D$10*A11</f>
        <v>9.3554999999999993</v>
      </c>
      <c r="E11" s="43">
        <f>$E$10*A11</f>
        <v>92.280810600000009</v>
      </c>
      <c r="F11" s="43">
        <f>((12.5*(1-A11))*0.05)+(12.5*(1-A11))</f>
        <v>0.13125000000000012</v>
      </c>
      <c r="G11" s="43">
        <f>$G$10*A11</f>
        <v>73.6477632</v>
      </c>
      <c r="H11" s="79">
        <v>49.375</v>
      </c>
      <c r="I11" s="43">
        <f>$I$10*A11</f>
        <v>69.577922700000002</v>
      </c>
      <c r="J11" s="43">
        <f>$J$10*A11</f>
        <v>5014.3500000000004</v>
      </c>
      <c r="K11" s="112">
        <f>FORECAST(5014.35,A55:A56,C55:C56)</f>
        <v>2371.2240976381399</v>
      </c>
      <c r="L11" s="182">
        <f t="shared" si="0"/>
        <v>108.09707216122482</v>
      </c>
      <c r="M11" s="184">
        <f t="shared" si="1"/>
        <v>88.402145336244388</v>
      </c>
      <c r="N11" s="24">
        <f t="shared" si="2"/>
        <v>69.725851268137674</v>
      </c>
      <c r="O11" s="24">
        <f t="shared" si="3"/>
        <v>65.450842249992021</v>
      </c>
      <c r="P11" s="145">
        <f t="shared" si="4"/>
        <v>4805.1866100536117</v>
      </c>
      <c r="Q11" s="177">
        <f>FORECAST(P11,A53:A54,B53:B54)</f>
        <v>2293.271294539396</v>
      </c>
      <c r="R11" s="23">
        <f t="shared" si="5"/>
        <v>3.5614526028329349E-4</v>
      </c>
      <c r="S11" s="24">
        <f t="shared" si="6"/>
        <v>0.13397845505895317</v>
      </c>
      <c r="T11" s="58">
        <f t="shared" ref="T11:T22" si="8">$E$4/(A11+12.5*(1+(79/21)))</f>
        <v>1.0853950789586077E-7</v>
      </c>
      <c r="U11" s="25">
        <f t="shared" si="7"/>
        <v>7.2914399265511613E-6</v>
      </c>
      <c r="V11" s="47">
        <f>F42</f>
        <v>6.6840928439009447E-8</v>
      </c>
      <c r="W11" s="76">
        <f t="shared" ref="W11:W22" si="9">(V11/U11)*10^6</f>
        <v>9167.0409565624832</v>
      </c>
      <c r="X11" s="54"/>
      <c r="Y11" s="54"/>
      <c r="Z11" s="54"/>
      <c r="AA11" s="54"/>
    </row>
    <row r="12" spans="1:28" x14ac:dyDescent="0.25">
      <c r="A12" s="45">
        <v>0.98</v>
      </c>
      <c r="B12" s="47">
        <f t="shared" ref="B12:B22" si="10">$B$10*A12</f>
        <v>8.2319999999999993</v>
      </c>
      <c r="C12" s="43">
        <f t="shared" ref="C12:C22" si="11">$C$10*A12</f>
        <v>112.88228000000001</v>
      </c>
      <c r="D12" s="43">
        <f t="shared" ref="D12:D22" si="12">$D$10*A12</f>
        <v>9.2609999999999992</v>
      </c>
      <c r="E12" s="43">
        <f t="shared" ref="E12:E22" si="13">$E$10*A12</f>
        <v>91.348681200000001</v>
      </c>
      <c r="F12" s="43">
        <f t="shared" ref="F12:F22" si="14">((12.5*(1-A12))*0.05)+(12.5*(1-A12))</f>
        <v>0.26250000000000023</v>
      </c>
      <c r="G12" s="43">
        <f t="shared" ref="G12:G22" si="15">$G$10*A12</f>
        <v>72.903846399999992</v>
      </c>
      <c r="H12" s="79">
        <v>49.375</v>
      </c>
      <c r="I12" s="43">
        <f t="shared" ref="I12:I22" si="16">$I$10*A12</f>
        <v>68.875115399999999</v>
      </c>
      <c r="J12" s="43">
        <f t="shared" ref="J12:J22" si="17">$J$10*A12</f>
        <v>4963.7</v>
      </c>
      <c r="K12" s="112">
        <f>FORECAST(4963.7,A55:A56,D55:D56)</f>
        <v>2352.3187397308907</v>
      </c>
      <c r="L12" s="182">
        <f t="shared" si="0"/>
        <v>107.00521707930295</v>
      </c>
      <c r="M12" s="184">
        <f t="shared" si="1"/>
        <v>87.390531453048865</v>
      </c>
      <c r="N12" s="24">
        <f t="shared" si="2"/>
        <v>69.01489177539051</v>
      </c>
      <c r="O12" s="24">
        <f t="shared" si="3"/>
        <v>64.811201941960903</v>
      </c>
      <c r="P12" s="145">
        <f t="shared" si="4"/>
        <v>4748.3575089646511</v>
      </c>
      <c r="Q12" s="177">
        <f>FORECAST(P12,A53:A54,D53:D54)</f>
        <v>2272.0780361406596</v>
      </c>
      <c r="R12" s="23">
        <f t="shared" si="5"/>
        <v>7.1240824712400094E-4</v>
      </c>
      <c r="S12" s="24">
        <f t="shared" si="6"/>
        <v>0.13400059886380009</v>
      </c>
      <c r="T12" s="58">
        <f t="shared" si="8"/>
        <v>1.0855744718080005E-7</v>
      </c>
      <c r="U12" s="25">
        <f t="shared" si="7"/>
        <v>7.2875157079706977E-6</v>
      </c>
      <c r="V12" s="47">
        <f>H42</f>
        <v>7.4982524027817989E-8</v>
      </c>
      <c r="W12" s="76">
        <f t="shared" si="9"/>
        <v>10289.174944186547</v>
      </c>
      <c r="X12" s="54"/>
      <c r="Y12" s="54"/>
      <c r="Z12" s="54"/>
      <c r="AA12" s="54"/>
    </row>
    <row r="13" spans="1:28" x14ac:dyDescent="0.25">
      <c r="A13" s="201">
        <v>0.97</v>
      </c>
      <c r="B13" s="47">
        <f t="shared" si="10"/>
        <v>8.1479999999999997</v>
      </c>
      <c r="C13" s="43">
        <f t="shared" si="11"/>
        <v>111.73042000000001</v>
      </c>
      <c r="D13" s="43">
        <f t="shared" si="12"/>
        <v>9.1664999999999992</v>
      </c>
      <c r="E13" s="43">
        <f t="shared" si="13"/>
        <v>90.416551800000008</v>
      </c>
      <c r="F13" s="43">
        <f t="shared" si="14"/>
        <v>0.39375000000000038</v>
      </c>
      <c r="G13" s="43">
        <f t="shared" si="15"/>
        <v>72.159929599999998</v>
      </c>
      <c r="H13" s="79">
        <v>49.375</v>
      </c>
      <c r="I13" s="43">
        <f t="shared" si="16"/>
        <v>68.172308100000009</v>
      </c>
      <c r="J13" s="43">
        <f t="shared" si="17"/>
        <v>4913.05</v>
      </c>
      <c r="K13" s="112">
        <f>FORECAST(4913.05,A54:A55,E54:E55)</f>
        <v>2333.4572983595631</v>
      </c>
      <c r="L13" s="182">
        <f t="shared" si="0"/>
        <v>105.91766825933335</v>
      </c>
      <c r="M13" s="184">
        <f t="shared" si="1"/>
        <v>86.384768527007353</v>
      </c>
      <c r="N13" s="24">
        <f t="shared" si="2"/>
        <v>68.306719353330308</v>
      </c>
      <c r="O13" s="24">
        <f t="shared" si="3"/>
        <v>64.172505379416961</v>
      </c>
      <c r="P13" s="145">
        <f t="shared" si="4"/>
        <v>4691.8504928785114</v>
      </c>
      <c r="Q13" s="177">
        <f>FORECAST(P13,A53:A54,E53:E54)</f>
        <v>2250.9290536650419</v>
      </c>
      <c r="R13" s="23">
        <f t="shared" si="5"/>
        <v>1.0687890189049016E-3</v>
      </c>
      <c r="S13" s="24">
        <f t="shared" si="6"/>
        <v>0.13402274998966213</v>
      </c>
      <c r="T13" s="58">
        <f t="shared" si="8"/>
        <v>1.085753923966883E-7</v>
      </c>
      <c r="U13" s="25">
        <f t="shared" si="7"/>
        <v>7.2835901919951397E-6</v>
      </c>
      <c r="V13" s="47">
        <f>J42</f>
        <v>7.2568838056376833E-8</v>
      </c>
      <c r="W13" s="202">
        <f t="shared" si="9"/>
        <v>9963.3334857488171</v>
      </c>
      <c r="X13" s="54"/>
      <c r="Y13" s="54"/>
      <c r="Z13" s="54"/>
      <c r="AA13" s="54"/>
    </row>
    <row r="14" spans="1:28" x14ac:dyDescent="0.25">
      <c r="A14" s="45">
        <v>0.96</v>
      </c>
      <c r="B14" s="47">
        <f t="shared" si="10"/>
        <v>8.0640000000000001</v>
      </c>
      <c r="C14" s="43">
        <f t="shared" si="11"/>
        <v>110.57856</v>
      </c>
      <c r="D14" s="43">
        <f t="shared" si="12"/>
        <v>9.0719999999999992</v>
      </c>
      <c r="E14" s="43">
        <f t="shared" si="13"/>
        <v>89.4844224</v>
      </c>
      <c r="F14" s="43">
        <f t="shared" si="14"/>
        <v>0.52500000000000047</v>
      </c>
      <c r="G14" s="43">
        <f t="shared" si="15"/>
        <v>71.41601279999999</v>
      </c>
      <c r="H14" s="79">
        <v>49.375</v>
      </c>
      <c r="I14" s="43">
        <f t="shared" si="16"/>
        <v>67.469500800000006</v>
      </c>
      <c r="J14" s="43">
        <f t="shared" si="17"/>
        <v>4862.3999999999996</v>
      </c>
      <c r="K14" s="112">
        <f>FORECAST(4862.4,A54:A55,F54:F55)</f>
        <v>2314.6006001449032</v>
      </c>
      <c r="L14" s="182">
        <f t="shared" si="0"/>
        <v>104.8321221616482</v>
      </c>
      <c r="M14" s="184">
        <f t="shared" si="1"/>
        <v>85.382830230578094</v>
      </c>
      <c r="N14" s="24">
        <f t="shared" si="2"/>
        <v>67.599946987540534</v>
      </c>
      <c r="O14" s="24">
        <f t="shared" si="3"/>
        <v>63.533558870694847</v>
      </c>
      <c r="P14" s="145">
        <f t="shared" si="4"/>
        <v>4635.5702369103246</v>
      </c>
      <c r="Q14" s="177">
        <f>FORECAST(P14,A52:A53,F52:F53)</f>
        <v>2229.7652054743758</v>
      </c>
      <c r="R14" s="23">
        <f t="shared" si="5"/>
        <v>1.4252876340473848E-3</v>
      </c>
      <c r="S14" s="24">
        <f t="shared" si="6"/>
        <v>0.13404490844017061</v>
      </c>
      <c r="T14" s="58">
        <f t="shared" si="8"/>
        <v>1.0859334354646731E-7</v>
      </c>
      <c r="U14" s="25">
        <f t="shared" si="7"/>
        <v>7.2796633779809831E-6</v>
      </c>
      <c r="V14" s="47">
        <f>L42</f>
        <v>6.5912938495768559E-8</v>
      </c>
      <c r="W14" s="76">
        <f t="shared" si="9"/>
        <v>9054.3937368226962</v>
      </c>
      <c r="X14" s="54"/>
      <c r="Y14" s="54"/>
      <c r="Z14" s="54"/>
      <c r="AA14" s="54"/>
    </row>
    <row r="15" spans="1:28" x14ac:dyDescent="0.25">
      <c r="A15" s="45">
        <v>0.95</v>
      </c>
      <c r="B15" s="47">
        <f t="shared" si="10"/>
        <v>7.9799999999999995</v>
      </c>
      <c r="C15" s="43">
        <f t="shared" si="11"/>
        <v>109.4267</v>
      </c>
      <c r="D15" s="43">
        <f t="shared" si="12"/>
        <v>8.9774999999999991</v>
      </c>
      <c r="E15" s="43">
        <f t="shared" si="13"/>
        <v>88.552293000000006</v>
      </c>
      <c r="F15" s="43">
        <f t="shared" si="14"/>
        <v>0.65625000000000056</v>
      </c>
      <c r="G15" s="43">
        <f t="shared" si="15"/>
        <v>70.672095999999996</v>
      </c>
      <c r="H15" s="79">
        <v>49.375</v>
      </c>
      <c r="I15" s="43">
        <f t="shared" si="16"/>
        <v>66.766693500000002</v>
      </c>
      <c r="J15" s="43">
        <f t="shared" si="17"/>
        <v>4811.75</v>
      </c>
      <c r="K15" s="112">
        <f>FORECAST(4811.75,A53:A54,G53:G54)</f>
        <v>2295.7196536849629</v>
      </c>
      <c r="L15" s="182">
        <f t="shared" si="0"/>
        <v>103.74687147564693</v>
      </c>
      <c r="M15" s="184">
        <f t="shared" si="1"/>
        <v>84.383256268861714</v>
      </c>
      <c r="N15" s="24">
        <f t="shared" si="2"/>
        <v>66.893575189936442</v>
      </c>
      <c r="O15" s="24">
        <f t="shared" si="3"/>
        <v>62.893506821477786</v>
      </c>
      <c r="P15" s="145">
        <f t="shared" si="4"/>
        <v>4579.4481805927062</v>
      </c>
      <c r="Q15" s="177">
        <f>FORECAST(P15,A$52:A$53,F52:F53)</f>
        <v>2208.6778183968709</v>
      </c>
      <c r="R15" s="23">
        <f t="shared" si="5"/>
        <v>1.781904151011483E-3</v>
      </c>
      <c r="S15" s="24">
        <f t="shared" si="6"/>
        <v>0.13406707421895908</v>
      </c>
      <c r="T15" s="58">
        <f t="shared" si="8"/>
        <v>1.0861130063308076E-7</v>
      </c>
      <c r="U15" s="25">
        <f t="shared" si="7"/>
        <v>7.275735265284288E-6</v>
      </c>
      <c r="V15" s="47">
        <f>N42</f>
        <v>5.7754738692406526E-8</v>
      </c>
      <c r="W15" s="76">
        <f t="shared" si="9"/>
        <v>7937.9934242494528</v>
      </c>
      <c r="X15" s="54"/>
      <c r="Y15" s="54"/>
      <c r="Z15" s="54"/>
      <c r="AA15" s="54"/>
    </row>
    <row r="16" spans="1:28" x14ac:dyDescent="0.25">
      <c r="A16" s="45">
        <v>0.9</v>
      </c>
      <c r="B16" s="47">
        <f t="shared" si="10"/>
        <v>7.5600000000000005</v>
      </c>
      <c r="C16" s="43">
        <f t="shared" si="11"/>
        <v>103.66740000000001</v>
      </c>
      <c r="D16" s="43">
        <f t="shared" si="12"/>
        <v>8.504999999999999</v>
      </c>
      <c r="E16" s="43">
        <f t="shared" si="13"/>
        <v>83.891646000000009</v>
      </c>
      <c r="F16" s="43">
        <f t="shared" si="14"/>
        <v>1.3124999999999998</v>
      </c>
      <c r="G16" s="43">
        <f t="shared" si="15"/>
        <v>66.952511999999999</v>
      </c>
      <c r="H16" s="79">
        <v>49.375</v>
      </c>
      <c r="I16" s="43">
        <f t="shared" si="16"/>
        <v>63.252657000000006</v>
      </c>
      <c r="J16" s="43">
        <f t="shared" si="17"/>
        <v>4558.5</v>
      </c>
      <c r="K16" s="112">
        <f>FORECAST(4558.5,A52:A53,H52:H53)</f>
        <v>2200.6683016876846</v>
      </c>
      <c r="L16" s="182">
        <f t="shared" si="0"/>
        <v>98.307510350037191</v>
      </c>
      <c r="M16" s="184">
        <f t="shared" si="1"/>
        <v>79.409167914133334</v>
      </c>
      <c r="N16" s="24">
        <f t="shared" si="2"/>
        <v>63.360205362487889</v>
      </c>
      <c r="O16" s="24">
        <f t="shared" si="3"/>
        <v>59.671265196462535</v>
      </c>
      <c r="P16" s="145">
        <f t="shared" si="4"/>
        <v>4300.6953040158205</v>
      </c>
      <c r="Q16" s="177">
        <f>FORECAST(P16,A$50:A$51,G50:G51)</f>
        <v>2103.9631099083999</v>
      </c>
      <c r="R16" s="23">
        <f t="shared" si="5"/>
        <v>3.5667573119663185E-3</v>
      </c>
      <c r="S16" s="24">
        <f t="shared" si="6"/>
        <v>0.13417801316444725</v>
      </c>
      <c r="T16" s="58">
        <f t="shared" si="8"/>
        <v>1.0870117522183066E-7</v>
      </c>
      <c r="U16" s="25">
        <f t="shared" si="7"/>
        <v>7.2560751989952509E-6</v>
      </c>
      <c r="V16" s="47">
        <f>P42</f>
        <v>2.2669986252767892E-8</v>
      </c>
      <c r="W16" s="76">
        <f t="shared" si="9"/>
        <v>3124.2766414420576</v>
      </c>
      <c r="X16" s="54"/>
      <c r="Y16" s="54"/>
      <c r="Z16" s="54"/>
      <c r="AA16" s="54"/>
    </row>
    <row r="17" spans="1:28" x14ac:dyDescent="0.25">
      <c r="A17" s="45">
        <v>0.85</v>
      </c>
      <c r="B17" s="47">
        <f t="shared" si="10"/>
        <v>7.14</v>
      </c>
      <c r="C17" s="43">
        <f t="shared" si="11"/>
        <v>97.908100000000005</v>
      </c>
      <c r="D17" s="43">
        <f t="shared" si="12"/>
        <v>8.0324999999999989</v>
      </c>
      <c r="E17" s="43">
        <f t="shared" si="13"/>
        <v>79.230998999999997</v>
      </c>
      <c r="F17" s="43">
        <f t="shared" si="14"/>
        <v>1.9687500000000002</v>
      </c>
      <c r="G17" s="43">
        <f t="shared" si="15"/>
        <v>63.232927999999994</v>
      </c>
      <c r="H17" s="79">
        <v>49.375</v>
      </c>
      <c r="I17" s="43">
        <f t="shared" si="16"/>
        <v>59.738620500000003</v>
      </c>
      <c r="J17" s="43">
        <f t="shared" si="17"/>
        <v>4305.25</v>
      </c>
      <c r="K17" s="112">
        <f>FORECAST(4305.25,A50:A51,I50:I51)</f>
        <v>2105.4087162751498</v>
      </c>
      <c r="L17" s="182">
        <f t="shared" si="0"/>
        <v>92.891606196305986</v>
      </c>
      <c r="M17" s="184">
        <f t="shared" si="1"/>
        <v>74.526992685248999</v>
      </c>
      <c r="N17" s="24">
        <f t="shared" si="2"/>
        <v>59.863150022476951</v>
      </c>
      <c r="O17" s="24">
        <f t="shared" si="3"/>
        <v>56.45174551089854</v>
      </c>
      <c r="P17" s="145">
        <f t="shared" si="4"/>
        <v>4027.6794014632233</v>
      </c>
      <c r="Q17" s="177">
        <f>FORECAST(P17,A$48:A$49,H48:H49)</f>
        <v>2000.4020176546371</v>
      </c>
      <c r="R17" s="23">
        <f t="shared" si="5"/>
        <v>5.3545668097417622E-3</v>
      </c>
      <c r="S17" s="24">
        <f t="shared" si="6"/>
        <v>0.13428913586336483</v>
      </c>
      <c r="T17" s="58">
        <f t="shared" si="8"/>
        <v>1.0879119867411832E-7</v>
      </c>
      <c r="U17" s="25">
        <f t="shared" si="7"/>
        <v>7.2363825688073225E-6</v>
      </c>
      <c r="V17" s="47">
        <f>R42</f>
        <v>6.8592725055165978E-9</v>
      </c>
      <c r="W17" s="76">
        <f t="shared" si="9"/>
        <v>947.88693664203561</v>
      </c>
      <c r="X17" s="54"/>
      <c r="Y17" s="54"/>
      <c r="Z17" s="54"/>
      <c r="AA17" s="54"/>
    </row>
    <row r="18" spans="1:28" x14ac:dyDescent="0.25">
      <c r="A18" s="45">
        <v>0.8</v>
      </c>
      <c r="B18" s="47">
        <f t="shared" si="10"/>
        <v>6.7200000000000006</v>
      </c>
      <c r="C18" s="43">
        <f t="shared" si="11"/>
        <v>92.148800000000008</v>
      </c>
      <c r="D18" s="43">
        <f t="shared" si="12"/>
        <v>7.56</v>
      </c>
      <c r="E18" s="43">
        <f t="shared" si="13"/>
        <v>74.570352</v>
      </c>
      <c r="F18" s="43">
        <f t="shared" si="14"/>
        <v>2.6249999999999996</v>
      </c>
      <c r="G18" s="43">
        <f t="shared" si="15"/>
        <v>59.513343999999996</v>
      </c>
      <c r="H18" s="79">
        <v>49.375</v>
      </c>
      <c r="I18" s="43">
        <f t="shared" si="16"/>
        <v>56.224584000000007</v>
      </c>
      <c r="J18" s="43">
        <f t="shared" si="17"/>
        <v>4052</v>
      </c>
      <c r="K18" s="112">
        <f>FORECAST(4052,A48:A49,J48:J49)</f>
        <v>2009.3136801219853</v>
      </c>
      <c r="L18" s="182">
        <f t="shared" si="0"/>
        <v>87.456657057044268</v>
      </c>
      <c r="M18" s="184">
        <f t="shared" si="1"/>
        <v>69.71203584333287</v>
      </c>
      <c r="N18" s="24">
        <f t="shared" si="2"/>
        <v>56.385861021542979</v>
      </c>
      <c r="O18" s="24">
        <f t="shared" si="3"/>
        <v>53.224799516869993</v>
      </c>
      <c r="P18" s="145">
        <f t="shared" si="4"/>
        <v>3759.3203639186672</v>
      </c>
      <c r="Q18" s="177">
        <f>FORECAST(P18,A47:A$48,I47:I48)</f>
        <v>1898.3365126916706</v>
      </c>
      <c r="R18" s="23">
        <f t="shared" si="5"/>
        <v>7.1453399955068858E-3</v>
      </c>
      <c r="S18" s="24">
        <f t="shared" si="6"/>
        <v>0.13440044277262952</v>
      </c>
      <c r="T18" s="58">
        <f t="shared" si="8"/>
        <v>1.0888137136010493E-7</v>
      </c>
      <c r="U18" s="25">
        <f t="shared" si="7"/>
        <v>7.2166572937477546E-6</v>
      </c>
      <c r="V18" s="47">
        <f>T42</f>
        <v>1.7225118129107843E-9</v>
      </c>
      <c r="W18" s="76">
        <f t="shared" si="9"/>
        <v>238.68554966620141</v>
      </c>
      <c r="X18" s="54"/>
      <c r="Y18" s="54"/>
      <c r="Z18" s="54"/>
      <c r="AA18" s="54"/>
    </row>
    <row r="19" spans="1:28" x14ac:dyDescent="0.25">
      <c r="A19" s="45">
        <v>0.75</v>
      </c>
      <c r="B19" s="47">
        <f t="shared" si="10"/>
        <v>6.3000000000000007</v>
      </c>
      <c r="C19" s="43">
        <f t="shared" si="11"/>
        <v>86.389499999999998</v>
      </c>
      <c r="D19" s="43">
        <f t="shared" si="12"/>
        <v>7.0874999999999995</v>
      </c>
      <c r="E19" s="43">
        <f t="shared" si="13"/>
        <v>69.909705000000002</v>
      </c>
      <c r="F19" s="43">
        <f t="shared" si="14"/>
        <v>3.28125</v>
      </c>
      <c r="G19" s="43">
        <f t="shared" si="15"/>
        <v>55.793759999999992</v>
      </c>
      <c r="H19" s="79">
        <v>49.375</v>
      </c>
      <c r="I19" s="43">
        <f t="shared" si="16"/>
        <v>52.710547500000004</v>
      </c>
      <c r="J19" s="43">
        <f t="shared" si="17"/>
        <v>3798.75</v>
      </c>
      <c r="K19" s="112">
        <f>FORECAST(3798.75,A46:A47,K46:K47)</f>
        <v>1912.7508198925964</v>
      </c>
      <c r="L19" s="182">
        <f t="shared" si="0"/>
        <v>82.016365403328081</v>
      </c>
      <c r="M19" s="184">
        <f t="shared" si="1"/>
        <v>64.987525189125776</v>
      </c>
      <c r="N19" s="24">
        <f t="shared" si="2"/>
        <v>52.944663059431818</v>
      </c>
      <c r="O19" s="24">
        <f t="shared" si="3"/>
        <v>50.010282064010013</v>
      </c>
      <c r="P19" s="145">
        <f t="shared" si="4"/>
        <v>3496.8216555476265</v>
      </c>
      <c r="Q19" s="177">
        <f>FORECAST(P19,P61:P62,Z61:Z62)</f>
        <v>1796.9249840750392</v>
      </c>
      <c r="R19" s="23">
        <f t="shared" si="5"/>
        <v>8.9390842448233507E-3</v>
      </c>
      <c r="S19" s="24">
        <f t="shared" si="6"/>
        <v>0.13451193435067518</v>
      </c>
      <c r="T19" s="58">
        <f t="shared" si="8"/>
        <v>1.0897169365117987E-7</v>
      </c>
      <c r="U19" s="25">
        <f t="shared" si="7"/>
        <v>7.1968992925751109E-6</v>
      </c>
      <c r="V19" s="47">
        <f>V42</f>
        <v>3.568610693781142E-10</v>
      </c>
      <c r="W19" s="76">
        <f t="shared" si="9"/>
        <v>49.585391551369938</v>
      </c>
      <c r="X19" s="54"/>
      <c r="Y19" s="54"/>
      <c r="Z19" s="54"/>
      <c r="AA19" s="54"/>
    </row>
    <row r="20" spans="1:28" x14ac:dyDescent="0.25">
      <c r="A20" s="45">
        <v>0.7</v>
      </c>
      <c r="B20" s="47">
        <f t="shared" si="10"/>
        <v>5.88</v>
      </c>
      <c r="C20" s="43">
        <f t="shared" si="11"/>
        <v>80.630200000000002</v>
      </c>
      <c r="D20" s="43">
        <f t="shared" si="12"/>
        <v>6.6149999999999993</v>
      </c>
      <c r="E20" s="43">
        <f t="shared" si="13"/>
        <v>65.249058000000005</v>
      </c>
      <c r="F20" s="43">
        <f t="shared" si="14"/>
        <v>3.9375000000000004</v>
      </c>
      <c r="G20" s="43">
        <f t="shared" si="15"/>
        <v>52.074175999999994</v>
      </c>
      <c r="H20" s="79">
        <v>49.375</v>
      </c>
      <c r="I20" s="43">
        <f t="shared" si="16"/>
        <v>49.196511000000001</v>
      </c>
      <c r="J20" s="43">
        <f t="shared" si="17"/>
        <v>3545.5</v>
      </c>
      <c r="K20" s="112">
        <f>FORECAST(3545.5,P62:P63,AA62:AA63)</f>
        <v>1815.4578494691507</v>
      </c>
      <c r="L20" s="182">
        <f t="shared" si="0"/>
        <v>76.549215764237573</v>
      </c>
      <c r="M20" s="184">
        <f t="shared" si="1"/>
        <v>60.341634756337754</v>
      </c>
      <c r="N20" s="24">
        <f t="shared" si="2"/>
        <v>49.529082383841128</v>
      </c>
      <c r="O20" s="24">
        <f t="shared" si="3"/>
        <v>46.802952696496064</v>
      </c>
      <c r="P20" s="145">
        <f t="shared" si="4"/>
        <v>3239.6410644132839</v>
      </c>
      <c r="Q20" s="177">
        <f>FORECAST(P20,P58:P59,AA58:AA59)</f>
        <v>1697.3644950493717</v>
      </c>
      <c r="R20" s="23">
        <f t="shared" si="5"/>
        <v>1.0735806957746648E-2</v>
      </c>
      <c r="S20" s="24">
        <f t="shared" si="6"/>
        <v>0.13462361105745793</v>
      </c>
      <c r="T20" s="58">
        <f t="shared" si="8"/>
        <v>1.0906216591996593E-7</v>
      </c>
      <c r="U20" s="25">
        <f t="shared" si="7"/>
        <v>7.177108483778158E-6</v>
      </c>
      <c r="V20" s="47">
        <f>X42</f>
        <v>6.1531411036146927E-11</v>
      </c>
      <c r="W20" s="76">
        <f t="shared" si="9"/>
        <v>8.5732870243248289</v>
      </c>
      <c r="X20" s="54"/>
      <c r="Y20" s="54"/>
      <c r="Z20" s="54"/>
      <c r="AA20" s="54"/>
    </row>
    <row r="21" spans="1:28" x14ac:dyDescent="0.25">
      <c r="A21" s="45">
        <v>0.65</v>
      </c>
      <c r="B21" s="47">
        <f t="shared" si="10"/>
        <v>5.4600000000000009</v>
      </c>
      <c r="C21" s="43">
        <f t="shared" si="11"/>
        <v>74.870900000000006</v>
      </c>
      <c r="D21" s="43">
        <f t="shared" si="12"/>
        <v>6.1425000000000001</v>
      </c>
      <c r="E21" s="43">
        <f t="shared" si="13"/>
        <v>60.588411000000001</v>
      </c>
      <c r="F21" s="43">
        <f t="shared" si="14"/>
        <v>4.59375</v>
      </c>
      <c r="G21" s="43">
        <f t="shared" si="15"/>
        <v>48.354591999999997</v>
      </c>
      <c r="H21" s="79">
        <v>49.375</v>
      </c>
      <c r="I21" s="43">
        <f t="shared" si="16"/>
        <v>45.682474500000005</v>
      </c>
      <c r="J21" s="43">
        <f t="shared" si="17"/>
        <v>3292.25</v>
      </c>
      <c r="K21" s="112">
        <f>FORECAST(3292.25,P60:P61,AB60:AB61)</f>
        <v>1717.4320204673395</v>
      </c>
      <c r="L21" s="182">
        <f t="shared" si="0"/>
        <v>71.049656776692373</v>
      </c>
      <c r="M21" s="184">
        <f t="shared" si="1"/>
        <v>55.771852027249807</v>
      </c>
      <c r="N21" s="24">
        <f t="shared" si="2"/>
        <v>46.133933222395882</v>
      </c>
      <c r="O21" s="24">
        <f t="shared" si="3"/>
        <v>43.602233627918345</v>
      </c>
      <c r="P21" s="145">
        <f t="shared" si="4"/>
        <v>2987.6547539280482</v>
      </c>
      <c r="Q21" s="177">
        <f>FORECAST(P21,P58:P59,AB58:AB59)</f>
        <v>1598.534628937156</v>
      </c>
      <c r="R21" s="23">
        <f t="shared" si="5"/>
        <v>1.253551555892788E-2</v>
      </c>
      <c r="S21" s="24">
        <f t="shared" si="6"/>
        <v>0.13473547335446295</v>
      </c>
      <c r="T21" s="58">
        <f t="shared" si="8"/>
        <v>1.0915278854032439E-7</v>
      </c>
      <c r="U21" s="25">
        <f t="shared" si="7"/>
        <v>7.1572847855747451E-6</v>
      </c>
      <c r="V21" s="47">
        <f>Z42</f>
        <v>8.4628056210199888E-12</v>
      </c>
      <c r="W21" s="76">
        <f t="shared" si="9"/>
        <v>1.1824044836215648</v>
      </c>
      <c r="X21" s="54"/>
      <c r="Y21" s="54"/>
      <c r="Z21" s="54"/>
      <c r="AA21" s="54"/>
    </row>
    <row r="22" spans="1:28" ht="15.75" thickBot="1" x14ac:dyDescent="0.3">
      <c r="A22" s="46">
        <v>0.6</v>
      </c>
      <c r="B22" s="170">
        <f t="shared" si="10"/>
        <v>5.04</v>
      </c>
      <c r="C22" s="44">
        <f t="shared" si="11"/>
        <v>69.111599999999996</v>
      </c>
      <c r="D22" s="44">
        <f t="shared" si="12"/>
        <v>5.669999999999999</v>
      </c>
      <c r="E22" s="44">
        <f t="shared" si="13"/>
        <v>55.927764000000003</v>
      </c>
      <c r="F22" s="44">
        <f t="shared" si="14"/>
        <v>5.25</v>
      </c>
      <c r="G22" s="44">
        <f t="shared" si="15"/>
        <v>44.635007999999992</v>
      </c>
      <c r="H22" s="172">
        <v>49.375</v>
      </c>
      <c r="I22" s="44">
        <f t="shared" si="16"/>
        <v>42.168438000000002</v>
      </c>
      <c r="J22" s="44">
        <f t="shared" si="17"/>
        <v>3039</v>
      </c>
      <c r="K22" s="115">
        <f>FORECAST(3039,P58:P59,AC58:AC59)</f>
        <v>1618.3786119295037</v>
      </c>
      <c r="L22" s="183">
        <f t="shared" si="0"/>
        <v>65.498021774970709</v>
      </c>
      <c r="M22" s="185">
        <f t="shared" si="1"/>
        <v>51.258794751089184</v>
      </c>
      <c r="N22" s="28">
        <f t="shared" si="2"/>
        <v>42.740156660480856</v>
      </c>
      <c r="O22" s="28">
        <f t="shared" si="3"/>
        <v>40.394243443940297</v>
      </c>
      <c r="P22" s="146">
        <f t="shared" si="4"/>
        <v>2739.8756999943771</v>
      </c>
      <c r="Q22" s="178">
        <f>FORECAST(P22,P53:P54,AC53:AC54)</f>
        <v>1501.4987321831741</v>
      </c>
      <c r="R22" s="125">
        <f t="shared" si="5"/>
        <v>1.433821749771602E-2</v>
      </c>
      <c r="S22" s="28">
        <f t="shared" si="6"/>
        <v>0.13484752170471018</v>
      </c>
      <c r="T22" s="175">
        <f t="shared" si="8"/>
        <v>1.0924356188736014E-7</v>
      </c>
      <c r="U22" s="29">
        <f t="shared" si="7"/>
        <v>7.137428115910674E-6</v>
      </c>
      <c r="V22" s="139">
        <f>AB42</f>
        <v>9.2079025387303623E-13</v>
      </c>
      <c r="W22" s="140">
        <f t="shared" si="9"/>
        <v>0.12900869037411683</v>
      </c>
      <c r="X22" s="54">
        <f>((V23-'EGR 10%'!V23)/'EGR 5%'!V23)*100</f>
        <v>53.912107383689204</v>
      </c>
      <c r="Y22" s="54"/>
      <c r="Z22" s="54"/>
      <c r="AA22" s="54"/>
    </row>
    <row r="23" spans="1:28" ht="15.75" thickBot="1" x14ac:dyDescent="0.3">
      <c r="A23" s="147"/>
      <c r="B23" s="53"/>
      <c r="C23" s="53"/>
      <c r="D23" s="53"/>
      <c r="E23" s="53"/>
      <c r="F23" s="53"/>
      <c r="G23" s="53"/>
      <c r="H23" s="53"/>
      <c r="I23" s="53"/>
      <c r="J23" s="53"/>
      <c r="K23" s="148"/>
      <c r="L23" s="53"/>
      <c r="M23" s="149"/>
      <c r="N23" s="53"/>
      <c r="O23" s="53"/>
      <c r="P23" s="53"/>
      <c r="Q23" s="148"/>
      <c r="R23" s="150"/>
      <c r="S23" s="53"/>
      <c r="T23" s="53"/>
      <c r="U23" s="53"/>
      <c r="V23" s="53">
        <f>AVERAGE(V10:V22)</f>
        <v>2.8441501104527989E-8</v>
      </c>
    </row>
    <row r="24" spans="1:28" x14ac:dyDescent="0.25">
      <c r="A24" s="114"/>
      <c r="B24" s="113" t="s">
        <v>16</v>
      </c>
      <c r="C24" s="224">
        <v>1</v>
      </c>
      <c r="D24" s="225"/>
      <c r="E24" s="224">
        <v>0.99</v>
      </c>
      <c r="F24" s="225"/>
      <c r="G24" s="224">
        <v>0.98</v>
      </c>
      <c r="H24" s="225"/>
      <c r="I24" s="224">
        <v>0.97</v>
      </c>
      <c r="J24" s="225"/>
      <c r="K24" s="226">
        <v>0.96</v>
      </c>
      <c r="L24" s="227"/>
      <c r="M24" s="228">
        <v>0.95</v>
      </c>
      <c r="N24" s="229"/>
      <c r="O24" s="224">
        <v>0.9</v>
      </c>
      <c r="P24" s="225"/>
      <c r="Q24" s="226">
        <v>0.85</v>
      </c>
      <c r="R24" s="227"/>
      <c r="S24" s="224">
        <v>0.8</v>
      </c>
      <c r="T24" s="225"/>
      <c r="U24" s="224">
        <v>0.75</v>
      </c>
      <c r="V24" s="230"/>
      <c r="W24" s="231">
        <v>0.7</v>
      </c>
      <c r="X24" s="231"/>
      <c r="Y24" s="231">
        <v>0.65</v>
      </c>
      <c r="Z24" s="231"/>
      <c r="AA24" s="231">
        <v>0.6</v>
      </c>
      <c r="AB24" s="232"/>
    </row>
    <row r="25" spans="1:28" ht="45.75" thickBot="1" x14ac:dyDescent="0.3">
      <c r="A25" s="155" t="s">
        <v>56</v>
      </c>
      <c r="B25" s="156" t="s">
        <v>57</v>
      </c>
      <c r="C25" s="158" t="s">
        <v>58</v>
      </c>
      <c r="D25" s="158" t="s">
        <v>60</v>
      </c>
      <c r="E25" s="158" t="s">
        <v>58</v>
      </c>
      <c r="F25" s="158" t="s">
        <v>60</v>
      </c>
      <c r="G25" s="158" t="s">
        <v>58</v>
      </c>
      <c r="H25" s="158" t="s">
        <v>60</v>
      </c>
      <c r="I25" s="158" t="s">
        <v>58</v>
      </c>
      <c r="J25" s="158" t="s">
        <v>60</v>
      </c>
      <c r="K25" s="158" t="s">
        <v>58</v>
      </c>
      <c r="L25" s="158" t="s">
        <v>60</v>
      </c>
      <c r="M25" s="158" t="s">
        <v>58</v>
      </c>
      <c r="N25" s="158" t="s">
        <v>60</v>
      </c>
      <c r="O25" s="158" t="s">
        <v>58</v>
      </c>
      <c r="P25" s="158" t="s">
        <v>60</v>
      </c>
      <c r="Q25" s="158" t="s">
        <v>58</v>
      </c>
      <c r="R25" s="158" t="s">
        <v>60</v>
      </c>
      <c r="S25" s="158" t="s">
        <v>58</v>
      </c>
      <c r="T25" s="158" t="s">
        <v>60</v>
      </c>
      <c r="U25" s="158" t="s">
        <v>58</v>
      </c>
      <c r="V25" s="158" t="s">
        <v>60</v>
      </c>
      <c r="W25" s="158" t="s">
        <v>58</v>
      </c>
      <c r="X25" s="158" t="s">
        <v>60</v>
      </c>
      <c r="Y25" s="158" t="s">
        <v>58</v>
      </c>
      <c r="Z25" s="158" t="s">
        <v>60</v>
      </c>
      <c r="AA25" s="158" t="s">
        <v>58</v>
      </c>
      <c r="AB25" s="158" t="s">
        <v>60</v>
      </c>
    </row>
    <row r="26" spans="1:28" ht="15.75" thickBot="1" x14ac:dyDescent="0.3">
      <c r="A26" s="135">
        <v>0</v>
      </c>
      <c r="B26" s="136">
        <v>10</v>
      </c>
      <c r="C26" s="159">
        <f>Q10</f>
        <v>2314.4182215453311</v>
      </c>
      <c r="D26" s="138">
        <f t="shared" ref="D26:D41" si="18">((4.7*10^13*($S$10*$R$10)^0.5)*EXP(-67837/C26)/($B$4*6))*$B$7*10^-6</f>
        <v>0</v>
      </c>
      <c r="E26" s="159">
        <f>Q11</f>
        <v>2293.271294539396</v>
      </c>
      <c r="F26" s="138">
        <f t="shared" ref="F26:F41" si="19">((4.7*10^13*$S$11*$R$11^0.5*EXP(-67837/E26)/($B$4*6))*$B$7*10^-6)</f>
        <v>6.2627700363029652E-11</v>
      </c>
      <c r="G26" s="159">
        <f>Q12</f>
        <v>2272.0780361406596</v>
      </c>
      <c r="H26" s="138">
        <f t="shared" ref="H26:H41" si="20">((4.7*10^13*$S$12*$R$12^0.5*EXP(-67837/G26)/($B$4*6))*$B$7*10^-6)</f>
        <v>6.7229193026644253E-11</v>
      </c>
      <c r="I26" s="159">
        <f>Q13</f>
        <v>2250.9290536650419</v>
      </c>
      <c r="J26" s="138">
        <f t="shared" ref="J26:J41" si="21">((4.7*10^13*$S$13*$R$13^0.5*EXP(-67837/I26)/($B$4*6))*$B$7*10^-6)</f>
        <v>6.2212963580759342E-11</v>
      </c>
      <c r="K26" s="159">
        <f>Q14</f>
        <v>2229.7652054743758</v>
      </c>
      <c r="L26" s="138">
        <f t="shared" ref="L26:L41" si="22">((4.7*10^13*$S$14*$R$14^0.5*EXP(-67837/K26)/($B$4*6))*$B$7*10^-6)</f>
        <v>5.3979453313501883E-11</v>
      </c>
      <c r="M26" s="162">
        <f>Q15</f>
        <v>2208.6778183968709</v>
      </c>
      <c r="N26" s="138">
        <f t="shared" ref="N26:N41" si="23">((4.7*10^13*$S$15*$R$15^0.5*EXP(-67837/M26)/($B$4*6))*$B$7*10^-6)</f>
        <v>4.5148431538147893E-11</v>
      </c>
      <c r="O26" s="159">
        <f>Q16</f>
        <v>2103.9631099083999</v>
      </c>
      <c r="P26" s="138">
        <f t="shared" ref="P26:P41" si="24">((4.7*10^13*$S$16*$R$16^0.5*EXP(-67837/O26)/($B$4*6))*$B$7*10^-6)</f>
        <v>1.38617706307993E-11</v>
      </c>
      <c r="Q26" s="159">
        <f>Q17</f>
        <v>2000.4020176546371</v>
      </c>
      <c r="R26" s="165">
        <f t="shared" ref="R26:R41" si="25">((4.7*10^13*$S$17*$R$17^0.5*EXP(-67837/Q26)/($B$4*6))*$B$7*10^-6)</f>
        <v>3.2024337083836789E-12</v>
      </c>
      <c r="S26" s="159">
        <f>Q18</f>
        <v>1898.3365126916706</v>
      </c>
      <c r="T26" s="138">
        <f t="shared" ref="T26:T41" si="26">((4.7*10^13*$S$18*$R$18^0.5*EXP(-67837/S26)/($B$4*6))*$B$7*10^-6)</f>
        <v>5.9792343945501937E-13</v>
      </c>
      <c r="U26" s="159">
        <f>Q19</f>
        <v>1796.9249840750392</v>
      </c>
      <c r="V26" s="138">
        <f t="shared" ref="V26:V41" si="27">((4.7*10^13*$S$19*$R$19^0.5*EXP(-67837/U26)/($B$4*6))*$B$7*10^-6)</f>
        <v>8.9079934689738813E-14</v>
      </c>
      <c r="W26" s="159">
        <f>Q20</f>
        <v>1697.3644950493717</v>
      </c>
      <c r="X26" s="138">
        <f t="shared" ref="X26:X41" si="28">((4.7*10^13*$S$20*$R$20^0.5*EXP(-67837/W26)/($B$4*6))*$B$7*10^-6)</f>
        <v>1.0671513031001516E-14</v>
      </c>
      <c r="Y26" s="159">
        <f>Q21</f>
        <v>1598.534628937156</v>
      </c>
      <c r="Z26" s="138">
        <f t="shared" ref="Z26:Z41" si="29">((4.7*10^13*$S$21*$R$21^0.5*EXP(-67837/Y26)/($B$4*6))*$B$7*10^-6)</f>
        <v>9.7529508256083753E-16</v>
      </c>
      <c r="AA26" s="159">
        <f>Q22</f>
        <v>1501.4987321831741</v>
      </c>
      <c r="AB26" s="138">
        <f t="shared" ref="AB26:AB41" si="30">((4.7*10^13*$S$22*$R$22^0.5*EXP(-67837/AA26)/($B$4*6))*$B$7*10^-6)</f>
        <v>6.7236655131650452E-17</v>
      </c>
    </row>
    <row r="27" spans="1:28" ht="15.75" thickBot="1" x14ac:dyDescent="0.3">
      <c r="A27" s="151">
        <v>1</v>
      </c>
      <c r="B27" s="154">
        <v>12</v>
      </c>
      <c r="C27" s="160">
        <f>(((B26*10^5)^(1-$B$8))*((B27*10^5)^($B$8-1))*(C26^$B$8))^(1/$B$8)</f>
        <v>2376.5491870889427</v>
      </c>
      <c r="D27" s="138">
        <f t="shared" si="18"/>
        <v>0</v>
      </c>
      <c r="E27" s="47">
        <f>(((B26*10^5)^(1-$B$8))*((B27*10^5)^($B$8-1))*(E26^$B$8))^(1/$B$8)</f>
        <v>2354.8345670960935</v>
      </c>
      <c r="F27" s="169">
        <f t="shared" si="19"/>
        <v>1.3571420968117681E-10</v>
      </c>
      <c r="G27" s="47">
        <f>(((B26*10^5)^(1-$B$8))*((B27*10^5)^($B$8-1))*(G26^$B$8))^(1/$B$8)</f>
        <v>2333.0723719360271</v>
      </c>
      <c r="H27" s="169">
        <f t="shared" si="20"/>
        <v>1.4674034820635333E-10</v>
      </c>
      <c r="I27" s="47">
        <f>(((B26*10^5)^(1-$B$8))*((B27*10^5)^($B$8-1))*(I26^$B$8))^(1/$B$8)</f>
        <v>2311.3556412940475</v>
      </c>
      <c r="J27" s="169">
        <f t="shared" si="21"/>
        <v>1.3679102062769109E-10</v>
      </c>
      <c r="K27" s="160">
        <f>(((B26*10^5)^(1-$B$8))*((B27*10^5)^($B$8-1))*(K26^$B$8))^(1/$B$8)</f>
        <v>2289.6236458642752</v>
      </c>
      <c r="L27" s="169">
        <f t="shared" si="22"/>
        <v>1.1957846023532555E-10</v>
      </c>
      <c r="M27" s="163">
        <f>(((B26*10^5)^(1-$B$8))*((B27*10^5)^($B$8-1))*(M26^$B$8))^(1/$B$8)</f>
        <v>2267.9701641597408</v>
      </c>
      <c r="N27" s="169">
        <f t="shared" si="23"/>
        <v>1.0077784985843614E-10</v>
      </c>
      <c r="O27" s="47">
        <f>(((B26*10^5)^(1-$B$8))*((B27*10^5)^($B$8-1))*(O26^$B$8))^(1/$B$8)</f>
        <v>2160.4443708446665</v>
      </c>
      <c r="P27" s="169">
        <f t="shared" si="24"/>
        <v>3.2203058502055137E-11</v>
      </c>
      <c r="Q27" s="160">
        <f>(((B26*10^5)^(1-$B$8))*((B27*10^5)^($B$8-1))*(Q26^$B$8))^(1/$B$8)</f>
        <v>2054.1031627956745</v>
      </c>
      <c r="R27" s="165">
        <f t="shared" si="25"/>
        <v>7.771600932651282E-12</v>
      </c>
      <c r="S27" s="47">
        <f>(((B26*10^5)^(1-$B$8))*((B27*10^5)^($B$8-1))*(S26^$B$8))^(1/$B$8)</f>
        <v>1949.2976913422053</v>
      </c>
      <c r="T27" s="169">
        <f t="shared" si="26"/>
        <v>1.5218693513527791E-12</v>
      </c>
      <c r="U27" s="47">
        <f>(((B26*10^5)^(1-$B$8))*((B27*10^5)^($B$8-1))*(U26^$B$8))^(1/$B$8)</f>
        <v>1845.1637523454842</v>
      </c>
      <c r="V27" s="169">
        <f t="shared" si="27"/>
        <v>2.3900645073241257E-13</v>
      </c>
      <c r="W27" s="47">
        <f>(((B26*10^5)^(1-$B$8))*((B27*10^5)^($B$8-1))*(W26^$B$8))^(1/$B$8)</f>
        <v>1742.9305444241691</v>
      </c>
      <c r="X27" s="169">
        <f t="shared" si="28"/>
        <v>3.0338730651386824E-14</v>
      </c>
      <c r="Y27" s="47">
        <f>(((B26*10^5)^(1-$B$8))*((B27*10^5)^($B$8-1))*(Y26^$B$8))^(1/$B$8)</f>
        <v>1641.447573117335</v>
      </c>
      <c r="Z27" s="169">
        <f t="shared" si="29"/>
        <v>2.957753591346114E-15</v>
      </c>
      <c r="AA27" s="47">
        <f>(((B26*10^5)^(1-$B$8))*((B27*10^5)^($B$8-1))*(AA26^$B$8))^(1/$B$8)</f>
        <v>1541.8067305927073</v>
      </c>
      <c r="AB27" s="169">
        <f t="shared" si="30"/>
        <v>2.1906376774726926E-16</v>
      </c>
    </row>
    <row r="28" spans="1:28" ht="15.75" thickBot="1" x14ac:dyDescent="0.3">
      <c r="A28" s="151">
        <v>2</v>
      </c>
      <c r="B28" s="154">
        <v>14</v>
      </c>
      <c r="C28" s="160">
        <f t="shared" ref="C28:C41" si="31">(((B27*10^5)^(1-$B$8))*((B28*10^5)^($B$8-1))*(C27^$B$8))^(1/$B$8)</f>
        <v>2430.379641367746</v>
      </c>
      <c r="D28" s="138">
        <f t="shared" si="18"/>
        <v>0</v>
      </c>
      <c r="E28" s="47">
        <f t="shared" ref="E28:E41" si="32">(((B27*10^5)^(1-$B$8))*((B28*10^5)^($B$8-1))*(E27^$B$8))^(1/$B$8)</f>
        <v>2408.1731704739927</v>
      </c>
      <c r="F28" s="169">
        <f t="shared" si="19"/>
        <v>2.5688005768920613E-10</v>
      </c>
      <c r="G28" s="47">
        <f t="shared" ref="G28:G41" si="33">(((B27*10^5)^(1-$B$8))*((B28*10^5)^($B$8-1))*(G27^$B$8))^(1/$B$8)</f>
        <v>2385.9180468031554</v>
      </c>
      <c r="H28" s="169">
        <f t="shared" si="20"/>
        <v>2.7940834048646039E-10</v>
      </c>
      <c r="I28" s="47">
        <f t="shared" ref="I28:I41" si="34">(((B27*10^5)^(1-$B$8))*((B28*10^5)^($B$8-1))*(I27^$B$8))^(1/$B$8)</f>
        <v>2363.7094174526374</v>
      </c>
      <c r="J28" s="169">
        <f t="shared" si="21"/>
        <v>2.6204464146701138E-10</v>
      </c>
      <c r="K28" s="160">
        <f t="shared" ref="K28:K41" si="35">(((B27*10^5)^(1-$B$8))*((B28*10^5)^($B$8-1))*(K27^$B$8))^(1/$B$8)</f>
        <v>2341.485177556508</v>
      </c>
      <c r="L28" s="169">
        <f t="shared" si="22"/>
        <v>2.3048903659202814E-10</v>
      </c>
      <c r="M28" s="163">
        <f t="shared" ref="M28:M41" si="36">(((B27*10^5)^(1-$B$8))*((B28*10^5)^($B$8-1))*(M27^$B$8))^(1/$B$8)</f>
        <v>2319.3412297748523</v>
      </c>
      <c r="N28" s="169">
        <f t="shared" si="23"/>
        <v>1.9547148866500718E-10</v>
      </c>
      <c r="O28" s="47">
        <f t="shared" ref="O28:O41" si="37">(((B27*10^5)^(1-$B$8))*((B28*10^5)^($B$8-1))*(O27^$B$8))^(1/$B$8)</f>
        <v>2209.3799041626621</v>
      </c>
      <c r="P28" s="169">
        <f t="shared" si="24"/>
        <v>6.4555798616158178E-11</v>
      </c>
      <c r="Q28" s="160">
        <f t="shared" ref="Q28:Q41" si="38">(((B27*10^5)^(1-$B$8))*((B28*10^5)^($B$8-1))*(Q27^$B$8))^(1/$B$8)</f>
        <v>2100.6299954779215</v>
      </c>
      <c r="R28" s="165">
        <f t="shared" si="25"/>
        <v>1.615047074615139E-11</v>
      </c>
      <c r="S28" s="47">
        <f t="shared" ref="S28:S41" si="39">(((B27*10^5)^(1-$B$8))*((B28*10^5)^($B$8-1))*(S27^$B$8))^(1/$B$8)</f>
        <v>1993.4506088663338</v>
      </c>
      <c r="T28" s="169">
        <f t="shared" si="26"/>
        <v>3.2895166274861309E-12</v>
      </c>
      <c r="U28" s="47">
        <f t="shared" ref="U28:U41" si="40">(((B27*10^5)^(1-$B$8))*((B28*10^5)^($B$8-1))*(U27^$B$8))^(1/$B$8)</f>
        <v>1886.9579653780365</v>
      </c>
      <c r="V28" s="169">
        <f t="shared" si="27"/>
        <v>5.3958094582889173E-13</v>
      </c>
      <c r="W28" s="47">
        <f t="shared" ref="W28:W41" si="41">(((B27*10^5)^(1-$B$8))*((B28*10^5)^($B$8-1))*(W27^$B$8))^(1/$B$8)</f>
        <v>1782.4091058158124</v>
      </c>
      <c r="X28" s="169">
        <f t="shared" si="28"/>
        <v>7.1843565981647424E-14</v>
      </c>
      <c r="Y28" s="47">
        <f t="shared" ref="Y28:Y41" si="42">(((B27*10^5)^(1-$B$8))*((B28*10^5)^($B$8-1))*(Y27^$B$8))^(1/$B$8)</f>
        <v>1678.6274762372775</v>
      </c>
      <c r="Z28" s="169">
        <f t="shared" si="29"/>
        <v>7.3875301113041625E-15</v>
      </c>
      <c r="AA28" s="47">
        <f t="shared" ref="AA28:AA41" si="43">(((B27*10^5)^(1-$B$8))*((B28*10^5)^($B$8-1))*(AA27^$B$8))^(1/$B$8)</f>
        <v>1576.7297009098434</v>
      </c>
      <c r="AB28" s="169">
        <f t="shared" si="30"/>
        <v>5.8049579885887201E-16</v>
      </c>
    </row>
    <row r="29" spans="1:28" ht="15.75" thickBot="1" x14ac:dyDescent="0.3">
      <c r="A29" s="151">
        <v>3</v>
      </c>
      <c r="B29" s="154">
        <v>16</v>
      </c>
      <c r="C29" s="160">
        <f t="shared" si="31"/>
        <v>2477.9942762656951</v>
      </c>
      <c r="D29" s="138">
        <f t="shared" si="18"/>
        <v>0</v>
      </c>
      <c r="E29" s="47">
        <f t="shared" si="32"/>
        <v>2455.3527486483026</v>
      </c>
      <c r="F29" s="169">
        <f t="shared" si="19"/>
        <v>4.4137094146590932E-10</v>
      </c>
      <c r="G29" s="47">
        <f t="shared" si="33"/>
        <v>2432.6616150758996</v>
      </c>
      <c r="H29" s="169">
        <f t="shared" si="20"/>
        <v>4.8250898638749906E-10</v>
      </c>
      <c r="I29" s="47">
        <f t="shared" si="34"/>
        <v>2410.0178867144655</v>
      </c>
      <c r="J29" s="169">
        <f t="shared" si="21"/>
        <v>4.548525109814073E-10</v>
      </c>
      <c r="K29" s="160">
        <f t="shared" si="35"/>
        <v>2387.3582419743661</v>
      </c>
      <c r="L29" s="169">
        <f t="shared" si="22"/>
        <v>4.0217841580432238E-10</v>
      </c>
      <c r="M29" s="163">
        <f t="shared" si="36"/>
        <v>2364.7804623868183</v>
      </c>
      <c r="N29" s="169">
        <f t="shared" si="23"/>
        <v>3.4289424443295035E-10</v>
      </c>
      <c r="O29" s="47">
        <f t="shared" si="37"/>
        <v>2252.6648361531115</v>
      </c>
      <c r="P29" s="169">
        <f t="shared" si="24"/>
        <v>1.1645544200292894E-10</v>
      </c>
      <c r="Q29" s="160">
        <f t="shared" si="38"/>
        <v>2141.7843602478933</v>
      </c>
      <c r="R29" s="165">
        <f t="shared" si="25"/>
        <v>3.0038240847818425E-11</v>
      </c>
      <c r="S29" s="47">
        <f t="shared" si="39"/>
        <v>2032.5051752034876</v>
      </c>
      <c r="T29" s="169">
        <f t="shared" si="26"/>
        <v>6.3257306131835076E-12</v>
      </c>
      <c r="U29" s="47">
        <f t="shared" si="40"/>
        <v>1923.9261875684977</v>
      </c>
      <c r="V29" s="169">
        <f t="shared" si="27"/>
        <v>1.0766185828836921E-12</v>
      </c>
      <c r="W29" s="47">
        <f t="shared" si="41"/>
        <v>1817.3290653841216</v>
      </c>
      <c r="X29" s="169">
        <f t="shared" si="28"/>
        <v>1.4927608426189644E-13</v>
      </c>
      <c r="Y29" s="47">
        <f t="shared" si="42"/>
        <v>1711.5142043229864</v>
      </c>
      <c r="Z29" s="169">
        <f t="shared" si="29"/>
        <v>1.605970173921302E-14</v>
      </c>
      <c r="AA29" s="47">
        <f t="shared" si="43"/>
        <v>1607.6201049289145</v>
      </c>
      <c r="AB29" s="169">
        <f t="shared" si="30"/>
        <v>1.3268800298842313E-15</v>
      </c>
    </row>
    <row r="30" spans="1:28" ht="15.75" thickBot="1" x14ac:dyDescent="0.3">
      <c r="A30" s="151">
        <v>4</v>
      </c>
      <c r="B30" s="154">
        <v>18</v>
      </c>
      <c r="C30" s="160">
        <f t="shared" si="31"/>
        <v>2520.767069327931</v>
      </c>
      <c r="D30" s="138">
        <f t="shared" si="18"/>
        <v>0</v>
      </c>
      <c r="E30" s="47">
        <f t="shared" si="32"/>
        <v>2497.7347250792527</v>
      </c>
      <c r="F30" s="169">
        <f t="shared" si="19"/>
        <v>7.053440457895808E-10</v>
      </c>
      <c r="G30" s="47">
        <f t="shared" si="33"/>
        <v>2474.6519186244982</v>
      </c>
      <c r="H30" s="169">
        <f t="shared" si="20"/>
        <v>7.7446494973936703E-10</v>
      </c>
      <c r="I30" s="47">
        <f t="shared" si="34"/>
        <v>2451.6173356446184</v>
      </c>
      <c r="J30" s="169">
        <f t="shared" si="21"/>
        <v>7.3332709815729667E-10</v>
      </c>
      <c r="K30" s="160">
        <f t="shared" si="35"/>
        <v>2428.5665615526009</v>
      </c>
      <c r="L30" s="169">
        <f t="shared" si="22"/>
        <v>6.5135041419337247E-10</v>
      </c>
      <c r="M30" s="163">
        <f t="shared" si="36"/>
        <v>2405.5990656919557</v>
      </c>
      <c r="N30" s="169">
        <f t="shared" si="23"/>
        <v>5.5789868925202913E-10</v>
      </c>
      <c r="O30" s="47">
        <f t="shared" si="37"/>
        <v>2291.5482055774169</v>
      </c>
      <c r="P30" s="169">
        <f t="shared" si="24"/>
        <v>1.9412260774551649E-10</v>
      </c>
      <c r="Q30" s="160">
        <f t="shared" si="38"/>
        <v>2178.7538157879089</v>
      </c>
      <c r="R30" s="165">
        <f t="shared" si="25"/>
        <v>5.1413771520071236E-11</v>
      </c>
      <c r="S30" s="47">
        <f t="shared" si="39"/>
        <v>2067.588356827262</v>
      </c>
      <c r="T30" s="169">
        <f t="shared" si="26"/>
        <v>1.1144609525805416E-11</v>
      </c>
      <c r="U30" s="47">
        <f t="shared" si="40"/>
        <v>1957.1351814213394</v>
      </c>
      <c r="V30" s="169">
        <f t="shared" si="27"/>
        <v>1.9583789903021476E-12</v>
      </c>
      <c r="W30" s="47">
        <f t="shared" si="41"/>
        <v>1848.6980805526327</v>
      </c>
      <c r="X30" s="169">
        <f t="shared" si="28"/>
        <v>2.8123279259586575E-13</v>
      </c>
      <c r="Y30" s="47">
        <f t="shared" si="42"/>
        <v>1741.0567434586721</v>
      </c>
      <c r="Z30" s="169">
        <f t="shared" si="29"/>
        <v>3.1464427682475361E-14</v>
      </c>
      <c r="AA30" s="47">
        <f t="shared" si="43"/>
        <v>1635.3693224026688</v>
      </c>
      <c r="AB30" s="169">
        <f t="shared" si="30"/>
        <v>2.7151269564179725E-15</v>
      </c>
    </row>
    <row r="31" spans="1:28" ht="15.75" thickBot="1" x14ac:dyDescent="0.3">
      <c r="A31" s="151">
        <v>5</v>
      </c>
      <c r="B31" s="154">
        <v>20</v>
      </c>
      <c r="C31" s="160">
        <f t="shared" si="31"/>
        <v>2559.653865777052</v>
      </c>
      <c r="D31" s="138">
        <f t="shared" si="18"/>
        <v>0</v>
      </c>
      <c r="E31" s="47">
        <f t="shared" si="32"/>
        <v>2536.2662113954234</v>
      </c>
      <c r="F31" s="169">
        <f t="shared" si="19"/>
        <v>1.0656040661194272E-9</v>
      </c>
      <c r="G31" s="47">
        <f t="shared" si="33"/>
        <v>2512.8273163488238</v>
      </c>
      <c r="H31" s="169">
        <f t="shared" si="20"/>
        <v>1.174540800320985E-9</v>
      </c>
      <c r="I31" s="47">
        <f t="shared" si="34"/>
        <v>2489.4373887000424</v>
      </c>
      <c r="J31" s="169">
        <f t="shared" si="21"/>
        <v>1.116512099108086E-9</v>
      </c>
      <c r="K31" s="160">
        <f t="shared" si="35"/>
        <v>2466.0310201657544</v>
      </c>
      <c r="L31" s="169">
        <f t="shared" si="22"/>
        <v>9.9566494925047095E-10</v>
      </c>
      <c r="M31" s="163">
        <f t="shared" si="36"/>
        <v>2442.7092145605293</v>
      </c>
      <c r="N31" s="169">
        <f t="shared" si="23"/>
        <v>8.5627538423834107E-10</v>
      </c>
      <c r="O31" s="47">
        <f t="shared" si="37"/>
        <v>2326.8989405611915</v>
      </c>
      <c r="P31" s="169">
        <f t="shared" si="24"/>
        <v>3.0436477485367324E-10</v>
      </c>
      <c r="Q31" s="160">
        <f t="shared" si="38"/>
        <v>2212.3645199176949</v>
      </c>
      <c r="R31" s="165">
        <f t="shared" si="25"/>
        <v>8.2510532393869265E-11</v>
      </c>
      <c r="S31" s="47">
        <f t="shared" si="39"/>
        <v>2099.4841589229118</v>
      </c>
      <c r="T31" s="169">
        <f t="shared" si="26"/>
        <v>1.83459362011576E-11</v>
      </c>
      <c r="U31" s="47">
        <f t="shared" si="40"/>
        <v>1987.3270695768904</v>
      </c>
      <c r="V31" s="169">
        <f t="shared" si="27"/>
        <v>3.3158034604177417E-12</v>
      </c>
      <c r="W31" s="47">
        <f t="shared" si="41"/>
        <v>1877.2171558884977</v>
      </c>
      <c r="X31" s="169">
        <f t="shared" si="28"/>
        <v>4.9110249685354361E-13</v>
      </c>
      <c r="Y31" s="47">
        <f t="shared" si="42"/>
        <v>1767.9152818825723</v>
      </c>
      <c r="Z31" s="169">
        <f t="shared" si="29"/>
        <v>5.6871450400188095E-14</v>
      </c>
      <c r="AA31" s="47">
        <f t="shared" si="43"/>
        <v>1660.5974661424091</v>
      </c>
      <c r="AB31" s="169">
        <f t="shared" si="30"/>
        <v>5.0989213197865037E-15</v>
      </c>
    </row>
    <row r="32" spans="1:28" ht="15.75" thickBot="1" x14ac:dyDescent="0.3">
      <c r="A32" s="151">
        <v>6</v>
      </c>
      <c r="B32" s="154">
        <v>22</v>
      </c>
      <c r="C32" s="160">
        <f t="shared" si="31"/>
        <v>2595.3477837038108</v>
      </c>
      <c r="D32" s="138">
        <f t="shared" si="18"/>
        <v>0</v>
      </c>
      <c r="E32" s="47">
        <f t="shared" si="32"/>
        <v>2571.6339926412979</v>
      </c>
      <c r="F32" s="169">
        <f t="shared" si="19"/>
        <v>1.5393982270874283E-9</v>
      </c>
      <c r="G32" s="47">
        <f t="shared" si="33"/>
        <v>2547.8682463718542</v>
      </c>
      <c r="H32" s="169">
        <f t="shared" si="20"/>
        <v>1.7026028973820966E-9</v>
      </c>
      <c r="I32" s="47">
        <f t="shared" si="34"/>
        <v>2524.1521503418821</v>
      </c>
      <c r="J32" s="169">
        <f t="shared" si="21"/>
        <v>1.6241408926926697E-9</v>
      </c>
      <c r="K32" s="160">
        <f t="shared" si="35"/>
        <v>2500.4193841611796</v>
      </c>
      <c r="L32" s="169">
        <f t="shared" si="22"/>
        <v>1.4535110162752513E-9</v>
      </c>
      <c r="M32" s="163">
        <f t="shared" si="36"/>
        <v>2476.7723601245457</v>
      </c>
      <c r="N32" s="169">
        <f t="shared" si="23"/>
        <v>1.2545479753963096E-9</v>
      </c>
      <c r="O32" s="47">
        <f t="shared" si="37"/>
        <v>2359.347132451011</v>
      </c>
      <c r="P32" s="169">
        <f t="shared" si="24"/>
        <v>4.5448942190408095E-10</v>
      </c>
      <c r="Q32" s="160">
        <f t="shared" si="38"/>
        <v>2243.2155496814567</v>
      </c>
      <c r="R32" s="165">
        <f t="shared" si="25"/>
        <v>1.2579213355992308E-10</v>
      </c>
      <c r="S32" s="47">
        <f t="shared" si="39"/>
        <v>2128.7610921282435</v>
      </c>
      <c r="T32" s="169">
        <f t="shared" si="26"/>
        <v>2.86108561709536E-11</v>
      </c>
      <c r="U32" s="47">
        <f t="shared" si="40"/>
        <v>2015.0399921183016</v>
      </c>
      <c r="V32" s="169">
        <f t="shared" si="27"/>
        <v>5.3023870172002421E-12</v>
      </c>
      <c r="W32" s="47">
        <f t="shared" si="41"/>
        <v>1903.394615266446</v>
      </c>
      <c r="X32" s="169">
        <f t="shared" si="28"/>
        <v>8.0726051501797033E-13</v>
      </c>
      <c r="Y32" s="47">
        <f t="shared" si="42"/>
        <v>1792.5685460667212</v>
      </c>
      <c r="Z32" s="169">
        <f t="shared" si="29"/>
        <v>9.6400733897415069E-14</v>
      </c>
      <c r="AA32" s="47">
        <f t="shared" si="43"/>
        <v>1683.7542024724116</v>
      </c>
      <c r="AB32" s="169">
        <f t="shared" si="30"/>
        <v>8.9428455307180336E-15</v>
      </c>
    </row>
    <row r="33" spans="1:29" ht="15.75" thickBot="1" x14ac:dyDescent="0.3">
      <c r="A33" s="151">
        <v>7</v>
      </c>
      <c r="B33" s="154">
        <v>24</v>
      </c>
      <c r="C33" s="160">
        <f t="shared" si="31"/>
        <v>2628.3682254626483</v>
      </c>
      <c r="D33" s="138">
        <f t="shared" si="18"/>
        <v>0</v>
      </c>
      <c r="E33" s="47">
        <f t="shared" si="32"/>
        <v>2604.3527253723191</v>
      </c>
      <c r="F33" s="169">
        <f t="shared" si="19"/>
        <v>2.1442564132535401E-9</v>
      </c>
      <c r="G33" s="47">
        <f t="shared" si="33"/>
        <v>2580.2846090523308</v>
      </c>
      <c r="H33" s="169">
        <f t="shared" si="20"/>
        <v>2.3789296519935554E-9</v>
      </c>
      <c r="I33" s="47">
        <f t="shared" si="34"/>
        <v>2556.2667746685925</v>
      </c>
      <c r="J33" s="169">
        <f t="shared" si="21"/>
        <v>2.2764432321655222E-9</v>
      </c>
      <c r="K33" s="160">
        <f t="shared" si="35"/>
        <v>2532.2320580408759</v>
      </c>
      <c r="L33" s="169">
        <f t="shared" si="22"/>
        <v>2.0438227151787888E-9</v>
      </c>
      <c r="M33" s="163">
        <f t="shared" si="36"/>
        <v>2508.2841744489742</v>
      </c>
      <c r="N33" s="169">
        <f t="shared" si="23"/>
        <v>1.7698050822696044E-9</v>
      </c>
      <c r="O33" s="47">
        <f t="shared" si="37"/>
        <v>2389.364953209044</v>
      </c>
      <c r="P33" s="169">
        <f t="shared" si="24"/>
        <v>6.5222811263892679E-10</v>
      </c>
      <c r="Q33" s="160">
        <f t="shared" si="38"/>
        <v>2271.7558358334218</v>
      </c>
      <c r="R33" s="165">
        <f t="shared" si="25"/>
        <v>1.8392920614285458E-10</v>
      </c>
      <c r="S33" s="47">
        <f t="shared" si="39"/>
        <v>2155.8451816296456</v>
      </c>
      <c r="T33" s="169">
        <f t="shared" si="26"/>
        <v>4.2697187418826783E-11</v>
      </c>
      <c r="U33" s="47">
        <f t="shared" si="40"/>
        <v>2040.6772154296666</v>
      </c>
      <c r="V33" s="169">
        <f t="shared" si="27"/>
        <v>8.0937968752457598E-12</v>
      </c>
      <c r="W33" s="47">
        <f t="shared" si="41"/>
        <v>1927.6113816790755</v>
      </c>
      <c r="X33" s="169">
        <f t="shared" si="28"/>
        <v>1.2631896556029107E-12</v>
      </c>
      <c r="Y33" s="47">
        <f t="shared" si="42"/>
        <v>1815.3752795788089</v>
      </c>
      <c r="Z33" s="169">
        <f t="shared" si="29"/>
        <v>1.5508058030365296E-13</v>
      </c>
      <c r="AA33" s="47">
        <f t="shared" si="43"/>
        <v>1705.1764981385415</v>
      </c>
      <c r="AB33" s="169">
        <f t="shared" si="30"/>
        <v>1.4835309104075128E-14</v>
      </c>
    </row>
    <row r="34" spans="1:29" ht="15.75" thickBot="1" x14ac:dyDescent="0.3">
      <c r="A34" s="151">
        <v>8</v>
      </c>
      <c r="B34" s="154">
        <v>26</v>
      </c>
      <c r="C34" s="160">
        <f t="shared" si="31"/>
        <v>2659.1149558208404</v>
      </c>
      <c r="D34" s="138">
        <f t="shared" si="18"/>
        <v>0</v>
      </c>
      <c r="E34" s="47">
        <f t="shared" si="32"/>
        <v>2634.8185216899401</v>
      </c>
      <c r="F34" s="169">
        <f t="shared" si="19"/>
        <v>2.8978659442715881E-9</v>
      </c>
      <c r="G34" s="47">
        <f t="shared" si="33"/>
        <v>2610.4688558231423</v>
      </c>
      <c r="H34" s="169">
        <f t="shared" si="20"/>
        <v>3.2240610030782787E-9</v>
      </c>
      <c r="I34" s="47">
        <f t="shared" si="34"/>
        <v>2586.1700600921968</v>
      </c>
      <c r="J34" s="169">
        <f t="shared" si="21"/>
        <v>3.0939900119312126E-9</v>
      </c>
      <c r="K34" s="160">
        <f t="shared" si="35"/>
        <v>2561.8541846282778</v>
      </c>
      <c r="L34" s="169">
        <f t="shared" si="22"/>
        <v>2.7859297637330887E-9</v>
      </c>
      <c r="M34" s="163">
        <f t="shared" si="36"/>
        <v>2537.6261579756274</v>
      </c>
      <c r="N34" s="169">
        <f t="shared" si="23"/>
        <v>2.4195621252375937E-9</v>
      </c>
      <c r="O34" s="47">
        <f t="shared" si="37"/>
        <v>2417.3158161177989</v>
      </c>
      <c r="P34" s="169">
        <f t="shared" si="24"/>
        <v>9.0567048378833067E-10</v>
      </c>
      <c r="Q34" s="160">
        <f t="shared" si="38"/>
        <v>2298.3309037585886</v>
      </c>
      <c r="R34" s="165">
        <f t="shared" si="25"/>
        <v>2.597779597225989E-10</v>
      </c>
      <c r="S34" s="47">
        <f t="shared" si="39"/>
        <v>2181.0643232443667</v>
      </c>
      <c r="T34" s="169">
        <f t="shared" si="26"/>
        <v>6.1434614148172245E-11</v>
      </c>
      <c r="U34" s="47">
        <f t="shared" si="40"/>
        <v>2064.5491187204921</v>
      </c>
      <c r="V34" s="169">
        <f t="shared" si="27"/>
        <v>1.1887317500442556E-11</v>
      </c>
      <c r="W34" s="47">
        <f t="shared" si="41"/>
        <v>1950.160637454467</v>
      </c>
      <c r="X34" s="169">
        <f t="shared" si="28"/>
        <v>1.8975430938197558E-12</v>
      </c>
      <c r="Y34" s="47">
        <f t="shared" si="42"/>
        <v>1836.6115940645057</v>
      </c>
      <c r="Z34" s="169">
        <f t="shared" si="29"/>
        <v>2.3889467016511178E-13</v>
      </c>
      <c r="AA34" s="47">
        <f t="shared" si="43"/>
        <v>1725.1237039727484</v>
      </c>
      <c r="AB34" s="169">
        <f t="shared" si="30"/>
        <v>2.3500259324849227E-14</v>
      </c>
    </row>
    <row r="35" spans="1:29" ht="15.75" thickBot="1" x14ac:dyDescent="0.3">
      <c r="A35" s="151">
        <v>9</v>
      </c>
      <c r="B35" s="154">
        <v>28</v>
      </c>
      <c r="C35" s="160">
        <f t="shared" si="31"/>
        <v>2687.9025521062044</v>
      </c>
      <c r="D35" s="138">
        <f t="shared" si="18"/>
        <v>0</v>
      </c>
      <c r="E35" s="47">
        <f t="shared" si="32"/>
        <v>2663.3430846170045</v>
      </c>
      <c r="F35" s="169">
        <f t="shared" si="19"/>
        <v>3.8179731341584089E-9</v>
      </c>
      <c r="G35" s="47">
        <f t="shared" si="33"/>
        <v>2638.7298091047787</v>
      </c>
      <c r="H35" s="169">
        <f t="shared" si="20"/>
        <v>4.2586785685563598E-9</v>
      </c>
      <c r="I35" s="47">
        <f t="shared" si="34"/>
        <v>2614.1679544488375</v>
      </c>
      <c r="J35" s="169">
        <f t="shared" si="21"/>
        <v>4.0975681791181573E-9</v>
      </c>
      <c r="K35" s="160">
        <f t="shared" si="35"/>
        <v>2589.5888351546155</v>
      </c>
      <c r="L35" s="169">
        <f t="shared" si="22"/>
        <v>3.6994356568210009E-9</v>
      </c>
      <c r="M35" s="163">
        <f t="shared" si="36"/>
        <v>2565.0985157234823</v>
      </c>
      <c r="N35" s="169">
        <f t="shared" si="23"/>
        <v>3.2216474669651592E-9</v>
      </c>
      <c r="O35" s="47">
        <f t="shared" si="37"/>
        <v>2443.4856933005412</v>
      </c>
      <c r="P35" s="169">
        <f t="shared" si="24"/>
        <v>1.2232069578822142E-9</v>
      </c>
      <c r="Q35" s="160">
        <f t="shared" si="38"/>
        <v>2323.2126494848294</v>
      </c>
      <c r="R35" s="165">
        <f t="shared" si="25"/>
        <v>3.5636051060016508E-10</v>
      </c>
      <c r="S35" s="47">
        <f t="shared" si="39"/>
        <v>2204.6765401861453</v>
      </c>
      <c r="T35" s="169">
        <f t="shared" si="26"/>
        <v>8.5719920650825029E-11</v>
      </c>
      <c r="U35" s="47">
        <f t="shared" si="40"/>
        <v>2086.8999412793019</v>
      </c>
      <c r="V35" s="169">
        <f t="shared" si="27"/>
        <v>1.6901180044159125E-11</v>
      </c>
      <c r="W35" s="47">
        <f t="shared" si="41"/>
        <v>1971.2730895505131</v>
      </c>
      <c r="X35" s="169">
        <f t="shared" si="28"/>
        <v>2.7541613820440827E-12</v>
      </c>
      <c r="Y35" s="47">
        <f t="shared" si="42"/>
        <v>1856.494763457845</v>
      </c>
      <c r="Z35" s="169">
        <f t="shared" si="29"/>
        <v>3.5481942625199245E-13</v>
      </c>
      <c r="AA35" s="47">
        <f t="shared" si="43"/>
        <v>1743.7999047227656</v>
      </c>
      <c r="AB35" s="169">
        <f t="shared" si="30"/>
        <v>3.5807697403084988E-14</v>
      </c>
    </row>
    <row r="36" spans="1:29" ht="15.75" thickBot="1" x14ac:dyDescent="0.3">
      <c r="A36" s="151">
        <v>10</v>
      </c>
      <c r="B36" s="154">
        <v>30</v>
      </c>
      <c r="C36" s="160">
        <f t="shared" si="31"/>
        <v>2714.9832239038201</v>
      </c>
      <c r="D36" s="138">
        <f t="shared" si="18"/>
        <v>0</v>
      </c>
      <c r="E36" s="47">
        <f t="shared" si="32"/>
        <v>2690.1763192900544</v>
      </c>
      <c r="F36" s="169">
        <f t="shared" si="19"/>
        <v>4.9223057111405438E-9</v>
      </c>
      <c r="G36" s="47">
        <f t="shared" si="33"/>
        <v>2665.315064536363</v>
      </c>
      <c r="H36" s="169">
        <f t="shared" si="20"/>
        <v>5.5035099424853141E-9</v>
      </c>
      <c r="I36" s="47">
        <f t="shared" si="34"/>
        <v>2640.505748705104</v>
      </c>
      <c r="J36" s="169">
        <f t="shared" si="21"/>
        <v>5.3080796293154042E-9</v>
      </c>
      <c r="K36" s="160">
        <f t="shared" si="35"/>
        <v>2615.6789942939913</v>
      </c>
      <c r="L36" s="169">
        <f t="shared" si="22"/>
        <v>4.8041180638685109E-9</v>
      </c>
      <c r="M36" s="163">
        <f t="shared" si="36"/>
        <v>2590.9419344063585</v>
      </c>
      <c r="N36" s="169">
        <f t="shared" si="23"/>
        <v>4.1941083332306899E-9</v>
      </c>
      <c r="O36" s="47">
        <f t="shared" si="37"/>
        <v>2468.1038603730749</v>
      </c>
      <c r="P36" s="169">
        <f t="shared" si="24"/>
        <v>1.6134790432845927E-9</v>
      </c>
      <c r="Q36" s="160">
        <f t="shared" si="38"/>
        <v>2346.6190632431958</v>
      </c>
      <c r="R36" s="165">
        <f t="shared" si="25"/>
        <v>4.7684695203362625E-10</v>
      </c>
      <c r="S36" s="47">
        <f t="shared" si="39"/>
        <v>2226.8887002802303</v>
      </c>
      <c r="T36" s="169">
        <f t="shared" si="26"/>
        <v>1.1651236012210927E-10</v>
      </c>
      <c r="U36" s="47">
        <f t="shared" si="40"/>
        <v>2107.9254997914431</v>
      </c>
      <c r="V36" s="169">
        <f t="shared" si="27"/>
        <v>2.3373817857374507E-11</v>
      </c>
      <c r="W36" s="47">
        <f t="shared" si="41"/>
        <v>1991.1337052263877</v>
      </c>
      <c r="X36" s="169">
        <f t="shared" si="28"/>
        <v>3.8820534168595564E-12</v>
      </c>
      <c r="Y36" s="47">
        <f t="shared" si="42"/>
        <v>1875.1989852101547</v>
      </c>
      <c r="Z36" s="169">
        <f t="shared" si="29"/>
        <v>5.108529891652213E-13</v>
      </c>
      <c r="AA36" s="47">
        <f t="shared" si="43"/>
        <v>1761.36872352667</v>
      </c>
      <c r="AB36" s="169">
        <f t="shared" si="30"/>
        <v>5.2783052755812167E-14</v>
      </c>
    </row>
    <row r="37" spans="1:29" ht="15.75" thickBot="1" x14ac:dyDescent="0.3">
      <c r="A37" s="151">
        <v>11</v>
      </c>
      <c r="B37" s="154">
        <v>32</v>
      </c>
      <c r="C37" s="160">
        <f t="shared" si="31"/>
        <v>2740.5624314441434</v>
      </c>
      <c r="D37" s="138">
        <f t="shared" si="18"/>
        <v>0</v>
      </c>
      <c r="E37" s="47">
        <f t="shared" si="32"/>
        <v>2715.5218086416385</v>
      </c>
      <c r="F37" s="169">
        <f t="shared" si="19"/>
        <v>6.2285116037908121E-9</v>
      </c>
      <c r="G37" s="47">
        <f t="shared" si="33"/>
        <v>2690.4263236395004</v>
      </c>
      <c r="H37" s="169">
        <f t="shared" si="20"/>
        <v>6.9792521235059047E-9</v>
      </c>
      <c r="I37" s="47">
        <f t="shared" si="34"/>
        <v>2665.3832669022245</v>
      </c>
      <c r="J37" s="169">
        <f t="shared" si="21"/>
        <v>6.7464592927813127E-9</v>
      </c>
      <c r="K37" s="160">
        <f t="shared" si="35"/>
        <v>2640.3226072875577</v>
      </c>
      <c r="L37" s="169">
        <f t="shared" si="22"/>
        <v>6.1198471968206598E-9</v>
      </c>
      <c r="M37" s="163">
        <f t="shared" si="36"/>
        <v>2615.3524872530948</v>
      </c>
      <c r="N37" s="169">
        <f t="shared" si="23"/>
        <v>5.3551328787757374E-9</v>
      </c>
      <c r="O37" s="47">
        <f t="shared" si="37"/>
        <v>2491.3570946176587</v>
      </c>
      <c r="P37" s="169">
        <f t="shared" si="24"/>
        <v>2.0853361899877581E-9</v>
      </c>
      <c r="Q37" s="160">
        <f t="shared" si="38"/>
        <v>2368.7277287805355</v>
      </c>
      <c r="R37" s="165">
        <f t="shared" si="25"/>
        <v>6.2453907552651588E-10</v>
      </c>
      <c r="S37" s="47">
        <f t="shared" si="39"/>
        <v>2247.8693265073657</v>
      </c>
      <c r="T37" s="169">
        <f t="shared" si="26"/>
        <v>1.5482921394221246E-10</v>
      </c>
      <c r="U37" s="47">
        <f t="shared" si="40"/>
        <v>2127.7853145276745</v>
      </c>
      <c r="V37" s="169">
        <f t="shared" si="27"/>
        <v>3.1563078243570936E-11</v>
      </c>
      <c r="W37" s="47">
        <f t="shared" si="41"/>
        <v>2009.8931663671035</v>
      </c>
      <c r="X37" s="169">
        <f t="shared" si="28"/>
        <v>5.3353492249117371E-12</v>
      </c>
      <c r="Y37" s="47">
        <f t="shared" si="42"/>
        <v>1892.8661676810357</v>
      </c>
      <c r="Z37" s="169">
        <f t="shared" si="29"/>
        <v>7.1603695818075043E-13</v>
      </c>
      <c r="AA37" s="47">
        <f t="shared" si="43"/>
        <v>1777.9634544765506</v>
      </c>
      <c r="AB37" s="169">
        <f t="shared" si="30"/>
        <v>7.5615483360781493E-14</v>
      </c>
    </row>
    <row r="38" spans="1:29" ht="15.75" thickBot="1" x14ac:dyDescent="0.3">
      <c r="A38" s="151">
        <v>12</v>
      </c>
      <c r="B38" s="154">
        <v>34</v>
      </c>
      <c r="C38" s="160">
        <f t="shared" si="31"/>
        <v>2764.8098769682342</v>
      </c>
      <c r="D38" s="138">
        <f t="shared" si="18"/>
        <v>0</v>
      </c>
      <c r="E38" s="47">
        <f t="shared" si="32"/>
        <v>2739.5477043370056</v>
      </c>
      <c r="F38" s="169">
        <f t="shared" si="19"/>
        <v>7.7541106562622627E-9</v>
      </c>
      <c r="G38" s="47">
        <f t="shared" si="33"/>
        <v>2714.2301841064409</v>
      </c>
      <c r="H38" s="169">
        <f t="shared" si="20"/>
        <v>8.7065101983939387E-9</v>
      </c>
      <c r="I38" s="47">
        <f t="shared" si="34"/>
        <v>2688.9655560059173</v>
      </c>
      <c r="J38" s="169">
        <f t="shared" si="21"/>
        <v>8.4336086641843109E-9</v>
      </c>
      <c r="K38" s="160">
        <f t="shared" si="35"/>
        <v>2663.6831692844958</v>
      </c>
      <c r="L38" s="169">
        <f t="shared" si="22"/>
        <v>7.6665187730556906E-9</v>
      </c>
      <c r="M38" s="163">
        <f t="shared" si="36"/>
        <v>2638.4921232027668</v>
      </c>
      <c r="N38" s="169">
        <f t="shared" si="23"/>
        <v>6.7229854865526583E-9</v>
      </c>
      <c r="O38" s="47">
        <f t="shared" si="37"/>
        <v>2513.3996668793575</v>
      </c>
      <c r="P38" s="169">
        <f t="shared" si="24"/>
        <v>2.6477982948147321E-9</v>
      </c>
      <c r="Q38" s="160">
        <f t="shared" si="38"/>
        <v>2389.6853234355654</v>
      </c>
      <c r="R38" s="165">
        <f t="shared" si="25"/>
        <v>8.0285562399415759E-10</v>
      </c>
      <c r="S38" s="47">
        <f t="shared" si="39"/>
        <v>2267.7576123622662</v>
      </c>
      <c r="T38" s="169">
        <f t="shared" si="26"/>
        <v>2.017415715540889E-10</v>
      </c>
      <c r="U38" s="47">
        <f t="shared" si="40"/>
        <v>2146.6111430908218</v>
      </c>
      <c r="V38" s="169">
        <f t="shared" si="27"/>
        <v>4.1745412261303905E-11</v>
      </c>
      <c r="W38" s="47">
        <f t="shared" si="41"/>
        <v>2027.675930409099</v>
      </c>
      <c r="X38" s="169">
        <f t="shared" si="28"/>
        <v>7.173230857769467E-12</v>
      </c>
      <c r="Y38" s="47">
        <f t="shared" si="42"/>
        <v>1909.6135217126896</v>
      </c>
      <c r="Z38" s="169">
        <f t="shared" si="29"/>
        <v>9.8047191375590539E-13</v>
      </c>
      <c r="AA38" s="47">
        <f t="shared" si="43"/>
        <v>1793.6941933612427</v>
      </c>
      <c r="AB38" s="169">
        <f t="shared" si="30"/>
        <v>1.0566517719682974E-13</v>
      </c>
    </row>
    <row r="39" spans="1:29" ht="15.75" thickBot="1" x14ac:dyDescent="0.3">
      <c r="A39" s="151">
        <v>13</v>
      </c>
      <c r="B39" s="154">
        <v>36</v>
      </c>
      <c r="C39" s="160">
        <f t="shared" si="31"/>
        <v>2787.867427616673</v>
      </c>
      <c r="D39" s="138">
        <f t="shared" si="18"/>
        <v>0</v>
      </c>
      <c r="E39" s="47">
        <f t="shared" si="32"/>
        <v>2762.3945772712959</v>
      </c>
      <c r="F39" s="169">
        <f t="shared" si="19"/>
        <v>9.5164566220920013E-9</v>
      </c>
      <c r="G39" s="47">
        <f t="shared" si="33"/>
        <v>2736.8659177468949</v>
      </c>
      <c r="H39" s="169">
        <f t="shared" si="20"/>
        <v>1.0705748263086307E-8</v>
      </c>
      <c r="I39" s="47">
        <f t="shared" si="34"/>
        <v>2711.3905914544675</v>
      </c>
      <c r="J39" s="169">
        <f t="shared" si="21"/>
        <v>1.0390341830019766E-8</v>
      </c>
      <c r="K39" s="160">
        <f t="shared" si="35"/>
        <v>2685.8973584404316</v>
      </c>
      <c r="L39" s="169">
        <f t="shared" si="22"/>
        <v>9.4639988917468427E-9</v>
      </c>
      <c r="M39" s="163">
        <f t="shared" si="36"/>
        <v>2660.4962278151843</v>
      </c>
      <c r="N39" s="169">
        <f t="shared" si="23"/>
        <v>8.3159529620098574E-9</v>
      </c>
      <c r="O39" s="47">
        <f t="shared" si="37"/>
        <v>2534.3605440093188</v>
      </c>
      <c r="P39" s="169">
        <f t="shared" si="24"/>
        <v>3.3100230724120164E-9</v>
      </c>
      <c r="Q39" s="160">
        <f t="shared" si="38"/>
        <v>2409.6144660641235</v>
      </c>
      <c r="R39" s="165">
        <f t="shared" si="25"/>
        <v>1.0153189481198994E-9</v>
      </c>
      <c r="S39" s="47">
        <f t="shared" si="39"/>
        <v>2286.6699203806256</v>
      </c>
      <c r="T39" s="169">
        <f t="shared" si="26"/>
        <v>2.5837034466070271E-10</v>
      </c>
      <c r="U39" s="47">
        <f t="shared" si="40"/>
        <v>2164.5131317832938</v>
      </c>
      <c r="V39" s="169">
        <f t="shared" si="27"/>
        <v>5.4215058315529348E-11</v>
      </c>
      <c r="W39" s="47">
        <f t="shared" si="41"/>
        <v>2044.5860408848673</v>
      </c>
      <c r="X39" s="169">
        <f t="shared" si="28"/>
        <v>9.4598464315052374E-12</v>
      </c>
      <c r="Y39" s="47">
        <f t="shared" si="42"/>
        <v>1925.5390328527583</v>
      </c>
      <c r="Z39" s="169">
        <f t="shared" si="29"/>
        <v>1.315327608955536E-12</v>
      </c>
      <c r="AA39" s="47">
        <f t="shared" si="43"/>
        <v>1808.6529777086819</v>
      </c>
      <c r="AB39" s="169">
        <f t="shared" si="30"/>
        <v>1.4446973171750993E-13</v>
      </c>
    </row>
    <row r="40" spans="1:29" ht="15.75" thickBot="1" x14ac:dyDescent="0.3">
      <c r="A40" s="151">
        <v>14</v>
      </c>
      <c r="B40" s="154">
        <v>38</v>
      </c>
      <c r="C40" s="160">
        <f t="shared" si="31"/>
        <v>2809.8549470233675</v>
      </c>
      <c r="D40" s="138">
        <f t="shared" si="18"/>
        <v>0</v>
      </c>
      <c r="E40" s="47">
        <f t="shared" si="32"/>
        <v>2784.1811958798544</v>
      </c>
      <c r="F40" s="169">
        <f t="shared" si="19"/>
        <v>1.1532707376053072E-8</v>
      </c>
      <c r="G40" s="47">
        <f t="shared" si="33"/>
        <v>2758.4511953981464</v>
      </c>
      <c r="H40" s="169">
        <f t="shared" si="20"/>
        <v>1.2997250214807497E-8</v>
      </c>
      <c r="I40" s="47">
        <f t="shared" si="34"/>
        <v>2732.7749487801311</v>
      </c>
      <c r="J40" s="169">
        <f t="shared" si="21"/>
        <v>1.2637341662965682E-8</v>
      </c>
      <c r="K40" s="160">
        <f t="shared" si="35"/>
        <v>2707.0806542127098</v>
      </c>
      <c r="L40" s="169">
        <f t="shared" si="22"/>
        <v>1.1532078682436628E-8</v>
      </c>
      <c r="M40" s="163">
        <f t="shared" si="36"/>
        <v>2681.4791884326983</v>
      </c>
      <c r="N40" s="169">
        <f t="shared" si="23"/>
        <v>1.0152299737093441E-8</v>
      </c>
      <c r="O40" s="47">
        <f t="shared" si="37"/>
        <v>2554.3486901790275</v>
      </c>
      <c r="P40" s="169">
        <f t="shared" si="24"/>
        <v>4.081277620192714E-9</v>
      </c>
      <c r="Q40" s="160">
        <f t="shared" si="38"/>
        <v>2428.6187574125574</v>
      </c>
      <c r="R40" s="165">
        <f t="shared" si="25"/>
        <v>1.2655429379335244E-9</v>
      </c>
      <c r="S40" s="47">
        <f t="shared" si="39"/>
        <v>2304.7045653400728</v>
      </c>
      <c r="T40" s="169">
        <f t="shared" si="26"/>
        <v>3.2588251891387367E-10</v>
      </c>
      <c r="U40" s="47">
        <f t="shared" si="40"/>
        <v>2181.5843432834122</v>
      </c>
      <c r="V40" s="169">
        <f t="shared" si="27"/>
        <v>6.9283230834639231E-11</v>
      </c>
      <c r="W40" s="47">
        <f t="shared" si="41"/>
        <v>2060.7114042386943</v>
      </c>
      <c r="X40" s="169">
        <f t="shared" si="28"/>
        <v>1.226421134686687E-11</v>
      </c>
      <c r="Y40" s="47">
        <f t="shared" si="42"/>
        <v>1940.7254891504297</v>
      </c>
      <c r="Z40" s="169">
        <f t="shared" si="29"/>
        <v>1.7328485999406926E-12</v>
      </c>
      <c r="AA40" s="47">
        <f t="shared" si="43"/>
        <v>1822.9175700825533</v>
      </c>
      <c r="AB40" s="169">
        <f t="shared" si="30"/>
        <v>1.9374968709057213E-13</v>
      </c>
    </row>
    <row r="41" spans="1:29" ht="15.75" thickBot="1" x14ac:dyDescent="0.3">
      <c r="A41" s="152">
        <v>15</v>
      </c>
      <c r="B41" s="157">
        <v>40</v>
      </c>
      <c r="C41" s="161">
        <f t="shared" si="31"/>
        <v>2830.8746671605345</v>
      </c>
      <c r="D41" s="138">
        <f t="shared" si="18"/>
        <v>0</v>
      </c>
      <c r="E41" s="139">
        <f t="shared" si="32"/>
        <v>2805.008858037485</v>
      </c>
      <c r="F41" s="169">
        <f t="shared" si="19"/>
        <v>1.3819801729791461E-8</v>
      </c>
      <c r="G41" s="139">
        <f t="shared" si="33"/>
        <v>2779.0863787910539</v>
      </c>
      <c r="H41" s="169">
        <f t="shared" si="20"/>
        <v>1.5601088546361421E-8</v>
      </c>
      <c r="I41" s="139">
        <f t="shared" si="34"/>
        <v>2753.2180555255777</v>
      </c>
      <c r="J41" s="169">
        <f t="shared" si="21"/>
        <v>1.5195124327280532E-8</v>
      </c>
      <c r="K41" s="161">
        <f t="shared" si="35"/>
        <v>2727.3315492991492</v>
      </c>
      <c r="L41" s="169">
        <f t="shared" si="22"/>
        <v>1.3890437006443078E-8</v>
      </c>
      <c r="M41" s="164">
        <f t="shared" si="36"/>
        <v>2701.5385662857066</v>
      </c>
      <c r="N41" s="169">
        <f t="shared" si="23"/>
        <v>1.2250230556890562E-8</v>
      </c>
      <c r="O41" s="139">
        <f t="shared" si="37"/>
        <v>2573.4570411838317</v>
      </c>
      <c r="P41" s="169">
        <f t="shared" si="24"/>
        <v>4.9709136035113942E-9</v>
      </c>
      <c r="Q41" s="161">
        <f t="shared" si="38"/>
        <v>2446.7865587984493</v>
      </c>
      <c r="R41" s="165">
        <f t="shared" si="25"/>
        <v>1.5572221077343864E-9</v>
      </c>
      <c r="S41" s="139">
        <f t="shared" si="39"/>
        <v>2321.9454001431714</v>
      </c>
      <c r="T41" s="169">
        <f t="shared" si="26"/>
        <v>4.0548763957057916E-10</v>
      </c>
      <c r="U41" s="139">
        <f t="shared" si="40"/>
        <v>2197.904150966021</v>
      </c>
      <c r="V41" s="169">
        <f t="shared" si="27"/>
        <v>8.7277322063794004E-11</v>
      </c>
      <c r="W41" s="139">
        <f t="shared" si="41"/>
        <v>2076.1269960814184</v>
      </c>
      <c r="X41" s="169">
        <f t="shared" si="28"/>
        <v>1.5660099928373992E-11</v>
      </c>
      <c r="Y41" s="139">
        <f t="shared" si="42"/>
        <v>1955.2435007254464</v>
      </c>
      <c r="Z41" s="169">
        <f t="shared" si="29"/>
        <v>2.246355981796623E-12</v>
      </c>
      <c r="AA41" s="139">
        <f t="shared" si="43"/>
        <v>1836.5542943543351</v>
      </c>
      <c r="AB41" s="169">
        <f t="shared" si="30"/>
        <v>2.5541328586097696E-13</v>
      </c>
    </row>
    <row r="42" spans="1:29" x14ac:dyDescent="0.25">
      <c r="A42" s="147"/>
      <c r="B42" s="147"/>
      <c r="C42" s="233" t="s">
        <v>61</v>
      </c>
      <c r="D42" s="138">
        <f>SUM(D26:D41)</f>
        <v>0</v>
      </c>
      <c r="E42" s="235" t="s">
        <v>61</v>
      </c>
      <c r="F42" s="169">
        <f>SUM(F26:F41)</f>
        <v>6.6840928439009447E-8</v>
      </c>
      <c r="G42" s="235" t="s">
        <v>61</v>
      </c>
      <c r="H42" s="169">
        <f>SUM(H26:H41)</f>
        <v>7.4982524027817989E-8</v>
      </c>
      <c r="I42" s="235" t="s">
        <v>61</v>
      </c>
      <c r="J42" s="169">
        <f>SUM(J26:J41)</f>
        <v>7.2568838056376833E-8</v>
      </c>
      <c r="K42" s="235" t="s">
        <v>61</v>
      </c>
      <c r="L42" s="169">
        <f>SUM(L26:L41)</f>
        <v>6.5912938495768559E-8</v>
      </c>
      <c r="M42" s="235" t="s">
        <v>61</v>
      </c>
      <c r="N42" s="169">
        <f>SUM(N26:N41)</f>
        <v>5.7754738692406526E-8</v>
      </c>
      <c r="O42" s="235" t="s">
        <v>61</v>
      </c>
      <c r="P42" s="169">
        <f>SUM(P26:P41)</f>
        <v>2.2669986252767892E-8</v>
      </c>
      <c r="Q42" s="235" t="s">
        <v>61</v>
      </c>
      <c r="R42" s="169">
        <f>SUM(R26:R41)</f>
        <v>6.8592725055165978E-9</v>
      </c>
      <c r="S42" s="235" t="s">
        <v>61</v>
      </c>
      <c r="T42" s="169">
        <f>SUM(T26:T41)</f>
        <v>1.7225118129107843E-9</v>
      </c>
      <c r="U42" s="235" t="s">
        <v>61</v>
      </c>
      <c r="V42" s="169">
        <f>SUM(V26:V41)</f>
        <v>3.568610693781142E-10</v>
      </c>
      <c r="W42" s="235" t="s">
        <v>61</v>
      </c>
      <c r="X42" s="169">
        <f>SUM(X26:X41)</f>
        <v>6.1531411036146927E-11</v>
      </c>
      <c r="Y42" s="235" t="s">
        <v>61</v>
      </c>
      <c r="Z42" s="169">
        <f>SUM(Z26:Z41)</f>
        <v>8.4628056210199888E-12</v>
      </c>
      <c r="AA42" s="235" t="s">
        <v>61</v>
      </c>
      <c r="AB42" s="169">
        <f>SUM(AB26:AB41)</f>
        <v>9.2079025387303623E-13</v>
      </c>
    </row>
    <row r="43" spans="1:29" ht="15.75" thickBot="1" x14ac:dyDescent="0.3">
      <c r="A43" s="147"/>
      <c r="B43" s="147"/>
      <c r="C43" s="234"/>
      <c r="D43" s="44"/>
      <c r="E43" s="236"/>
      <c r="F43" s="44"/>
      <c r="G43" s="236"/>
      <c r="H43" s="44"/>
      <c r="I43" s="236"/>
      <c r="J43" s="44"/>
      <c r="K43" s="236"/>
      <c r="L43" s="44"/>
      <c r="M43" s="236"/>
      <c r="N43" s="44"/>
      <c r="O43" s="236"/>
      <c r="P43" s="44"/>
      <c r="Q43" s="236"/>
      <c r="R43" s="153"/>
      <c r="S43" s="236"/>
      <c r="T43" s="44"/>
      <c r="U43" s="236"/>
      <c r="V43" s="44"/>
      <c r="W43" s="236"/>
      <c r="X43" s="44"/>
      <c r="Y43" s="236"/>
      <c r="Z43" s="44"/>
      <c r="AA43" s="236"/>
      <c r="AB43" s="140"/>
    </row>
    <row r="44" spans="1:29" ht="15.75" thickBot="1" x14ac:dyDescent="0.3">
      <c r="A44" s="166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:29" ht="30.75" thickBot="1" x14ac:dyDescent="0.3">
      <c r="A45" s="66" t="str">
        <f>'Enthalpy Data'!X1</f>
        <v>Deg K</v>
      </c>
      <c r="B45" s="81" t="str">
        <f>'Enthalpy Data'!Y1</f>
        <v>Net Enthalpy</v>
      </c>
      <c r="C45" s="81">
        <f>'Enthalpy Data'!Z1</f>
        <v>0.99</v>
      </c>
      <c r="D45" s="81">
        <f>'Enthalpy Data'!AA1</f>
        <v>0.98</v>
      </c>
      <c r="E45" s="81">
        <f>'Enthalpy Data'!AB1</f>
        <v>0.97</v>
      </c>
      <c r="F45" s="81">
        <f>'Enthalpy Data'!AC1</f>
        <v>0.96</v>
      </c>
      <c r="G45" s="81">
        <f>'Enthalpy Data'!AD1</f>
        <v>0.95</v>
      </c>
      <c r="H45" s="81">
        <f>'Enthalpy Data'!AE1</f>
        <v>0.9</v>
      </c>
      <c r="I45" s="81">
        <f>'Enthalpy Data'!AF1</f>
        <v>0.85</v>
      </c>
      <c r="J45" s="81">
        <f>'Enthalpy Data'!AG1</f>
        <v>0.8</v>
      </c>
      <c r="K45" s="81">
        <f>'Enthalpy Data'!AH1</f>
        <v>0.75</v>
      </c>
      <c r="L45" s="81">
        <f>'Enthalpy Data'!AI1</f>
        <v>0.7</v>
      </c>
      <c r="M45" s="81">
        <f>'Enthalpy Data'!AJ1</f>
        <v>0.65</v>
      </c>
      <c r="N45" s="82">
        <f>'Enthalpy Data'!AK1</f>
        <v>0.6</v>
      </c>
      <c r="P45" s="66" t="str">
        <f>'Enthalpy Data'!X38</f>
        <v>Deg K</v>
      </c>
      <c r="Q45" s="81" t="str">
        <f>'Enthalpy Data'!Y38</f>
        <v>Net Enthalpy</v>
      </c>
      <c r="R45" s="81">
        <f>'Enthalpy Data'!Z38</f>
        <v>0.99</v>
      </c>
      <c r="S45" s="81">
        <f>'Enthalpy Data'!AA38</f>
        <v>0.98</v>
      </c>
      <c r="T45" s="81">
        <f>'Enthalpy Data'!AB38</f>
        <v>0.97</v>
      </c>
      <c r="U45" s="81">
        <f>'Enthalpy Data'!AC38</f>
        <v>0.96</v>
      </c>
      <c r="V45" s="81">
        <f>'Enthalpy Data'!AD38</f>
        <v>0.95</v>
      </c>
      <c r="W45" s="81">
        <f>'Enthalpy Data'!AE38</f>
        <v>0.9</v>
      </c>
      <c r="X45" s="81">
        <f>'Enthalpy Data'!AF38</f>
        <v>0.85</v>
      </c>
      <c r="Y45" s="81">
        <f>'Enthalpy Data'!AG38</f>
        <v>0.8</v>
      </c>
      <c r="Z45" s="81">
        <f>'Enthalpy Data'!AH38</f>
        <v>0.75</v>
      </c>
      <c r="AA45" s="81">
        <f>'Enthalpy Data'!AI38</f>
        <v>0.7</v>
      </c>
      <c r="AB45" s="81">
        <f>'Enthalpy Data'!AJ38</f>
        <v>0.65</v>
      </c>
      <c r="AC45" s="82">
        <f>'Enthalpy Data'!AK38</f>
        <v>0.6</v>
      </c>
    </row>
    <row r="46" spans="1:29" x14ac:dyDescent="0.25">
      <c r="A46" s="130">
        <f>'Enthalpy Data'!X2</f>
        <v>1900</v>
      </c>
      <c r="B46" s="78">
        <f>'Enthalpy Data'!Y2</f>
        <v>3763.2309523809522</v>
      </c>
      <c r="C46" s="79">
        <f>'Enthalpy Data'!Z2</f>
        <v>3763.1246000000001</v>
      </c>
      <c r="D46" s="79">
        <f>'Enthalpy Data'!AA2</f>
        <v>3763.2184000000002</v>
      </c>
      <c r="E46" s="79">
        <f>'Enthalpy Data'!AB2</f>
        <v>3763.3122000000003</v>
      </c>
      <c r="F46" s="79">
        <f>'Enthalpy Data'!AC2</f>
        <v>3763.4059999999999</v>
      </c>
      <c r="G46" s="79">
        <f>'Enthalpy Data'!AD2</f>
        <v>3763.4998000000001</v>
      </c>
      <c r="H46" s="79">
        <f>'Enthalpy Data'!AE2</f>
        <v>3763.9688000000001</v>
      </c>
      <c r="I46" s="79">
        <f>'Enthalpy Data'!AF2</f>
        <v>3764.4378000000002</v>
      </c>
      <c r="J46" s="79">
        <f>'Enthalpy Data'!AG2</f>
        <v>3764.9068000000002</v>
      </c>
      <c r="K46" s="79">
        <f>'Enthalpy Data'!AH2</f>
        <v>3765.3758000000003</v>
      </c>
      <c r="L46" s="79">
        <f>'Enthalpy Data'!AI2</f>
        <v>3765.8447999999999</v>
      </c>
      <c r="M46" s="79">
        <f>'Enthalpy Data'!AJ2</f>
        <v>3766.3137999999999</v>
      </c>
      <c r="N46" s="80">
        <f>'Enthalpy Data'!AK2</f>
        <v>3766.7828</v>
      </c>
      <c r="P46" s="126">
        <f>'Enthalpy Data'!X39</f>
        <v>1000</v>
      </c>
      <c r="Q46" s="137">
        <f>'Enthalpy Data'!Y39</f>
        <v>1510.7894000000001</v>
      </c>
      <c r="R46" s="129">
        <f>'Enthalpy Data'!Z39</f>
        <v>1510.9558</v>
      </c>
      <c r="S46" s="129">
        <f>'Enthalpy Data'!AA39</f>
        <v>1511.1222</v>
      </c>
      <c r="T46" s="129">
        <f>'Enthalpy Data'!AB39</f>
        <v>1511.2885999999999</v>
      </c>
      <c r="U46" s="129">
        <f>'Enthalpy Data'!AC39</f>
        <v>1511.4549999999999</v>
      </c>
      <c r="V46" s="129">
        <f>'Enthalpy Data'!AD39</f>
        <v>1511.6214</v>
      </c>
      <c r="W46" s="129">
        <f>'Enthalpy Data'!AE39</f>
        <v>1512.4534000000001</v>
      </c>
      <c r="X46" s="129">
        <f>'Enthalpy Data'!AF39</f>
        <v>1513.2854</v>
      </c>
      <c r="Y46" s="129">
        <f>'Enthalpy Data'!AG39</f>
        <v>1514.1173999999999</v>
      </c>
      <c r="Z46" s="129">
        <f>'Enthalpy Data'!AH39</f>
        <v>1514.9494</v>
      </c>
      <c r="AA46" s="129">
        <f>'Enthalpy Data'!AI39</f>
        <v>1515.7814000000001</v>
      </c>
      <c r="AB46" s="129">
        <f>'Enthalpy Data'!AJ39</f>
        <v>1516.6134000000002</v>
      </c>
      <c r="AC46" s="138">
        <f>'Enthalpy Data'!AK39</f>
        <v>1517.4454000000001</v>
      </c>
    </row>
    <row r="47" spans="1:29" x14ac:dyDescent="0.25">
      <c r="A47" s="131">
        <f>'Enthalpy Data'!X3</f>
        <v>1950</v>
      </c>
      <c r="B47" s="47">
        <f>'Enthalpy Data'!Y3</f>
        <v>3894.2535714285714</v>
      </c>
      <c r="C47" s="43">
        <f>'Enthalpy Data'!Z3</f>
        <v>3894.1346000000003</v>
      </c>
      <c r="D47" s="43">
        <f>'Enthalpy Data'!AA3</f>
        <v>3894.2226000000005</v>
      </c>
      <c r="E47" s="43">
        <f>'Enthalpy Data'!AB3</f>
        <v>3894.3106000000002</v>
      </c>
      <c r="F47" s="43">
        <f>'Enthalpy Data'!AC3</f>
        <v>3894.3986</v>
      </c>
      <c r="G47" s="43">
        <f>'Enthalpy Data'!AD3</f>
        <v>3894.4866000000006</v>
      </c>
      <c r="H47" s="43">
        <f>'Enthalpy Data'!AE3</f>
        <v>3894.9266000000002</v>
      </c>
      <c r="I47" s="43">
        <f>'Enthalpy Data'!AF3</f>
        <v>3895.3666000000003</v>
      </c>
      <c r="J47" s="43">
        <f>'Enthalpy Data'!AG3</f>
        <v>3895.8066000000003</v>
      </c>
      <c r="K47" s="43">
        <f>'Enthalpy Data'!AH3</f>
        <v>3896.2466000000004</v>
      </c>
      <c r="L47" s="43">
        <f>'Enthalpy Data'!AI3</f>
        <v>3896.6866000000005</v>
      </c>
      <c r="M47" s="43">
        <f>'Enthalpy Data'!AJ3</f>
        <v>3897.1266000000001</v>
      </c>
      <c r="N47" s="76">
        <f>'Enthalpy Data'!AK3</f>
        <v>3897.5666000000006</v>
      </c>
      <c r="P47" s="127">
        <f>'Enthalpy Data'!X40</f>
        <v>1050</v>
      </c>
      <c r="Q47" s="47">
        <f>'Enthalpy Data'!Y40</f>
        <v>1628.4621999999999</v>
      </c>
      <c r="R47" s="43">
        <f>'Enthalpy Data'!Z40</f>
        <v>1628.62895</v>
      </c>
      <c r="S47" s="43">
        <f>'Enthalpy Data'!AA40</f>
        <v>1628.7957000000001</v>
      </c>
      <c r="T47" s="43">
        <f>'Enthalpy Data'!AB40</f>
        <v>1628.96245</v>
      </c>
      <c r="U47" s="43">
        <f>'Enthalpy Data'!AC40</f>
        <v>1629.1291999999999</v>
      </c>
      <c r="V47" s="43">
        <f>'Enthalpy Data'!AD40</f>
        <v>1629.2959499999999</v>
      </c>
      <c r="W47" s="43">
        <f>'Enthalpy Data'!AE40</f>
        <v>1630.1297</v>
      </c>
      <c r="X47" s="43">
        <f>'Enthalpy Data'!AF40</f>
        <v>1630.96345</v>
      </c>
      <c r="Y47" s="43">
        <f>'Enthalpy Data'!AG40</f>
        <v>1631.7972</v>
      </c>
      <c r="Z47" s="43">
        <f>'Enthalpy Data'!AH40</f>
        <v>1632.63095</v>
      </c>
      <c r="AA47" s="43">
        <f>'Enthalpy Data'!AI40</f>
        <v>1633.4647</v>
      </c>
      <c r="AB47" s="43">
        <f>'Enthalpy Data'!AJ40</f>
        <v>1634.2984500000002</v>
      </c>
      <c r="AC47" s="76">
        <f>'Enthalpy Data'!AK40</f>
        <v>1635.1322</v>
      </c>
    </row>
    <row r="48" spans="1:29" x14ac:dyDescent="0.25">
      <c r="A48" s="131">
        <f>'Enthalpy Data'!X4</f>
        <v>2000</v>
      </c>
      <c r="B48" s="47">
        <f>'Enthalpy Data'!Y4</f>
        <v>4026.0064285714288</v>
      </c>
      <c r="C48" s="43">
        <f>'Enthalpy Data'!Z4</f>
        <v>4025.8752500000001</v>
      </c>
      <c r="D48" s="43">
        <f>'Enthalpy Data'!AA4</f>
        <v>4025.9579000000003</v>
      </c>
      <c r="E48" s="43">
        <f>'Enthalpy Data'!AB4</f>
        <v>4026.0405500000002</v>
      </c>
      <c r="F48" s="43">
        <f>'Enthalpy Data'!AC4</f>
        <v>4026.1232</v>
      </c>
      <c r="G48" s="43">
        <f>'Enthalpy Data'!AD4</f>
        <v>4026.2058500000003</v>
      </c>
      <c r="H48" s="43">
        <f>'Enthalpy Data'!AE4</f>
        <v>4026.6191000000003</v>
      </c>
      <c r="I48" s="43">
        <f>'Enthalpy Data'!AF4</f>
        <v>4027.03235</v>
      </c>
      <c r="J48" s="43">
        <f>'Enthalpy Data'!AG4</f>
        <v>4027.4456000000005</v>
      </c>
      <c r="K48" s="43">
        <f>'Enthalpy Data'!AH4</f>
        <v>4027.8588500000001</v>
      </c>
      <c r="L48" s="43">
        <f>'Enthalpy Data'!AI4</f>
        <v>4028.2721000000001</v>
      </c>
      <c r="M48" s="43">
        <f>'Enthalpy Data'!AJ4</f>
        <v>4028.6853500000002</v>
      </c>
      <c r="N48" s="76">
        <f>'Enthalpy Data'!AK4</f>
        <v>4029.0985999999998</v>
      </c>
      <c r="P48" s="127">
        <f>'Enthalpy Data'!X41</f>
        <v>1100</v>
      </c>
      <c r="Q48" s="47">
        <f>'Enthalpy Data'!Y41</f>
        <v>1747.6754000000001</v>
      </c>
      <c r="R48" s="43">
        <f>'Enthalpy Data'!Z41</f>
        <v>1747.8413500000001</v>
      </c>
      <c r="S48" s="43">
        <f>'Enthalpy Data'!AA41</f>
        <v>1748.0073</v>
      </c>
      <c r="T48" s="43">
        <f>'Enthalpy Data'!AB41</f>
        <v>1748.1732500000001</v>
      </c>
      <c r="U48" s="43">
        <f>'Enthalpy Data'!AC41</f>
        <v>1748.3392000000001</v>
      </c>
      <c r="V48" s="43">
        <f>'Enthalpy Data'!AD41</f>
        <v>1748.50515</v>
      </c>
      <c r="W48" s="43">
        <f>'Enthalpy Data'!AE41</f>
        <v>1749.3349000000001</v>
      </c>
      <c r="X48" s="43">
        <f>'Enthalpy Data'!AF41</f>
        <v>1750.1646500000002</v>
      </c>
      <c r="Y48" s="43">
        <f>'Enthalpy Data'!AG41</f>
        <v>1750.9944000000003</v>
      </c>
      <c r="Z48" s="43">
        <f>'Enthalpy Data'!AH41</f>
        <v>1751.8241500000001</v>
      </c>
      <c r="AA48" s="43">
        <f>'Enthalpy Data'!AI41</f>
        <v>1752.6539</v>
      </c>
      <c r="AB48" s="43">
        <f>'Enthalpy Data'!AJ41</f>
        <v>1753.4836500000001</v>
      </c>
      <c r="AC48" s="76">
        <f>'Enthalpy Data'!AK41</f>
        <v>1754.3134000000002</v>
      </c>
    </row>
    <row r="49" spans="1:29" x14ac:dyDescent="0.25">
      <c r="A49" s="131">
        <f>'Enthalpy Data'!X5</f>
        <v>2050</v>
      </c>
      <c r="B49" s="47">
        <f>'Enthalpy Data'!Y5</f>
        <v>4157.9392857142857</v>
      </c>
      <c r="C49" s="43">
        <f>'Enthalpy Data'!Z5</f>
        <v>4157.7959000000001</v>
      </c>
      <c r="D49" s="43">
        <f>'Enthalpy Data'!AA5</f>
        <v>4157.8732000000009</v>
      </c>
      <c r="E49" s="43">
        <f>'Enthalpy Data'!AB5</f>
        <v>4157.9504999999999</v>
      </c>
      <c r="F49" s="43">
        <f>'Enthalpy Data'!AC5</f>
        <v>4158.0277999999998</v>
      </c>
      <c r="G49" s="43">
        <f>'Enthalpy Data'!AD5</f>
        <v>4158.1051000000007</v>
      </c>
      <c r="H49" s="43">
        <f>'Enthalpy Data'!AE5</f>
        <v>4158.4916000000003</v>
      </c>
      <c r="I49" s="43">
        <f>'Enthalpy Data'!AF5</f>
        <v>4158.8780999999999</v>
      </c>
      <c r="J49" s="43">
        <f>'Enthalpy Data'!AG5</f>
        <v>4159.2646000000004</v>
      </c>
      <c r="K49" s="43">
        <f>'Enthalpy Data'!AH5</f>
        <v>4159.6511</v>
      </c>
      <c r="L49" s="43">
        <f>'Enthalpy Data'!AI5</f>
        <v>4160.0376000000006</v>
      </c>
      <c r="M49" s="43">
        <f>'Enthalpy Data'!AJ5</f>
        <v>4160.4241000000002</v>
      </c>
      <c r="N49" s="76">
        <f>'Enthalpy Data'!AK5</f>
        <v>4160.8106000000007</v>
      </c>
      <c r="P49" s="127">
        <f>'Enthalpy Data'!X42</f>
        <v>1150</v>
      </c>
      <c r="Q49" s="47">
        <f>'Enthalpy Data'!Y42</f>
        <v>1867.7888000000003</v>
      </c>
      <c r="R49" s="43">
        <f>'Enthalpy Data'!Z42</f>
        <v>1867.9536000000003</v>
      </c>
      <c r="S49" s="43">
        <f>'Enthalpy Data'!AA42</f>
        <v>1868.1184000000001</v>
      </c>
      <c r="T49" s="43">
        <f>'Enthalpy Data'!AB42</f>
        <v>1868.2832000000001</v>
      </c>
      <c r="U49" s="43">
        <f>'Enthalpy Data'!AC42</f>
        <v>1868.4480000000001</v>
      </c>
      <c r="V49" s="43">
        <f>'Enthalpy Data'!AD42</f>
        <v>1868.6128000000001</v>
      </c>
      <c r="W49" s="43">
        <f>'Enthalpy Data'!AE42</f>
        <v>1869.4368000000002</v>
      </c>
      <c r="X49" s="43">
        <f>'Enthalpy Data'!AF42</f>
        <v>1870.2608</v>
      </c>
      <c r="Y49" s="43">
        <f>'Enthalpy Data'!AG42</f>
        <v>1871.0848000000001</v>
      </c>
      <c r="Z49" s="43">
        <f>'Enthalpy Data'!AH42</f>
        <v>1871.9088000000002</v>
      </c>
      <c r="AA49" s="43">
        <f>'Enthalpy Data'!AI42</f>
        <v>1872.7328000000002</v>
      </c>
      <c r="AB49" s="43">
        <f>'Enthalpy Data'!AJ42</f>
        <v>1873.5568000000003</v>
      </c>
      <c r="AC49" s="76">
        <f>'Enthalpy Data'!AK42</f>
        <v>1874.3808000000001</v>
      </c>
    </row>
    <row r="50" spans="1:29" x14ac:dyDescent="0.25">
      <c r="A50" s="131">
        <f>'Enthalpy Data'!X6</f>
        <v>2100</v>
      </c>
      <c r="B50" s="47">
        <f>'Enthalpy Data'!Y6</f>
        <v>4290.0421428571426</v>
      </c>
      <c r="C50" s="43">
        <f>'Enthalpy Data'!Z6</f>
        <v>4289.8869999999997</v>
      </c>
      <c r="D50" s="43">
        <f>'Enthalpy Data'!AA6</f>
        <v>4289.9593999999997</v>
      </c>
      <c r="E50" s="43">
        <f>'Enthalpy Data'!AB6</f>
        <v>4290.0317999999997</v>
      </c>
      <c r="F50" s="43">
        <f>'Enthalpy Data'!AC6</f>
        <v>4290.1041999999998</v>
      </c>
      <c r="G50" s="43">
        <f>'Enthalpy Data'!AD6</f>
        <v>4290.1766000000007</v>
      </c>
      <c r="H50" s="43">
        <f>'Enthalpy Data'!AE6</f>
        <v>4290.5385999999999</v>
      </c>
      <c r="I50" s="43">
        <f>'Enthalpy Data'!AF6</f>
        <v>4290.9005999999999</v>
      </c>
      <c r="J50" s="43">
        <f>'Enthalpy Data'!AG6</f>
        <v>4291.2626</v>
      </c>
      <c r="K50" s="43">
        <f>'Enthalpy Data'!AH6</f>
        <v>4291.6246000000001</v>
      </c>
      <c r="L50" s="43">
        <f>'Enthalpy Data'!AI6</f>
        <v>4291.9866000000002</v>
      </c>
      <c r="M50" s="43">
        <f>'Enthalpy Data'!AJ6</f>
        <v>4292.3486000000003</v>
      </c>
      <c r="N50" s="76">
        <f>'Enthalpy Data'!AK6</f>
        <v>4292.7106000000003</v>
      </c>
      <c r="P50" s="127">
        <f>'Enthalpy Data'!X43</f>
        <v>1200</v>
      </c>
      <c r="Q50" s="47">
        <f>'Enthalpy Data'!Y43</f>
        <v>1988.8024</v>
      </c>
      <c r="R50" s="43">
        <f>'Enthalpy Data'!Z43</f>
        <v>1988.9644500000002</v>
      </c>
      <c r="S50" s="43">
        <f>'Enthalpy Data'!AA43</f>
        <v>1989.1265000000003</v>
      </c>
      <c r="T50" s="43">
        <f>'Enthalpy Data'!AB43</f>
        <v>1989.28855</v>
      </c>
      <c r="U50" s="43">
        <f>'Enthalpy Data'!AC43</f>
        <v>1989.4506000000001</v>
      </c>
      <c r="V50" s="43">
        <f>'Enthalpy Data'!AD43</f>
        <v>1989.6126500000003</v>
      </c>
      <c r="W50" s="43">
        <f>'Enthalpy Data'!AE43</f>
        <v>1990.4229000000003</v>
      </c>
      <c r="X50" s="43">
        <f>'Enthalpy Data'!AF43</f>
        <v>1991.23315</v>
      </c>
      <c r="Y50" s="43">
        <f>'Enthalpy Data'!AG43</f>
        <v>1992.0434000000002</v>
      </c>
      <c r="Z50" s="43">
        <f>'Enthalpy Data'!AH43</f>
        <v>1992.85365</v>
      </c>
      <c r="AA50" s="43">
        <f>'Enthalpy Data'!AI43</f>
        <v>1993.6639000000002</v>
      </c>
      <c r="AB50" s="43">
        <f>'Enthalpy Data'!AJ43</f>
        <v>1994.4741500000002</v>
      </c>
      <c r="AC50" s="76">
        <f>'Enthalpy Data'!AK43</f>
        <v>1995.2844</v>
      </c>
    </row>
    <row r="51" spans="1:29" x14ac:dyDescent="0.25">
      <c r="A51" s="131">
        <f>'Enthalpy Data'!X7</f>
        <v>2150</v>
      </c>
      <c r="B51" s="47">
        <f>'Enthalpy Data'!Y7</f>
        <v>4422.7852380952381</v>
      </c>
      <c r="C51" s="43">
        <f>'Enthalpy Data'!Z7</f>
        <v>4422.6175000000003</v>
      </c>
      <c r="D51" s="43">
        <f>'Enthalpy Data'!AA7</f>
        <v>4422.6841999999997</v>
      </c>
      <c r="E51" s="43">
        <f>'Enthalpy Data'!AB7</f>
        <v>4422.7509</v>
      </c>
      <c r="F51" s="43">
        <f>'Enthalpy Data'!AC7</f>
        <v>4422.8176000000003</v>
      </c>
      <c r="G51" s="43">
        <f>'Enthalpy Data'!AD7</f>
        <v>4422.8842999999997</v>
      </c>
      <c r="H51" s="43">
        <f>'Enthalpy Data'!AE7</f>
        <v>4423.2177999999994</v>
      </c>
      <c r="I51" s="43">
        <f>'Enthalpy Data'!AF7</f>
        <v>4423.5513000000001</v>
      </c>
      <c r="J51" s="43">
        <f>'Enthalpy Data'!AG7</f>
        <v>4423.8847999999998</v>
      </c>
      <c r="K51" s="43">
        <f>'Enthalpy Data'!AH7</f>
        <v>4424.2183000000005</v>
      </c>
      <c r="L51" s="43">
        <f>'Enthalpy Data'!AI7</f>
        <v>4424.5518000000002</v>
      </c>
      <c r="M51" s="43">
        <f>'Enthalpy Data'!AJ7</f>
        <v>4424.8852999999999</v>
      </c>
      <c r="N51" s="76">
        <f>'Enthalpy Data'!AK7</f>
        <v>4425.2187999999996</v>
      </c>
      <c r="P51" s="127">
        <f>'Enthalpy Data'!X44</f>
        <v>1250</v>
      </c>
      <c r="Q51" s="47">
        <f>'Enthalpy Data'!Y44</f>
        <v>2110.6262000000002</v>
      </c>
      <c r="R51" s="43">
        <f>'Enthalpy Data'!Z44</f>
        <v>2110.7864000000004</v>
      </c>
      <c r="S51" s="43">
        <f>'Enthalpy Data'!AA44</f>
        <v>2110.9465999999998</v>
      </c>
      <c r="T51" s="43">
        <f>'Enthalpy Data'!AB44</f>
        <v>2111.1068000000005</v>
      </c>
      <c r="U51" s="43">
        <f>'Enthalpy Data'!AC44</f>
        <v>2111.2670000000003</v>
      </c>
      <c r="V51" s="43">
        <f>'Enthalpy Data'!AD44</f>
        <v>2111.4272000000001</v>
      </c>
      <c r="W51" s="43">
        <f>'Enthalpy Data'!AE44</f>
        <v>2112.2282</v>
      </c>
      <c r="X51" s="43">
        <f>'Enthalpy Data'!AF44</f>
        <v>2113.0292000000004</v>
      </c>
      <c r="Y51" s="43">
        <f>'Enthalpy Data'!AG44</f>
        <v>2113.8302000000003</v>
      </c>
      <c r="Z51" s="43">
        <f>'Enthalpy Data'!AH44</f>
        <v>2114.6312000000003</v>
      </c>
      <c r="AA51" s="43">
        <f>'Enthalpy Data'!AI44</f>
        <v>2115.4322000000002</v>
      </c>
      <c r="AB51" s="43">
        <f>'Enthalpy Data'!AJ44</f>
        <v>2116.2332000000001</v>
      </c>
      <c r="AC51" s="76">
        <f>'Enthalpy Data'!AK44</f>
        <v>2117.0342000000001</v>
      </c>
    </row>
    <row r="52" spans="1:29" x14ac:dyDescent="0.25">
      <c r="A52" s="131">
        <f>'Enthalpy Data'!X8</f>
        <v>2200</v>
      </c>
      <c r="B52" s="47">
        <f>'Enthalpy Data'!Y8</f>
        <v>4556.3485714285716</v>
      </c>
      <c r="C52" s="43">
        <f>'Enthalpy Data'!Z8</f>
        <v>4556.1686499999996</v>
      </c>
      <c r="D52" s="43">
        <f>'Enthalpy Data'!AA8</f>
        <v>4556.2300999999998</v>
      </c>
      <c r="E52" s="43">
        <f>'Enthalpy Data'!AB8</f>
        <v>4556.2915499999999</v>
      </c>
      <c r="F52" s="43">
        <f>'Enthalpy Data'!AC8</f>
        <v>4556.353000000001</v>
      </c>
      <c r="G52" s="43">
        <f>'Enthalpy Data'!AD8</f>
        <v>4556.4144500000002</v>
      </c>
      <c r="H52" s="43">
        <f>'Enthalpy Data'!AE8</f>
        <v>4556.7217000000001</v>
      </c>
      <c r="I52" s="43">
        <f>'Enthalpy Data'!AF8</f>
        <v>4557.0289500000008</v>
      </c>
      <c r="J52" s="43">
        <f>'Enthalpy Data'!AG8</f>
        <v>4557.3362000000006</v>
      </c>
      <c r="K52" s="43">
        <f>'Enthalpy Data'!AH8</f>
        <v>4557.6434500000005</v>
      </c>
      <c r="L52" s="43">
        <f>'Enthalpy Data'!AI8</f>
        <v>4557.9507000000003</v>
      </c>
      <c r="M52" s="43">
        <f>'Enthalpy Data'!AJ8</f>
        <v>4558.2579500000002</v>
      </c>
      <c r="N52" s="76">
        <f>'Enthalpy Data'!AK8</f>
        <v>4558.5652000000009</v>
      </c>
      <c r="P52" s="127">
        <f>'Enthalpy Data'!X45</f>
        <v>1300</v>
      </c>
      <c r="Q52" s="47">
        <f>'Enthalpy Data'!Y45</f>
        <v>2233.4402</v>
      </c>
      <c r="R52" s="43">
        <f>'Enthalpy Data'!Z45</f>
        <v>2233.5969500000001</v>
      </c>
      <c r="S52" s="43">
        <f>'Enthalpy Data'!AA45</f>
        <v>2233.7537000000002</v>
      </c>
      <c r="T52" s="43">
        <f>'Enthalpy Data'!AB45</f>
        <v>2233.9104499999999</v>
      </c>
      <c r="U52" s="43">
        <f>'Enthalpy Data'!AC45</f>
        <v>2234.0672000000004</v>
      </c>
      <c r="V52" s="43">
        <f>'Enthalpy Data'!AD45</f>
        <v>2234.2239500000001</v>
      </c>
      <c r="W52" s="43">
        <f>'Enthalpy Data'!AE45</f>
        <v>2235.0077000000001</v>
      </c>
      <c r="X52" s="43">
        <f>'Enthalpy Data'!AF45</f>
        <v>2235.7914500000002</v>
      </c>
      <c r="Y52" s="43">
        <f>'Enthalpy Data'!AG45</f>
        <v>2236.5752000000002</v>
      </c>
      <c r="Z52" s="43">
        <f>'Enthalpy Data'!AH45</f>
        <v>2237.3589499999998</v>
      </c>
      <c r="AA52" s="43">
        <f>'Enthalpy Data'!AI45</f>
        <v>2238.1427000000003</v>
      </c>
      <c r="AB52" s="43">
        <f>'Enthalpy Data'!AJ45</f>
        <v>2238.9264499999999</v>
      </c>
      <c r="AC52" s="76">
        <f>'Enthalpy Data'!AK45</f>
        <v>2239.7102</v>
      </c>
    </row>
    <row r="53" spans="1:29" x14ac:dyDescent="0.25">
      <c r="A53" s="131">
        <f>'Enthalpy Data'!X9</f>
        <v>2250</v>
      </c>
      <c r="B53" s="47">
        <f>'Enthalpy Data'!Y9</f>
        <v>4689.4416666666675</v>
      </c>
      <c r="C53" s="43">
        <f>'Enthalpy Data'!Z9</f>
        <v>4689.2508500000004</v>
      </c>
      <c r="D53" s="43">
        <f>'Enthalpy Data'!AA9</f>
        <v>4689.3082999999997</v>
      </c>
      <c r="E53" s="43">
        <f>'Enthalpy Data'!AB9</f>
        <v>4689.3657499999999</v>
      </c>
      <c r="F53" s="43">
        <f>'Enthalpy Data'!AC9</f>
        <v>4689.4232000000002</v>
      </c>
      <c r="G53" s="43">
        <f>'Enthalpy Data'!AD9</f>
        <v>4689.4806499999995</v>
      </c>
      <c r="H53" s="43">
        <f>'Enthalpy Data'!AE9</f>
        <v>4689.7679000000007</v>
      </c>
      <c r="I53" s="43">
        <f>'Enthalpy Data'!AF9</f>
        <v>4690.0551500000001</v>
      </c>
      <c r="J53" s="43">
        <f>'Enthalpy Data'!AG9</f>
        <v>4690.3424000000014</v>
      </c>
      <c r="K53" s="43">
        <f>'Enthalpy Data'!AH9</f>
        <v>4690.6296500000008</v>
      </c>
      <c r="L53" s="43">
        <f>'Enthalpy Data'!AI9</f>
        <v>4690.9169000000002</v>
      </c>
      <c r="M53" s="43">
        <f>'Enthalpy Data'!AJ9</f>
        <v>4691.2041500000005</v>
      </c>
      <c r="N53" s="76">
        <f>'Enthalpy Data'!AK9</f>
        <v>4691.4913999999999</v>
      </c>
      <c r="P53" s="127">
        <f>'Enthalpy Data'!X46</f>
        <v>1350</v>
      </c>
      <c r="Q53" s="47">
        <f>'Enthalpy Data'!Y46</f>
        <v>2357.0744</v>
      </c>
      <c r="R53" s="43">
        <f>'Enthalpy Data'!Z46</f>
        <v>2357.2281499999999</v>
      </c>
      <c r="S53" s="43">
        <f>'Enthalpy Data'!AA46</f>
        <v>2357.3818999999999</v>
      </c>
      <c r="T53" s="43">
        <f>'Enthalpy Data'!AB46</f>
        <v>2357.5356500000003</v>
      </c>
      <c r="U53" s="43">
        <f>'Enthalpy Data'!AC46</f>
        <v>2357.6893999999998</v>
      </c>
      <c r="V53" s="43">
        <f>'Enthalpy Data'!AD46</f>
        <v>2357.8431499999997</v>
      </c>
      <c r="W53" s="43">
        <f>'Enthalpy Data'!AE46</f>
        <v>2358.6118999999999</v>
      </c>
      <c r="X53" s="43">
        <f>'Enthalpy Data'!AF46</f>
        <v>2359.3806500000001</v>
      </c>
      <c r="Y53" s="43">
        <f>'Enthalpy Data'!AG46</f>
        <v>2360.1494000000002</v>
      </c>
      <c r="Z53" s="43">
        <f>'Enthalpy Data'!AH46</f>
        <v>2360.91815</v>
      </c>
      <c r="AA53" s="43">
        <f>'Enthalpy Data'!AI46</f>
        <v>2361.6868999999997</v>
      </c>
      <c r="AB53" s="43">
        <f>'Enthalpy Data'!AJ46</f>
        <v>2362.4556499999999</v>
      </c>
      <c r="AC53" s="76">
        <f>'Enthalpy Data'!AK46</f>
        <v>2363.2244000000001</v>
      </c>
    </row>
    <row r="54" spans="1:29" x14ac:dyDescent="0.25">
      <c r="A54" s="131">
        <f>'Enthalpy Data'!X10</f>
        <v>2300</v>
      </c>
      <c r="B54" s="47">
        <f>'Enthalpy Data'!Y10</f>
        <v>4823.1849999999995</v>
      </c>
      <c r="C54" s="43">
        <f>'Enthalpy Data'!Z10</f>
        <v>4822.9832500000002</v>
      </c>
      <c r="D54" s="43">
        <f>'Enthalpy Data'!AA10</f>
        <v>4823.0367000000006</v>
      </c>
      <c r="E54" s="43">
        <f>'Enthalpy Data'!AB10</f>
        <v>4823.09015</v>
      </c>
      <c r="F54" s="43">
        <f>'Enthalpy Data'!AC10</f>
        <v>4823.1436000000003</v>
      </c>
      <c r="G54" s="43">
        <f>'Enthalpy Data'!AD10</f>
        <v>4823.1970500000007</v>
      </c>
      <c r="H54" s="43">
        <f>'Enthalpy Data'!AE10</f>
        <v>4823.4642999999996</v>
      </c>
      <c r="I54" s="43">
        <f>'Enthalpy Data'!AF10</f>
        <v>4823.7315499999995</v>
      </c>
      <c r="J54" s="43">
        <f>'Enthalpy Data'!AG10</f>
        <v>4823.9987999999994</v>
      </c>
      <c r="K54" s="43">
        <f>'Enthalpy Data'!AH10</f>
        <v>4824.2660500000002</v>
      </c>
      <c r="L54" s="43">
        <f>'Enthalpy Data'!AI10</f>
        <v>4824.5333000000001</v>
      </c>
      <c r="M54" s="43">
        <f>'Enthalpy Data'!AJ10</f>
        <v>4824.8005499999999</v>
      </c>
      <c r="N54" s="76">
        <f>'Enthalpy Data'!AK10</f>
        <v>4825.0677999999998</v>
      </c>
      <c r="P54" s="127">
        <f>'Enthalpy Data'!X47</f>
        <v>1400</v>
      </c>
      <c r="Q54" s="47">
        <f>'Enthalpy Data'!Y47</f>
        <v>2481.5987999999998</v>
      </c>
      <c r="R54" s="43">
        <f>'Enthalpy Data'!Z47</f>
        <v>2481.7471500000001</v>
      </c>
      <c r="S54" s="43">
        <f>'Enthalpy Data'!AA47</f>
        <v>2481.8955000000001</v>
      </c>
      <c r="T54" s="43">
        <f>'Enthalpy Data'!AB47</f>
        <v>2482.04385</v>
      </c>
      <c r="U54" s="43">
        <f>'Enthalpy Data'!AC47</f>
        <v>2482.1922</v>
      </c>
      <c r="V54" s="43">
        <f>'Enthalpy Data'!AD47</f>
        <v>2482.3405499999999</v>
      </c>
      <c r="W54" s="43">
        <f>'Enthalpy Data'!AE47</f>
        <v>2483.0823</v>
      </c>
      <c r="X54" s="43">
        <f>'Enthalpy Data'!AF47</f>
        <v>2483.8240500000002</v>
      </c>
      <c r="Y54" s="43">
        <f>'Enthalpy Data'!AG47</f>
        <v>2484.5658000000003</v>
      </c>
      <c r="Z54" s="43">
        <f>'Enthalpy Data'!AH47</f>
        <v>2485.30755</v>
      </c>
      <c r="AA54" s="43">
        <f>'Enthalpy Data'!AI47</f>
        <v>2486.0492999999997</v>
      </c>
      <c r="AB54" s="43">
        <f>'Enthalpy Data'!AJ47</f>
        <v>2486.7910499999998</v>
      </c>
      <c r="AC54" s="76">
        <f>'Enthalpy Data'!AK47</f>
        <v>2487.5328</v>
      </c>
    </row>
    <row r="55" spans="1:29" x14ac:dyDescent="0.25">
      <c r="A55" s="131">
        <f>'Enthalpy Data'!X11</f>
        <v>2350</v>
      </c>
      <c r="B55" s="47">
        <f>'Enthalpy Data'!Y11</f>
        <v>4957.6485714285709</v>
      </c>
      <c r="C55" s="43">
        <f>'Enthalpy Data'!Z11</f>
        <v>4957.4342500000002</v>
      </c>
      <c r="D55" s="43">
        <f>'Enthalpy Data'!AA11</f>
        <v>4957.4820999999993</v>
      </c>
      <c r="E55" s="43">
        <f>'Enthalpy Data'!AB11</f>
        <v>4957.5299500000001</v>
      </c>
      <c r="F55" s="43">
        <f>'Enthalpy Data'!AC11</f>
        <v>4957.5778</v>
      </c>
      <c r="G55" s="43">
        <f>'Enthalpy Data'!AD11</f>
        <v>4957.62565</v>
      </c>
      <c r="H55" s="43">
        <f>'Enthalpy Data'!AE11</f>
        <v>4957.8649000000005</v>
      </c>
      <c r="I55" s="43">
        <f>'Enthalpy Data'!AF11</f>
        <v>4958.1041499999992</v>
      </c>
      <c r="J55" s="43">
        <f>'Enthalpy Data'!AG11</f>
        <v>4958.3433999999997</v>
      </c>
      <c r="K55" s="43">
        <f>'Enthalpy Data'!AH11</f>
        <v>4958.5826500000003</v>
      </c>
      <c r="L55" s="43">
        <f>'Enthalpy Data'!AI11</f>
        <v>4958.8218999999999</v>
      </c>
      <c r="M55" s="43">
        <f>'Enthalpy Data'!AJ11</f>
        <v>4959.0611500000005</v>
      </c>
      <c r="N55" s="76">
        <f>'Enthalpy Data'!AK11</f>
        <v>4959.3004000000001</v>
      </c>
      <c r="P55" s="127">
        <f>'Enthalpy Data'!X48</f>
        <v>1450</v>
      </c>
      <c r="Q55" s="47">
        <f>'Enthalpy Data'!Y48</f>
        <v>2606.9434000000001</v>
      </c>
      <c r="R55" s="43">
        <f>'Enthalpy Data'!Z48</f>
        <v>2607.0880500000003</v>
      </c>
      <c r="S55" s="43">
        <f>'Enthalpy Data'!AA48</f>
        <v>2607.2327000000005</v>
      </c>
      <c r="T55" s="43">
        <f>'Enthalpy Data'!AB48</f>
        <v>2607.3773500000002</v>
      </c>
      <c r="U55" s="43">
        <f>'Enthalpy Data'!AC48</f>
        <v>2607.5220000000004</v>
      </c>
      <c r="V55" s="43">
        <f>'Enthalpy Data'!AD48</f>
        <v>2607.6666500000001</v>
      </c>
      <c r="W55" s="43">
        <f>'Enthalpy Data'!AE48</f>
        <v>2608.3899000000001</v>
      </c>
      <c r="X55" s="43">
        <f>'Enthalpy Data'!AF48</f>
        <v>2609.1131500000001</v>
      </c>
      <c r="Y55" s="43">
        <f>'Enthalpy Data'!AG48</f>
        <v>2609.8364000000001</v>
      </c>
      <c r="Z55" s="43">
        <f>'Enthalpy Data'!AH48</f>
        <v>2610.5596500000001</v>
      </c>
      <c r="AA55" s="43">
        <f>'Enthalpy Data'!AI48</f>
        <v>2611.2829000000002</v>
      </c>
      <c r="AB55" s="43">
        <f>'Enthalpy Data'!AJ48</f>
        <v>2612.0061500000002</v>
      </c>
      <c r="AC55" s="76">
        <f>'Enthalpy Data'!AK48</f>
        <v>2612.7294000000002</v>
      </c>
    </row>
    <row r="56" spans="1:29" x14ac:dyDescent="0.25">
      <c r="A56" s="131">
        <f>'Enthalpy Data'!X12</f>
        <v>2400</v>
      </c>
      <c r="B56" s="47">
        <f>'Enthalpy Data'!Y12</f>
        <v>5091.7419047619051</v>
      </c>
      <c r="C56" s="43">
        <f>'Enthalpy Data'!Z12</f>
        <v>5091.5171</v>
      </c>
      <c r="D56" s="43">
        <f>'Enthalpy Data'!AA12</f>
        <v>5091.5614000000005</v>
      </c>
      <c r="E56" s="43">
        <f>'Enthalpy Data'!AB12</f>
        <v>5091.6057000000001</v>
      </c>
      <c r="F56" s="43">
        <f>'Enthalpy Data'!AC12</f>
        <v>5091.6499999999996</v>
      </c>
      <c r="G56" s="43">
        <f>'Enthalpy Data'!AD12</f>
        <v>5091.694300000001</v>
      </c>
      <c r="H56" s="43">
        <f>'Enthalpy Data'!AE12</f>
        <v>5091.9157999999998</v>
      </c>
      <c r="I56" s="43">
        <f>'Enthalpy Data'!AF12</f>
        <v>5092.1373000000012</v>
      </c>
      <c r="J56" s="43">
        <f>'Enthalpy Data'!AG12</f>
        <v>5092.3588</v>
      </c>
      <c r="K56" s="43">
        <f>'Enthalpy Data'!AH12</f>
        <v>5092.5803000000005</v>
      </c>
      <c r="L56" s="43">
        <f>'Enthalpy Data'!AI12</f>
        <v>5092.8018000000011</v>
      </c>
      <c r="M56" s="43">
        <f>'Enthalpy Data'!AJ12</f>
        <v>5093.0232999999998</v>
      </c>
      <c r="N56" s="76">
        <f>'Enthalpy Data'!AK12</f>
        <v>5093.2448000000004</v>
      </c>
      <c r="P56" s="127">
        <f>'Enthalpy Data'!X49</f>
        <v>1500</v>
      </c>
      <c r="Q56" s="47">
        <f>'Enthalpy Data'!Y49</f>
        <v>2732.6279999999997</v>
      </c>
      <c r="R56" s="43">
        <f>'Enthalpy Data'!Z49</f>
        <v>2732.7673500000001</v>
      </c>
      <c r="S56" s="43">
        <f>'Enthalpy Data'!AA49</f>
        <v>2732.9067</v>
      </c>
      <c r="T56" s="43">
        <f>'Enthalpy Data'!AB49</f>
        <v>2733.0460499999999</v>
      </c>
      <c r="U56" s="43">
        <f>'Enthalpy Data'!AC49</f>
        <v>2733.1854000000003</v>
      </c>
      <c r="V56" s="43">
        <f>'Enthalpy Data'!AD49</f>
        <v>2733.3247500000002</v>
      </c>
      <c r="W56" s="43">
        <f>'Enthalpy Data'!AE49</f>
        <v>2734.0215000000003</v>
      </c>
      <c r="X56" s="43">
        <f>'Enthalpy Data'!AF49</f>
        <v>2734.7182499999999</v>
      </c>
      <c r="Y56" s="43">
        <f>'Enthalpy Data'!AG49</f>
        <v>2735.415</v>
      </c>
      <c r="Z56" s="43">
        <f>'Enthalpy Data'!AH49</f>
        <v>2736.11175</v>
      </c>
      <c r="AA56" s="43">
        <f>'Enthalpy Data'!AI49</f>
        <v>2736.8085000000001</v>
      </c>
      <c r="AB56" s="43">
        <f>'Enthalpy Data'!AJ49</f>
        <v>2737.5052500000002</v>
      </c>
      <c r="AC56" s="76">
        <f>'Enthalpy Data'!AK49</f>
        <v>2738.2019999999998</v>
      </c>
    </row>
    <row r="57" spans="1:29" x14ac:dyDescent="0.25">
      <c r="A57" s="131">
        <f>'Enthalpy Data'!X13</f>
        <v>2450</v>
      </c>
      <c r="B57" s="47">
        <f>'Enthalpy Data'!Y13</f>
        <v>5226.475476190476</v>
      </c>
      <c r="C57" s="43">
        <f>'Enthalpy Data'!Z13</f>
        <v>5226.2406000000001</v>
      </c>
      <c r="D57" s="43">
        <f>'Enthalpy Data'!AA13</f>
        <v>5226.2818000000007</v>
      </c>
      <c r="E57" s="43">
        <f>'Enthalpy Data'!AB13</f>
        <v>5226.3229999999994</v>
      </c>
      <c r="F57" s="43">
        <f>'Enthalpy Data'!AC13</f>
        <v>5226.3642</v>
      </c>
      <c r="G57" s="43">
        <f>'Enthalpy Data'!AD13</f>
        <v>5226.4053999999996</v>
      </c>
      <c r="H57" s="43">
        <f>'Enthalpy Data'!AE13</f>
        <v>5226.6113999999998</v>
      </c>
      <c r="I57" s="43">
        <f>'Enthalpy Data'!AF13</f>
        <v>5226.8173999999999</v>
      </c>
      <c r="J57" s="43">
        <f>'Enthalpy Data'!AG13</f>
        <v>5227.0234</v>
      </c>
      <c r="K57" s="43">
        <f>'Enthalpy Data'!AH13</f>
        <v>5227.2294000000002</v>
      </c>
      <c r="L57" s="43">
        <f>'Enthalpy Data'!AI13</f>
        <v>5227.4354000000003</v>
      </c>
      <c r="M57" s="43">
        <f>'Enthalpy Data'!AJ13</f>
        <v>5227.6414000000004</v>
      </c>
      <c r="N57" s="76">
        <f>'Enthalpy Data'!AK13</f>
        <v>5227.8474000000006</v>
      </c>
      <c r="P57" s="127">
        <f>'Enthalpy Data'!X50</f>
        <v>1550</v>
      </c>
      <c r="Q57" s="47">
        <f>'Enthalpy Data'!Y50</f>
        <v>2859.6030000000001</v>
      </c>
      <c r="R57" s="43">
        <f>'Enthalpy Data'!Z50</f>
        <v>2859.7374999999997</v>
      </c>
      <c r="S57" s="43">
        <f>'Enthalpy Data'!AA50</f>
        <v>2859.8719999999998</v>
      </c>
      <c r="T57" s="43">
        <f>'Enthalpy Data'!AB50</f>
        <v>2860.0065</v>
      </c>
      <c r="U57" s="43">
        <f>'Enthalpy Data'!AC50</f>
        <v>2860.1410000000001</v>
      </c>
      <c r="V57" s="43">
        <f>'Enthalpy Data'!AD50</f>
        <v>2860.2754999999997</v>
      </c>
      <c r="W57" s="43">
        <f>'Enthalpy Data'!AE50</f>
        <v>2860.9479999999999</v>
      </c>
      <c r="X57" s="43">
        <f>'Enthalpy Data'!AF50</f>
        <v>2861.6205</v>
      </c>
      <c r="Y57" s="43">
        <f>'Enthalpy Data'!AG50</f>
        <v>2862.2930000000001</v>
      </c>
      <c r="Z57" s="43">
        <f>'Enthalpy Data'!AH50</f>
        <v>2862.9655000000002</v>
      </c>
      <c r="AA57" s="43">
        <f>'Enthalpy Data'!AI50</f>
        <v>2863.6379999999999</v>
      </c>
      <c r="AB57" s="43">
        <f>'Enthalpy Data'!AJ50</f>
        <v>2864.3105</v>
      </c>
      <c r="AC57" s="76">
        <f>'Enthalpy Data'!AK50</f>
        <v>2864.9829999999997</v>
      </c>
    </row>
    <row r="58" spans="1:29" x14ac:dyDescent="0.25">
      <c r="A58" s="131">
        <f>'Enthalpy Data'!X14</f>
        <v>2500</v>
      </c>
      <c r="B58" s="47">
        <f>'Enthalpy Data'!Y14</f>
        <v>5361.3790476190479</v>
      </c>
      <c r="C58" s="43">
        <f>'Enthalpy Data'!Z14</f>
        <v>5361.1332999999995</v>
      </c>
      <c r="D58" s="43">
        <f>'Enthalpy Data'!AA14</f>
        <v>5361.1706000000004</v>
      </c>
      <c r="E58" s="43">
        <f>'Enthalpy Data'!AB14</f>
        <v>5361.2079000000003</v>
      </c>
      <c r="F58" s="43">
        <f>'Enthalpy Data'!AC14</f>
        <v>5361.2452000000003</v>
      </c>
      <c r="G58" s="43">
        <f>'Enthalpy Data'!AD14</f>
        <v>5361.2824999999993</v>
      </c>
      <c r="H58" s="43">
        <f>'Enthalpy Data'!AE14</f>
        <v>5361.4690000000001</v>
      </c>
      <c r="I58" s="43">
        <f>'Enthalpy Data'!AF14</f>
        <v>5361.6554999999998</v>
      </c>
      <c r="J58" s="43">
        <f>'Enthalpy Data'!AG14</f>
        <v>5361.8420000000006</v>
      </c>
      <c r="K58" s="43">
        <f>'Enthalpy Data'!AH14</f>
        <v>5362.0285000000003</v>
      </c>
      <c r="L58" s="43">
        <f>'Enthalpy Data'!AI14</f>
        <v>5362.2150000000001</v>
      </c>
      <c r="M58" s="43">
        <f>'Enthalpy Data'!AJ14</f>
        <v>5362.4015000000009</v>
      </c>
      <c r="N58" s="76">
        <f>'Enthalpy Data'!AK14</f>
        <v>5362.5880000000006</v>
      </c>
      <c r="P58" s="127">
        <f>'Enthalpy Data'!X51</f>
        <v>1600</v>
      </c>
      <c r="Q58" s="47">
        <f>'Enthalpy Data'!Y51</f>
        <v>2986.9180000000001</v>
      </c>
      <c r="R58" s="43">
        <f>'Enthalpy Data'!Z51</f>
        <v>2987.0460499999999</v>
      </c>
      <c r="S58" s="43">
        <f>'Enthalpy Data'!AA51</f>
        <v>2987.1741000000002</v>
      </c>
      <c r="T58" s="43">
        <f>'Enthalpy Data'!AB51</f>
        <v>2987.3021500000004</v>
      </c>
      <c r="U58" s="43">
        <f>'Enthalpy Data'!AC51</f>
        <v>2987.4302000000002</v>
      </c>
      <c r="V58" s="43">
        <f>'Enthalpy Data'!AD51</f>
        <v>2987.55825</v>
      </c>
      <c r="W58" s="43">
        <f>'Enthalpy Data'!AE51</f>
        <v>2988.1985000000004</v>
      </c>
      <c r="X58" s="43">
        <f>'Enthalpy Data'!AF51</f>
        <v>2988.8387499999999</v>
      </c>
      <c r="Y58" s="43">
        <f>'Enthalpy Data'!AG51</f>
        <v>2989.4790000000003</v>
      </c>
      <c r="Z58" s="43">
        <f>'Enthalpy Data'!AH51</f>
        <v>2990.1192500000002</v>
      </c>
      <c r="AA58" s="43">
        <f>'Enthalpy Data'!AI51</f>
        <v>2990.7595000000001</v>
      </c>
      <c r="AB58" s="43">
        <f>'Enthalpy Data'!AJ51</f>
        <v>2991.39975</v>
      </c>
      <c r="AC58" s="76">
        <f>'Enthalpy Data'!AK51</f>
        <v>2992.04</v>
      </c>
    </row>
    <row r="59" spans="1:29" x14ac:dyDescent="0.25">
      <c r="A59" s="131">
        <f>'Enthalpy Data'!X15</f>
        <v>2550</v>
      </c>
      <c r="B59" s="47">
        <f>'Enthalpy Data'!Y15</f>
        <v>5496.3726190476191</v>
      </c>
      <c r="C59" s="43">
        <f>'Enthalpy Data'!Z15</f>
        <v>5496.1172500000002</v>
      </c>
      <c r="D59" s="43">
        <f>'Enthalpy Data'!AA15</f>
        <v>5496.1518999999998</v>
      </c>
      <c r="E59" s="43">
        <f>'Enthalpy Data'!AB15</f>
        <v>5496.1865500000004</v>
      </c>
      <c r="F59" s="43">
        <f>'Enthalpy Data'!AC15</f>
        <v>5496.2212</v>
      </c>
      <c r="G59" s="43">
        <f>'Enthalpy Data'!AD15</f>
        <v>5496.2558499999996</v>
      </c>
      <c r="H59" s="43">
        <f>'Enthalpy Data'!AE15</f>
        <v>5496.4291000000003</v>
      </c>
      <c r="I59" s="43">
        <f>'Enthalpy Data'!AF15</f>
        <v>5496.6023500000001</v>
      </c>
      <c r="J59" s="43">
        <f>'Enthalpy Data'!AG15</f>
        <v>5496.7756000000008</v>
      </c>
      <c r="K59" s="43">
        <f>'Enthalpy Data'!AH15</f>
        <v>5496.9488499999998</v>
      </c>
      <c r="L59" s="43">
        <f>'Enthalpy Data'!AI15</f>
        <v>5497.1220999999996</v>
      </c>
      <c r="M59" s="43">
        <f>'Enthalpy Data'!AJ15</f>
        <v>5497.2953500000003</v>
      </c>
      <c r="N59" s="76">
        <f>'Enthalpy Data'!AK15</f>
        <v>5497.4685999999992</v>
      </c>
      <c r="P59" s="127">
        <f>'Enthalpy Data'!X52</f>
        <v>1650</v>
      </c>
      <c r="Q59" s="47">
        <f>'Enthalpy Data'!Y52</f>
        <v>3114.8832000000002</v>
      </c>
      <c r="R59" s="43">
        <f>'Enthalpy Data'!Z52</f>
        <v>3115.00605</v>
      </c>
      <c r="S59" s="43">
        <f>'Enthalpy Data'!AA52</f>
        <v>3115.1289000000002</v>
      </c>
      <c r="T59" s="43">
        <f>'Enthalpy Data'!AB52</f>
        <v>3115.2517499999999</v>
      </c>
      <c r="U59" s="43">
        <f>'Enthalpy Data'!AC52</f>
        <v>3115.3746000000001</v>
      </c>
      <c r="V59" s="43">
        <f>'Enthalpy Data'!AD52</f>
        <v>3115.4974500000003</v>
      </c>
      <c r="W59" s="43">
        <f>'Enthalpy Data'!AE52</f>
        <v>3116.1117000000004</v>
      </c>
      <c r="X59" s="43">
        <f>'Enthalpy Data'!AF52</f>
        <v>3116.72595</v>
      </c>
      <c r="Y59" s="43">
        <f>'Enthalpy Data'!AG52</f>
        <v>3117.3402000000001</v>
      </c>
      <c r="Z59" s="43">
        <f>'Enthalpy Data'!AH52</f>
        <v>3117.9544500000002</v>
      </c>
      <c r="AA59" s="43">
        <f>'Enthalpy Data'!AI52</f>
        <v>3118.5687000000003</v>
      </c>
      <c r="AB59" s="43">
        <f>'Enthalpy Data'!AJ52</f>
        <v>3119.1829500000003</v>
      </c>
      <c r="AC59" s="76">
        <f>'Enthalpy Data'!AK52</f>
        <v>3119.7972</v>
      </c>
    </row>
    <row r="60" spans="1:29" x14ac:dyDescent="0.25">
      <c r="A60" s="131">
        <f>'Enthalpy Data'!X16</f>
        <v>2600</v>
      </c>
      <c r="B60" s="47">
        <f>'Enthalpy Data'!Y16</f>
        <v>5631.9264285714289</v>
      </c>
      <c r="C60" s="43">
        <f>'Enthalpy Data'!Z16</f>
        <v>5631.6614</v>
      </c>
      <c r="D60" s="43">
        <f>'Enthalpy Data'!AA16</f>
        <v>5631.693400000001</v>
      </c>
      <c r="E60" s="43">
        <f>'Enthalpy Data'!AB16</f>
        <v>5631.7254000000003</v>
      </c>
      <c r="F60" s="43">
        <f>'Enthalpy Data'!AC16</f>
        <v>5631.7573999999995</v>
      </c>
      <c r="G60" s="43">
        <f>'Enthalpy Data'!AD16</f>
        <v>5631.7893999999997</v>
      </c>
      <c r="H60" s="43">
        <f>'Enthalpy Data'!AE16</f>
        <v>5631.9494000000004</v>
      </c>
      <c r="I60" s="43">
        <f>'Enthalpy Data'!AF16</f>
        <v>5632.1094000000003</v>
      </c>
      <c r="J60" s="43">
        <f>'Enthalpy Data'!AG16</f>
        <v>5632.269400000001</v>
      </c>
      <c r="K60" s="43">
        <f>'Enthalpy Data'!AH16</f>
        <v>5632.4294</v>
      </c>
      <c r="L60" s="43">
        <f>'Enthalpy Data'!AI16</f>
        <v>5632.5893999999998</v>
      </c>
      <c r="M60" s="43">
        <f>'Enthalpy Data'!AJ16</f>
        <v>5632.7494000000006</v>
      </c>
      <c r="N60" s="76">
        <f>'Enthalpy Data'!AK16</f>
        <v>5632.9093999999996</v>
      </c>
      <c r="P60" s="127">
        <f>'Enthalpy Data'!X53</f>
        <v>1700</v>
      </c>
      <c r="Q60" s="47">
        <f>'Enthalpy Data'!Y53</f>
        <v>3243.1884</v>
      </c>
      <c r="R60" s="43">
        <f>'Enthalpy Data'!Z53</f>
        <v>3243.3056999999999</v>
      </c>
      <c r="S60" s="43">
        <f>'Enthalpy Data'!AA53</f>
        <v>3243.4230000000002</v>
      </c>
      <c r="T60" s="43">
        <f>'Enthalpy Data'!AB53</f>
        <v>3243.5403000000001</v>
      </c>
      <c r="U60" s="43">
        <f>'Enthalpy Data'!AC53</f>
        <v>3243.6576</v>
      </c>
      <c r="V60" s="43">
        <f>'Enthalpy Data'!AD53</f>
        <v>3243.7748999999999</v>
      </c>
      <c r="W60" s="43">
        <f>'Enthalpy Data'!AE53</f>
        <v>3244.3614000000002</v>
      </c>
      <c r="X60" s="43">
        <f>'Enthalpy Data'!AF53</f>
        <v>3244.9479000000001</v>
      </c>
      <c r="Y60" s="43">
        <f>'Enthalpy Data'!AG53</f>
        <v>3245.5344</v>
      </c>
      <c r="Z60" s="43">
        <f>'Enthalpy Data'!AH53</f>
        <v>3246.1208999999999</v>
      </c>
      <c r="AA60" s="43">
        <f>'Enthalpy Data'!AI53</f>
        <v>3246.7073999999998</v>
      </c>
      <c r="AB60" s="43">
        <f>'Enthalpy Data'!AJ53</f>
        <v>3247.2939000000001</v>
      </c>
      <c r="AC60" s="76">
        <f>'Enthalpy Data'!AK53</f>
        <v>3247.8804</v>
      </c>
    </row>
    <row r="61" spans="1:29" x14ac:dyDescent="0.25">
      <c r="A61" s="131">
        <f>'Enthalpy Data'!X17</f>
        <v>2650</v>
      </c>
      <c r="B61" s="47">
        <f>'Enthalpy Data'!Y17</f>
        <v>5767.6502380952388</v>
      </c>
      <c r="C61" s="43">
        <f>'Enthalpy Data'!Z17</f>
        <v>5767.3760000000002</v>
      </c>
      <c r="D61" s="43">
        <f>'Enthalpy Data'!AA17</f>
        <v>5767.4058000000014</v>
      </c>
      <c r="E61" s="43">
        <f>'Enthalpy Data'!AB17</f>
        <v>5767.4355999999998</v>
      </c>
      <c r="F61" s="43">
        <f>'Enthalpy Data'!AC17</f>
        <v>5767.465400000001</v>
      </c>
      <c r="G61" s="43">
        <f>'Enthalpy Data'!AD17</f>
        <v>5767.4952000000003</v>
      </c>
      <c r="H61" s="43">
        <f>'Enthalpy Data'!AE17</f>
        <v>5767.6442000000006</v>
      </c>
      <c r="I61" s="43">
        <f>'Enthalpy Data'!AF17</f>
        <v>5767.7932000000001</v>
      </c>
      <c r="J61" s="43">
        <f>'Enthalpy Data'!AG17</f>
        <v>5767.9422000000004</v>
      </c>
      <c r="K61" s="43">
        <f>'Enthalpy Data'!AH17</f>
        <v>5768.0912000000008</v>
      </c>
      <c r="L61" s="43">
        <f>'Enthalpy Data'!AI17</f>
        <v>5768.2402000000002</v>
      </c>
      <c r="M61" s="43">
        <f>'Enthalpy Data'!AJ17</f>
        <v>5768.3892000000005</v>
      </c>
      <c r="N61" s="76">
        <f>'Enthalpy Data'!AK17</f>
        <v>5768.5382000000009</v>
      </c>
      <c r="P61" s="127">
        <f>'Enthalpy Data'!X54</f>
        <v>1750</v>
      </c>
      <c r="Q61" s="47">
        <f>'Enthalpy Data'!Y54</f>
        <v>3372.3137999999999</v>
      </c>
      <c r="R61" s="43">
        <f>'Enthalpy Data'!Z54</f>
        <v>3372.4259999999999</v>
      </c>
      <c r="S61" s="43">
        <f>'Enthalpy Data'!AA54</f>
        <v>3372.5381999999995</v>
      </c>
      <c r="T61" s="43">
        <f>'Enthalpy Data'!AB54</f>
        <v>3372.6504</v>
      </c>
      <c r="U61" s="43">
        <f>'Enthalpy Data'!AC54</f>
        <v>3372.7626</v>
      </c>
      <c r="V61" s="43">
        <f>'Enthalpy Data'!AD54</f>
        <v>3372.8747999999996</v>
      </c>
      <c r="W61" s="43">
        <f>'Enthalpy Data'!AE54</f>
        <v>3373.4357999999997</v>
      </c>
      <c r="X61" s="43">
        <f>'Enthalpy Data'!AF54</f>
        <v>3373.9967999999999</v>
      </c>
      <c r="Y61" s="43">
        <f>'Enthalpy Data'!AG54</f>
        <v>3374.5577999999996</v>
      </c>
      <c r="Z61" s="43">
        <f>'Enthalpy Data'!AH54</f>
        <v>3375.1187999999997</v>
      </c>
      <c r="AA61" s="43">
        <f>'Enthalpy Data'!AI54</f>
        <v>3375.6797999999999</v>
      </c>
      <c r="AB61" s="43">
        <f>'Enthalpy Data'!AJ54</f>
        <v>3376.2407999999996</v>
      </c>
      <c r="AC61" s="76">
        <f>'Enthalpy Data'!AK54</f>
        <v>3376.8017999999997</v>
      </c>
    </row>
    <row r="62" spans="1:29" x14ac:dyDescent="0.25">
      <c r="A62" s="131">
        <f>'Enthalpy Data'!X18</f>
        <v>2700</v>
      </c>
      <c r="B62" s="47">
        <f>'Enthalpy Data'!Y18</f>
        <v>5903.4640476190489</v>
      </c>
      <c r="C62" s="43">
        <f>'Enthalpy Data'!Z18</f>
        <v>5903.1806000000015</v>
      </c>
      <c r="D62" s="43">
        <f>'Enthalpy Data'!AA18</f>
        <v>5903.2082</v>
      </c>
      <c r="E62" s="43">
        <f>'Enthalpy Data'!AB18</f>
        <v>5903.2358000000013</v>
      </c>
      <c r="F62" s="43">
        <f>'Enthalpy Data'!AC18</f>
        <v>5903.2633999999998</v>
      </c>
      <c r="G62" s="43">
        <f>'Enthalpy Data'!AD18</f>
        <v>5903.2910000000011</v>
      </c>
      <c r="H62" s="43">
        <f>'Enthalpy Data'!AE18</f>
        <v>5903.4290000000001</v>
      </c>
      <c r="I62" s="43">
        <f>'Enthalpy Data'!AF18</f>
        <v>5903.567</v>
      </c>
      <c r="J62" s="43">
        <f>'Enthalpy Data'!AG18</f>
        <v>5903.7049999999999</v>
      </c>
      <c r="K62" s="43">
        <f>'Enthalpy Data'!AH18</f>
        <v>5903.8430000000008</v>
      </c>
      <c r="L62" s="43">
        <f>'Enthalpy Data'!AI18</f>
        <v>5903.9810000000007</v>
      </c>
      <c r="M62" s="43">
        <f>'Enthalpy Data'!AJ18</f>
        <v>5904.1190000000006</v>
      </c>
      <c r="N62" s="76">
        <f>'Enthalpy Data'!AK18</f>
        <v>5904.2570000000005</v>
      </c>
      <c r="P62" s="127">
        <f>'Enthalpy Data'!X55</f>
        <v>1800</v>
      </c>
      <c r="Q62" s="47">
        <f>'Enthalpy Data'!Y55</f>
        <v>3502.1594000000005</v>
      </c>
      <c r="R62" s="43">
        <f>'Enthalpy Data'!Z55</f>
        <v>3502.2649000000006</v>
      </c>
      <c r="S62" s="43">
        <f>'Enthalpy Data'!AA55</f>
        <v>3502.3704000000002</v>
      </c>
      <c r="T62" s="43">
        <f>'Enthalpy Data'!AB55</f>
        <v>3502.4759000000004</v>
      </c>
      <c r="U62" s="43">
        <f>'Enthalpy Data'!AC55</f>
        <v>3502.5814</v>
      </c>
      <c r="V62" s="43">
        <f>'Enthalpy Data'!AD55</f>
        <v>3502.6869000000002</v>
      </c>
      <c r="W62" s="43">
        <f>'Enthalpy Data'!AE55</f>
        <v>3503.2144000000003</v>
      </c>
      <c r="X62" s="43">
        <f>'Enthalpy Data'!AF55</f>
        <v>3503.7419000000004</v>
      </c>
      <c r="Y62" s="43">
        <f>'Enthalpy Data'!AG55</f>
        <v>3504.2694000000006</v>
      </c>
      <c r="Z62" s="43">
        <f>'Enthalpy Data'!AH55</f>
        <v>3504.7969000000003</v>
      </c>
      <c r="AA62" s="43">
        <f>'Enthalpy Data'!AI55</f>
        <v>3505.3244</v>
      </c>
      <c r="AB62" s="43">
        <f>'Enthalpy Data'!AJ55</f>
        <v>3505.8519000000001</v>
      </c>
      <c r="AC62" s="76">
        <f>'Enthalpy Data'!AK55</f>
        <v>3506.3794000000007</v>
      </c>
    </row>
    <row r="63" spans="1:29" ht="15.75" thickBot="1" x14ac:dyDescent="0.3">
      <c r="A63" s="131">
        <f>'Enthalpy Data'!X19</f>
        <v>2750</v>
      </c>
      <c r="B63" s="47">
        <f>'Enthalpy Data'!Y19</f>
        <v>6039.4578571428574</v>
      </c>
      <c r="C63" s="43">
        <f>'Enthalpy Data'!Z19</f>
        <v>6039.1664499999997</v>
      </c>
      <c r="D63" s="43">
        <f>'Enthalpy Data'!AA19</f>
        <v>6039.1930999999995</v>
      </c>
      <c r="E63" s="43">
        <f>'Enthalpy Data'!AB19</f>
        <v>6039.2197500000002</v>
      </c>
      <c r="F63" s="43">
        <f>'Enthalpy Data'!AC19</f>
        <v>6039.2463999999991</v>
      </c>
      <c r="G63" s="43">
        <f>'Enthalpy Data'!AD19</f>
        <v>6039.2730500000007</v>
      </c>
      <c r="H63" s="43">
        <f>'Enthalpy Data'!AE19</f>
        <v>6039.4063000000006</v>
      </c>
      <c r="I63" s="43">
        <f>'Enthalpy Data'!AF19</f>
        <v>6039.5395499999995</v>
      </c>
      <c r="J63" s="43">
        <f>'Enthalpy Data'!AG19</f>
        <v>6039.6727999999994</v>
      </c>
      <c r="K63" s="43">
        <f>'Enthalpy Data'!AH19</f>
        <v>6039.8060500000001</v>
      </c>
      <c r="L63" s="43">
        <f>'Enthalpy Data'!AI19</f>
        <v>6039.9393</v>
      </c>
      <c r="M63" s="43">
        <f>'Enthalpy Data'!AJ19</f>
        <v>6040.0725500000008</v>
      </c>
      <c r="N63" s="76">
        <f>'Enthalpy Data'!AK19</f>
        <v>6040.2057999999997</v>
      </c>
      <c r="P63" s="128">
        <f>'Enthalpy Data'!X56</f>
        <v>1850</v>
      </c>
      <c r="Q63" s="139">
        <f>'Enthalpy Data'!Y56</f>
        <v>3632.2750000000005</v>
      </c>
      <c r="R63" s="44">
        <f>'Enthalpy Data'!Z56</f>
        <v>3632.3750500000001</v>
      </c>
      <c r="S63" s="44">
        <f>'Enthalpy Data'!AA56</f>
        <v>3632.4751000000006</v>
      </c>
      <c r="T63" s="44">
        <f>'Enthalpy Data'!AB56</f>
        <v>3632.5751500000001</v>
      </c>
      <c r="U63" s="44">
        <f>'Enthalpy Data'!AC56</f>
        <v>3632.6752000000001</v>
      </c>
      <c r="V63" s="44">
        <f>'Enthalpy Data'!AD56</f>
        <v>3632.7752500000006</v>
      </c>
      <c r="W63" s="44">
        <f>'Enthalpy Data'!AE56</f>
        <v>3633.2755000000002</v>
      </c>
      <c r="X63" s="44">
        <f>'Enthalpy Data'!AF56</f>
        <v>3633.7757500000002</v>
      </c>
      <c r="Y63" s="44">
        <f>'Enthalpy Data'!AG56</f>
        <v>3634.2760000000003</v>
      </c>
      <c r="Z63" s="44">
        <f>'Enthalpy Data'!AH56</f>
        <v>3634.7762500000003</v>
      </c>
      <c r="AA63" s="44">
        <f>'Enthalpy Data'!AI56</f>
        <v>3635.2765000000004</v>
      </c>
      <c r="AB63" s="44">
        <f>'Enthalpy Data'!AJ56</f>
        <v>3635.7767500000004</v>
      </c>
      <c r="AC63" s="140">
        <f>'Enthalpy Data'!AK56</f>
        <v>3636.2770000000005</v>
      </c>
    </row>
    <row r="64" spans="1:29" x14ac:dyDescent="0.25">
      <c r="A64" s="131">
        <f>'Enthalpy Data'!X20</f>
        <v>2800</v>
      </c>
      <c r="B64" s="47">
        <f>'Enthalpy Data'!Y20</f>
        <v>6175.5316666666658</v>
      </c>
      <c r="C64" s="43">
        <f>'Enthalpy Data'!Z20</f>
        <v>6175.2315000000008</v>
      </c>
      <c r="D64" s="43">
        <f>'Enthalpy Data'!AA20</f>
        <v>6175.2564000000002</v>
      </c>
      <c r="E64" s="43">
        <f>'Enthalpy Data'!AB20</f>
        <v>6175.2813000000006</v>
      </c>
      <c r="F64" s="43">
        <f>'Enthalpy Data'!AC20</f>
        <v>6175.3062</v>
      </c>
      <c r="G64" s="43">
        <f>'Enthalpy Data'!AD20</f>
        <v>6175.3310999999994</v>
      </c>
      <c r="H64" s="43">
        <f>'Enthalpy Data'!AE20</f>
        <v>6175.4556000000002</v>
      </c>
      <c r="I64" s="43">
        <f>'Enthalpy Data'!AF20</f>
        <v>6175.5801000000001</v>
      </c>
      <c r="J64" s="43">
        <f>'Enthalpy Data'!AG20</f>
        <v>6175.7046</v>
      </c>
      <c r="K64" s="43">
        <f>'Enthalpy Data'!AH20</f>
        <v>6175.8290999999999</v>
      </c>
      <c r="L64" s="43">
        <f>'Enthalpy Data'!AI20</f>
        <v>6175.9536000000007</v>
      </c>
      <c r="M64" s="43">
        <f>'Enthalpy Data'!AJ20</f>
        <v>6176.0781000000006</v>
      </c>
      <c r="N64" s="76">
        <f>'Enthalpy Data'!AK20</f>
        <v>6176.2026000000005</v>
      </c>
    </row>
    <row r="65" spans="1:14" x14ac:dyDescent="0.25">
      <c r="A65" s="131">
        <f>'Enthalpy Data'!X21</f>
        <v>2850</v>
      </c>
      <c r="B65" s="47">
        <f>'Enthalpy Data'!Y21</f>
        <v>6312.1657142857148</v>
      </c>
      <c r="C65" s="43">
        <f>'Enthalpy Data'!Z21</f>
        <v>6311.8567500000008</v>
      </c>
      <c r="D65" s="43">
        <f>'Enthalpy Data'!AA21</f>
        <v>6311.8799000000008</v>
      </c>
      <c r="E65" s="43">
        <f>'Enthalpy Data'!AB21</f>
        <v>6311.9030500000008</v>
      </c>
      <c r="F65" s="43">
        <f>'Enthalpy Data'!AC21</f>
        <v>6311.9261999999999</v>
      </c>
      <c r="G65" s="43">
        <f>'Enthalpy Data'!AD21</f>
        <v>6311.9493499999999</v>
      </c>
      <c r="H65" s="43">
        <f>'Enthalpy Data'!AE21</f>
        <v>6312.0650999999998</v>
      </c>
      <c r="I65" s="43">
        <f>'Enthalpy Data'!AF21</f>
        <v>6312.1808500000006</v>
      </c>
      <c r="J65" s="43">
        <f>'Enthalpy Data'!AG21</f>
        <v>6312.2966000000006</v>
      </c>
      <c r="K65" s="43">
        <f>'Enthalpy Data'!AH21</f>
        <v>6312.4123500000005</v>
      </c>
      <c r="L65" s="43">
        <f>'Enthalpy Data'!AI21</f>
        <v>6312.5281000000004</v>
      </c>
      <c r="M65" s="43">
        <f>'Enthalpy Data'!AJ21</f>
        <v>6312.6438500000004</v>
      </c>
      <c r="N65" s="76">
        <f>'Enthalpy Data'!AK21</f>
        <v>6312.7596000000012</v>
      </c>
    </row>
    <row r="66" spans="1:14" x14ac:dyDescent="0.25">
      <c r="A66" s="131">
        <f>'Enthalpy Data'!X22</f>
        <v>2900</v>
      </c>
      <c r="B66" s="47">
        <f>'Enthalpy Data'!Y22</f>
        <v>6448.7997619047619</v>
      </c>
      <c r="C66" s="43">
        <f>'Enthalpy Data'!Z22</f>
        <v>6448.4844999999996</v>
      </c>
      <c r="D66" s="43">
        <f>'Enthalpy Data'!AA22</f>
        <v>6448.5083999999997</v>
      </c>
      <c r="E66" s="43">
        <f>'Enthalpy Data'!AB22</f>
        <v>6448.5322999999999</v>
      </c>
      <c r="F66" s="43">
        <f>'Enthalpy Data'!AC22</f>
        <v>6448.5561999999991</v>
      </c>
      <c r="G66" s="43">
        <f>'Enthalpy Data'!AD22</f>
        <v>6448.5801000000001</v>
      </c>
      <c r="H66" s="43">
        <f>'Enthalpy Data'!AE22</f>
        <v>6448.699599999999</v>
      </c>
      <c r="I66" s="43">
        <f>'Enthalpy Data'!AF22</f>
        <v>6448.8190999999997</v>
      </c>
      <c r="J66" s="43">
        <f>'Enthalpy Data'!AG22</f>
        <v>6448.9385999999995</v>
      </c>
      <c r="K66" s="43">
        <f>'Enthalpy Data'!AH22</f>
        <v>6449.0581000000002</v>
      </c>
      <c r="L66" s="43">
        <f>'Enthalpy Data'!AI22</f>
        <v>6449.1776</v>
      </c>
      <c r="M66" s="43">
        <f>'Enthalpy Data'!AJ22</f>
        <v>6449.2970999999998</v>
      </c>
      <c r="N66" s="76">
        <f>'Enthalpy Data'!AK22</f>
        <v>6449.4165999999996</v>
      </c>
    </row>
    <row r="67" spans="1:14" x14ac:dyDescent="0.25">
      <c r="A67" s="131">
        <f>'Enthalpy Data'!X23</f>
        <v>2950</v>
      </c>
      <c r="B67" s="47">
        <f>'Enthalpy Data'!Y23</f>
        <v>6585.6938095238093</v>
      </c>
      <c r="C67" s="43">
        <f>'Enthalpy Data'!Z23</f>
        <v>6585.3702000000003</v>
      </c>
      <c r="D67" s="43">
        <f>'Enthalpy Data'!AA23</f>
        <v>6585.3928000000005</v>
      </c>
      <c r="E67" s="43">
        <f>'Enthalpy Data'!AB23</f>
        <v>6585.4154000000008</v>
      </c>
      <c r="F67" s="43">
        <f>'Enthalpy Data'!AC23</f>
        <v>6585.4380000000001</v>
      </c>
      <c r="G67" s="43">
        <f>'Enthalpy Data'!AD23</f>
        <v>6585.4605999999994</v>
      </c>
      <c r="H67" s="43">
        <f>'Enthalpy Data'!AE23</f>
        <v>6585.5736000000006</v>
      </c>
      <c r="I67" s="43">
        <f>'Enthalpy Data'!AF23</f>
        <v>6585.6866</v>
      </c>
      <c r="J67" s="43">
        <f>'Enthalpy Data'!AG23</f>
        <v>6585.7996000000003</v>
      </c>
      <c r="K67" s="43">
        <f>'Enthalpy Data'!AH23</f>
        <v>6585.9125999999997</v>
      </c>
      <c r="L67" s="43">
        <f>'Enthalpy Data'!AI23</f>
        <v>6586.025599999999</v>
      </c>
      <c r="M67" s="43">
        <f>'Enthalpy Data'!AJ23</f>
        <v>6586.1386000000002</v>
      </c>
      <c r="N67" s="76">
        <f>'Enthalpy Data'!AK23</f>
        <v>6586.2515999999996</v>
      </c>
    </row>
    <row r="68" spans="1:14" x14ac:dyDescent="0.25">
      <c r="A68" s="131">
        <f>'Enthalpy Data'!X24</f>
        <v>3000</v>
      </c>
      <c r="B68" s="47">
        <f>'Enthalpy Data'!Y24</f>
        <v>6722.5978571428577</v>
      </c>
      <c r="C68" s="43">
        <f>'Enthalpy Data'!Z24</f>
        <v>6722.2679499999995</v>
      </c>
      <c r="D68" s="43">
        <f>'Enthalpy Data'!AA24</f>
        <v>6722.2912999999999</v>
      </c>
      <c r="E68" s="43">
        <f>'Enthalpy Data'!AB24</f>
        <v>6722.3146499999993</v>
      </c>
      <c r="F68" s="43">
        <f>'Enthalpy Data'!AC24</f>
        <v>6722.3380000000006</v>
      </c>
      <c r="G68" s="43">
        <f>'Enthalpy Data'!AD24</f>
        <v>6722.3613500000001</v>
      </c>
      <c r="H68" s="43">
        <f>'Enthalpy Data'!AE24</f>
        <v>6722.4781000000003</v>
      </c>
      <c r="I68" s="43">
        <f>'Enthalpy Data'!AF24</f>
        <v>6722.5948499999995</v>
      </c>
      <c r="J68" s="43">
        <f>'Enthalpy Data'!AG24</f>
        <v>6722.7115999999996</v>
      </c>
      <c r="K68" s="43">
        <f>'Enthalpy Data'!AH24</f>
        <v>6722.8283499999998</v>
      </c>
      <c r="L68" s="43">
        <f>'Enthalpy Data'!AI24</f>
        <v>6722.9450999999999</v>
      </c>
      <c r="M68" s="43">
        <f>'Enthalpy Data'!AJ24</f>
        <v>6723.06185</v>
      </c>
      <c r="N68" s="76">
        <f>'Enthalpy Data'!AK24</f>
        <v>6723.1785999999993</v>
      </c>
    </row>
    <row r="69" spans="1:14" x14ac:dyDescent="0.25">
      <c r="A69" s="131">
        <f>'Enthalpy Data'!X25</f>
        <v>3050</v>
      </c>
      <c r="B69" s="47">
        <f>'Enthalpy Data'!Y25</f>
        <v>6859.5819047619043</v>
      </c>
      <c r="C69" s="43">
        <f>'Enthalpy Data'!Z25</f>
        <v>6859.2461499999999</v>
      </c>
      <c r="D69" s="43">
        <f>'Enthalpy Data'!AA25</f>
        <v>6859.2707</v>
      </c>
      <c r="E69" s="43">
        <f>'Enthalpy Data'!AB25</f>
        <v>6859.2952499999992</v>
      </c>
      <c r="F69" s="43">
        <f>'Enthalpy Data'!AC25</f>
        <v>6859.3198000000002</v>
      </c>
      <c r="G69" s="43">
        <f>'Enthalpy Data'!AD25</f>
        <v>6859.3443500000003</v>
      </c>
      <c r="H69" s="43">
        <f>'Enthalpy Data'!AE25</f>
        <v>6859.4671000000008</v>
      </c>
      <c r="I69" s="43">
        <f>'Enthalpy Data'!AF25</f>
        <v>6859.5898499999994</v>
      </c>
      <c r="J69" s="43">
        <f>'Enthalpy Data'!AG25</f>
        <v>6859.7125999999998</v>
      </c>
      <c r="K69" s="43">
        <f>'Enthalpy Data'!AH25</f>
        <v>6859.8353500000003</v>
      </c>
      <c r="L69" s="43">
        <f>'Enthalpy Data'!AI25</f>
        <v>6859.9581000000007</v>
      </c>
      <c r="M69" s="43">
        <f>'Enthalpy Data'!AJ25</f>
        <v>6860.0808500000003</v>
      </c>
      <c r="N69" s="76">
        <f>'Enthalpy Data'!AK25</f>
        <v>6860.2035999999998</v>
      </c>
    </row>
    <row r="70" spans="1:14" x14ac:dyDescent="0.25">
      <c r="A70" s="131">
        <f>'Enthalpy Data'!X26</f>
        <v>3100</v>
      </c>
      <c r="B70" s="47">
        <f>'Enthalpy Data'!Y26</f>
        <v>6996.7359523809537</v>
      </c>
      <c r="C70" s="43">
        <f>'Enthalpy Data'!Z26</f>
        <v>6996.3923000000004</v>
      </c>
      <c r="D70" s="43">
        <f>'Enthalpy Data'!AA26</f>
        <v>6996.4160000000002</v>
      </c>
      <c r="E70" s="43">
        <f>'Enthalpy Data'!AB26</f>
        <v>6996.4396999999999</v>
      </c>
      <c r="F70" s="43">
        <f>'Enthalpy Data'!AC26</f>
        <v>6996.4634000000005</v>
      </c>
      <c r="G70" s="43">
        <f>'Enthalpy Data'!AD26</f>
        <v>6996.4871000000003</v>
      </c>
      <c r="H70" s="43">
        <f>'Enthalpy Data'!AE26</f>
        <v>6996.6055999999999</v>
      </c>
      <c r="I70" s="43">
        <f>'Enthalpy Data'!AF26</f>
        <v>6996.7241000000013</v>
      </c>
      <c r="J70" s="43">
        <f>'Enthalpy Data'!AG26</f>
        <v>6996.8426000000009</v>
      </c>
      <c r="K70" s="43">
        <f>'Enthalpy Data'!AH26</f>
        <v>6996.9611000000004</v>
      </c>
      <c r="L70" s="43">
        <f>'Enthalpy Data'!AI26</f>
        <v>6997.0796</v>
      </c>
      <c r="M70" s="43">
        <f>'Enthalpy Data'!AJ26</f>
        <v>6997.1980999999996</v>
      </c>
      <c r="N70" s="76">
        <f>'Enthalpy Data'!AK26</f>
        <v>6997.316600000001</v>
      </c>
    </row>
    <row r="71" spans="1:14" x14ac:dyDescent="0.25">
      <c r="A71" s="131">
        <f>'Enthalpy Data'!X27</f>
        <v>3150</v>
      </c>
      <c r="B71" s="47">
        <f>'Enthalpy Data'!Y27</f>
        <v>7134.3702380952382</v>
      </c>
      <c r="C71" s="43">
        <f>'Enthalpy Data'!Z27</f>
        <v>7134.0219500000012</v>
      </c>
      <c r="D71" s="43">
        <f>'Enthalpy Data'!AA27</f>
        <v>7134.0481000000009</v>
      </c>
      <c r="E71" s="43">
        <f>'Enthalpy Data'!AB27</f>
        <v>7134.0742500000006</v>
      </c>
      <c r="F71" s="43">
        <f>'Enthalpy Data'!AC27</f>
        <v>7134.1004000000012</v>
      </c>
      <c r="G71" s="43">
        <f>'Enthalpy Data'!AD27</f>
        <v>7134.1265500000009</v>
      </c>
      <c r="H71" s="43">
        <f>'Enthalpy Data'!AE27</f>
        <v>7134.2573000000011</v>
      </c>
      <c r="I71" s="43">
        <f>'Enthalpy Data'!AF27</f>
        <v>7134.3880500000005</v>
      </c>
      <c r="J71" s="43">
        <f>'Enthalpy Data'!AG27</f>
        <v>7134.5188000000007</v>
      </c>
      <c r="K71" s="43">
        <f>'Enthalpy Data'!AH27</f>
        <v>7134.649550000001</v>
      </c>
      <c r="L71" s="43">
        <f>'Enthalpy Data'!AI27</f>
        <v>7134.7803000000013</v>
      </c>
      <c r="M71" s="43">
        <f>'Enthalpy Data'!AJ27</f>
        <v>7134.9110500000015</v>
      </c>
      <c r="N71" s="76">
        <f>'Enthalpy Data'!AK27</f>
        <v>7135.0418000000009</v>
      </c>
    </row>
    <row r="72" spans="1:14" x14ac:dyDescent="0.25">
      <c r="A72" s="131">
        <f>'Enthalpy Data'!X28</f>
        <v>3200</v>
      </c>
      <c r="B72" s="47">
        <f>'Enthalpy Data'!Y28</f>
        <v>7271.6142857142859</v>
      </c>
      <c r="C72" s="43">
        <f>'Enthalpy Data'!Z28</f>
        <v>7271.2593500000003</v>
      </c>
      <c r="D72" s="43">
        <f>'Enthalpy Data'!AA28</f>
        <v>7271.2858999999999</v>
      </c>
      <c r="E72" s="43">
        <f>'Enthalpy Data'!AB28</f>
        <v>7271.3124499999994</v>
      </c>
      <c r="F72" s="43">
        <f>'Enthalpy Data'!AC28</f>
        <v>7271.3390000000009</v>
      </c>
      <c r="G72" s="43">
        <f>'Enthalpy Data'!AD28</f>
        <v>7271.3655500000004</v>
      </c>
      <c r="H72" s="43">
        <f>'Enthalpy Data'!AE28</f>
        <v>7271.4983000000011</v>
      </c>
      <c r="I72" s="43">
        <f>'Enthalpy Data'!AF28</f>
        <v>7271.63105</v>
      </c>
      <c r="J72" s="43">
        <f>'Enthalpy Data'!AG28</f>
        <v>7271.7637999999997</v>
      </c>
      <c r="K72" s="43">
        <f>'Enthalpy Data'!AH28</f>
        <v>7271.8965500000004</v>
      </c>
      <c r="L72" s="43">
        <f>'Enthalpy Data'!AI28</f>
        <v>7272.0293000000001</v>
      </c>
      <c r="M72" s="43">
        <f>'Enthalpy Data'!AJ28</f>
        <v>7272.1620500000008</v>
      </c>
      <c r="N72" s="76">
        <f>'Enthalpy Data'!AK28</f>
        <v>7272.2947999999997</v>
      </c>
    </row>
    <row r="73" spans="1:14" x14ac:dyDescent="0.25">
      <c r="A73" s="131">
        <f>'Enthalpy Data'!X29</f>
        <v>3250</v>
      </c>
      <c r="B73" s="47">
        <f>'Enthalpy Data'!Y29</f>
        <v>7409.4185714285713</v>
      </c>
      <c r="C73" s="43">
        <f>'Enthalpy Data'!Z29</f>
        <v>7409.0594500000007</v>
      </c>
      <c r="D73" s="43">
        <f>'Enthalpy Data'!AA29</f>
        <v>7409.0888999999997</v>
      </c>
      <c r="E73" s="43">
        <f>'Enthalpy Data'!AB29</f>
        <v>7409.1183499999997</v>
      </c>
      <c r="F73" s="43">
        <f>'Enthalpy Data'!AC29</f>
        <v>7409.1477999999997</v>
      </c>
      <c r="G73" s="43">
        <f>'Enthalpy Data'!AD29</f>
        <v>7409.1772499999997</v>
      </c>
      <c r="H73" s="43">
        <f>'Enthalpy Data'!AE29</f>
        <v>7409.3244999999997</v>
      </c>
      <c r="I73" s="43">
        <f>'Enthalpy Data'!AF29</f>
        <v>7409.4717499999997</v>
      </c>
      <c r="J73" s="43">
        <f>'Enthalpy Data'!AG29</f>
        <v>7409.6189999999997</v>
      </c>
      <c r="K73" s="43">
        <f>'Enthalpy Data'!AH29</f>
        <v>7409.7662499999997</v>
      </c>
      <c r="L73" s="43">
        <f>'Enthalpy Data'!AI29</f>
        <v>7409.9134999999997</v>
      </c>
      <c r="M73" s="43">
        <f>'Enthalpy Data'!AJ29</f>
        <v>7410.0607500000006</v>
      </c>
      <c r="N73" s="76">
        <f>'Enthalpy Data'!AK29</f>
        <v>7410.2080000000005</v>
      </c>
    </row>
    <row r="74" spans="1:14" x14ac:dyDescent="0.25">
      <c r="A74" s="131">
        <f>'Enthalpy Data'!X30</f>
        <v>3300</v>
      </c>
      <c r="B74" s="47">
        <f>'Enthalpy Data'!Y30</f>
        <v>7547.3928571428569</v>
      </c>
      <c r="C74" s="43">
        <f>'Enthalpy Data'!Z30</f>
        <v>7547.0275000000001</v>
      </c>
      <c r="D74" s="43">
        <f>'Enthalpy Data'!AA30</f>
        <v>7547.0578000000014</v>
      </c>
      <c r="E74" s="43">
        <f>'Enthalpy Data'!AB30</f>
        <v>7547.0881000000008</v>
      </c>
      <c r="F74" s="43">
        <f>'Enthalpy Data'!AC30</f>
        <v>7547.1184000000003</v>
      </c>
      <c r="G74" s="43">
        <f>'Enthalpy Data'!AD30</f>
        <v>7547.1487000000016</v>
      </c>
      <c r="H74" s="43">
        <f>'Enthalpy Data'!AE30</f>
        <v>7547.3002000000006</v>
      </c>
      <c r="I74" s="43">
        <f>'Enthalpy Data'!AF30</f>
        <v>7547.4517000000005</v>
      </c>
      <c r="J74" s="43">
        <f>'Enthalpy Data'!AG30</f>
        <v>7547.6032000000005</v>
      </c>
      <c r="K74" s="43">
        <f>'Enthalpy Data'!AH30</f>
        <v>7547.7547000000004</v>
      </c>
      <c r="L74" s="43">
        <f>'Enthalpy Data'!AI30</f>
        <v>7547.9062000000013</v>
      </c>
      <c r="M74" s="43">
        <f>'Enthalpy Data'!AJ30</f>
        <v>7548.0577000000003</v>
      </c>
      <c r="N74" s="76">
        <f>'Enthalpy Data'!AK30</f>
        <v>7548.2092000000002</v>
      </c>
    </row>
    <row r="75" spans="1:14" x14ac:dyDescent="0.25">
      <c r="A75" s="131">
        <f>'Enthalpy Data'!X31</f>
        <v>3350</v>
      </c>
      <c r="B75" s="47">
        <f>'Enthalpy Data'!Y31</f>
        <v>7685.3671428571433</v>
      </c>
      <c r="C75" s="43">
        <f>'Enthalpy Data'!Z31</f>
        <v>7684.9968000000008</v>
      </c>
      <c r="D75" s="43">
        <f>'Enthalpy Data'!AA31</f>
        <v>7685.0292000000009</v>
      </c>
      <c r="E75" s="43">
        <f>'Enthalpy Data'!AB31</f>
        <v>7685.0616</v>
      </c>
      <c r="F75" s="43">
        <f>'Enthalpy Data'!AC31</f>
        <v>7685.0940000000001</v>
      </c>
      <c r="G75" s="43">
        <f>'Enthalpy Data'!AD31</f>
        <v>7685.1264000000001</v>
      </c>
      <c r="H75" s="43">
        <f>'Enthalpy Data'!AE31</f>
        <v>7685.2884000000013</v>
      </c>
      <c r="I75" s="43">
        <f>'Enthalpy Data'!AF31</f>
        <v>7685.4503999999997</v>
      </c>
      <c r="J75" s="43">
        <f>'Enthalpy Data'!AG31</f>
        <v>7685.6124000000009</v>
      </c>
      <c r="K75" s="43">
        <f>'Enthalpy Data'!AH31</f>
        <v>7685.7744000000002</v>
      </c>
      <c r="L75" s="43">
        <f>'Enthalpy Data'!AI31</f>
        <v>7685.9364000000005</v>
      </c>
      <c r="M75" s="43">
        <f>'Enthalpy Data'!AJ31</f>
        <v>7686.0984000000008</v>
      </c>
      <c r="N75" s="76">
        <f>'Enthalpy Data'!AK31</f>
        <v>7686.2604000000001</v>
      </c>
    </row>
    <row r="76" spans="1:14" x14ac:dyDescent="0.25">
      <c r="A76" s="131">
        <f>'Enthalpy Data'!X32</f>
        <v>3400</v>
      </c>
      <c r="B76" s="47">
        <f>'Enthalpy Data'!Y32</f>
        <v>7823.3514285714282</v>
      </c>
      <c r="C76" s="43">
        <f>'Enthalpy Data'!Z32</f>
        <v>7822.9781500000008</v>
      </c>
      <c r="D76" s="43">
        <f>'Enthalpy Data'!AA32</f>
        <v>7823.0147000000006</v>
      </c>
      <c r="E76" s="43">
        <f>'Enthalpy Data'!AB32</f>
        <v>7823.0512500000004</v>
      </c>
      <c r="F76" s="43">
        <f>'Enthalpy Data'!AC32</f>
        <v>7823.0878000000002</v>
      </c>
      <c r="G76" s="43">
        <f>'Enthalpy Data'!AD32</f>
        <v>7823.124350000001</v>
      </c>
      <c r="H76" s="43">
        <f>'Enthalpy Data'!AE32</f>
        <v>7823.3071</v>
      </c>
      <c r="I76" s="43">
        <f>'Enthalpy Data'!AF32</f>
        <v>7823.4898500000008</v>
      </c>
      <c r="J76" s="43">
        <f>'Enthalpy Data'!AG32</f>
        <v>7823.6725999999999</v>
      </c>
      <c r="K76" s="43">
        <f>'Enthalpy Data'!AH32</f>
        <v>7823.8553499999998</v>
      </c>
      <c r="L76" s="43">
        <f>'Enthalpy Data'!AI32</f>
        <v>7824.0381000000007</v>
      </c>
      <c r="M76" s="43">
        <f>'Enthalpy Data'!AJ32</f>
        <v>7824.2208500000006</v>
      </c>
      <c r="N76" s="76">
        <f>'Enthalpy Data'!AK32</f>
        <v>7824.4036000000006</v>
      </c>
    </row>
    <row r="77" spans="1:14" x14ac:dyDescent="0.25">
      <c r="A77" s="131">
        <f>'Enthalpy Data'!X33</f>
        <v>3450</v>
      </c>
      <c r="B77" s="47">
        <f>'Enthalpy Data'!Y33</f>
        <v>7962.0559523809525</v>
      </c>
      <c r="C77" s="43">
        <f>'Enthalpy Data'!Z33</f>
        <v>7961.6768500000007</v>
      </c>
      <c r="D77" s="43">
        <f>'Enthalpy Data'!AA33</f>
        <v>7961.7147000000014</v>
      </c>
      <c r="E77" s="43">
        <f>'Enthalpy Data'!AB33</f>
        <v>7961.7525500000011</v>
      </c>
      <c r="F77" s="43">
        <f>'Enthalpy Data'!AC33</f>
        <v>7961.7904000000008</v>
      </c>
      <c r="G77" s="43">
        <f>'Enthalpy Data'!AD33</f>
        <v>7961.8282500000014</v>
      </c>
      <c r="H77" s="43">
        <f>'Enthalpy Data'!AE33</f>
        <v>7962.0175000000017</v>
      </c>
      <c r="I77" s="43">
        <f>'Enthalpy Data'!AF33</f>
        <v>7962.2067500000003</v>
      </c>
      <c r="J77" s="43">
        <f>'Enthalpy Data'!AG33</f>
        <v>7962.3960000000006</v>
      </c>
      <c r="K77" s="43">
        <f>'Enthalpy Data'!AH33</f>
        <v>7962.585250000001</v>
      </c>
      <c r="L77" s="43">
        <f>'Enthalpy Data'!AI33</f>
        <v>7962.7745000000004</v>
      </c>
      <c r="M77" s="43">
        <f>'Enthalpy Data'!AJ33</f>
        <v>7962.9637500000008</v>
      </c>
      <c r="N77" s="76">
        <f>'Enthalpy Data'!AK33</f>
        <v>7963.1530000000002</v>
      </c>
    </row>
    <row r="78" spans="1:14" ht="15.75" thickBot="1" x14ac:dyDescent="0.3">
      <c r="A78" s="132">
        <f>'Enthalpy Data'!X34</f>
        <v>3500</v>
      </c>
      <c r="B78" s="139">
        <f>'Enthalpy Data'!Y34</f>
        <v>8100.2102380952383</v>
      </c>
      <c r="C78" s="44">
        <f>'Enthalpy Data'!Z34</f>
        <v>8099.8286500000004</v>
      </c>
      <c r="D78" s="44">
        <f>'Enthalpy Data'!AA34</f>
        <v>8099.8711000000003</v>
      </c>
      <c r="E78" s="44">
        <f>'Enthalpy Data'!AB34</f>
        <v>8099.9135500000011</v>
      </c>
      <c r="F78" s="44">
        <f>'Enthalpy Data'!AC34</f>
        <v>8099.956000000001</v>
      </c>
      <c r="G78" s="44">
        <f>'Enthalpy Data'!AD34</f>
        <v>8099.99845</v>
      </c>
      <c r="H78" s="44">
        <f>'Enthalpy Data'!AE34</f>
        <v>8100.2107000000005</v>
      </c>
      <c r="I78" s="44">
        <f>'Enthalpy Data'!AF34</f>
        <v>8100.422950000001</v>
      </c>
      <c r="J78" s="44">
        <f>'Enthalpy Data'!AG34</f>
        <v>8100.6352000000006</v>
      </c>
      <c r="K78" s="44">
        <f>'Enthalpy Data'!AH34</f>
        <v>8100.8474500000011</v>
      </c>
      <c r="L78" s="44">
        <f>'Enthalpy Data'!AI34</f>
        <v>8101.0597000000007</v>
      </c>
      <c r="M78" s="44">
        <f>'Enthalpy Data'!AJ34</f>
        <v>8101.2719500000003</v>
      </c>
      <c r="N78" s="140">
        <f>'Enthalpy Data'!AK34</f>
        <v>8101.4842000000008</v>
      </c>
    </row>
  </sheetData>
  <mergeCells count="28">
    <mergeCell ref="S24:T24"/>
    <mergeCell ref="U24:V24"/>
    <mergeCell ref="S42:S43"/>
    <mergeCell ref="W24:X24"/>
    <mergeCell ref="A1:K3"/>
    <mergeCell ref="C24:D24"/>
    <mergeCell ref="E24:F24"/>
    <mergeCell ref="G24:H24"/>
    <mergeCell ref="I24:J24"/>
    <mergeCell ref="K24:L24"/>
    <mergeCell ref="F4:K8"/>
    <mergeCell ref="M42:M43"/>
    <mergeCell ref="O42:O43"/>
    <mergeCell ref="Q42:Q43"/>
    <mergeCell ref="M24:N24"/>
    <mergeCell ref="O24:P24"/>
    <mergeCell ref="Q24:R24"/>
    <mergeCell ref="C42:C43"/>
    <mergeCell ref="E42:E43"/>
    <mergeCell ref="G42:G43"/>
    <mergeCell ref="I42:I43"/>
    <mergeCell ref="K42:K43"/>
    <mergeCell ref="U42:U43"/>
    <mergeCell ref="W42:W43"/>
    <mergeCell ref="Y42:Y43"/>
    <mergeCell ref="AA42:AA43"/>
    <mergeCell ref="Y24:Z24"/>
    <mergeCell ref="AA24:AB24"/>
  </mergeCells>
  <conditionalFormatting sqref="C26:C41 E26:E41 G26:G41 I26:I41 K26:K41 M26:M41 O26:O41 Q26:Q41 S26:S41 U26:U41 W26:W41 Y26:Y41 AA26:AA41">
    <cfRule type="colorScale" priority="1">
      <colorScale>
        <cfvo type="min"/>
        <cfvo type="max"/>
        <color theme="9" tint="0.79998168889431442"/>
        <color rgb="FFFF0000"/>
      </colorScale>
    </cfRule>
  </conditionalFormatting>
  <pageMargins left="0.7" right="0.7" top="0.75" bottom="0.75" header="0.3" footer="0.3"/>
  <pageSetup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78"/>
  <sheetViews>
    <sheetView zoomScale="85" zoomScaleNormal="85" workbookViewId="0">
      <selection activeCell="R5" sqref="R5"/>
    </sheetView>
  </sheetViews>
  <sheetFormatPr defaultRowHeight="15" x14ac:dyDescent="0.25"/>
  <cols>
    <col min="6" max="6" width="11.28515625" bestFit="1" customWidth="1"/>
    <col min="8" max="8" width="12.28515625" bestFit="1" customWidth="1"/>
    <col min="10" max="10" width="12.28515625" bestFit="1" customWidth="1"/>
    <col min="12" max="12" width="12.28515625" bestFit="1" customWidth="1"/>
    <col min="14" max="14" width="12.28515625" bestFit="1" customWidth="1"/>
    <col min="16" max="16" width="12.28515625" bestFit="1" customWidth="1"/>
    <col min="20" max="22" width="12.28515625" bestFit="1" customWidth="1"/>
    <col min="24" max="24" width="12.28515625" bestFit="1" customWidth="1"/>
    <col min="26" max="26" width="12.28515625" bestFit="1" customWidth="1"/>
    <col min="28" max="28" width="12.28515625" bestFit="1" customWidth="1"/>
  </cols>
  <sheetData>
    <row r="1" spans="1:28" x14ac:dyDescent="0.25">
      <c r="A1" s="215"/>
      <c r="B1" s="216"/>
      <c r="C1" s="216"/>
      <c r="D1" s="216"/>
      <c r="E1" s="216"/>
      <c r="F1" s="216"/>
      <c r="G1" s="216"/>
      <c r="H1" s="216"/>
      <c r="I1" s="216"/>
      <c r="J1" s="216"/>
      <c r="K1" s="217"/>
      <c r="L1" s="55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54"/>
      <c r="AB1" s="54"/>
    </row>
    <row r="2" spans="1:28" x14ac:dyDescent="0.25">
      <c r="A2" s="218"/>
      <c r="B2" s="219"/>
      <c r="C2" s="219"/>
      <c r="D2" s="219"/>
      <c r="E2" s="219"/>
      <c r="F2" s="219"/>
      <c r="G2" s="219"/>
      <c r="H2" s="219"/>
      <c r="I2" s="219"/>
      <c r="J2" s="219"/>
      <c r="K2" s="220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54"/>
      <c r="AB2" s="54"/>
    </row>
    <row r="3" spans="1:28" ht="15.75" thickBot="1" x14ac:dyDescent="0.3">
      <c r="A3" s="221"/>
      <c r="B3" s="222"/>
      <c r="C3" s="222"/>
      <c r="D3" s="222"/>
      <c r="E3" s="222"/>
      <c r="F3" s="222"/>
      <c r="G3" s="222"/>
      <c r="H3" s="222"/>
      <c r="I3" s="222"/>
      <c r="J3" s="222"/>
      <c r="K3" s="223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54"/>
      <c r="AB3" s="54"/>
    </row>
    <row r="4" spans="1:28" ht="15.75" thickBot="1" x14ac:dyDescent="0.3">
      <c r="A4" s="78" t="s">
        <v>17</v>
      </c>
      <c r="B4" s="59">
        <v>1800</v>
      </c>
      <c r="C4" s="53"/>
      <c r="D4" s="134" t="s">
        <v>25</v>
      </c>
      <c r="E4" s="167">
        <f>((10^5*(B6*B5)*10^-6))/(8314*293)</f>
        <v>6.5681391066181393E-6</v>
      </c>
      <c r="F4" s="237" t="s">
        <v>64</v>
      </c>
      <c r="G4" s="238"/>
      <c r="H4" s="238"/>
      <c r="I4" s="238"/>
      <c r="J4" s="238"/>
      <c r="K4" s="23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54"/>
      <c r="AB4" s="54"/>
    </row>
    <row r="5" spans="1:28" x14ac:dyDescent="0.25">
      <c r="A5" s="47" t="s">
        <v>20</v>
      </c>
      <c r="B5" s="56">
        <v>0.4</v>
      </c>
      <c r="C5" s="53"/>
      <c r="D5" s="49"/>
      <c r="E5" s="49"/>
      <c r="F5" s="240"/>
      <c r="G5" s="241"/>
      <c r="H5" s="241"/>
      <c r="I5" s="241"/>
      <c r="J5" s="241"/>
      <c r="K5" s="242"/>
      <c r="L5" s="49"/>
      <c r="M5" s="49"/>
      <c r="N5" s="49"/>
      <c r="O5" s="49"/>
      <c r="P5" s="49"/>
      <c r="Q5" s="49"/>
      <c r="R5" s="49"/>
      <c r="S5" s="49"/>
      <c r="T5" s="54"/>
      <c r="U5" s="54"/>
      <c r="V5" s="54"/>
      <c r="W5" s="54"/>
      <c r="X5" s="54"/>
      <c r="Y5" s="54"/>
      <c r="Z5" s="54"/>
      <c r="AA5" s="54"/>
      <c r="AB5" s="54"/>
    </row>
    <row r="6" spans="1:28" x14ac:dyDescent="0.25">
      <c r="A6" s="47" t="s">
        <v>18</v>
      </c>
      <c r="B6" s="25">
        <v>400</v>
      </c>
      <c r="C6" s="53"/>
      <c r="D6" s="49"/>
      <c r="E6" s="49"/>
      <c r="F6" s="240"/>
      <c r="G6" s="241"/>
      <c r="H6" s="241"/>
      <c r="I6" s="241"/>
      <c r="J6" s="241"/>
      <c r="K6" s="242"/>
      <c r="L6" s="49"/>
      <c r="M6" s="49"/>
      <c r="N6" s="49"/>
      <c r="O6" s="49"/>
      <c r="P6" s="49"/>
      <c r="Q6" s="49"/>
      <c r="R6" s="49"/>
      <c r="S6" s="49"/>
      <c r="T6" s="54"/>
      <c r="U6" s="54"/>
      <c r="V6" s="54"/>
      <c r="W6" s="54"/>
      <c r="X6" s="54"/>
      <c r="Y6" s="54"/>
      <c r="Z6" s="54"/>
      <c r="AA6" s="54"/>
      <c r="AB6" s="54"/>
    </row>
    <row r="7" spans="1:28" x14ac:dyDescent="0.25">
      <c r="A7" s="47" t="s">
        <v>19</v>
      </c>
      <c r="B7" s="25">
        <v>40</v>
      </c>
      <c r="C7" s="53"/>
      <c r="D7" s="49"/>
      <c r="E7" s="49"/>
      <c r="F7" s="240"/>
      <c r="G7" s="241"/>
      <c r="H7" s="241"/>
      <c r="I7" s="241"/>
      <c r="J7" s="241"/>
      <c r="K7" s="242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54"/>
      <c r="AB7" s="54"/>
    </row>
    <row r="8" spans="1:28" ht="15.75" thickBot="1" x14ac:dyDescent="0.3">
      <c r="A8" s="51" t="s">
        <v>59</v>
      </c>
      <c r="B8" s="52">
        <v>1.17</v>
      </c>
      <c r="C8" s="53"/>
      <c r="D8" s="54"/>
      <c r="E8" s="54"/>
      <c r="F8" s="243"/>
      <c r="G8" s="244"/>
      <c r="H8" s="244"/>
      <c r="I8" s="244"/>
      <c r="J8" s="244"/>
      <c r="K8" s="245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54"/>
      <c r="AB8" s="54"/>
    </row>
    <row r="9" spans="1:28" ht="60.75" thickBot="1" x14ac:dyDescent="0.3">
      <c r="A9" s="113" t="s">
        <v>16</v>
      </c>
      <c r="B9" s="143" t="s">
        <v>0</v>
      </c>
      <c r="C9" s="81" t="s">
        <v>21</v>
      </c>
      <c r="D9" s="144" t="s">
        <v>1</v>
      </c>
      <c r="E9" s="81" t="s">
        <v>21</v>
      </c>
      <c r="F9" s="144" t="s">
        <v>8</v>
      </c>
      <c r="G9" s="81" t="s">
        <v>21</v>
      </c>
      <c r="H9" s="144" t="s">
        <v>7</v>
      </c>
      <c r="I9" s="81" t="s">
        <v>21</v>
      </c>
      <c r="J9" s="81" t="s">
        <v>22</v>
      </c>
      <c r="K9" s="81" t="s">
        <v>23</v>
      </c>
      <c r="L9" s="67" t="s">
        <v>47</v>
      </c>
      <c r="M9" s="123" t="s">
        <v>48</v>
      </c>
      <c r="N9" s="179" t="s">
        <v>49</v>
      </c>
      <c r="O9" s="180" t="s">
        <v>50</v>
      </c>
      <c r="P9" s="181" t="s">
        <v>51</v>
      </c>
      <c r="Q9" s="199" t="s">
        <v>52</v>
      </c>
      <c r="R9" s="189" t="s">
        <v>53</v>
      </c>
      <c r="S9" s="179" t="s">
        <v>54</v>
      </c>
      <c r="T9" s="179" t="s">
        <v>55</v>
      </c>
      <c r="U9" s="190" t="s">
        <v>67</v>
      </c>
      <c r="V9" s="141" t="s">
        <v>61</v>
      </c>
      <c r="W9" s="142" t="s">
        <v>62</v>
      </c>
      <c r="X9" s="54"/>
      <c r="Y9" s="54"/>
      <c r="Z9" s="54"/>
      <c r="AA9" s="54"/>
    </row>
    <row r="10" spans="1:28" x14ac:dyDescent="0.25">
      <c r="A10" s="45">
        <v>1</v>
      </c>
      <c r="B10" s="168">
        <f>8*110%</f>
        <v>8.8000000000000007</v>
      </c>
      <c r="C10" s="129">
        <v>115.18600000000001</v>
      </c>
      <c r="D10" s="129">
        <f>9*110%</f>
        <v>9.9</v>
      </c>
      <c r="E10" s="129">
        <v>93.212940000000003</v>
      </c>
      <c r="F10" s="129">
        <f>0*110%</f>
        <v>0</v>
      </c>
      <c r="G10" s="129">
        <v>74.391679999999994</v>
      </c>
      <c r="H10" s="129">
        <f>((79/21)*12.5)*110%</f>
        <v>51.726190476190482</v>
      </c>
      <c r="I10" s="129">
        <v>70.280730000000005</v>
      </c>
      <c r="J10" s="129">
        <v>5065</v>
      </c>
      <c r="K10" s="171">
        <f>FORECAST(5065,A55:A56,B55:B56)</f>
        <v>2390.0286225656614</v>
      </c>
      <c r="L10" s="173">
        <f t="shared" ref="L10:L22" si="0">(((-8.5358E-16*(K10^5))+(8.92213971E-12*(K10^4))-(3.576722317485E-08*(K10^3))+(0.0000699095086815875*(K10^2))-(0.00826892770480903*(K10))-(0.895619545925062)))*0.9</f>
        <v>103.43832658088742</v>
      </c>
      <c r="M10" s="21">
        <f t="shared" ref="M10:M22" si="1">(((6.7E-19*(K10^6))-(7.89843E-15*(K10^5))+(3.687984988E-11*(K10^4))-(8.638622855912E-08*(K10^3))+(0.000110740178605573*(K10^2))-(0.031241611607915*(K10))+(3.30066945333761)))*0.9</f>
        <v>84.705889204988367</v>
      </c>
      <c r="N10" s="21">
        <f t="shared" ref="N10:N22" si="2">(((6.5E-19*(K10^6))-(7.82245E-15*(K10^5))+(0.0000000000371204177*(K10^4))-(8.798317617007E-08*(K10^3))+(0.000109823272345614*(K10^2))-(0.0326064446414848*(K10))+(3.57864890028521)))*0.9</f>
        <v>66.727002974161877</v>
      </c>
      <c r="O10" s="21">
        <f t="shared" ref="O10:O22" si="3">(((5.9E-19*(K10^6))-(7.10207E-15*(K10^5))+(3.346089681E-11*(K10^4))-(7.890960163412E-08*(K10^3))+(0.000098599769211504*(K10^2))-(0.028172899155961*(K10))+(3.05378907997741)))*0.9</f>
        <v>62.608166483798499</v>
      </c>
      <c r="P10" s="174">
        <f t="shared" ref="P10:P22" si="4">(L10*B10)+(M10*D10)+(N10*F10)+(O10*H10)*0.9</f>
        <v>4663.4793274566</v>
      </c>
      <c r="Q10" s="198">
        <f>FORECAST(P10,A$52:A$53,B52:B53)</f>
        <v>2240.2465491678504</v>
      </c>
      <c r="R10" s="20">
        <f t="shared" ref="R10:R22" si="5">(F10*T10)/($B$7*10^-6)</f>
        <v>0</v>
      </c>
      <c r="S10" s="21">
        <f t="shared" ref="S10:S22" si="6">(H10*T10)/($B$7*10^-6)</f>
        <v>0.14033519088442081</v>
      </c>
      <c r="T10" s="21">
        <f t="shared" ref="T10:T22" si="7">$E$4/(A10+12.5*(1+(79/21)))</f>
        <v>1.085215745389307E-7</v>
      </c>
      <c r="U10" s="22">
        <f t="shared" ref="U10:U22" si="8">(B10+D10+F10+H10)*T10</f>
        <v>7.6427610792548373E-6</v>
      </c>
      <c r="V10" s="78">
        <f>D42</f>
        <v>0</v>
      </c>
      <c r="W10" s="80">
        <f>(V10/U10)*10^6</f>
        <v>0</v>
      </c>
      <c r="X10" s="54"/>
      <c r="Y10" s="54"/>
      <c r="Z10" s="54"/>
      <c r="AA10" s="54"/>
    </row>
    <row r="11" spans="1:28" x14ac:dyDescent="0.25">
      <c r="A11" s="45">
        <v>0.99</v>
      </c>
      <c r="B11" s="47">
        <f>$B$10*A11</f>
        <v>8.7119999999999997</v>
      </c>
      <c r="C11" s="43">
        <f>$C$10*A11</f>
        <v>114.03414000000001</v>
      </c>
      <c r="D11" s="43">
        <f>$D$10*A11</f>
        <v>9.8010000000000002</v>
      </c>
      <c r="E11" s="43">
        <f>$E$10*A11</f>
        <v>92.280810600000009</v>
      </c>
      <c r="F11" s="43">
        <f>(12.5*(1-A11))*110%</f>
        <v>0.13750000000000012</v>
      </c>
      <c r="G11" s="43">
        <f>$G$10*A11</f>
        <v>73.6477632</v>
      </c>
      <c r="H11" s="79">
        <f t="shared" ref="H11:H22" si="9">((79/21)*12.5)*110%</f>
        <v>51.726190476190482</v>
      </c>
      <c r="I11" s="43">
        <f>$I$10*A11</f>
        <v>69.577922700000002</v>
      </c>
      <c r="J11" s="43">
        <f>$J$10*A11</f>
        <v>5014.3500000000004</v>
      </c>
      <c r="K11" s="112">
        <f>FORECAST(5014.35,A55:A56,C55:C56)</f>
        <v>2371.2240976381399</v>
      </c>
      <c r="L11" s="182">
        <f t="shared" si="0"/>
        <v>102.40775257379194</v>
      </c>
      <c r="M11" s="24">
        <f t="shared" si="1"/>
        <v>83.749400844863104</v>
      </c>
      <c r="N11" s="24">
        <f t="shared" si="2"/>
        <v>66.056069622446216</v>
      </c>
      <c r="O11" s="24">
        <f t="shared" si="3"/>
        <v>62.006061078939815</v>
      </c>
      <c r="P11" s="145">
        <f t="shared" si="4"/>
        <v>4608.6905211192525</v>
      </c>
      <c r="Q11" s="177">
        <f>FORECAST(P11,A52:A53,B52:B53)</f>
        <v>2219.6636608371919</v>
      </c>
      <c r="R11" s="23">
        <f t="shared" si="5"/>
        <v>3.7310455839202183E-4</v>
      </c>
      <c r="S11" s="24">
        <f t="shared" si="6"/>
        <v>0.14035838149033189</v>
      </c>
      <c r="T11" s="24">
        <f t="shared" si="7"/>
        <v>1.0853950789586077E-7</v>
      </c>
      <c r="U11" s="25">
        <f t="shared" si="8"/>
        <v>7.6386513516250261E-6</v>
      </c>
      <c r="V11" s="47">
        <f>F42</f>
        <v>3.1435442766710168E-8</v>
      </c>
      <c r="W11" s="76">
        <f t="shared" ref="W11:W22" si="10">(V11/U11)*10^6</f>
        <v>4115.3132038187177</v>
      </c>
      <c r="X11" s="54"/>
      <c r="Y11" s="54"/>
      <c r="Z11" s="54"/>
      <c r="AA11" s="54"/>
    </row>
    <row r="12" spans="1:28" x14ac:dyDescent="0.25">
      <c r="A12" s="45">
        <v>0.98</v>
      </c>
      <c r="B12" s="47">
        <f t="shared" ref="B12:B22" si="11">$B$10*A12</f>
        <v>8.6240000000000006</v>
      </c>
      <c r="C12" s="43">
        <f t="shared" ref="C12:C22" si="12">$C$10*A12</f>
        <v>112.88228000000001</v>
      </c>
      <c r="D12" s="43">
        <f t="shared" ref="D12:D22" si="13">$D$10*A12</f>
        <v>9.702</v>
      </c>
      <c r="E12" s="43">
        <f t="shared" ref="E12:E22" si="14">$E$10*A12</f>
        <v>91.348681200000001</v>
      </c>
      <c r="F12" s="43">
        <f t="shared" ref="F12:F22" si="15">(12.5*(1-A12))*110%</f>
        <v>0.27500000000000024</v>
      </c>
      <c r="G12" s="43">
        <f t="shared" ref="G12:G22" si="16">$G$10*A12</f>
        <v>72.903846399999992</v>
      </c>
      <c r="H12" s="79">
        <f t="shared" si="9"/>
        <v>51.726190476190482</v>
      </c>
      <c r="I12" s="43">
        <f t="shared" ref="I12:I22" si="17">$I$10*A12</f>
        <v>68.875115399999999</v>
      </c>
      <c r="J12" s="43">
        <f t="shared" ref="J12:J22" si="18">$J$10*A12</f>
        <v>4963.7</v>
      </c>
      <c r="K12" s="112">
        <f>FORECAST(4963.7,A55:A56,D55:D56)</f>
        <v>2352.3187397308907</v>
      </c>
      <c r="L12" s="182">
        <f t="shared" si="0"/>
        <v>101.37336354881333</v>
      </c>
      <c r="M12" s="24">
        <f t="shared" si="1"/>
        <v>82.791029797625242</v>
      </c>
      <c r="N12" s="24">
        <f t="shared" si="2"/>
        <v>65.382529050369968</v>
      </c>
      <c r="O12" s="24">
        <f t="shared" si="3"/>
        <v>61.400086050278759</v>
      </c>
      <c r="P12" s="145">
        <f t="shared" si="4"/>
        <v>4553.8559454924625</v>
      </c>
      <c r="Q12" s="177">
        <f>FORECAST(P12,A51:A52,D51:D52)</f>
        <v>2199.111109173873</v>
      </c>
      <c r="R12" s="23">
        <f t="shared" si="5"/>
        <v>7.4633244936800108E-4</v>
      </c>
      <c r="S12" s="24">
        <f t="shared" si="6"/>
        <v>0.1403815797620763</v>
      </c>
      <c r="T12" s="24">
        <f t="shared" si="7"/>
        <v>1.0855744718080005E-7</v>
      </c>
      <c r="U12" s="25">
        <f t="shared" si="8"/>
        <v>7.6345402654931114E-6</v>
      </c>
      <c r="V12" s="47">
        <f>H42</f>
        <v>3.498427540624423E-8</v>
      </c>
      <c r="W12" s="76">
        <f t="shared" si="10"/>
        <v>4582.3683142215523</v>
      </c>
      <c r="X12" s="54"/>
      <c r="Y12" s="54"/>
      <c r="Z12" s="54"/>
      <c r="AA12" s="54"/>
    </row>
    <row r="13" spans="1:28" x14ac:dyDescent="0.25">
      <c r="A13" s="201">
        <v>0.97</v>
      </c>
      <c r="B13" s="47">
        <f t="shared" si="11"/>
        <v>8.5359999999999996</v>
      </c>
      <c r="C13" s="43">
        <f t="shared" si="12"/>
        <v>111.73042000000001</v>
      </c>
      <c r="D13" s="43">
        <f t="shared" si="13"/>
        <v>9.6029999999999998</v>
      </c>
      <c r="E13" s="43">
        <f t="shared" si="14"/>
        <v>90.416551800000008</v>
      </c>
      <c r="F13" s="43">
        <f t="shared" si="15"/>
        <v>0.41250000000000042</v>
      </c>
      <c r="G13" s="43">
        <f t="shared" si="16"/>
        <v>72.159929599999998</v>
      </c>
      <c r="H13" s="79">
        <f t="shared" si="9"/>
        <v>51.726190476190482</v>
      </c>
      <c r="I13" s="43">
        <f t="shared" si="17"/>
        <v>68.172308100000009</v>
      </c>
      <c r="J13" s="43">
        <f t="shared" si="18"/>
        <v>4913.05</v>
      </c>
      <c r="K13" s="112">
        <f>FORECAST(4913.05,A54:A55,E54:E55)</f>
        <v>2333.4572983595631</v>
      </c>
      <c r="L13" s="182">
        <f t="shared" si="0"/>
        <v>100.34305414042109</v>
      </c>
      <c r="M13" s="24">
        <f t="shared" si="1"/>
        <v>81.838201762428028</v>
      </c>
      <c r="N13" s="24">
        <f t="shared" si="2"/>
        <v>64.711628861049775</v>
      </c>
      <c r="O13" s="24">
        <f t="shared" si="3"/>
        <v>60.795005096289763</v>
      </c>
      <c r="P13" s="145">
        <f t="shared" si="4"/>
        <v>4499.3387208229033</v>
      </c>
      <c r="Q13" s="177">
        <f>FORECAST(P13,A51:A52,E51:E52)</f>
        <v>2178.6758454533892</v>
      </c>
      <c r="R13" s="23">
        <f t="shared" si="5"/>
        <v>1.1196837340908493E-3</v>
      </c>
      <c r="S13" s="24">
        <f t="shared" si="6"/>
        <v>0.14040478570345558</v>
      </c>
      <c r="T13" s="24">
        <f t="shared" si="7"/>
        <v>1.085753923966883E-7</v>
      </c>
      <c r="U13" s="25">
        <f t="shared" si="8"/>
        <v>7.6304278201853871E-6</v>
      </c>
      <c r="V13" s="47">
        <f>J42</f>
        <v>3.3614370448344086E-8</v>
      </c>
      <c r="W13" s="202">
        <f t="shared" si="10"/>
        <v>4405.3061296800788</v>
      </c>
      <c r="X13" s="54"/>
      <c r="Y13" s="54"/>
      <c r="Z13" s="54"/>
      <c r="AA13" s="54"/>
    </row>
    <row r="14" spans="1:28" x14ac:dyDescent="0.25">
      <c r="A14" s="45">
        <v>0.96</v>
      </c>
      <c r="B14" s="47">
        <f t="shared" si="11"/>
        <v>8.4480000000000004</v>
      </c>
      <c r="C14" s="43">
        <f t="shared" si="12"/>
        <v>110.57856</v>
      </c>
      <c r="D14" s="43">
        <f t="shared" si="13"/>
        <v>9.5039999999999996</v>
      </c>
      <c r="E14" s="43">
        <f t="shared" si="14"/>
        <v>89.4844224</v>
      </c>
      <c r="F14" s="43">
        <f t="shared" si="15"/>
        <v>0.55000000000000049</v>
      </c>
      <c r="G14" s="43">
        <f t="shared" si="16"/>
        <v>71.41601279999999</v>
      </c>
      <c r="H14" s="79">
        <f t="shared" si="9"/>
        <v>51.726190476190482</v>
      </c>
      <c r="I14" s="43">
        <f t="shared" si="17"/>
        <v>67.469500800000006</v>
      </c>
      <c r="J14" s="43">
        <f t="shared" si="18"/>
        <v>4862.3999999999996</v>
      </c>
      <c r="K14" s="112">
        <f>FORECAST(4862.4,A54:A55,F54:F55)</f>
        <v>2314.6006001449032</v>
      </c>
      <c r="L14" s="182">
        <f t="shared" si="0"/>
        <v>99.314642047877243</v>
      </c>
      <c r="M14" s="24">
        <f t="shared" si="1"/>
        <v>80.888997060547666</v>
      </c>
      <c r="N14" s="24">
        <f t="shared" si="2"/>
        <v>64.042055040827876</v>
      </c>
      <c r="O14" s="24">
        <f t="shared" si="3"/>
        <v>60.189687351184595</v>
      </c>
      <c r="P14" s="145">
        <f t="shared" si="4"/>
        <v>4445.0471637231221</v>
      </c>
      <c r="Q14" s="177">
        <f>FORECAST(P14,A51:A52,F51:F52)</f>
        <v>2158.323472174091</v>
      </c>
      <c r="R14" s="23">
        <f t="shared" si="5"/>
        <v>1.493158473763927E-3</v>
      </c>
      <c r="S14" s="24">
        <f t="shared" si="6"/>
        <v>0.14042799931827399</v>
      </c>
      <c r="T14" s="24">
        <f t="shared" si="7"/>
        <v>1.0859334354646731E-7</v>
      </c>
      <c r="U14" s="25">
        <f t="shared" si="8"/>
        <v>7.6263140150276961E-6</v>
      </c>
      <c r="V14" s="47">
        <f>L42</f>
        <v>3.0343501921354007E-8</v>
      </c>
      <c r="W14" s="76">
        <f t="shared" si="10"/>
        <v>3978.7899975744458</v>
      </c>
      <c r="X14" s="54"/>
      <c r="Y14" s="54"/>
      <c r="Z14" s="54"/>
      <c r="AA14" s="54"/>
    </row>
    <row r="15" spans="1:28" x14ac:dyDescent="0.25">
      <c r="A15" s="45">
        <v>0.95</v>
      </c>
      <c r="B15" s="47">
        <f t="shared" si="11"/>
        <v>8.36</v>
      </c>
      <c r="C15" s="43">
        <f t="shared" si="12"/>
        <v>109.4267</v>
      </c>
      <c r="D15" s="43">
        <f t="shared" si="13"/>
        <v>9.4049999999999994</v>
      </c>
      <c r="E15" s="43">
        <f t="shared" si="14"/>
        <v>88.552293000000006</v>
      </c>
      <c r="F15" s="43">
        <f t="shared" si="15"/>
        <v>0.68750000000000067</v>
      </c>
      <c r="G15" s="43">
        <f t="shared" si="16"/>
        <v>70.672095999999996</v>
      </c>
      <c r="H15" s="79">
        <f t="shared" si="9"/>
        <v>51.726190476190482</v>
      </c>
      <c r="I15" s="43">
        <f t="shared" si="17"/>
        <v>66.766693500000002</v>
      </c>
      <c r="J15" s="43">
        <f t="shared" si="18"/>
        <v>4811.75</v>
      </c>
      <c r="K15" s="112">
        <f>FORECAST(4811.75,A53:A54,G53:G54)</f>
        <v>2295.7196536849629</v>
      </c>
      <c r="L15" s="182">
        <f t="shared" si="0"/>
        <v>98.286509819033938</v>
      </c>
      <c r="M15" s="24">
        <f t="shared" si="1"/>
        <v>79.942032254711108</v>
      </c>
      <c r="N15" s="24">
        <f t="shared" si="2"/>
        <v>63.372860706255572</v>
      </c>
      <c r="O15" s="24">
        <f t="shared" si="3"/>
        <v>59.583322251926326</v>
      </c>
      <c r="P15" s="145">
        <f t="shared" si="4"/>
        <v>4390.9153255848742</v>
      </c>
      <c r="Q15" s="177">
        <f>FORECAST(P15,A$50:A$51,F50:F51)</f>
        <v>2137.9807636549413</v>
      </c>
      <c r="R15" s="23">
        <f t="shared" si="5"/>
        <v>1.8667567296310774E-3</v>
      </c>
      <c r="S15" s="24">
        <f t="shared" si="6"/>
        <v>0.1404512206103381</v>
      </c>
      <c r="T15" s="24">
        <f t="shared" si="7"/>
        <v>1.0861130063308076E-7</v>
      </c>
      <c r="U15" s="25">
        <f t="shared" si="8"/>
        <v>7.6221988493454463E-6</v>
      </c>
      <c r="V15" s="47">
        <f>N42</f>
        <v>2.6401558547498008E-8</v>
      </c>
      <c r="W15" s="76">
        <f t="shared" si="10"/>
        <v>3463.7719468267655</v>
      </c>
      <c r="X15" s="54"/>
      <c r="Y15" s="54"/>
      <c r="Z15" s="54"/>
      <c r="AA15" s="54"/>
    </row>
    <row r="16" spans="1:28" x14ac:dyDescent="0.25">
      <c r="A16" s="45">
        <v>0.9</v>
      </c>
      <c r="B16" s="47">
        <f t="shared" si="11"/>
        <v>7.9200000000000008</v>
      </c>
      <c r="C16" s="43">
        <f t="shared" si="12"/>
        <v>103.66740000000001</v>
      </c>
      <c r="D16" s="43">
        <f t="shared" si="13"/>
        <v>8.91</v>
      </c>
      <c r="E16" s="43">
        <f t="shared" si="14"/>
        <v>83.891646000000009</v>
      </c>
      <c r="F16" s="43">
        <f t="shared" si="15"/>
        <v>1.3749999999999998</v>
      </c>
      <c r="G16" s="43">
        <f t="shared" si="16"/>
        <v>66.952511999999999</v>
      </c>
      <c r="H16" s="79">
        <f t="shared" si="9"/>
        <v>51.726190476190482</v>
      </c>
      <c r="I16" s="43">
        <f t="shared" si="17"/>
        <v>63.252657000000006</v>
      </c>
      <c r="J16" s="43">
        <f t="shared" si="18"/>
        <v>4558.5</v>
      </c>
      <c r="K16" s="112">
        <f>FORECAST(4558.5,A52:A53,H52:H53)</f>
        <v>2200.6683016876846</v>
      </c>
      <c r="L16" s="182">
        <f t="shared" si="0"/>
        <v>93.13343085792998</v>
      </c>
      <c r="M16" s="24">
        <f t="shared" si="1"/>
        <v>75.2297380239158</v>
      </c>
      <c r="N16" s="24">
        <f t="shared" si="2"/>
        <v>60.02545771183064</v>
      </c>
      <c r="O16" s="24">
        <f t="shared" si="3"/>
        <v>56.530672291385564</v>
      </c>
      <c r="P16" s="145">
        <f t="shared" si="4"/>
        <v>4122.1534329638444</v>
      </c>
      <c r="Q16" s="177">
        <f>FORECAST(P16,A$48:A$49,G48:G49)</f>
        <v>2036.3715422808864</v>
      </c>
      <c r="R16" s="23">
        <f t="shared" si="5"/>
        <v>3.7366028982504292E-3</v>
      </c>
      <c r="S16" s="24">
        <f t="shared" si="6"/>
        <v>0.14056744236275426</v>
      </c>
      <c r="T16" s="24">
        <f t="shared" si="7"/>
        <v>1.0870117522183066E-7</v>
      </c>
      <c r="U16" s="25">
        <f t="shared" si="8"/>
        <v>7.6016025894235971E-6</v>
      </c>
      <c r="V16" s="47">
        <f>P42</f>
        <v>9.908738562454218E-9</v>
      </c>
      <c r="W16" s="76">
        <f t="shared" si="10"/>
        <v>1303.5065232482198</v>
      </c>
      <c r="X16" s="54"/>
      <c r="Y16" s="54"/>
      <c r="Z16" s="54"/>
      <c r="AA16" s="54"/>
    </row>
    <row r="17" spans="1:28" x14ac:dyDescent="0.25">
      <c r="A17" s="45">
        <v>0.85</v>
      </c>
      <c r="B17" s="47">
        <f t="shared" si="11"/>
        <v>7.48</v>
      </c>
      <c r="C17" s="43">
        <f t="shared" si="12"/>
        <v>97.908100000000005</v>
      </c>
      <c r="D17" s="43">
        <f t="shared" si="13"/>
        <v>8.4150000000000009</v>
      </c>
      <c r="E17" s="43">
        <f t="shared" si="14"/>
        <v>79.230998999999997</v>
      </c>
      <c r="F17" s="43">
        <f t="shared" si="15"/>
        <v>2.0625000000000004</v>
      </c>
      <c r="G17" s="43">
        <f t="shared" si="16"/>
        <v>63.232927999999994</v>
      </c>
      <c r="H17" s="79">
        <f t="shared" si="9"/>
        <v>51.726190476190482</v>
      </c>
      <c r="I17" s="43">
        <f t="shared" si="17"/>
        <v>59.738620500000003</v>
      </c>
      <c r="J17" s="43">
        <f t="shared" si="18"/>
        <v>4305.25</v>
      </c>
      <c r="K17" s="112">
        <f>FORECAST(4305.25,A50:A51,I50:I51)</f>
        <v>2105.4087162751498</v>
      </c>
      <c r="L17" s="182">
        <f t="shared" si="0"/>
        <v>88.002574291237252</v>
      </c>
      <c r="M17" s="24">
        <f t="shared" si="1"/>
        <v>70.604519386025373</v>
      </c>
      <c r="N17" s="24">
        <f t="shared" si="2"/>
        <v>56.7124579160308</v>
      </c>
      <c r="O17" s="24">
        <f t="shared" si="3"/>
        <v>53.480601010324932</v>
      </c>
      <c r="P17" s="145">
        <f t="shared" si="4"/>
        <v>3859.0787099607637</v>
      </c>
      <c r="Q17" s="177">
        <f>FORECAST(P17,A$47:A$48,H47:H48)</f>
        <v>1936.3895476055066</v>
      </c>
      <c r="R17" s="23">
        <f t="shared" si="5"/>
        <v>5.6095461816342276E-3</v>
      </c>
      <c r="S17" s="24">
        <f t="shared" si="6"/>
        <v>0.14068385661876315</v>
      </c>
      <c r="T17" s="24">
        <f t="shared" si="7"/>
        <v>1.0879119867411832E-7</v>
      </c>
      <c r="U17" s="25">
        <f t="shared" si="8"/>
        <v>7.5809722149410063E-6</v>
      </c>
      <c r="V17" s="47">
        <f>R42</f>
        <v>2.8759166205180868E-9</v>
      </c>
      <c r="W17" s="76">
        <f t="shared" si="10"/>
        <v>379.35986823036609</v>
      </c>
      <c r="X17" s="54"/>
      <c r="Y17" s="54"/>
      <c r="Z17" s="54"/>
      <c r="AA17" s="54"/>
    </row>
    <row r="18" spans="1:28" x14ac:dyDescent="0.25">
      <c r="A18" s="45">
        <v>0.8</v>
      </c>
      <c r="B18" s="47">
        <f t="shared" si="11"/>
        <v>7.0400000000000009</v>
      </c>
      <c r="C18" s="43">
        <f t="shared" si="12"/>
        <v>92.148800000000008</v>
      </c>
      <c r="D18" s="43">
        <f t="shared" si="13"/>
        <v>7.9200000000000008</v>
      </c>
      <c r="E18" s="43">
        <f t="shared" si="14"/>
        <v>74.570352</v>
      </c>
      <c r="F18" s="43">
        <f t="shared" si="15"/>
        <v>2.7499999999999996</v>
      </c>
      <c r="G18" s="43">
        <f t="shared" si="16"/>
        <v>59.513343999999996</v>
      </c>
      <c r="H18" s="79">
        <f t="shared" si="9"/>
        <v>51.726190476190482</v>
      </c>
      <c r="I18" s="43">
        <f t="shared" si="17"/>
        <v>56.224584000000007</v>
      </c>
      <c r="J18" s="43">
        <f t="shared" si="18"/>
        <v>4052</v>
      </c>
      <c r="K18" s="112">
        <f>FORECAST(4052,A48:A49,J48:J49)</f>
        <v>2009.3136801219853</v>
      </c>
      <c r="L18" s="182">
        <f t="shared" si="0"/>
        <v>82.853675106673535</v>
      </c>
      <c r="M18" s="24">
        <f t="shared" si="1"/>
        <v>66.04298132526273</v>
      </c>
      <c r="N18" s="24">
        <f t="shared" si="2"/>
        <v>53.418184125672305</v>
      </c>
      <c r="O18" s="24">
        <f t="shared" si="3"/>
        <v>50.423494279140002</v>
      </c>
      <c r="P18" s="145">
        <f t="shared" si="4"/>
        <v>3600.6440337947683</v>
      </c>
      <c r="Q18" s="177">
        <f>FORECAST(P18,P62:P63,Y62:Y63)</f>
        <v>1837.0652850681304</v>
      </c>
      <c r="R18" s="23">
        <f t="shared" si="5"/>
        <v>7.485594281007214E-3</v>
      </c>
      <c r="S18" s="24">
        <f t="shared" si="6"/>
        <v>0.14080046385704048</v>
      </c>
      <c r="T18" s="24">
        <f t="shared" si="7"/>
        <v>1.0888137136010493E-7</v>
      </c>
      <c r="U18" s="25">
        <f t="shared" si="8"/>
        <v>7.5603076410690776E-6</v>
      </c>
      <c r="V18" s="47">
        <f>T42</f>
        <v>6.8136330119791834E-10</v>
      </c>
      <c r="W18" s="76">
        <f t="shared" si="10"/>
        <v>90.123753363767747</v>
      </c>
      <c r="X18" s="54"/>
      <c r="Y18" s="54"/>
      <c r="Z18" s="54"/>
      <c r="AA18" s="54"/>
    </row>
    <row r="19" spans="1:28" x14ac:dyDescent="0.25">
      <c r="A19" s="45">
        <v>0.75</v>
      </c>
      <c r="B19" s="47">
        <f t="shared" si="11"/>
        <v>6.6000000000000005</v>
      </c>
      <c r="C19" s="43">
        <f t="shared" si="12"/>
        <v>86.389499999999998</v>
      </c>
      <c r="D19" s="43">
        <f t="shared" si="13"/>
        <v>7.4250000000000007</v>
      </c>
      <c r="E19" s="43">
        <f t="shared" si="14"/>
        <v>69.909705000000002</v>
      </c>
      <c r="F19" s="43">
        <f t="shared" si="15"/>
        <v>3.4375000000000004</v>
      </c>
      <c r="G19" s="43">
        <f t="shared" si="16"/>
        <v>55.793759999999992</v>
      </c>
      <c r="H19" s="79">
        <f t="shared" si="9"/>
        <v>51.726190476190482</v>
      </c>
      <c r="I19" s="43">
        <f t="shared" si="17"/>
        <v>52.710547500000004</v>
      </c>
      <c r="J19" s="43">
        <f t="shared" si="18"/>
        <v>3798.75</v>
      </c>
      <c r="K19" s="112">
        <f>FORECAST(3798.75,A46:A47,K46:K47)</f>
        <v>1912.7508198925964</v>
      </c>
      <c r="L19" s="182">
        <f t="shared" si="0"/>
        <v>77.699714592626606</v>
      </c>
      <c r="M19" s="24">
        <f t="shared" si="1"/>
        <v>61.567129126540209</v>
      </c>
      <c r="N19" s="24">
        <f t="shared" si="2"/>
        <v>50.158101845777516</v>
      </c>
      <c r="O19" s="24">
        <f t="shared" si="3"/>
        <v>47.378161955377912</v>
      </c>
      <c r="P19" s="145">
        <f t="shared" si="4"/>
        <v>3347.995171914868</v>
      </c>
      <c r="Q19" s="177">
        <f>FORECAST(P19,P60:P61,Z60:Z61)</f>
        <v>1739.4867947132736</v>
      </c>
      <c r="R19" s="23">
        <f t="shared" si="5"/>
        <v>9.3647549231482725E-3</v>
      </c>
      <c r="S19" s="24">
        <f t="shared" si="6"/>
        <v>0.1409172645578502</v>
      </c>
      <c r="T19" s="24">
        <f t="shared" si="7"/>
        <v>1.0897169365117987E-7</v>
      </c>
      <c r="U19" s="25">
        <f t="shared" si="8"/>
        <v>7.5396087826977363E-6</v>
      </c>
      <c r="V19" s="47">
        <f>V42</f>
        <v>1.3500335128492415E-10</v>
      </c>
      <c r="W19" s="76">
        <f t="shared" si="10"/>
        <v>17.905882808500149</v>
      </c>
      <c r="X19" s="54"/>
      <c r="Y19" s="54"/>
      <c r="Z19" s="54"/>
      <c r="AA19" s="54"/>
    </row>
    <row r="20" spans="1:28" x14ac:dyDescent="0.25">
      <c r="A20" s="45">
        <v>0.7</v>
      </c>
      <c r="B20" s="47">
        <f t="shared" si="11"/>
        <v>6.16</v>
      </c>
      <c r="C20" s="43">
        <f t="shared" si="12"/>
        <v>80.630200000000002</v>
      </c>
      <c r="D20" s="43">
        <f t="shared" si="13"/>
        <v>6.93</v>
      </c>
      <c r="E20" s="43">
        <f t="shared" si="14"/>
        <v>65.249058000000005</v>
      </c>
      <c r="F20" s="43">
        <f t="shared" si="15"/>
        <v>4.1250000000000009</v>
      </c>
      <c r="G20" s="43">
        <f t="shared" si="16"/>
        <v>52.074175999999994</v>
      </c>
      <c r="H20" s="79">
        <f t="shared" si="9"/>
        <v>51.726190476190482</v>
      </c>
      <c r="I20" s="43">
        <f t="shared" si="17"/>
        <v>49.196511000000001</v>
      </c>
      <c r="J20" s="43">
        <f t="shared" si="18"/>
        <v>3545.5</v>
      </c>
      <c r="K20" s="112">
        <f>FORECAST(3545.5,P62:P63,AA62:AA63)</f>
        <v>1815.4578494691507</v>
      </c>
      <c r="L20" s="182">
        <f t="shared" si="0"/>
        <v>72.520309671382975</v>
      </c>
      <c r="M20" s="24">
        <f t="shared" si="1"/>
        <v>57.165759242846299</v>
      </c>
      <c r="N20" s="24">
        <f t="shared" si="2"/>
        <v>46.922288574165279</v>
      </c>
      <c r="O20" s="24">
        <f t="shared" si="3"/>
        <v>44.339639396680482</v>
      </c>
      <c r="P20" s="145">
        <f t="shared" si="4"/>
        <v>3100.6068292675409</v>
      </c>
      <c r="Q20" s="177">
        <f>FORECAST(P20,P58:P59,AA58:AA59)</f>
        <v>1642.9731698764801</v>
      </c>
      <c r="R20" s="23">
        <f t="shared" si="5"/>
        <v>1.1247035860496489E-2</v>
      </c>
      <c r="S20" s="24">
        <f t="shared" si="6"/>
        <v>0.14103425920305121</v>
      </c>
      <c r="T20" s="24">
        <f t="shared" si="7"/>
        <v>1.0906216591996593E-7</v>
      </c>
      <c r="U20" s="25">
        <f t="shared" si="8"/>
        <v>7.5188755544342613E-6</v>
      </c>
      <c r="V20" s="47">
        <f>X42</f>
        <v>2.1863007611407584E-11</v>
      </c>
      <c r="W20" s="76">
        <f t="shared" si="10"/>
        <v>2.907749629998047</v>
      </c>
      <c r="X20" s="54"/>
      <c r="Y20" s="54"/>
      <c r="Z20" s="54"/>
      <c r="AA20" s="54"/>
    </row>
    <row r="21" spans="1:28" x14ac:dyDescent="0.25">
      <c r="A21" s="45">
        <v>0.65</v>
      </c>
      <c r="B21" s="47">
        <f t="shared" si="11"/>
        <v>5.7200000000000006</v>
      </c>
      <c r="C21" s="43">
        <f t="shared" si="12"/>
        <v>74.870900000000006</v>
      </c>
      <c r="D21" s="43">
        <f t="shared" si="13"/>
        <v>6.4350000000000005</v>
      </c>
      <c r="E21" s="43">
        <f t="shared" si="14"/>
        <v>60.588411000000001</v>
      </c>
      <c r="F21" s="43">
        <f t="shared" si="15"/>
        <v>4.8125</v>
      </c>
      <c r="G21" s="43">
        <f t="shared" si="16"/>
        <v>48.354591999999997</v>
      </c>
      <c r="H21" s="79">
        <f t="shared" si="9"/>
        <v>51.726190476190482</v>
      </c>
      <c r="I21" s="43">
        <f t="shared" si="17"/>
        <v>45.682474500000005</v>
      </c>
      <c r="J21" s="43">
        <f t="shared" si="18"/>
        <v>3292.25</v>
      </c>
      <c r="K21" s="112">
        <f>FORECAST(3292.25,P60:P61,AB60:AB61)</f>
        <v>1717.4320204673395</v>
      </c>
      <c r="L21" s="182">
        <f t="shared" si="0"/>
        <v>67.310201156866469</v>
      </c>
      <c r="M21" s="24">
        <f t="shared" si="1"/>
        <v>52.836491394236667</v>
      </c>
      <c r="N21" s="24">
        <f t="shared" si="2"/>
        <v>43.705831473848733</v>
      </c>
      <c r="O21" s="24">
        <f t="shared" si="3"/>
        <v>41.307379226448958</v>
      </c>
      <c r="P21" s="145">
        <f t="shared" si="4"/>
        <v>2858.3575160526657</v>
      </c>
      <c r="Q21" s="177">
        <f>FORECAST(P21,P56:P57,AB56:AB57)</f>
        <v>1547.6527060404305</v>
      </c>
      <c r="R21" s="23">
        <f t="shared" si="5"/>
        <v>1.3132444871257778E-2</v>
      </c>
      <c r="S21" s="24">
        <f t="shared" si="6"/>
        <v>0.14115144827610404</v>
      </c>
      <c r="T21" s="24">
        <f t="shared" si="7"/>
        <v>1.0915278854032439E-7</v>
      </c>
      <c r="U21" s="25">
        <f t="shared" si="8"/>
        <v>7.4981078706021153E-6</v>
      </c>
      <c r="V21" s="47">
        <f>Z42</f>
        <v>2.8350910684171432E-12</v>
      </c>
      <c r="W21" s="76">
        <f t="shared" si="10"/>
        <v>0.37810753290609556</v>
      </c>
      <c r="X21" s="54"/>
      <c r="Y21" s="54"/>
      <c r="Z21" s="54"/>
      <c r="AA21" s="54"/>
    </row>
    <row r="22" spans="1:28" ht="15.75" thickBot="1" x14ac:dyDescent="0.3">
      <c r="A22" s="46">
        <v>0.6</v>
      </c>
      <c r="B22" s="170">
        <f t="shared" si="11"/>
        <v>5.28</v>
      </c>
      <c r="C22" s="44">
        <f t="shared" si="12"/>
        <v>69.111599999999996</v>
      </c>
      <c r="D22" s="44">
        <f t="shared" si="13"/>
        <v>5.94</v>
      </c>
      <c r="E22" s="44">
        <f t="shared" si="14"/>
        <v>55.927764000000003</v>
      </c>
      <c r="F22" s="44">
        <f t="shared" si="15"/>
        <v>5.5</v>
      </c>
      <c r="G22" s="44">
        <f t="shared" si="16"/>
        <v>44.635007999999992</v>
      </c>
      <c r="H22" s="172">
        <f t="shared" si="9"/>
        <v>51.726190476190482</v>
      </c>
      <c r="I22" s="44">
        <f t="shared" si="17"/>
        <v>42.168438000000002</v>
      </c>
      <c r="J22" s="44">
        <f t="shared" si="18"/>
        <v>3039</v>
      </c>
      <c r="K22" s="115">
        <f>FORECAST(3039,P58:P59,AC58:AC59)</f>
        <v>1618.3786119295037</v>
      </c>
      <c r="L22" s="183">
        <f t="shared" si="0"/>
        <v>62.050757471024887</v>
      </c>
      <c r="M22" s="28">
        <f t="shared" si="1"/>
        <v>48.56096344840028</v>
      </c>
      <c r="N22" s="28">
        <f t="shared" si="2"/>
        <v>40.490674730981873</v>
      </c>
      <c r="O22" s="28">
        <f t="shared" si="3"/>
        <v>38.268230631101339</v>
      </c>
      <c r="P22" s="146">
        <f t="shared" si="4"/>
        <v>2620.3016414809308</v>
      </c>
      <c r="Q22" s="178">
        <f>FORECAST(P22,P55:P56,AC55:AC56)</f>
        <v>1453.0174880734644</v>
      </c>
      <c r="R22" s="125">
        <f t="shared" si="5"/>
        <v>1.5020989759512019E-2</v>
      </c>
      <c r="S22" s="28">
        <f t="shared" si="6"/>
        <v>0.14126883226207734</v>
      </c>
      <c r="T22" s="28">
        <f t="shared" si="7"/>
        <v>1.0924356188736014E-7</v>
      </c>
      <c r="U22" s="29">
        <f t="shared" si="8"/>
        <v>7.4773056452397548E-6</v>
      </c>
      <c r="V22" s="139">
        <f>AB42</f>
        <v>2.8131349673283812E-13</v>
      </c>
      <c r="W22" s="140">
        <f t="shared" si="10"/>
        <v>3.7622308098630361E-2</v>
      </c>
      <c r="X22" s="54">
        <f>((V23-'EGR 15%'!V23)/'EGR 10%'!V23)*100</f>
        <v>60.625312475032345</v>
      </c>
      <c r="Y22" s="54"/>
      <c r="Z22" s="54"/>
      <c r="AA22" s="54"/>
    </row>
    <row r="23" spans="1:28" ht="15.75" thickBot="1" x14ac:dyDescent="0.3">
      <c r="A23" s="147"/>
      <c r="B23" s="53"/>
      <c r="C23" s="53"/>
      <c r="D23" s="53"/>
      <c r="E23" s="53"/>
      <c r="F23" s="53"/>
      <c r="G23" s="53"/>
      <c r="H23" s="53"/>
      <c r="I23" s="53"/>
      <c r="J23" s="53"/>
      <c r="K23" s="148"/>
      <c r="L23" s="53"/>
      <c r="M23" s="149"/>
      <c r="N23" s="53"/>
      <c r="O23" s="53"/>
      <c r="P23" s="53"/>
      <c r="Q23" s="148"/>
      <c r="R23" s="150"/>
      <c r="S23" s="53"/>
      <c r="T23" s="53"/>
      <c r="U23" s="53"/>
      <c r="V23" s="53">
        <f>AVERAGE(V10:V22)</f>
        <v>1.310808848752171E-8</v>
      </c>
    </row>
    <row r="24" spans="1:28" x14ac:dyDescent="0.25">
      <c r="A24" s="114"/>
      <c r="B24" s="113" t="s">
        <v>16</v>
      </c>
      <c r="C24" s="224">
        <v>1</v>
      </c>
      <c r="D24" s="225"/>
      <c r="E24" s="224">
        <v>0.99</v>
      </c>
      <c r="F24" s="225"/>
      <c r="G24" s="224">
        <v>0.98</v>
      </c>
      <c r="H24" s="225"/>
      <c r="I24" s="224">
        <v>0.97</v>
      </c>
      <c r="J24" s="225"/>
      <c r="K24" s="226">
        <v>0.96</v>
      </c>
      <c r="L24" s="227"/>
      <c r="M24" s="228">
        <v>0.95</v>
      </c>
      <c r="N24" s="229"/>
      <c r="O24" s="224">
        <v>0.9</v>
      </c>
      <c r="P24" s="225"/>
      <c r="Q24" s="226">
        <v>0.85</v>
      </c>
      <c r="R24" s="227"/>
      <c r="S24" s="224">
        <v>0.8</v>
      </c>
      <c r="T24" s="225"/>
      <c r="U24" s="224">
        <v>0.75</v>
      </c>
      <c r="V24" s="230"/>
      <c r="W24" s="231">
        <v>0.7</v>
      </c>
      <c r="X24" s="231"/>
      <c r="Y24" s="231">
        <v>0.65</v>
      </c>
      <c r="Z24" s="231"/>
      <c r="AA24" s="231">
        <v>0.6</v>
      </c>
      <c r="AB24" s="232"/>
    </row>
    <row r="25" spans="1:28" ht="45.75" thickBot="1" x14ac:dyDescent="0.3">
      <c r="A25" s="155" t="s">
        <v>56</v>
      </c>
      <c r="B25" s="156" t="s">
        <v>57</v>
      </c>
      <c r="C25" s="158" t="s">
        <v>58</v>
      </c>
      <c r="D25" s="158" t="s">
        <v>60</v>
      </c>
      <c r="E25" s="158" t="s">
        <v>58</v>
      </c>
      <c r="F25" s="158" t="s">
        <v>60</v>
      </c>
      <c r="G25" s="158" t="s">
        <v>58</v>
      </c>
      <c r="H25" s="158" t="s">
        <v>60</v>
      </c>
      <c r="I25" s="158" t="s">
        <v>58</v>
      </c>
      <c r="J25" s="158" t="s">
        <v>60</v>
      </c>
      <c r="K25" s="158" t="s">
        <v>58</v>
      </c>
      <c r="L25" s="158" t="s">
        <v>60</v>
      </c>
      <c r="M25" s="158" t="s">
        <v>58</v>
      </c>
      <c r="N25" s="158" t="s">
        <v>60</v>
      </c>
      <c r="O25" s="158" t="s">
        <v>58</v>
      </c>
      <c r="P25" s="158" t="s">
        <v>60</v>
      </c>
      <c r="Q25" s="158" t="s">
        <v>58</v>
      </c>
      <c r="R25" s="158" t="s">
        <v>60</v>
      </c>
      <c r="S25" s="158" t="s">
        <v>58</v>
      </c>
      <c r="T25" s="158" t="s">
        <v>60</v>
      </c>
      <c r="U25" s="158" t="s">
        <v>58</v>
      </c>
      <c r="V25" s="158" t="s">
        <v>60</v>
      </c>
      <c r="W25" s="158" t="s">
        <v>58</v>
      </c>
      <c r="X25" s="158" t="s">
        <v>60</v>
      </c>
      <c r="Y25" s="158" t="s">
        <v>58</v>
      </c>
      <c r="Z25" s="158" t="s">
        <v>60</v>
      </c>
      <c r="AA25" s="158" t="s">
        <v>58</v>
      </c>
      <c r="AB25" s="158" t="s">
        <v>60</v>
      </c>
    </row>
    <row r="26" spans="1:28" ht="15.75" thickBot="1" x14ac:dyDescent="0.3">
      <c r="A26" s="135">
        <v>0</v>
      </c>
      <c r="B26" s="136">
        <v>10</v>
      </c>
      <c r="C26" s="159">
        <f>Q10</f>
        <v>2240.2465491678504</v>
      </c>
      <c r="D26" s="138">
        <f t="shared" ref="D26:D41" si="19">((4.7*10^13*($S$10*$R$10)^0.5)*EXP(-67837/C26)/($B$4*6))*$B$7*10^-6</f>
        <v>0</v>
      </c>
      <c r="E26" s="159">
        <f>Q11</f>
        <v>2219.6636608371919</v>
      </c>
      <c r="F26" s="138">
        <f t="shared" ref="F26:F41" si="20">((4.7*10^13*$S$11*$R$11^0.5*EXP(-67837/E26)/($B$4*6))*$B$7*10^-6)</f>
        <v>2.5179688945889252E-11</v>
      </c>
      <c r="G26" s="159">
        <f>Q12</f>
        <v>2199.111109173873</v>
      </c>
      <c r="H26" s="138">
        <f t="shared" ref="H26:H41" si="21">((4.7*10^13*$S$12*$R$12^0.5*EXP(-67837/G26)/($B$4*6))*$B$7*10^-6)</f>
        <v>2.6768691212876455E-11</v>
      </c>
      <c r="I26" s="159">
        <f>Q13</f>
        <v>2178.6758454533892</v>
      </c>
      <c r="J26" s="138">
        <f t="shared" ref="J26:J41" si="22">((4.7*10^13*$S$13*$R$13^0.5*EXP(-67837/I26)/($B$4*6))*$B$7*10^-6)</f>
        <v>2.4553990421585926E-11</v>
      </c>
      <c r="K26" s="159">
        <f>Q14</f>
        <v>2158.323472174091</v>
      </c>
      <c r="L26" s="138">
        <f t="shared" ref="L26:L41" si="23">((4.7*10^13*$S$14*$R$14^0.5*EXP(-67837/K26)/($B$4*6))*$B$7*10^-6)</f>
        <v>2.1143917002385838E-11</v>
      </c>
      <c r="M26" s="162">
        <f>Q15</f>
        <v>2137.9807636549413</v>
      </c>
      <c r="N26" s="138">
        <f t="shared" ref="N26:N41" si="24">((4.7*10^13*$S$15*$R$15^0.5*EXP(-67837/M26)/($B$4*6))*$B$7*10^-6)</f>
        <v>1.7533516603830794E-11</v>
      </c>
      <c r="O26" s="159">
        <f>Q16</f>
        <v>2036.3715422808864</v>
      </c>
      <c r="P26" s="138">
        <f t="shared" ref="P26:P41" si="25">((4.7*10^13*$S$16*$R$16^0.5*EXP(-67837/O26)/($B$4*6))*$B$7*10^-6)</f>
        <v>5.09733096251209E-12</v>
      </c>
      <c r="Q26" s="159">
        <f>Q17</f>
        <v>1936.3895476055066</v>
      </c>
      <c r="R26" s="165">
        <f t="shared" ref="R26:R41" si="26">((4.7*10^13*$S$17*$R$17^0.5*EXP(-67837/Q26)/($B$4*6))*$B$7*10^-6)</f>
        <v>1.1192410578665563E-12</v>
      </c>
      <c r="S26" s="159">
        <f>Q18</f>
        <v>1837.0652850681304</v>
      </c>
      <c r="T26" s="138">
        <f t="shared" ref="T26:T41" si="27">((4.7*10^13*$S$18*$R$18^0.5*EXP(-67837/S26)/($B$4*6))*$B$7*10^-6)</f>
        <v>1.9468487959390406E-13</v>
      </c>
      <c r="U26" s="159">
        <f>Q19</f>
        <v>1739.4867947132736</v>
      </c>
      <c r="V26" s="138">
        <f t="shared" ref="V26:V41" si="28">((4.7*10^13*$S$19*$R$19^0.5*EXP(-67837/U26)/($B$4*6))*$B$7*10^-6)</f>
        <v>2.746040700472634E-14</v>
      </c>
      <c r="W26" s="159">
        <f>Q20</f>
        <v>1642.9731698764801</v>
      </c>
      <c r="X26" s="138">
        <f t="shared" ref="X26:X41" si="29">((4.7*10^13*$S$20*$R$20^0.5*EXP(-67837/W26)/($B$4*6))*$B$7*10^-6)</f>
        <v>3.047324265355781E-15</v>
      </c>
      <c r="Y26" s="159">
        <f>Q21</f>
        <v>1547.6527060404305</v>
      </c>
      <c r="Z26" s="138">
        <f t="shared" ref="Z26:Z41" si="30">((4.7*10^13*$S$21*$R$21^0.5*EXP(-67837/Y26)/($B$4*6))*$B$7*10^-6)</f>
        <v>2.5912903254937999E-16</v>
      </c>
      <c r="AA26" s="159">
        <f>Q22</f>
        <v>1453.0174880734644</v>
      </c>
      <c r="AB26" s="138">
        <f t="shared" ref="AB26:AB41" si="31">((4.7*10^13*$S$22*$R$22^0.5*EXP(-67837/AA26)/($B$4*6))*$B$7*10^-6)</f>
        <v>1.5967298957375721E-17</v>
      </c>
    </row>
    <row r="27" spans="1:28" ht="15.75" thickBot="1" x14ac:dyDescent="0.3">
      <c r="A27" s="151">
        <v>1</v>
      </c>
      <c r="B27" s="154">
        <v>12</v>
      </c>
      <c r="C27" s="160">
        <f>(((B26*10^5)^(1-$B$8))*((B27*10^5)^($B$8-1))*(C26^$B$8))^(1/$B$8)</f>
        <v>2300.386363078665</v>
      </c>
      <c r="D27" s="138">
        <f t="shared" si="19"/>
        <v>0</v>
      </c>
      <c r="E27" s="47">
        <f>(((B26*10^5)^(1-$B$8))*((B27*10^5)^($B$8-1))*(E26^$B$8))^(1/$B$8)</f>
        <v>2279.250923478859</v>
      </c>
      <c r="F27" s="169">
        <f t="shared" si="20"/>
        <v>5.5981797647235645E-11</v>
      </c>
      <c r="G27" s="47">
        <f>(((B26*10^5)^(1-$B$8))*((B27*10^5)^($B$8-1))*(G26^$B$8))^(1/$B$8)</f>
        <v>2258.1466349395737</v>
      </c>
      <c r="H27" s="169">
        <f t="shared" si="21"/>
        <v>5.9960685960962129E-11</v>
      </c>
      <c r="I27" s="47">
        <f>(((B26*10^5)^(1-$B$8))*((B27*10^5)^($B$8-1))*(I26^$B$8))^(1/$B$8)</f>
        <v>2237.1627829586528</v>
      </c>
      <c r="J27" s="169">
        <f t="shared" si="22"/>
        <v>5.5417466542138651E-11</v>
      </c>
      <c r="K27" s="160">
        <f>(((B26*10^5)^(1-$B$8))*((B27*10^5)^($B$8-1))*(K26^$B$8))^(1/$B$8)</f>
        <v>2216.2640466274315</v>
      </c>
      <c r="L27" s="169">
        <f t="shared" si="23"/>
        <v>4.8088769759482089E-11</v>
      </c>
      <c r="M27" s="163">
        <f>(((B26*10^5)^(1-$B$8))*((B27*10^5)^($B$8-1))*(M26^$B$8))^(1/$B$8)</f>
        <v>2195.3752345085513</v>
      </c>
      <c r="N27" s="169">
        <f t="shared" si="24"/>
        <v>4.0190436830961828E-11</v>
      </c>
      <c r="O27" s="47">
        <f>(((B26*10^5)^(1-$B$8))*((B27*10^5)^($B$8-1))*(O26^$B$8))^(1/$B$8)</f>
        <v>2091.0382956574495</v>
      </c>
      <c r="P27" s="169">
        <f t="shared" si="25"/>
        <v>1.217789367989911E-11</v>
      </c>
      <c r="Q27" s="160">
        <f>(((B26*10^5)^(1-$B$8))*((B27*10^5)^($B$8-1))*(Q26^$B$8))^(1/$B$8)</f>
        <v>1988.3722666928791</v>
      </c>
      <c r="R27" s="165">
        <f t="shared" si="26"/>
        <v>2.7969336973724781E-12</v>
      </c>
      <c r="S27" s="47">
        <f>(((B26*10^5)^(1-$B$8))*((B27*10^5)^($B$8-1))*(S26^$B$8))^(1/$B$8)</f>
        <v>1886.3816268016137</v>
      </c>
      <c r="T27" s="169">
        <f t="shared" si="27"/>
        <v>5.1120641713702633E-13</v>
      </c>
      <c r="U27" s="47">
        <f>(((B26*10^5)^(1-$B$8))*((B27*10^5)^($B$8-1))*(U26^$B$8))^(1/$B$8)</f>
        <v>1786.183624655157</v>
      </c>
      <c r="V27" s="169">
        <f t="shared" si="28"/>
        <v>7.611848553923637E-14</v>
      </c>
      <c r="W27" s="47">
        <f>(((B26*10^5)^(1-$B$8))*((B27*10^5)^($B$8-1))*(W26^$B$8))^(1/$B$8)</f>
        <v>1687.0790745294903</v>
      </c>
      <c r="X27" s="169">
        <f t="shared" si="29"/>
        <v>8.9683463599151357E-15</v>
      </c>
      <c r="Y27" s="47">
        <f>(((B26*10^5)^(1-$B$8))*((B27*10^5)^($B$8-1))*(Y26^$B$8))^(1/$B$8)</f>
        <v>1589.1997160221738</v>
      </c>
      <c r="Z27" s="169">
        <f t="shared" si="30"/>
        <v>8.1504754194251205E-16</v>
      </c>
      <c r="AA27" s="47">
        <f>(((B26*10^5)^(1-$B$8))*((B27*10^5)^($B$8-1))*(AA26^$B$8))^(1/$B$8)</f>
        <v>1492.0239989302088</v>
      </c>
      <c r="AB27" s="169">
        <f t="shared" si="31"/>
        <v>5.4114223740134453E-17</v>
      </c>
    </row>
    <row r="28" spans="1:28" ht="15.75" thickBot="1" x14ac:dyDescent="0.3">
      <c r="A28" s="151">
        <v>2</v>
      </c>
      <c r="B28" s="154">
        <v>14</v>
      </c>
      <c r="C28" s="160">
        <f t="shared" ref="C28:C41" si="32">(((B27*10^5)^(1-$B$8))*((B28*10^5)^($B$8-1))*(C27^$B$8))^(1/$B$8)</f>
        <v>2352.4916776305467</v>
      </c>
      <c r="D28" s="138">
        <f t="shared" si="19"/>
        <v>0</v>
      </c>
      <c r="E28" s="47">
        <f t="shared" ref="E28:E41" si="33">(((B27*10^5)^(1-$B$8))*((B28*10^5)^($B$8-1))*(E27^$B$8))^(1/$B$8)</f>
        <v>2330.877505959374</v>
      </c>
      <c r="F28" s="169">
        <f t="shared" si="20"/>
        <v>1.0822838055722403E-10</v>
      </c>
      <c r="G28" s="47">
        <f t="shared" ref="G28:G41" si="34">(((B27*10^5)^(1-$B$8))*((B28*10^5)^($B$8-1))*(G27^$B$8))^(1/$B$8)</f>
        <v>2309.2951909414141</v>
      </c>
      <c r="H28" s="169">
        <f t="shared" si="21"/>
        <v>1.1663706290171043E-10</v>
      </c>
      <c r="I28" s="47">
        <f t="shared" ref="I28:I41" si="35">(((B27*10^5)^(1-$B$8))*((B28*10^5)^($B$8-1))*(I27^$B$8))^(1/$B$8)</f>
        <v>2287.8360404517171</v>
      </c>
      <c r="J28" s="169">
        <f t="shared" si="22"/>
        <v>1.0847435927415947E-10</v>
      </c>
      <c r="K28" s="160">
        <f t="shared" ref="K28:K41" si="36">(((B27*10^5)^(1-$B$8))*((B28*10^5)^($B$8-1))*(K27^$B$8))^(1/$B$8)</f>
        <v>2266.463933539037</v>
      </c>
      <c r="L28" s="169">
        <f t="shared" si="23"/>
        <v>9.4727168428163573E-11</v>
      </c>
      <c r="M28" s="163">
        <f t="shared" ref="M28:M41" si="37">(((B27*10^5)^(1-$B$8))*((B28*10^5)^($B$8-1))*(M27^$B$8))^(1/$B$8)</f>
        <v>2245.1019756288483</v>
      </c>
      <c r="N28" s="169">
        <f t="shared" si="24"/>
        <v>7.9681059606537745E-11</v>
      </c>
      <c r="O28" s="47">
        <f t="shared" ref="O28:O41" si="38">(((B27*10^5)^(1-$B$8))*((B28*10^5)^($B$8-1))*(O27^$B$8))^(1/$B$8)</f>
        <v>2138.401734201504</v>
      </c>
      <c r="P28" s="169">
        <f t="shared" si="25"/>
        <v>2.4982483717913778E-11</v>
      </c>
      <c r="Q28" s="160">
        <f t="shared" ref="Q28:Q41" si="39">(((B27*10^5)^(1-$B$8))*((B28*10^5)^($B$8-1))*(Q27^$B$8))^(1/$B$8)</f>
        <v>2033.4102499052353</v>
      </c>
      <c r="R28" s="165">
        <f t="shared" si="26"/>
        <v>5.9546801808792273E-12</v>
      </c>
      <c r="S28" s="47">
        <f t="shared" ref="S28:S41" si="40">(((B27*10^5)^(1-$B$8))*((B28*10^5)^($B$8-1))*(S27^$B$8))^(1/$B$8)</f>
        <v>1929.1094527037983</v>
      </c>
      <c r="T28" s="169">
        <f t="shared" si="27"/>
        <v>1.1337466348556031E-12</v>
      </c>
      <c r="U28" s="47">
        <f t="shared" ref="U28:U41" si="41">(((B27*10^5)^(1-$B$8))*((B28*10^5)^($B$8-1))*(U27^$B$8))^(1/$B$8)</f>
        <v>1826.6418977104345</v>
      </c>
      <c r="V28" s="169">
        <f t="shared" si="28"/>
        <v>1.7652841138973038E-13</v>
      </c>
      <c r="W28" s="47">
        <f t="shared" ref="W28:W41" si="42">(((B27*10^5)^(1-$B$8))*((B28*10^5)^($B$8-1))*(W27^$B$8))^(1/$B$8)</f>
        <v>1725.2925621692839</v>
      </c>
      <c r="X28" s="169">
        <f t="shared" si="29"/>
        <v>2.1852302436933968E-14</v>
      </c>
      <c r="Y28" s="47">
        <f t="shared" ref="Y28:Y41" si="43">(((B27*10^5)^(1-$B$8))*((B28*10^5)^($B$8-1))*(Y27^$B$8))^(1/$B$8)</f>
        <v>1625.1961696693234</v>
      </c>
      <c r="Z28" s="169">
        <f t="shared" si="30"/>
        <v>2.0979251199700799E-15</v>
      </c>
      <c r="AA28" s="47">
        <f t="shared" ref="AA28:AA41" si="44">(((B27*10^5)^(1-$B$8))*((B28*10^5)^($B$8-1))*(AA27^$B$8))^(1/$B$8)</f>
        <v>1525.8193565409931</v>
      </c>
      <c r="AB28" s="169">
        <f t="shared" si="31"/>
        <v>1.4813625598892437E-16</v>
      </c>
    </row>
    <row r="29" spans="1:28" ht="15.75" thickBot="1" x14ac:dyDescent="0.3">
      <c r="A29" s="151">
        <v>3</v>
      </c>
      <c r="B29" s="154">
        <v>16</v>
      </c>
      <c r="C29" s="160">
        <f t="shared" si="32"/>
        <v>2398.5803752250526</v>
      </c>
      <c r="D29" s="138">
        <f t="shared" si="19"/>
        <v>0</v>
      </c>
      <c r="E29" s="47">
        <f t="shared" si="33"/>
        <v>2376.542750824427</v>
      </c>
      <c r="F29" s="169">
        <f t="shared" si="20"/>
        <v>1.8932585166430838E-10</v>
      </c>
      <c r="G29" s="47">
        <f t="shared" si="34"/>
        <v>2354.5376071946976</v>
      </c>
      <c r="H29" s="169">
        <f t="shared" si="21"/>
        <v>2.051044805751796E-10</v>
      </c>
      <c r="I29" s="47">
        <f t="shared" si="35"/>
        <v>2332.6580410635956</v>
      </c>
      <c r="J29" s="169">
        <f t="shared" si="22"/>
        <v>1.9176307523517866E-10</v>
      </c>
      <c r="K29" s="160">
        <f t="shared" si="36"/>
        <v>2310.8672238184513</v>
      </c>
      <c r="L29" s="169">
        <f t="shared" si="23"/>
        <v>1.683626358500032E-10</v>
      </c>
      <c r="M29" s="163">
        <f t="shared" si="37"/>
        <v>2289.0867544093649</v>
      </c>
      <c r="N29" s="169">
        <f t="shared" si="24"/>
        <v>1.4239764706690339E-10</v>
      </c>
      <c r="O29" s="47">
        <f t="shared" si="38"/>
        <v>2180.2961016929344</v>
      </c>
      <c r="P29" s="169">
        <f t="shared" si="25"/>
        <v>4.5958388101542755E-11</v>
      </c>
      <c r="Q29" s="160">
        <f t="shared" si="39"/>
        <v>2073.2476831189606</v>
      </c>
      <c r="R29" s="165">
        <f t="shared" si="26"/>
        <v>1.1304632056312822E-11</v>
      </c>
      <c r="S29" s="47">
        <f t="shared" si="40"/>
        <v>1966.9034831940246</v>
      </c>
      <c r="T29" s="169">
        <f t="shared" si="27"/>
        <v>2.2282611747393859E-12</v>
      </c>
      <c r="U29" s="47">
        <f t="shared" si="41"/>
        <v>1862.428441330359</v>
      </c>
      <c r="V29" s="169">
        <f t="shared" si="28"/>
        <v>3.6035131502248382E-13</v>
      </c>
      <c r="W29" s="47">
        <f t="shared" si="42"/>
        <v>1759.0935264472791</v>
      </c>
      <c r="X29" s="169">
        <f t="shared" si="29"/>
        <v>4.6517237682290636E-14</v>
      </c>
      <c r="Y29" s="47">
        <f t="shared" si="43"/>
        <v>1657.0361015627627</v>
      </c>
      <c r="Z29" s="169">
        <f t="shared" si="30"/>
        <v>4.6785957225768575E-15</v>
      </c>
      <c r="AA29" s="47">
        <f t="shared" si="44"/>
        <v>1555.7123536453621</v>
      </c>
      <c r="AB29" s="169">
        <f t="shared" si="31"/>
        <v>3.4807544565036164E-16</v>
      </c>
    </row>
    <row r="30" spans="1:28" ht="15.75" thickBot="1" x14ac:dyDescent="0.3">
      <c r="A30" s="151">
        <v>4</v>
      </c>
      <c r="B30" s="154">
        <v>18</v>
      </c>
      <c r="C30" s="160">
        <f t="shared" si="32"/>
        <v>2439.98240065154</v>
      </c>
      <c r="D30" s="138">
        <f t="shared" si="19"/>
        <v>0</v>
      </c>
      <c r="E30" s="47">
        <f t="shared" si="33"/>
        <v>2417.5643836256772</v>
      </c>
      <c r="F30" s="169">
        <f t="shared" si="20"/>
        <v>3.072973399869077E-10</v>
      </c>
      <c r="G30" s="47">
        <f t="shared" si="34"/>
        <v>2395.1794080230516</v>
      </c>
      <c r="H30" s="169">
        <f t="shared" si="21"/>
        <v>3.3441820977021606E-10</v>
      </c>
      <c r="I30" s="47">
        <f t="shared" si="35"/>
        <v>2372.9221775190413</v>
      </c>
      <c r="J30" s="169">
        <f t="shared" si="22"/>
        <v>3.141023592064709E-10</v>
      </c>
      <c r="K30" s="160">
        <f t="shared" si="36"/>
        <v>2350.7552278003027</v>
      </c>
      <c r="L30" s="169">
        <f t="shared" si="23"/>
        <v>2.7705932724738217E-10</v>
      </c>
      <c r="M30" s="163">
        <f t="shared" si="37"/>
        <v>2328.5988045321797</v>
      </c>
      <c r="N30" s="169">
        <f t="shared" si="24"/>
        <v>2.3544431370447123E-10</v>
      </c>
      <c r="O30" s="47">
        <f t="shared" si="38"/>
        <v>2217.9303104824116</v>
      </c>
      <c r="P30" s="169">
        <f t="shared" si="25"/>
        <v>7.7919651056936638E-11</v>
      </c>
      <c r="Q30" s="160">
        <f t="shared" si="39"/>
        <v>2109.0341233727477</v>
      </c>
      <c r="R30" s="165">
        <f t="shared" si="26"/>
        <v>1.9695962882026476E-11</v>
      </c>
      <c r="S30" s="47">
        <f t="shared" si="40"/>
        <v>2000.8543104682637</v>
      </c>
      <c r="T30" s="169">
        <f t="shared" si="27"/>
        <v>4.000585079933373E-12</v>
      </c>
      <c r="U30" s="47">
        <f t="shared" si="41"/>
        <v>1894.5759192633166</v>
      </c>
      <c r="V30" s="169">
        <f t="shared" si="28"/>
        <v>6.6856059927029319E-13</v>
      </c>
      <c r="W30" s="47">
        <f t="shared" si="42"/>
        <v>1789.4573348323561</v>
      </c>
      <c r="X30" s="169">
        <f t="shared" si="29"/>
        <v>8.9494457767576824E-14</v>
      </c>
      <c r="Y30" s="47">
        <f t="shared" si="43"/>
        <v>1685.6382912238332</v>
      </c>
      <c r="Z30" s="169">
        <f t="shared" si="30"/>
        <v>9.3713169040416957E-15</v>
      </c>
      <c r="AA30" s="47">
        <f t="shared" si="44"/>
        <v>1582.5655886201885</v>
      </c>
      <c r="AB30" s="169">
        <f t="shared" si="31"/>
        <v>7.2946974305474123E-16</v>
      </c>
    </row>
    <row r="31" spans="1:28" ht="15.75" thickBot="1" x14ac:dyDescent="0.3">
      <c r="A31" s="151">
        <v>5</v>
      </c>
      <c r="B31" s="154">
        <v>20</v>
      </c>
      <c r="C31" s="160">
        <f t="shared" si="32"/>
        <v>2477.6229665364594</v>
      </c>
      <c r="D31" s="138">
        <f t="shared" si="19"/>
        <v>0</v>
      </c>
      <c r="E31" s="47">
        <f t="shared" si="33"/>
        <v>2454.8591163412075</v>
      </c>
      <c r="F31" s="169">
        <f t="shared" si="20"/>
        <v>4.7064782567630365E-10</v>
      </c>
      <c r="G31" s="47">
        <f t="shared" si="34"/>
        <v>2432.1288172851105</v>
      </c>
      <c r="H31" s="169">
        <f t="shared" si="21"/>
        <v>5.142300329410136E-10</v>
      </c>
      <c r="I31" s="47">
        <f t="shared" si="35"/>
        <v>2409.5282339966789</v>
      </c>
      <c r="J31" s="169">
        <f t="shared" si="22"/>
        <v>4.8494387020452698E-10</v>
      </c>
      <c r="K31" s="160">
        <f t="shared" si="36"/>
        <v>2387.0193242166165</v>
      </c>
      <c r="L31" s="169">
        <f t="shared" si="23"/>
        <v>4.295084242391307E-10</v>
      </c>
      <c r="M31" s="163">
        <f t="shared" si="37"/>
        <v>2364.5211032742254</v>
      </c>
      <c r="N31" s="169">
        <f t="shared" si="24"/>
        <v>3.6652090216937708E-10</v>
      </c>
      <c r="O31" s="47">
        <f t="shared" si="38"/>
        <v>2252.1453736556459</v>
      </c>
      <c r="P31" s="169">
        <f t="shared" si="25"/>
        <v>1.2400760102519553E-10</v>
      </c>
      <c r="Q31" s="160">
        <f t="shared" si="39"/>
        <v>2141.5692915990257</v>
      </c>
      <c r="R31" s="165">
        <f t="shared" si="26"/>
        <v>3.2106884962213302E-11</v>
      </c>
      <c r="S31" s="47">
        <f t="shared" si="40"/>
        <v>2031.7206349463399</v>
      </c>
      <c r="T31" s="169">
        <f t="shared" si="27"/>
        <v>6.6960482766888396E-12</v>
      </c>
      <c r="U31" s="47">
        <f t="shared" si="41"/>
        <v>1923.8027324132681</v>
      </c>
      <c r="V31" s="169">
        <f t="shared" si="28"/>
        <v>1.151819091665031E-12</v>
      </c>
      <c r="W31" s="47">
        <f t="shared" si="42"/>
        <v>1817.062528497697</v>
      </c>
      <c r="X31" s="169">
        <f t="shared" si="29"/>
        <v>1.5919057520160864E-13</v>
      </c>
      <c r="Y31" s="47">
        <f t="shared" si="43"/>
        <v>1711.641912865535</v>
      </c>
      <c r="Z31" s="169">
        <f t="shared" si="30"/>
        <v>1.727137393250929E-14</v>
      </c>
      <c r="AA31" s="47">
        <f t="shared" si="44"/>
        <v>1606.9791517220199</v>
      </c>
      <c r="AB31" s="169">
        <f t="shared" si="31"/>
        <v>1.3990308959735333E-15</v>
      </c>
    </row>
    <row r="32" spans="1:28" ht="15.75" thickBot="1" x14ac:dyDescent="0.3">
      <c r="A32" s="151">
        <v>6</v>
      </c>
      <c r="B32" s="154">
        <v>22</v>
      </c>
      <c r="C32" s="160">
        <f t="shared" si="32"/>
        <v>2512.1729781624094</v>
      </c>
      <c r="D32" s="138">
        <f t="shared" si="19"/>
        <v>0</v>
      </c>
      <c r="E32" s="47">
        <f t="shared" si="33"/>
        <v>2489.0916901247092</v>
      </c>
      <c r="F32" s="169">
        <f t="shared" si="20"/>
        <v>6.8825425876340182E-10</v>
      </c>
      <c r="G32" s="47">
        <f t="shared" si="34"/>
        <v>2466.0444210908327</v>
      </c>
      <c r="H32" s="169">
        <f t="shared" si="21"/>
        <v>7.5466263310460776E-10</v>
      </c>
      <c r="I32" s="47">
        <f t="shared" si="35"/>
        <v>2443.1286766879316</v>
      </c>
      <c r="J32" s="169">
        <f t="shared" si="22"/>
        <v>7.1424875730304559E-10</v>
      </c>
      <c r="K32" s="160">
        <f t="shared" si="36"/>
        <v>2420.30588416417</v>
      </c>
      <c r="L32" s="169">
        <f t="shared" si="23"/>
        <v>6.3491470794699647E-10</v>
      </c>
      <c r="M32" s="163">
        <f t="shared" si="37"/>
        <v>2397.4939295320223</v>
      </c>
      <c r="N32" s="169">
        <f t="shared" si="24"/>
        <v>5.4382296752449388E-10</v>
      </c>
      <c r="O32" s="47">
        <f t="shared" si="38"/>
        <v>2283.5511403498044</v>
      </c>
      <c r="P32" s="169">
        <f t="shared" si="25"/>
        <v>1.8765382765555755E-10</v>
      </c>
      <c r="Q32" s="160">
        <f t="shared" si="39"/>
        <v>2171.4330944947333</v>
      </c>
      <c r="R32" s="165">
        <f t="shared" si="26"/>
        <v>4.9635977327924871E-11</v>
      </c>
      <c r="S32" s="47">
        <f t="shared" si="40"/>
        <v>2060.0526178614837</v>
      </c>
      <c r="T32" s="169">
        <f t="shared" si="27"/>
        <v>1.0598547150030194E-11</v>
      </c>
      <c r="U32" s="47">
        <f t="shared" si="41"/>
        <v>1950.6298193706632</v>
      </c>
      <c r="V32" s="169">
        <f t="shared" si="28"/>
        <v>1.8706785217035086E-12</v>
      </c>
      <c r="W32" s="47">
        <f t="shared" si="42"/>
        <v>1842.4011422951139</v>
      </c>
      <c r="X32" s="169">
        <f t="shared" si="29"/>
        <v>2.6601397164004831E-13</v>
      </c>
      <c r="Y32" s="47">
        <f t="shared" si="43"/>
        <v>1735.5104549268951</v>
      </c>
      <c r="Z32" s="169">
        <f t="shared" si="30"/>
        <v>2.9788445094826692E-14</v>
      </c>
      <c r="AA32" s="47">
        <f t="shared" si="44"/>
        <v>1629.3881901933858</v>
      </c>
      <c r="AB32" s="169">
        <f t="shared" si="31"/>
        <v>2.5001491564837041E-15</v>
      </c>
    </row>
    <row r="33" spans="1:29" ht="15.75" thickBot="1" x14ac:dyDescent="0.3">
      <c r="A33" s="151">
        <v>7</v>
      </c>
      <c r="B33" s="154">
        <v>24</v>
      </c>
      <c r="C33" s="160">
        <f t="shared" si="32"/>
        <v>2544.1351922573372</v>
      </c>
      <c r="D33" s="138">
        <f t="shared" si="19"/>
        <v>0</v>
      </c>
      <c r="E33" s="47">
        <f t="shared" si="33"/>
        <v>2520.7602424868419</v>
      </c>
      <c r="F33" s="169">
        <f t="shared" si="20"/>
        <v>9.6927598564803024E-10</v>
      </c>
      <c r="G33" s="47">
        <f t="shared" si="34"/>
        <v>2497.4197445417531</v>
      </c>
      <c r="H33" s="169">
        <f t="shared" si="21"/>
        <v>1.0662059596442147E-9</v>
      </c>
      <c r="I33" s="47">
        <f t="shared" si="35"/>
        <v>2474.2124446070006</v>
      </c>
      <c r="J33" s="169">
        <f t="shared" si="22"/>
        <v>1.0123846022076251E-9</v>
      </c>
      <c r="K33" s="160">
        <f t="shared" si="36"/>
        <v>2451.099279172126</v>
      </c>
      <c r="L33" s="169">
        <f t="shared" si="23"/>
        <v>9.0290070009917251E-10</v>
      </c>
      <c r="M33" s="163">
        <f t="shared" si="37"/>
        <v>2427.9970895186561</v>
      </c>
      <c r="N33" s="169">
        <f t="shared" si="24"/>
        <v>7.7595620842423567E-10</v>
      </c>
      <c r="O33" s="47">
        <f t="shared" si="38"/>
        <v>2312.6046136094224</v>
      </c>
      <c r="P33" s="169">
        <f t="shared" si="25"/>
        <v>2.7254624696039182E-10</v>
      </c>
      <c r="Q33" s="160">
        <f t="shared" si="39"/>
        <v>2199.0600971185013</v>
      </c>
      <c r="R33" s="165">
        <f t="shared" si="26"/>
        <v>7.3493377966271305E-11</v>
      </c>
      <c r="S33" s="47">
        <f t="shared" si="40"/>
        <v>2086.2625338948387</v>
      </c>
      <c r="T33" s="169">
        <f t="shared" si="27"/>
        <v>1.6029269996188246E-11</v>
      </c>
      <c r="U33" s="47">
        <f t="shared" si="41"/>
        <v>1975.4475562258219</v>
      </c>
      <c r="V33" s="169">
        <f t="shared" si="28"/>
        <v>2.8956443219390763E-12</v>
      </c>
      <c r="W33" s="47">
        <f t="shared" si="42"/>
        <v>1865.8418927014995</v>
      </c>
      <c r="X33" s="169">
        <f t="shared" si="29"/>
        <v>4.2247090755925963E-13</v>
      </c>
      <c r="Y33" s="47">
        <f t="shared" si="43"/>
        <v>1757.5912420408997</v>
      </c>
      <c r="Z33" s="169">
        <f t="shared" si="30"/>
        <v>4.8675814175326245E-14</v>
      </c>
      <c r="AA33" s="47">
        <f t="shared" si="44"/>
        <v>1650.1187906064201</v>
      </c>
      <c r="AB33" s="169">
        <f t="shared" si="31"/>
        <v>4.2181431259328388E-15</v>
      </c>
    </row>
    <row r="34" spans="1:29" ht="15.75" thickBot="1" x14ac:dyDescent="0.3">
      <c r="A34" s="151">
        <v>8</v>
      </c>
      <c r="B34" s="154">
        <v>26</v>
      </c>
      <c r="C34" s="160">
        <f t="shared" si="32"/>
        <v>2573.8965620659228</v>
      </c>
      <c r="D34" s="138">
        <f t="shared" si="19"/>
        <v>0</v>
      </c>
      <c r="E34" s="47">
        <f t="shared" si="33"/>
        <v>2550.2481714317114</v>
      </c>
      <c r="F34" s="169">
        <f t="shared" si="20"/>
        <v>1.3230815638227113E-9</v>
      </c>
      <c r="G34" s="47">
        <f t="shared" si="34"/>
        <v>2526.6346356413951</v>
      </c>
      <c r="H34" s="169">
        <f t="shared" si="21"/>
        <v>1.4596316113256996E-9</v>
      </c>
      <c r="I34" s="47">
        <f t="shared" si="35"/>
        <v>2503.1558560157368</v>
      </c>
      <c r="J34" s="169">
        <f t="shared" si="22"/>
        <v>1.3900393452179497E-9</v>
      </c>
      <c r="K34" s="160">
        <f t="shared" si="36"/>
        <v>2479.7723120781602</v>
      </c>
      <c r="L34" s="169">
        <f t="shared" si="23"/>
        <v>1.2434257289858444E-9</v>
      </c>
      <c r="M34" s="163">
        <f t="shared" si="37"/>
        <v>2456.3998723170102</v>
      </c>
      <c r="N34" s="169">
        <f t="shared" si="24"/>
        <v>1.0718634299201794E-9</v>
      </c>
      <c r="O34" s="47">
        <f t="shared" si="38"/>
        <v>2339.6575317625643</v>
      </c>
      <c r="P34" s="169">
        <f t="shared" si="25"/>
        <v>3.8259838761598319E-10</v>
      </c>
      <c r="Q34" s="160">
        <f t="shared" si="39"/>
        <v>2224.7847681111539</v>
      </c>
      <c r="R34" s="165">
        <f t="shared" si="26"/>
        <v>1.0499215762695935E-10</v>
      </c>
      <c r="S34" s="47">
        <f t="shared" si="40"/>
        <v>2110.6676956087299</v>
      </c>
      <c r="T34" s="169">
        <f t="shared" si="27"/>
        <v>2.3345211482508853E-11</v>
      </c>
      <c r="U34" s="47">
        <f t="shared" si="41"/>
        <v>1998.5564010062501</v>
      </c>
      <c r="V34" s="169">
        <f t="shared" si="28"/>
        <v>4.307139018138219E-12</v>
      </c>
      <c r="W34" s="47">
        <f t="shared" si="42"/>
        <v>1887.6685671416149</v>
      </c>
      <c r="X34" s="169">
        <f t="shared" si="29"/>
        <v>6.432360668317987E-13</v>
      </c>
      <c r="Y34" s="47">
        <f t="shared" si="43"/>
        <v>1778.1515971218319</v>
      </c>
      <c r="Z34" s="169">
        <f t="shared" si="30"/>
        <v>7.6055666099525826E-14</v>
      </c>
      <c r="AA34" s="47">
        <f t="shared" si="44"/>
        <v>1669.4219297260659</v>
      </c>
      <c r="AB34" s="169">
        <f t="shared" si="31"/>
        <v>6.7852065996033358E-15</v>
      </c>
    </row>
    <row r="35" spans="1:29" ht="15.75" thickBot="1" x14ac:dyDescent="0.3">
      <c r="A35" s="151">
        <v>9</v>
      </c>
      <c r="B35" s="154">
        <v>28</v>
      </c>
      <c r="C35" s="160">
        <f t="shared" si="32"/>
        <v>2601.7615834508924</v>
      </c>
      <c r="D35" s="138">
        <f t="shared" si="19"/>
        <v>0</v>
      </c>
      <c r="E35" s="47">
        <f t="shared" si="33"/>
        <v>2577.857175181608</v>
      </c>
      <c r="F35" s="169">
        <f t="shared" si="20"/>
        <v>1.7591887951393707E-9</v>
      </c>
      <c r="G35" s="47">
        <f t="shared" si="34"/>
        <v>2553.9879990949917</v>
      </c>
      <c r="H35" s="169">
        <f t="shared" si="21"/>
        <v>1.9459219416919857E-9</v>
      </c>
      <c r="I35" s="47">
        <f t="shared" si="35"/>
        <v>2530.255038044173</v>
      </c>
      <c r="J35" s="169">
        <f t="shared" si="22"/>
        <v>1.8581492804563685E-9</v>
      </c>
      <c r="K35" s="160">
        <f t="shared" si="36"/>
        <v>2506.6183437036316</v>
      </c>
      <c r="L35" s="169">
        <f t="shared" si="23"/>
        <v>1.6667175423603508E-9</v>
      </c>
      <c r="M35" s="163">
        <f t="shared" si="37"/>
        <v>2482.9928737534046</v>
      </c>
      <c r="N35" s="169">
        <f t="shared" si="24"/>
        <v>1.4407622114049996E-9</v>
      </c>
      <c r="O35" s="47">
        <f t="shared" si="38"/>
        <v>2364.9866798398052</v>
      </c>
      <c r="P35" s="169">
        <f t="shared" si="25"/>
        <v>5.2192178850604327E-10</v>
      </c>
      <c r="Q35" s="160">
        <f t="shared" si="39"/>
        <v>2248.8703028812897</v>
      </c>
      <c r="R35" s="165">
        <f t="shared" si="26"/>
        <v>1.4554005173922133E-10</v>
      </c>
      <c r="S35" s="47">
        <f t="shared" si="40"/>
        <v>2133.5177981891907</v>
      </c>
      <c r="T35" s="169">
        <f t="shared" si="27"/>
        <v>3.2937568688318401E-11</v>
      </c>
      <c r="U35" s="47">
        <f t="shared" si="41"/>
        <v>2020.1927859619873</v>
      </c>
      <c r="V35" s="169">
        <f t="shared" si="28"/>
        <v>6.1953897895509889E-12</v>
      </c>
      <c r="W35" s="47">
        <f t="shared" si="42"/>
        <v>1908.1044796667541</v>
      </c>
      <c r="X35" s="169">
        <f t="shared" si="29"/>
        <v>9.4520172896909433E-13</v>
      </c>
      <c r="Y35" s="47">
        <f t="shared" si="43"/>
        <v>1797.4018781975205</v>
      </c>
      <c r="Z35" s="169">
        <f t="shared" si="30"/>
        <v>1.1444077067414368E-13</v>
      </c>
      <c r="AA35" s="47">
        <f t="shared" si="44"/>
        <v>1687.495102695774</v>
      </c>
      <c r="AB35" s="169">
        <f t="shared" si="31"/>
        <v>1.0485027281289842E-14</v>
      </c>
    </row>
    <row r="36" spans="1:29" ht="15.75" thickBot="1" x14ac:dyDescent="0.3">
      <c r="A36" s="151">
        <v>10</v>
      </c>
      <c r="B36" s="154">
        <v>30</v>
      </c>
      <c r="C36" s="160">
        <f t="shared" si="32"/>
        <v>2627.9743832720251</v>
      </c>
      <c r="D36" s="138">
        <f t="shared" si="19"/>
        <v>0</v>
      </c>
      <c r="E36" s="47">
        <f t="shared" si="33"/>
        <v>2603.8291376128795</v>
      </c>
      <c r="F36" s="169">
        <f t="shared" si="20"/>
        <v>2.2872154488742081E-9</v>
      </c>
      <c r="G36" s="47">
        <f t="shared" si="34"/>
        <v>2579.7194791013426</v>
      </c>
      <c r="H36" s="169">
        <f t="shared" si="21"/>
        <v>2.5362112040677995E-9</v>
      </c>
      <c r="I36" s="47">
        <f t="shared" si="35"/>
        <v>2555.747407994802</v>
      </c>
      <c r="J36" s="169">
        <f t="shared" si="22"/>
        <v>2.4278386909786704E-9</v>
      </c>
      <c r="K36" s="160">
        <f t="shared" si="36"/>
        <v>2531.8725734875684</v>
      </c>
      <c r="L36" s="169">
        <f t="shared" si="23"/>
        <v>2.1832144284729258E-9</v>
      </c>
      <c r="M36" s="163">
        <f t="shared" si="37"/>
        <v>2508.0090764566012</v>
      </c>
      <c r="N36" s="169">
        <f t="shared" si="24"/>
        <v>1.8920916582053847E-9</v>
      </c>
      <c r="O36" s="47">
        <f t="shared" si="38"/>
        <v>2388.8139677867894</v>
      </c>
      <c r="P36" s="169">
        <f t="shared" si="25"/>
        <v>6.9480128847774932E-10</v>
      </c>
      <c r="Q36" s="160">
        <f t="shared" si="39"/>
        <v>2271.5277160155588</v>
      </c>
      <c r="R36" s="165">
        <f t="shared" si="26"/>
        <v>1.9663164200098623E-10</v>
      </c>
      <c r="S36" s="47">
        <f t="shared" si="40"/>
        <v>2155.0130325390569</v>
      </c>
      <c r="T36" s="169">
        <f t="shared" si="27"/>
        <v>4.5230082200042306E-11</v>
      </c>
      <c r="U36" s="47">
        <f t="shared" si="41"/>
        <v>2040.5462685544546</v>
      </c>
      <c r="V36" s="169">
        <f t="shared" si="28"/>
        <v>8.6602598467634123E-12</v>
      </c>
      <c r="W36" s="47">
        <f t="shared" si="42"/>
        <v>1927.3286703387412</v>
      </c>
      <c r="X36" s="169">
        <f t="shared" si="29"/>
        <v>1.3475091593059569E-12</v>
      </c>
      <c r="Y36" s="47">
        <f t="shared" si="43"/>
        <v>1815.510737952776</v>
      </c>
      <c r="Z36" s="169">
        <f t="shared" si="30"/>
        <v>1.6675288253087486E-13</v>
      </c>
      <c r="AA36" s="47">
        <f t="shared" si="44"/>
        <v>1704.4966494967837</v>
      </c>
      <c r="AB36" s="169">
        <f t="shared" si="31"/>
        <v>1.5657067854887888E-14</v>
      </c>
    </row>
    <row r="37" spans="1:29" ht="15.75" thickBot="1" x14ac:dyDescent="0.3">
      <c r="A37" s="151">
        <v>11</v>
      </c>
      <c r="B37" s="154">
        <v>32</v>
      </c>
      <c r="C37" s="160">
        <f t="shared" si="32"/>
        <v>2652.7338372415829</v>
      </c>
      <c r="D37" s="138">
        <f t="shared" si="19"/>
        <v>0</v>
      </c>
      <c r="E37" s="47">
        <f t="shared" si="33"/>
        <v>2628.3611072118565</v>
      </c>
      <c r="F37" s="169">
        <f t="shared" si="20"/>
        <v>2.9168386645867395E-9</v>
      </c>
      <c r="G37" s="47">
        <f t="shared" si="34"/>
        <v>2604.0242996139596</v>
      </c>
      <c r="H37" s="169">
        <f t="shared" si="21"/>
        <v>3.2417365697293228E-9</v>
      </c>
      <c r="I37" s="47">
        <f t="shared" si="35"/>
        <v>2579.8263757004452</v>
      </c>
      <c r="J37" s="169">
        <f t="shared" si="22"/>
        <v>3.1103691268542271E-9</v>
      </c>
      <c r="K37" s="160">
        <f t="shared" si="36"/>
        <v>2555.7266045006108</v>
      </c>
      <c r="L37" s="169">
        <f t="shared" si="23"/>
        <v>2.8035161349500376E-9</v>
      </c>
      <c r="M37" s="163">
        <f t="shared" si="37"/>
        <v>2531.638277593047</v>
      </c>
      <c r="N37" s="169">
        <f t="shared" si="24"/>
        <v>2.4354668435209398E-9</v>
      </c>
      <c r="O37" s="47">
        <f t="shared" si="38"/>
        <v>2411.320172509993</v>
      </c>
      <c r="P37" s="169">
        <f t="shared" si="25"/>
        <v>9.0567294893004968E-10</v>
      </c>
      <c r="Q37" s="160">
        <f t="shared" si="39"/>
        <v>2292.9289086159361</v>
      </c>
      <c r="R37" s="165">
        <f t="shared" si="26"/>
        <v>2.5984102771242456E-10</v>
      </c>
      <c r="S37" s="47">
        <f t="shared" si="40"/>
        <v>2175.3164823453353</v>
      </c>
      <c r="T37" s="169">
        <f t="shared" si="27"/>
        <v>6.0677365673118561E-11</v>
      </c>
      <c r="U37" s="47">
        <f t="shared" si="41"/>
        <v>2059.7712700349189</v>
      </c>
      <c r="V37" s="169">
        <f t="shared" si="28"/>
        <v>1.1811038729782799E-11</v>
      </c>
      <c r="W37" s="47">
        <f t="shared" si="42"/>
        <v>1945.4869925055073</v>
      </c>
      <c r="X37" s="169">
        <f t="shared" si="29"/>
        <v>1.8715652548044782E-12</v>
      </c>
      <c r="Y37" s="47">
        <f t="shared" si="43"/>
        <v>1832.6155677538993</v>
      </c>
      <c r="Z37" s="169">
        <f t="shared" si="30"/>
        <v>2.3633818321069375E-13</v>
      </c>
      <c r="AA37" s="47">
        <f t="shared" si="44"/>
        <v>1720.5555603458067</v>
      </c>
      <c r="AB37" s="169">
        <f t="shared" si="31"/>
        <v>2.2700510361748463E-14</v>
      </c>
    </row>
    <row r="38" spans="1:29" ht="15.75" thickBot="1" x14ac:dyDescent="0.3">
      <c r="A38" s="151">
        <v>12</v>
      </c>
      <c r="B38" s="154">
        <v>34</v>
      </c>
      <c r="C38" s="160">
        <f t="shared" si="32"/>
        <v>2676.2042090420655</v>
      </c>
      <c r="D38" s="138">
        <f t="shared" si="19"/>
        <v>0</v>
      </c>
      <c r="E38" s="47">
        <f t="shared" si="33"/>
        <v>2651.6158384427649</v>
      </c>
      <c r="F38" s="169">
        <f t="shared" si="20"/>
        <v>3.6577614353657432E-9</v>
      </c>
      <c r="G38" s="47">
        <f t="shared" si="34"/>
        <v>2627.0637081031964</v>
      </c>
      <c r="H38" s="169">
        <f t="shared" si="21"/>
        <v>4.0737972728710399E-9</v>
      </c>
      <c r="I38" s="47">
        <f t="shared" si="35"/>
        <v>2602.6516902375952</v>
      </c>
      <c r="J38" s="169">
        <f t="shared" si="22"/>
        <v>3.9170966935142206E-9</v>
      </c>
      <c r="K38" s="160">
        <f t="shared" si="36"/>
        <v>2578.3386935032477</v>
      </c>
      <c r="L38" s="169">
        <f t="shared" si="23"/>
        <v>3.5383421648503573E-9</v>
      </c>
      <c r="M38" s="163">
        <f t="shared" si="37"/>
        <v>2554.0372423158806</v>
      </c>
      <c r="N38" s="169">
        <f t="shared" si="24"/>
        <v>3.0806397621765872E-9</v>
      </c>
      <c r="O38" s="47">
        <f t="shared" si="38"/>
        <v>2432.6546087750603</v>
      </c>
      <c r="P38" s="169">
        <f t="shared" si="25"/>
        <v>1.1591043445617577E-9</v>
      </c>
      <c r="Q38" s="160">
        <f t="shared" si="39"/>
        <v>2313.2158643752255</v>
      </c>
      <c r="R38" s="165">
        <f t="shared" si="26"/>
        <v>3.3681499584890622E-10</v>
      </c>
      <c r="S38" s="47">
        <f t="shared" si="40"/>
        <v>2194.5628484554959</v>
      </c>
      <c r="T38" s="169">
        <f t="shared" si="27"/>
        <v>7.9763253334716892E-11</v>
      </c>
      <c r="U38" s="47">
        <f t="shared" si="41"/>
        <v>2077.9953364123967</v>
      </c>
      <c r="V38" s="169">
        <f t="shared" si="28"/>
        <v>1.5766203153375661E-11</v>
      </c>
      <c r="W38" s="47">
        <f t="shared" si="42"/>
        <v>1962.6999154177383</v>
      </c>
      <c r="X38" s="169">
        <f t="shared" si="29"/>
        <v>2.541046999223289E-12</v>
      </c>
      <c r="Y38" s="47">
        <f t="shared" si="43"/>
        <v>1848.8298475805034</v>
      </c>
      <c r="Z38" s="169">
        <f t="shared" si="30"/>
        <v>3.2698007567702848E-13</v>
      </c>
      <c r="AA38" s="47">
        <f t="shared" si="44"/>
        <v>1735.7783761963008</v>
      </c>
      <c r="AB38" s="169">
        <f t="shared" si="31"/>
        <v>3.2077871707558968E-14</v>
      </c>
    </row>
    <row r="39" spans="1:29" ht="15.75" thickBot="1" x14ac:dyDescent="0.3">
      <c r="A39" s="151">
        <v>13</v>
      </c>
      <c r="B39" s="154">
        <v>36</v>
      </c>
      <c r="C39" s="160">
        <f t="shared" si="32"/>
        <v>2698.5228193051398</v>
      </c>
      <c r="D39" s="138">
        <f t="shared" si="19"/>
        <v>0</v>
      </c>
      <c r="E39" s="47">
        <f t="shared" si="33"/>
        <v>2673.7293902657711</v>
      </c>
      <c r="F39" s="169">
        <f t="shared" si="20"/>
        <v>4.5196848943741748E-9</v>
      </c>
      <c r="G39" s="47">
        <f t="shared" si="34"/>
        <v>2648.9725037172684</v>
      </c>
      <c r="H39" s="169">
        <f t="shared" si="21"/>
        <v>5.0437204724884218E-9</v>
      </c>
      <c r="I39" s="47">
        <f t="shared" si="35"/>
        <v>2624.3568981319272</v>
      </c>
      <c r="J39" s="169">
        <f t="shared" si="22"/>
        <v>4.8594360165403042E-9</v>
      </c>
      <c r="K39" s="160">
        <f t="shared" si="36"/>
        <v>2599.8411394795589</v>
      </c>
      <c r="L39" s="169">
        <f t="shared" si="23"/>
        <v>4.3984962741432945E-9</v>
      </c>
      <c r="M39" s="163">
        <f t="shared" si="37"/>
        <v>2575.3370226600077</v>
      </c>
      <c r="N39" s="169">
        <f t="shared" si="24"/>
        <v>3.8374658065941898E-9</v>
      </c>
      <c r="O39" s="47">
        <f t="shared" si="38"/>
        <v>2452.9421002656109</v>
      </c>
      <c r="P39" s="169">
        <f t="shared" si="25"/>
        <v>1.4597769695608772E-9</v>
      </c>
      <c r="Q39" s="160">
        <f t="shared" si="39"/>
        <v>2332.5072783700607</v>
      </c>
      <c r="R39" s="165">
        <f t="shared" si="26"/>
        <v>4.2926668039785811E-10</v>
      </c>
      <c r="S39" s="47">
        <f t="shared" si="40"/>
        <v>2212.8647376562576</v>
      </c>
      <c r="T39" s="169">
        <f t="shared" si="27"/>
        <v>1.0299918515050026E-10</v>
      </c>
      <c r="U39" s="47">
        <f t="shared" si="41"/>
        <v>2095.3250931944754</v>
      </c>
      <c r="V39" s="169">
        <f t="shared" si="28"/>
        <v>2.0653157364406995E-11</v>
      </c>
      <c r="W39" s="47">
        <f t="shared" si="42"/>
        <v>1979.0681485770672</v>
      </c>
      <c r="X39" s="169">
        <f t="shared" si="29"/>
        <v>3.3818958676549637E-12</v>
      </c>
      <c r="Y39" s="47">
        <f t="shared" si="43"/>
        <v>1864.2484440655819</v>
      </c>
      <c r="Z39" s="169">
        <f t="shared" si="30"/>
        <v>4.4290961932693779E-13</v>
      </c>
      <c r="AA39" s="47">
        <f t="shared" si="44"/>
        <v>1750.2541628162105</v>
      </c>
      <c r="AB39" s="169">
        <f t="shared" si="31"/>
        <v>4.431830250484815E-14</v>
      </c>
    </row>
    <row r="40" spans="1:29" ht="15.75" thickBot="1" x14ac:dyDescent="0.3">
      <c r="A40" s="151">
        <v>14</v>
      </c>
      <c r="B40" s="154">
        <v>38</v>
      </c>
      <c r="C40" s="160">
        <f t="shared" si="32"/>
        <v>2719.805690316553</v>
      </c>
      <c r="D40" s="138">
        <f t="shared" si="19"/>
        <v>0</v>
      </c>
      <c r="E40" s="47">
        <f t="shared" si="33"/>
        <v>2694.8167189795959</v>
      </c>
      <c r="F40" s="169">
        <f t="shared" si="20"/>
        <v>5.5122853802552219E-9</v>
      </c>
      <c r="G40" s="47">
        <f t="shared" si="34"/>
        <v>2669.8645783390075</v>
      </c>
      <c r="H40" s="169">
        <f t="shared" si="21"/>
        <v>6.1628326892565864E-9</v>
      </c>
      <c r="I40" s="47">
        <f t="shared" si="35"/>
        <v>2645.0548329247249</v>
      </c>
      <c r="J40" s="169">
        <f t="shared" si="22"/>
        <v>5.948829791469204E-9</v>
      </c>
      <c r="K40" s="160">
        <f t="shared" si="36"/>
        <v>2620.3457219221673</v>
      </c>
      <c r="L40" s="169">
        <f t="shared" si="23"/>
        <v>5.3948361978874647E-9</v>
      </c>
      <c r="M40" s="163">
        <f t="shared" si="37"/>
        <v>2595.6483445699346</v>
      </c>
      <c r="N40" s="169">
        <f t="shared" si="24"/>
        <v>4.7158749363299426E-9</v>
      </c>
      <c r="O40" s="47">
        <f t="shared" si="38"/>
        <v>2472.2881105883475</v>
      </c>
      <c r="P40" s="169">
        <f t="shared" si="25"/>
        <v>1.8124705262245791E-9</v>
      </c>
      <c r="Q40" s="160">
        <f t="shared" si="39"/>
        <v>2350.9034361433405</v>
      </c>
      <c r="R40" s="165">
        <f t="shared" si="26"/>
        <v>5.3896969086912427E-10</v>
      </c>
      <c r="S40" s="47">
        <f t="shared" si="40"/>
        <v>2230.317291490644</v>
      </c>
      <c r="T40" s="169">
        <f t="shared" si="27"/>
        <v>1.3092264252143053E-10</v>
      </c>
      <c r="U40" s="47">
        <f t="shared" si="41"/>
        <v>2111.8506283377797</v>
      </c>
      <c r="V40" s="169">
        <f t="shared" si="28"/>
        <v>2.6607959930219219E-11</v>
      </c>
      <c r="W40" s="47">
        <f t="shared" si="42"/>
        <v>1994.6767815030648</v>
      </c>
      <c r="X40" s="169">
        <f t="shared" si="29"/>
        <v>4.422303971265234E-12</v>
      </c>
      <c r="Y40" s="47">
        <f t="shared" si="43"/>
        <v>1878.9515100854155</v>
      </c>
      <c r="Z40" s="169">
        <f t="shared" si="30"/>
        <v>5.8881386877588121E-13</v>
      </c>
      <c r="AA40" s="47">
        <f t="shared" si="44"/>
        <v>1764.0581719273857</v>
      </c>
      <c r="AB40" s="169">
        <f t="shared" si="31"/>
        <v>6.002058410973487E-14</v>
      </c>
    </row>
    <row r="41" spans="1:29" ht="15.75" thickBot="1" x14ac:dyDescent="0.3">
      <c r="A41" s="152">
        <v>15</v>
      </c>
      <c r="B41" s="157">
        <v>40</v>
      </c>
      <c r="C41" s="161">
        <f t="shared" si="32"/>
        <v>2740.1517777537297</v>
      </c>
      <c r="D41" s="138">
        <f t="shared" si="19"/>
        <v>0</v>
      </c>
      <c r="E41" s="139">
        <f t="shared" si="33"/>
        <v>2714.9758710788587</v>
      </c>
      <c r="F41" s="169">
        <f t="shared" si="20"/>
        <v>6.6451954554026942E-9</v>
      </c>
      <c r="G41" s="139">
        <f t="shared" si="34"/>
        <v>2689.83707062025</v>
      </c>
      <c r="H41" s="169">
        <f t="shared" si="21"/>
        <v>7.4424358887025969E-9</v>
      </c>
      <c r="I41" s="139">
        <f t="shared" si="35"/>
        <v>2664.8417306058418</v>
      </c>
      <c r="J41" s="169">
        <f t="shared" si="22"/>
        <v>7.1967230229184112E-9</v>
      </c>
      <c r="K41" s="161">
        <f t="shared" si="36"/>
        <v>2639.9477778203818</v>
      </c>
      <c r="L41" s="169">
        <f t="shared" si="23"/>
        <v>6.5382477991310145E-9</v>
      </c>
      <c r="M41" s="164">
        <f t="shared" si="37"/>
        <v>2615.0656464613244</v>
      </c>
      <c r="N41" s="169">
        <f t="shared" si="24"/>
        <v>5.7258468474149699E-9</v>
      </c>
      <c r="O41" s="139">
        <f t="shared" si="38"/>
        <v>2490.782589898768</v>
      </c>
      <c r="P41" s="169">
        <f t="shared" si="25"/>
        <v>2.2220488854172308E-9</v>
      </c>
      <c r="Q41" s="161">
        <f t="shared" si="39"/>
        <v>2368.489871467908</v>
      </c>
      <c r="R41" s="165">
        <f t="shared" si="26"/>
        <v>6.6775268419173966E-10</v>
      </c>
      <c r="S41" s="139">
        <f t="shared" si="40"/>
        <v>2247.0016564020339</v>
      </c>
      <c r="T41" s="169">
        <f t="shared" si="27"/>
        <v>1.640956425381159E-10</v>
      </c>
      <c r="U41" s="139">
        <f t="shared" si="41"/>
        <v>2127.6487780700922</v>
      </c>
      <c r="V41" s="169">
        <f t="shared" si="28"/>
        <v>3.3775042299152744E-11</v>
      </c>
      <c r="W41" s="139">
        <f t="shared" si="42"/>
        <v>2009.5983872449235</v>
      </c>
      <c r="X41" s="169">
        <f t="shared" si="29"/>
        <v>5.6926934404397801E-12</v>
      </c>
      <c r="Y41" s="139">
        <f t="shared" si="43"/>
        <v>1893.0074082146577</v>
      </c>
      <c r="Z41" s="169">
        <f t="shared" si="30"/>
        <v>7.6984235459831472E-13</v>
      </c>
      <c r="AA41" s="139">
        <f t="shared" si="44"/>
        <v>1777.2545858984618</v>
      </c>
      <c r="AB41" s="169">
        <f t="shared" si="31"/>
        <v>7.9855840167385005E-14</v>
      </c>
    </row>
    <row r="42" spans="1:29" x14ac:dyDescent="0.25">
      <c r="A42" s="147"/>
      <c r="B42" s="147"/>
      <c r="C42" s="233" t="s">
        <v>61</v>
      </c>
      <c r="D42" s="138">
        <f>SUM(D26:D41)</f>
        <v>0</v>
      </c>
      <c r="E42" s="235" t="s">
        <v>61</v>
      </c>
      <c r="F42" s="169">
        <f>SUM(F26:F41)</f>
        <v>3.1435442766710168E-8</v>
      </c>
      <c r="G42" s="235" t="s">
        <v>61</v>
      </c>
      <c r="H42" s="169">
        <f>SUM(H26:H41)</f>
        <v>3.498427540624423E-8</v>
      </c>
      <c r="I42" s="235" t="s">
        <v>61</v>
      </c>
      <c r="J42" s="169">
        <f>SUM(J26:J41)</f>
        <v>3.3614370448344086E-8</v>
      </c>
      <c r="K42" s="235" t="s">
        <v>61</v>
      </c>
      <c r="L42" s="169">
        <f>SUM(L26:L41)</f>
        <v>3.0343501921354007E-8</v>
      </c>
      <c r="M42" s="235" t="s">
        <v>61</v>
      </c>
      <c r="N42" s="169">
        <f>SUM(N26:N41)</f>
        <v>2.6401558547498008E-8</v>
      </c>
      <c r="O42" s="235" t="s">
        <v>61</v>
      </c>
      <c r="P42" s="169">
        <f>SUM(P26:P41)</f>
        <v>9.908738562454218E-9</v>
      </c>
      <c r="Q42" s="235" t="s">
        <v>61</v>
      </c>
      <c r="R42" s="169">
        <f>SUM(R26:R41)</f>
        <v>2.8759166205180868E-9</v>
      </c>
      <c r="S42" s="235" t="s">
        <v>61</v>
      </c>
      <c r="T42" s="169">
        <f>SUM(T26:T41)</f>
        <v>6.8136330119791834E-10</v>
      </c>
      <c r="U42" s="235" t="s">
        <v>61</v>
      </c>
      <c r="V42" s="169">
        <f>SUM(V26:V41)</f>
        <v>1.3500335128492415E-10</v>
      </c>
      <c r="W42" s="235" t="s">
        <v>61</v>
      </c>
      <c r="X42" s="169">
        <f>SUM(X26:X41)</f>
        <v>2.1863007611407584E-11</v>
      </c>
      <c r="Y42" s="235" t="s">
        <v>61</v>
      </c>
      <c r="Z42" s="169">
        <f>SUM(Z26:Z41)</f>
        <v>2.8350910684171432E-12</v>
      </c>
      <c r="AA42" s="235" t="s">
        <v>61</v>
      </c>
      <c r="AB42" s="169">
        <f>SUM(AB26:AB41)</f>
        <v>2.8131349673283812E-13</v>
      </c>
    </row>
    <row r="43" spans="1:29" ht="15.75" thickBot="1" x14ac:dyDescent="0.3">
      <c r="A43" s="147"/>
      <c r="B43" s="147"/>
      <c r="C43" s="234"/>
      <c r="D43" s="44"/>
      <c r="E43" s="236"/>
      <c r="F43" s="44"/>
      <c r="G43" s="236"/>
      <c r="H43" s="44"/>
      <c r="I43" s="236"/>
      <c r="J43" s="44"/>
      <c r="K43" s="236"/>
      <c r="L43" s="44"/>
      <c r="M43" s="236"/>
      <c r="N43" s="44"/>
      <c r="O43" s="236"/>
      <c r="P43" s="44"/>
      <c r="Q43" s="236"/>
      <c r="R43" s="153"/>
      <c r="S43" s="236"/>
      <c r="T43" s="44"/>
      <c r="U43" s="236"/>
      <c r="V43" s="44"/>
      <c r="W43" s="236"/>
      <c r="X43" s="44"/>
      <c r="Y43" s="236"/>
      <c r="Z43" s="44"/>
      <c r="AA43" s="236"/>
      <c r="AB43" s="140"/>
    </row>
    <row r="44" spans="1:29" ht="15.75" thickBot="1" x14ac:dyDescent="0.3">
      <c r="A44" s="166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:29" ht="30.75" thickBot="1" x14ac:dyDescent="0.3">
      <c r="A45" s="66" t="str">
        <f>'Enthalpy Data'!X1</f>
        <v>Deg K</v>
      </c>
      <c r="B45" s="81" t="str">
        <f>'Enthalpy Data'!Y1</f>
        <v>Net Enthalpy</v>
      </c>
      <c r="C45" s="81">
        <f>'Enthalpy Data'!Z1</f>
        <v>0.99</v>
      </c>
      <c r="D45" s="81">
        <f>'Enthalpy Data'!AA1</f>
        <v>0.98</v>
      </c>
      <c r="E45" s="81">
        <f>'Enthalpy Data'!AB1</f>
        <v>0.97</v>
      </c>
      <c r="F45" s="81">
        <f>'Enthalpy Data'!AC1</f>
        <v>0.96</v>
      </c>
      <c r="G45" s="81">
        <f>'Enthalpy Data'!AD1</f>
        <v>0.95</v>
      </c>
      <c r="H45" s="81">
        <f>'Enthalpy Data'!AE1</f>
        <v>0.9</v>
      </c>
      <c r="I45" s="81">
        <f>'Enthalpy Data'!AF1</f>
        <v>0.85</v>
      </c>
      <c r="J45" s="81">
        <f>'Enthalpy Data'!AG1</f>
        <v>0.8</v>
      </c>
      <c r="K45" s="81">
        <f>'Enthalpy Data'!AH1</f>
        <v>0.75</v>
      </c>
      <c r="L45" s="81">
        <f>'Enthalpy Data'!AI1</f>
        <v>0.7</v>
      </c>
      <c r="M45" s="81">
        <f>'Enthalpy Data'!AJ1</f>
        <v>0.65</v>
      </c>
      <c r="N45" s="82">
        <f>'Enthalpy Data'!AK1</f>
        <v>0.6</v>
      </c>
      <c r="P45" s="66" t="str">
        <f>'Enthalpy Data'!X38</f>
        <v>Deg K</v>
      </c>
      <c r="Q45" s="81" t="str">
        <f>'Enthalpy Data'!Y38</f>
        <v>Net Enthalpy</v>
      </c>
      <c r="R45" s="81">
        <f>'Enthalpy Data'!Z38</f>
        <v>0.99</v>
      </c>
      <c r="S45" s="81">
        <f>'Enthalpy Data'!AA38</f>
        <v>0.98</v>
      </c>
      <c r="T45" s="81">
        <f>'Enthalpy Data'!AB38</f>
        <v>0.97</v>
      </c>
      <c r="U45" s="81">
        <f>'Enthalpy Data'!AC38</f>
        <v>0.96</v>
      </c>
      <c r="V45" s="81">
        <f>'Enthalpy Data'!AD38</f>
        <v>0.95</v>
      </c>
      <c r="W45" s="81">
        <f>'Enthalpy Data'!AE38</f>
        <v>0.9</v>
      </c>
      <c r="X45" s="81">
        <f>'Enthalpy Data'!AF38</f>
        <v>0.85</v>
      </c>
      <c r="Y45" s="81">
        <f>'Enthalpy Data'!AG38</f>
        <v>0.8</v>
      </c>
      <c r="Z45" s="81">
        <f>'Enthalpy Data'!AH38</f>
        <v>0.75</v>
      </c>
      <c r="AA45" s="81">
        <f>'Enthalpy Data'!AI38</f>
        <v>0.7</v>
      </c>
      <c r="AB45" s="81">
        <f>'Enthalpy Data'!AJ38</f>
        <v>0.65</v>
      </c>
      <c r="AC45" s="82">
        <f>'Enthalpy Data'!AK38</f>
        <v>0.6</v>
      </c>
    </row>
    <row r="46" spans="1:29" x14ac:dyDescent="0.25">
      <c r="A46" s="130">
        <f>'Enthalpy Data'!X2</f>
        <v>1900</v>
      </c>
      <c r="B46" s="78">
        <f>'Enthalpy Data'!Y2</f>
        <v>3763.2309523809522</v>
      </c>
      <c r="C46" s="79">
        <f>'Enthalpy Data'!Z2</f>
        <v>3763.1246000000001</v>
      </c>
      <c r="D46" s="79">
        <f>'Enthalpy Data'!AA2</f>
        <v>3763.2184000000002</v>
      </c>
      <c r="E46" s="79">
        <f>'Enthalpy Data'!AB2</f>
        <v>3763.3122000000003</v>
      </c>
      <c r="F46" s="79">
        <f>'Enthalpy Data'!AC2</f>
        <v>3763.4059999999999</v>
      </c>
      <c r="G46" s="79">
        <f>'Enthalpy Data'!AD2</f>
        <v>3763.4998000000001</v>
      </c>
      <c r="H46" s="79">
        <f>'Enthalpy Data'!AE2</f>
        <v>3763.9688000000001</v>
      </c>
      <c r="I46" s="79">
        <f>'Enthalpy Data'!AF2</f>
        <v>3764.4378000000002</v>
      </c>
      <c r="J46" s="79">
        <f>'Enthalpy Data'!AG2</f>
        <v>3764.9068000000002</v>
      </c>
      <c r="K46" s="79">
        <f>'Enthalpy Data'!AH2</f>
        <v>3765.3758000000003</v>
      </c>
      <c r="L46" s="79">
        <f>'Enthalpy Data'!AI2</f>
        <v>3765.8447999999999</v>
      </c>
      <c r="M46" s="79">
        <f>'Enthalpy Data'!AJ2</f>
        <v>3766.3137999999999</v>
      </c>
      <c r="N46" s="80">
        <f>'Enthalpy Data'!AK2</f>
        <v>3766.7828</v>
      </c>
      <c r="P46" s="126">
        <f>'Enthalpy Data'!X39</f>
        <v>1000</v>
      </c>
      <c r="Q46" s="137">
        <f>'Enthalpy Data'!Y39</f>
        <v>1510.7894000000001</v>
      </c>
      <c r="R46" s="129">
        <f>'Enthalpy Data'!Z39</f>
        <v>1510.9558</v>
      </c>
      <c r="S46" s="129">
        <f>'Enthalpy Data'!AA39</f>
        <v>1511.1222</v>
      </c>
      <c r="T46" s="129">
        <f>'Enthalpy Data'!AB39</f>
        <v>1511.2885999999999</v>
      </c>
      <c r="U46" s="129">
        <f>'Enthalpy Data'!AC39</f>
        <v>1511.4549999999999</v>
      </c>
      <c r="V46" s="129">
        <f>'Enthalpy Data'!AD39</f>
        <v>1511.6214</v>
      </c>
      <c r="W46" s="129">
        <f>'Enthalpy Data'!AE39</f>
        <v>1512.4534000000001</v>
      </c>
      <c r="X46" s="129">
        <f>'Enthalpy Data'!AF39</f>
        <v>1513.2854</v>
      </c>
      <c r="Y46" s="129">
        <f>'Enthalpy Data'!AG39</f>
        <v>1514.1173999999999</v>
      </c>
      <c r="Z46" s="129">
        <f>'Enthalpy Data'!AH39</f>
        <v>1514.9494</v>
      </c>
      <c r="AA46" s="129">
        <f>'Enthalpy Data'!AI39</f>
        <v>1515.7814000000001</v>
      </c>
      <c r="AB46" s="129">
        <f>'Enthalpy Data'!AJ39</f>
        <v>1516.6134000000002</v>
      </c>
      <c r="AC46" s="138">
        <f>'Enthalpy Data'!AK39</f>
        <v>1517.4454000000001</v>
      </c>
    </row>
    <row r="47" spans="1:29" x14ac:dyDescent="0.25">
      <c r="A47" s="131">
        <f>'Enthalpy Data'!X3</f>
        <v>1950</v>
      </c>
      <c r="B47" s="47">
        <f>'Enthalpy Data'!Y3</f>
        <v>3894.2535714285714</v>
      </c>
      <c r="C47" s="43">
        <f>'Enthalpy Data'!Z3</f>
        <v>3894.1346000000003</v>
      </c>
      <c r="D47" s="43">
        <f>'Enthalpy Data'!AA3</f>
        <v>3894.2226000000005</v>
      </c>
      <c r="E47" s="43">
        <f>'Enthalpy Data'!AB3</f>
        <v>3894.3106000000002</v>
      </c>
      <c r="F47" s="43">
        <f>'Enthalpy Data'!AC3</f>
        <v>3894.3986</v>
      </c>
      <c r="G47" s="43">
        <f>'Enthalpy Data'!AD3</f>
        <v>3894.4866000000006</v>
      </c>
      <c r="H47" s="43">
        <f>'Enthalpy Data'!AE3</f>
        <v>3894.9266000000002</v>
      </c>
      <c r="I47" s="43">
        <f>'Enthalpy Data'!AF3</f>
        <v>3895.3666000000003</v>
      </c>
      <c r="J47" s="43">
        <f>'Enthalpy Data'!AG3</f>
        <v>3895.8066000000003</v>
      </c>
      <c r="K47" s="43">
        <f>'Enthalpy Data'!AH3</f>
        <v>3896.2466000000004</v>
      </c>
      <c r="L47" s="43">
        <f>'Enthalpy Data'!AI3</f>
        <v>3896.6866000000005</v>
      </c>
      <c r="M47" s="43">
        <f>'Enthalpy Data'!AJ3</f>
        <v>3897.1266000000001</v>
      </c>
      <c r="N47" s="76">
        <f>'Enthalpy Data'!AK3</f>
        <v>3897.5666000000006</v>
      </c>
      <c r="P47" s="127">
        <f>'Enthalpy Data'!X40</f>
        <v>1050</v>
      </c>
      <c r="Q47" s="47">
        <f>'Enthalpy Data'!Y40</f>
        <v>1628.4621999999999</v>
      </c>
      <c r="R47" s="43">
        <f>'Enthalpy Data'!Z40</f>
        <v>1628.62895</v>
      </c>
      <c r="S47" s="43">
        <f>'Enthalpy Data'!AA40</f>
        <v>1628.7957000000001</v>
      </c>
      <c r="T47" s="43">
        <f>'Enthalpy Data'!AB40</f>
        <v>1628.96245</v>
      </c>
      <c r="U47" s="43">
        <f>'Enthalpy Data'!AC40</f>
        <v>1629.1291999999999</v>
      </c>
      <c r="V47" s="43">
        <f>'Enthalpy Data'!AD40</f>
        <v>1629.2959499999999</v>
      </c>
      <c r="W47" s="43">
        <f>'Enthalpy Data'!AE40</f>
        <v>1630.1297</v>
      </c>
      <c r="X47" s="43">
        <f>'Enthalpy Data'!AF40</f>
        <v>1630.96345</v>
      </c>
      <c r="Y47" s="43">
        <f>'Enthalpy Data'!AG40</f>
        <v>1631.7972</v>
      </c>
      <c r="Z47" s="43">
        <f>'Enthalpy Data'!AH40</f>
        <v>1632.63095</v>
      </c>
      <c r="AA47" s="43">
        <f>'Enthalpy Data'!AI40</f>
        <v>1633.4647</v>
      </c>
      <c r="AB47" s="43">
        <f>'Enthalpy Data'!AJ40</f>
        <v>1634.2984500000002</v>
      </c>
      <c r="AC47" s="76">
        <f>'Enthalpy Data'!AK40</f>
        <v>1635.1322</v>
      </c>
    </row>
    <row r="48" spans="1:29" x14ac:dyDescent="0.25">
      <c r="A48" s="131">
        <f>'Enthalpy Data'!X4</f>
        <v>2000</v>
      </c>
      <c r="B48" s="47">
        <f>'Enthalpy Data'!Y4</f>
        <v>4026.0064285714288</v>
      </c>
      <c r="C48" s="43">
        <f>'Enthalpy Data'!Z4</f>
        <v>4025.8752500000001</v>
      </c>
      <c r="D48" s="43">
        <f>'Enthalpy Data'!AA4</f>
        <v>4025.9579000000003</v>
      </c>
      <c r="E48" s="43">
        <f>'Enthalpy Data'!AB4</f>
        <v>4026.0405500000002</v>
      </c>
      <c r="F48" s="43">
        <f>'Enthalpy Data'!AC4</f>
        <v>4026.1232</v>
      </c>
      <c r="G48" s="43">
        <f>'Enthalpy Data'!AD4</f>
        <v>4026.2058500000003</v>
      </c>
      <c r="H48" s="43">
        <f>'Enthalpy Data'!AE4</f>
        <v>4026.6191000000003</v>
      </c>
      <c r="I48" s="43">
        <f>'Enthalpy Data'!AF4</f>
        <v>4027.03235</v>
      </c>
      <c r="J48" s="43">
        <f>'Enthalpy Data'!AG4</f>
        <v>4027.4456000000005</v>
      </c>
      <c r="K48" s="43">
        <f>'Enthalpy Data'!AH4</f>
        <v>4027.8588500000001</v>
      </c>
      <c r="L48" s="43">
        <f>'Enthalpy Data'!AI4</f>
        <v>4028.2721000000001</v>
      </c>
      <c r="M48" s="43">
        <f>'Enthalpy Data'!AJ4</f>
        <v>4028.6853500000002</v>
      </c>
      <c r="N48" s="76">
        <f>'Enthalpy Data'!AK4</f>
        <v>4029.0985999999998</v>
      </c>
      <c r="P48" s="127">
        <f>'Enthalpy Data'!X41</f>
        <v>1100</v>
      </c>
      <c r="Q48" s="47">
        <f>'Enthalpy Data'!Y41</f>
        <v>1747.6754000000001</v>
      </c>
      <c r="R48" s="43">
        <f>'Enthalpy Data'!Z41</f>
        <v>1747.8413500000001</v>
      </c>
      <c r="S48" s="43">
        <f>'Enthalpy Data'!AA41</f>
        <v>1748.0073</v>
      </c>
      <c r="T48" s="43">
        <f>'Enthalpy Data'!AB41</f>
        <v>1748.1732500000001</v>
      </c>
      <c r="U48" s="43">
        <f>'Enthalpy Data'!AC41</f>
        <v>1748.3392000000001</v>
      </c>
      <c r="V48" s="43">
        <f>'Enthalpy Data'!AD41</f>
        <v>1748.50515</v>
      </c>
      <c r="W48" s="43">
        <f>'Enthalpy Data'!AE41</f>
        <v>1749.3349000000001</v>
      </c>
      <c r="X48" s="43">
        <f>'Enthalpy Data'!AF41</f>
        <v>1750.1646500000002</v>
      </c>
      <c r="Y48" s="43">
        <f>'Enthalpy Data'!AG41</f>
        <v>1750.9944000000003</v>
      </c>
      <c r="Z48" s="43">
        <f>'Enthalpy Data'!AH41</f>
        <v>1751.8241500000001</v>
      </c>
      <c r="AA48" s="43">
        <f>'Enthalpy Data'!AI41</f>
        <v>1752.6539</v>
      </c>
      <c r="AB48" s="43">
        <f>'Enthalpy Data'!AJ41</f>
        <v>1753.4836500000001</v>
      </c>
      <c r="AC48" s="76">
        <f>'Enthalpy Data'!AK41</f>
        <v>1754.3134000000002</v>
      </c>
    </row>
    <row r="49" spans="1:29" x14ac:dyDescent="0.25">
      <c r="A49" s="131">
        <f>'Enthalpy Data'!X5</f>
        <v>2050</v>
      </c>
      <c r="B49" s="47">
        <f>'Enthalpy Data'!Y5</f>
        <v>4157.9392857142857</v>
      </c>
      <c r="C49" s="43">
        <f>'Enthalpy Data'!Z5</f>
        <v>4157.7959000000001</v>
      </c>
      <c r="D49" s="43">
        <f>'Enthalpy Data'!AA5</f>
        <v>4157.8732000000009</v>
      </c>
      <c r="E49" s="43">
        <f>'Enthalpy Data'!AB5</f>
        <v>4157.9504999999999</v>
      </c>
      <c r="F49" s="43">
        <f>'Enthalpy Data'!AC5</f>
        <v>4158.0277999999998</v>
      </c>
      <c r="G49" s="43">
        <f>'Enthalpy Data'!AD5</f>
        <v>4158.1051000000007</v>
      </c>
      <c r="H49" s="43">
        <f>'Enthalpy Data'!AE5</f>
        <v>4158.4916000000003</v>
      </c>
      <c r="I49" s="43">
        <f>'Enthalpy Data'!AF5</f>
        <v>4158.8780999999999</v>
      </c>
      <c r="J49" s="43">
        <f>'Enthalpy Data'!AG5</f>
        <v>4159.2646000000004</v>
      </c>
      <c r="K49" s="43">
        <f>'Enthalpy Data'!AH5</f>
        <v>4159.6511</v>
      </c>
      <c r="L49" s="43">
        <f>'Enthalpy Data'!AI5</f>
        <v>4160.0376000000006</v>
      </c>
      <c r="M49" s="43">
        <f>'Enthalpy Data'!AJ5</f>
        <v>4160.4241000000002</v>
      </c>
      <c r="N49" s="76">
        <f>'Enthalpy Data'!AK5</f>
        <v>4160.8106000000007</v>
      </c>
      <c r="P49" s="127">
        <f>'Enthalpy Data'!X42</f>
        <v>1150</v>
      </c>
      <c r="Q49" s="47">
        <f>'Enthalpy Data'!Y42</f>
        <v>1867.7888000000003</v>
      </c>
      <c r="R49" s="43">
        <f>'Enthalpy Data'!Z42</f>
        <v>1867.9536000000003</v>
      </c>
      <c r="S49" s="43">
        <f>'Enthalpy Data'!AA42</f>
        <v>1868.1184000000001</v>
      </c>
      <c r="T49" s="43">
        <f>'Enthalpy Data'!AB42</f>
        <v>1868.2832000000001</v>
      </c>
      <c r="U49" s="43">
        <f>'Enthalpy Data'!AC42</f>
        <v>1868.4480000000001</v>
      </c>
      <c r="V49" s="43">
        <f>'Enthalpy Data'!AD42</f>
        <v>1868.6128000000001</v>
      </c>
      <c r="W49" s="43">
        <f>'Enthalpy Data'!AE42</f>
        <v>1869.4368000000002</v>
      </c>
      <c r="X49" s="43">
        <f>'Enthalpy Data'!AF42</f>
        <v>1870.2608</v>
      </c>
      <c r="Y49" s="43">
        <f>'Enthalpy Data'!AG42</f>
        <v>1871.0848000000001</v>
      </c>
      <c r="Z49" s="43">
        <f>'Enthalpy Data'!AH42</f>
        <v>1871.9088000000002</v>
      </c>
      <c r="AA49" s="43">
        <f>'Enthalpy Data'!AI42</f>
        <v>1872.7328000000002</v>
      </c>
      <c r="AB49" s="43">
        <f>'Enthalpy Data'!AJ42</f>
        <v>1873.5568000000003</v>
      </c>
      <c r="AC49" s="76">
        <f>'Enthalpy Data'!AK42</f>
        <v>1874.3808000000001</v>
      </c>
    </row>
    <row r="50" spans="1:29" x14ac:dyDescent="0.25">
      <c r="A50" s="131">
        <f>'Enthalpy Data'!X6</f>
        <v>2100</v>
      </c>
      <c r="B50" s="47">
        <f>'Enthalpy Data'!Y6</f>
        <v>4290.0421428571426</v>
      </c>
      <c r="C50" s="43">
        <f>'Enthalpy Data'!Z6</f>
        <v>4289.8869999999997</v>
      </c>
      <c r="D50" s="43">
        <f>'Enthalpy Data'!AA6</f>
        <v>4289.9593999999997</v>
      </c>
      <c r="E50" s="43">
        <f>'Enthalpy Data'!AB6</f>
        <v>4290.0317999999997</v>
      </c>
      <c r="F50" s="43">
        <f>'Enthalpy Data'!AC6</f>
        <v>4290.1041999999998</v>
      </c>
      <c r="G50" s="43">
        <f>'Enthalpy Data'!AD6</f>
        <v>4290.1766000000007</v>
      </c>
      <c r="H50" s="43">
        <f>'Enthalpy Data'!AE6</f>
        <v>4290.5385999999999</v>
      </c>
      <c r="I50" s="43">
        <f>'Enthalpy Data'!AF6</f>
        <v>4290.9005999999999</v>
      </c>
      <c r="J50" s="43">
        <f>'Enthalpy Data'!AG6</f>
        <v>4291.2626</v>
      </c>
      <c r="K50" s="43">
        <f>'Enthalpy Data'!AH6</f>
        <v>4291.6246000000001</v>
      </c>
      <c r="L50" s="43">
        <f>'Enthalpy Data'!AI6</f>
        <v>4291.9866000000002</v>
      </c>
      <c r="M50" s="43">
        <f>'Enthalpy Data'!AJ6</f>
        <v>4292.3486000000003</v>
      </c>
      <c r="N50" s="76">
        <f>'Enthalpy Data'!AK6</f>
        <v>4292.7106000000003</v>
      </c>
      <c r="P50" s="127">
        <f>'Enthalpy Data'!X43</f>
        <v>1200</v>
      </c>
      <c r="Q50" s="47">
        <f>'Enthalpy Data'!Y43</f>
        <v>1988.8024</v>
      </c>
      <c r="R50" s="43">
        <f>'Enthalpy Data'!Z43</f>
        <v>1988.9644500000002</v>
      </c>
      <c r="S50" s="43">
        <f>'Enthalpy Data'!AA43</f>
        <v>1989.1265000000003</v>
      </c>
      <c r="T50" s="43">
        <f>'Enthalpy Data'!AB43</f>
        <v>1989.28855</v>
      </c>
      <c r="U50" s="43">
        <f>'Enthalpy Data'!AC43</f>
        <v>1989.4506000000001</v>
      </c>
      <c r="V50" s="43">
        <f>'Enthalpy Data'!AD43</f>
        <v>1989.6126500000003</v>
      </c>
      <c r="W50" s="43">
        <f>'Enthalpy Data'!AE43</f>
        <v>1990.4229000000003</v>
      </c>
      <c r="X50" s="43">
        <f>'Enthalpy Data'!AF43</f>
        <v>1991.23315</v>
      </c>
      <c r="Y50" s="43">
        <f>'Enthalpy Data'!AG43</f>
        <v>1992.0434000000002</v>
      </c>
      <c r="Z50" s="43">
        <f>'Enthalpy Data'!AH43</f>
        <v>1992.85365</v>
      </c>
      <c r="AA50" s="43">
        <f>'Enthalpy Data'!AI43</f>
        <v>1993.6639000000002</v>
      </c>
      <c r="AB50" s="43">
        <f>'Enthalpy Data'!AJ43</f>
        <v>1994.4741500000002</v>
      </c>
      <c r="AC50" s="76">
        <f>'Enthalpy Data'!AK43</f>
        <v>1995.2844</v>
      </c>
    </row>
    <row r="51" spans="1:29" x14ac:dyDescent="0.25">
      <c r="A51" s="131">
        <f>'Enthalpy Data'!X7</f>
        <v>2150</v>
      </c>
      <c r="B51" s="47">
        <f>'Enthalpy Data'!Y7</f>
        <v>4422.7852380952381</v>
      </c>
      <c r="C51" s="43">
        <f>'Enthalpy Data'!Z7</f>
        <v>4422.6175000000003</v>
      </c>
      <c r="D51" s="43">
        <f>'Enthalpy Data'!AA7</f>
        <v>4422.6841999999997</v>
      </c>
      <c r="E51" s="43">
        <f>'Enthalpy Data'!AB7</f>
        <v>4422.7509</v>
      </c>
      <c r="F51" s="43">
        <f>'Enthalpy Data'!AC7</f>
        <v>4422.8176000000003</v>
      </c>
      <c r="G51" s="43">
        <f>'Enthalpy Data'!AD7</f>
        <v>4422.8842999999997</v>
      </c>
      <c r="H51" s="43">
        <f>'Enthalpy Data'!AE7</f>
        <v>4423.2177999999994</v>
      </c>
      <c r="I51" s="43">
        <f>'Enthalpy Data'!AF7</f>
        <v>4423.5513000000001</v>
      </c>
      <c r="J51" s="43">
        <f>'Enthalpy Data'!AG7</f>
        <v>4423.8847999999998</v>
      </c>
      <c r="K51" s="43">
        <f>'Enthalpy Data'!AH7</f>
        <v>4424.2183000000005</v>
      </c>
      <c r="L51" s="43">
        <f>'Enthalpy Data'!AI7</f>
        <v>4424.5518000000002</v>
      </c>
      <c r="M51" s="43">
        <f>'Enthalpy Data'!AJ7</f>
        <v>4424.8852999999999</v>
      </c>
      <c r="N51" s="76">
        <f>'Enthalpy Data'!AK7</f>
        <v>4425.2187999999996</v>
      </c>
      <c r="P51" s="127">
        <f>'Enthalpy Data'!X44</f>
        <v>1250</v>
      </c>
      <c r="Q51" s="47">
        <f>'Enthalpy Data'!Y44</f>
        <v>2110.6262000000002</v>
      </c>
      <c r="R51" s="43">
        <f>'Enthalpy Data'!Z44</f>
        <v>2110.7864000000004</v>
      </c>
      <c r="S51" s="43">
        <f>'Enthalpy Data'!AA44</f>
        <v>2110.9465999999998</v>
      </c>
      <c r="T51" s="43">
        <f>'Enthalpy Data'!AB44</f>
        <v>2111.1068000000005</v>
      </c>
      <c r="U51" s="43">
        <f>'Enthalpy Data'!AC44</f>
        <v>2111.2670000000003</v>
      </c>
      <c r="V51" s="43">
        <f>'Enthalpy Data'!AD44</f>
        <v>2111.4272000000001</v>
      </c>
      <c r="W51" s="43">
        <f>'Enthalpy Data'!AE44</f>
        <v>2112.2282</v>
      </c>
      <c r="X51" s="43">
        <f>'Enthalpy Data'!AF44</f>
        <v>2113.0292000000004</v>
      </c>
      <c r="Y51" s="43">
        <f>'Enthalpy Data'!AG44</f>
        <v>2113.8302000000003</v>
      </c>
      <c r="Z51" s="43">
        <f>'Enthalpy Data'!AH44</f>
        <v>2114.6312000000003</v>
      </c>
      <c r="AA51" s="43">
        <f>'Enthalpy Data'!AI44</f>
        <v>2115.4322000000002</v>
      </c>
      <c r="AB51" s="43">
        <f>'Enthalpy Data'!AJ44</f>
        <v>2116.2332000000001</v>
      </c>
      <c r="AC51" s="76">
        <f>'Enthalpy Data'!AK44</f>
        <v>2117.0342000000001</v>
      </c>
    </row>
    <row r="52" spans="1:29" x14ac:dyDescent="0.25">
      <c r="A52" s="131">
        <f>'Enthalpy Data'!X8</f>
        <v>2200</v>
      </c>
      <c r="B52" s="47">
        <f>'Enthalpy Data'!Y8</f>
        <v>4556.3485714285716</v>
      </c>
      <c r="C52" s="43">
        <f>'Enthalpy Data'!Z8</f>
        <v>4556.1686499999996</v>
      </c>
      <c r="D52" s="43">
        <f>'Enthalpy Data'!AA8</f>
        <v>4556.2300999999998</v>
      </c>
      <c r="E52" s="43">
        <f>'Enthalpy Data'!AB8</f>
        <v>4556.2915499999999</v>
      </c>
      <c r="F52" s="43">
        <f>'Enthalpy Data'!AC8</f>
        <v>4556.353000000001</v>
      </c>
      <c r="G52" s="43">
        <f>'Enthalpy Data'!AD8</f>
        <v>4556.4144500000002</v>
      </c>
      <c r="H52" s="43">
        <f>'Enthalpy Data'!AE8</f>
        <v>4556.7217000000001</v>
      </c>
      <c r="I52" s="43">
        <f>'Enthalpy Data'!AF8</f>
        <v>4557.0289500000008</v>
      </c>
      <c r="J52" s="43">
        <f>'Enthalpy Data'!AG8</f>
        <v>4557.3362000000006</v>
      </c>
      <c r="K52" s="43">
        <f>'Enthalpy Data'!AH8</f>
        <v>4557.6434500000005</v>
      </c>
      <c r="L52" s="43">
        <f>'Enthalpy Data'!AI8</f>
        <v>4557.9507000000003</v>
      </c>
      <c r="M52" s="43">
        <f>'Enthalpy Data'!AJ8</f>
        <v>4558.2579500000002</v>
      </c>
      <c r="N52" s="76">
        <f>'Enthalpy Data'!AK8</f>
        <v>4558.5652000000009</v>
      </c>
      <c r="P52" s="127">
        <f>'Enthalpy Data'!X45</f>
        <v>1300</v>
      </c>
      <c r="Q52" s="47">
        <f>'Enthalpy Data'!Y45</f>
        <v>2233.4402</v>
      </c>
      <c r="R52" s="43">
        <f>'Enthalpy Data'!Z45</f>
        <v>2233.5969500000001</v>
      </c>
      <c r="S52" s="43">
        <f>'Enthalpy Data'!AA45</f>
        <v>2233.7537000000002</v>
      </c>
      <c r="T52" s="43">
        <f>'Enthalpy Data'!AB45</f>
        <v>2233.9104499999999</v>
      </c>
      <c r="U52" s="43">
        <f>'Enthalpy Data'!AC45</f>
        <v>2234.0672000000004</v>
      </c>
      <c r="V52" s="43">
        <f>'Enthalpy Data'!AD45</f>
        <v>2234.2239500000001</v>
      </c>
      <c r="W52" s="43">
        <f>'Enthalpy Data'!AE45</f>
        <v>2235.0077000000001</v>
      </c>
      <c r="X52" s="43">
        <f>'Enthalpy Data'!AF45</f>
        <v>2235.7914500000002</v>
      </c>
      <c r="Y52" s="43">
        <f>'Enthalpy Data'!AG45</f>
        <v>2236.5752000000002</v>
      </c>
      <c r="Z52" s="43">
        <f>'Enthalpy Data'!AH45</f>
        <v>2237.3589499999998</v>
      </c>
      <c r="AA52" s="43">
        <f>'Enthalpy Data'!AI45</f>
        <v>2238.1427000000003</v>
      </c>
      <c r="AB52" s="43">
        <f>'Enthalpy Data'!AJ45</f>
        <v>2238.9264499999999</v>
      </c>
      <c r="AC52" s="76">
        <f>'Enthalpy Data'!AK45</f>
        <v>2239.7102</v>
      </c>
    </row>
    <row r="53" spans="1:29" x14ac:dyDescent="0.25">
      <c r="A53" s="131">
        <f>'Enthalpy Data'!X9</f>
        <v>2250</v>
      </c>
      <c r="B53" s="47">
        <f>'Enthalpy Data'!Y9</f>
        <v>4689.4416666666675</v>
      </c>
      <c r="C53" s="43">
        <f>'Enthalpy Data'!Z9</f>
        <v>4689.2508500000004</v>
      </c>
      <c r="D53" s="43">
        <f>'Enthalpy Data'!AA9</f>
        <v>4689.3082999999997</v>
      </c>
      <c r="E53" s="43">
        <f>'Enthalpy Data'!AB9</f>
        <v>4689.3657499999999</v>
      </c>
      <c r="F53" s="43">
        <f>'Enthalpy Data'!AC9</f>
        <v>4689.4232000000002</v>
      </c>
      <c r="G53" s="43">
        <f>'Enthalpy Data'!AD9</f>
        <v>4689.4806499999995</v>
      </c>
      <c r="H53" s="43">
        <f>'Enthalpy Data'!AE9</f>
        <v>4689.7679000000007</v>
      </c>
      <c r="I53" s="43">
        <f>'Enthalpy Data'!AF9</f>
        <v>4690.0551500000001</v>
      </c>
      <c r="J53" s="43">
        <f>'Enthalpy Data'!AG9</f>
        <v>4690.3424000000014</v>
      </c>
      <c r="K53" s="43">
        <f>'Enthalpy Data'!AH9</f>
        <v>4690.6296500000008</v>
      </c>
      <c r="L53" s="43">
        <f>'Enthalpy Data'!AI9</f>
        <v>4690.9169000000002</v>
      </c>
      <c r="M53" s="43">
        <f>'Enthalpy Data'!AJ9</f>
        <v>4691.2041500000005</v>
      </c>
      <c r="N53" s="76">
        <f>'Enthalpy Data'!AK9</f>
        <v>4691.4913999999999</v>
      </c>
      <c r="P53" s="127">
        <f>'Enthalpy Data'!X46</f>
        <v>1350</v>
      </c>
      <c r="Q53" s="47">
        <f>'Enthalpy Data'!Y46</f>
        <v>2357.0744</v>
      </c>
      <c r="R53" s="43">
        <f>'Enthalpy Data'!Z46</f>
        <v>2357.2281499999999</v>
      </c>
      <c r="S53" s="43">
        <f>'Enthalpy Data'!AA46</f>
        <v>2357.3818999999999</v>
      </c>
      <c r="T53" s="43">
        <f>'Enthalpy Data'!AB46</f>
        <v>2357.5356500000003</v>
      </c>
      <c r="U53" s="43">
        <f>'Enthalpy Data'!AC46</f>
        <v>2357.6893999999998</v>
      </c>
      <c r="V53" s="43">
        <f>'Enthalpy Data'!AD46</f>
        <v>2357.8431499999997</v>
      </c>
      <c r="W53" s="43">
        <f>'Enthalpy Data'!AE46</f>
        <v>2358.6118999999999</v>
      </c>
      <c r="X53" s="43">
        <f>'Enthalpy Data'!AF46</f>
        <v>2359.3806500000001</v>
      </c>
      <c r="Y53" s="43">
        <f>'Enthalpy Data'!AG46</f>
        <v>2360.1494000000002</v>
      </c>
      <c r="Z53" s="43">
        <f>'Enthalpy Data'!AH46</f>
        <v>2360.91815</v>
      </c>
      <c r="AA53" s="43">
        <f>'Enthalpy Data'!AI46</f>
        <v>2361.6868999999997</v>
      </c>
      <c r="AB53" s="43">
        <f>'Enthalpy Data'!AJ46</f>
        <v>2362.4556499999999</v>
      </c>
      <c r="AC53" s="76">
        <f>'Enthalpy Data'!AK46</f>
        <v>2363.2244000000001</v>
      </c>
    </row>
    <row r="54" spans="1:29" x14ac:dyDescent="0.25">
      <c r="A54" s="131">
        <f>'Enthalpy Data'!X10</f>
        <v>2300</v>
      </c>
      <c r="B54" s="47">
        <f>'Enthalpy Data'!Y10</f>
        <v>4823.1849999999995</v>
      </c>
      <c r="C54" s="43">
        <f>'Enthalpy Data'!Z10</f>
        <v>4822.9832500000002</v>
      </c>
      <c r="D54" s="43">
        <f>'Enthalpy Data'!AA10</f>
        <v>4823.0367000000006</v>
      </c>
      <c r="E54" s="43">
        <f>'Enthalpy Data'!AB10</f>
        <v>4823.09015</v>
      </c>
      <c r="F54" s="43">
        <f>'Enthalpy Data'!AC10</f>
        <v>4823.1436000000003</v>
      </c>
      <c r="G54" s="43">
        <f>'Enthalpy Data'!AD10</f>
        <v>4823.1970500000007</v>
      </c>
      <c r="H54" s="43">
        <f>'Enthalpy Data'!AE10</f>
        <v>4823.4642999999996</v>
      </c>
      <c r="I54" s="43">
        <f>'Enthalpy Data'!AF10</f>
        <v>4823.7315499999995</v>
      </c>
      <c r="J54" s="43">
        <f>'Enthalpy Data'!AG10</f>
        <v>4823.9987999999994</v>
      </c>
      <c r="K54" s="43">
        <f>'Enthalpy Data'!AH10</f>
        <v>4824.2660500000002</v>
      </c>
      <c r="L54" s="43">
        <f>'Enthalpy Data'!AI10</f>
        <v>4824.5333000000001</v>
      </c>
      <c r="M54" s="43">
        <f>'Enthalpy Data'!AJ10</f>
        <v>4824.8005499999999</v>
      </c>
      <c r="N54" s="76">
        <f>'Enthalpy Data'!AK10</f>
        <v>4825.0677999999998</v>
      </c>
      <c r="P54" s="127">
        <f>'Enthalpy Data'!X47</f>
        <v>1400</v>
      </c>
      <c r="Q54" s="47">
        <f>'Enthalpy Data'!Y47</f>
        <v>2481.5987999999998</v>
      </c>
      <c r="R54" s="43">
        <f>'Enthalpy Data'!Z47</f>
        <v>2481.7471500000001</v>
      </c>
      <c r="S54" s="43">
        <f>'Enthalpy Data'!AA47</f>
        <v>2481.8955000000001</v>
      </c>
      <c r="T54" s="43">
        <f>'Enthalpy Data'!AB47</f>
        <v>2482.04385</v>
      </c>
      <c r="U54" s="43">
        <f>'Enthalpy Data'!AC47</f>
        <v>2482.1922</v>
      </c>
      <c r="V54" s="43">
        <f>'Enthalpy Data'!AD47</f>
        <v>2482.3405499999999</v>
      </c>
      <c r="W54" s="43">
        <f>'Enthalpy Data'!AE47</f>
        <v>2483.0823</v>
      </c>
      <c r="X54" s="43">
        <f>'Enthalpy Data'!AF47</f>
        <v>2483.8240500000002</v>
      </c>
      <c r="Y54" s="43">
        <f>'Enthalpy Data'!AG47</f>
        <v>2484.5658000000003</v>
      </c>
      <c r="Z54" s="43">
        <f>'Enthalpy Data'!AH47</f>
        <v>2485.30755</v>
      </c>
      <c r="AA54" s="43">
        <f>'Enthalpy Data'!AI47</f>
        <v>2486.0492999999997</v>
      </c>
      <c r="AB54" s="43">
        <f>'Enthalpy Data'!AJ47</f>
        <v>2486.7910499999998</v>
      </c>
      <c r="AC54" s="76">
        <f>'Enthalpy Data'!AK47</f>
        <v>2487.5328</v>
      </c>
    </row>
    <row r="55" spans="1:29" x14ac:dyDescent="0.25">
      <c r="A55" s="131">
        <f>'Enthalpy Data'!X11</f>
        <v>2350</v>
      </c>
      <c r="B55" s="47">
        <f>'Enthalpy Data'!Y11</f>
        <v>4957.6485714285709</v>
      </c>
      <c r="C55" s="43">
        <f>'Enthalpy Data'!Z11</f>
        <v>4957.4342500000002</v>
      </c>
      <c r="D55" s="43">
        <f>'Enthalpy Data'!AA11</f>
        <v>4957.4820999999993</v>
      </c>
      <c r="E55" s="43">
        <f>'Enthalpy Data'!AB11</f>
        <v>4957.5299500000001</v>
      </c>
      <c r="F55" s="43">
        <f>'Enthalpy Data'!AC11</f>
        <v>4957.5778</v>
      </c>
      <c r="G55" s="43">
        <f>'Enthalpy Data'!AD11</f>
        <v>4957.62565</v>
      </c>
      <c r="H55" s="43">
        <f>'Enthalpy Data'!AE11</f>
        <v>4957.8649000000005</v>
      </c>
      <c r="I55" s="43">
        <f>'Enthalpy Data'!AF11</f>
        <v>4958.1041499999992</v>
      </c>
      <c r="J55" s="43">
        <f>'Enthalpy Data'!AG11</f>
        <v>4958.3433999999997</v>
      </c>
      <c r="K55" s="43">
        <f>'Enthalpy Data'!AH11</f>
        <v>4958.5826500000003</v>
      </c>
      <c r="L55" s="43">
        <f>'Enthalpy Data'!AI11</f>
        <v>4958.8218999999999</v>
      </c>
      <c r="M55" s="43">
        <f>'Enthalpy Data'!AJ11</f>
        <v>4959.0611500000005</v>
      </c>
      <c r="N55" s="76">
        <f>'Enthalpy Data'!AK11</f>
        <v>4959.3004000000001</v>
      </c>
      <c r="P55" s="127">
        <f>'Enthalpy Data'!X48</f>
        <v>1450</v>
      </c>
      <c r="Q55" s="47">
        <f>'Enthalpy Data'!Y48</f>
        <v>2606.9434000000001</v>
      </c>
      <c r="R55" s="43">
        <f>'Enthalpy Data'!Z48</f>
        <v>2607.0880500000003</v>
      </c>
      <c r="S55" s="43">
        <f>'Enthalpy Data'!AA48</f>
        <v>2607.2327000000005</v>
      </c>
      <c r="T55" s="43">
        <f>'Enthalpy Data'!AB48</f>
        <v>2607.3773500000002</v>
      </c>
      <c r="U55" s="43">
        <f>'Enthalpy Data'!AC48</f>
        <v>2607.5220000000004</v>
      </c>
      <c r="V55" s="43">
        <f>'Enthalpy Data'!AD48</f>
        <v>2607.6666500000001</v>
      </c>
      <c r="W55" s="43">
        <f>'Enthalpy Data'!AE48</f>
        <v>2608.3899000000001</v>
      </c>
      <c r="X55" s="43">
        <f>'Enthalpy Data'!AF48</f>
        <v>2609.1131500000001</v>
      </c>
      <c r="Y55" s="43">
        <f>'Enthalpy Data'!AG48</f>
        <v>2609.8364000000001</v>
      </c>
      <c r="Z55" s="43">
        <f>'Enthalpy Data'!AH48</f>
        <v>2610.5596500000001</v>
      </c>
      <c r="AA55" s="43">
        <f>'Enthalpy Data'!AI48</f>
        <v>2611.2829000000002</v>
      </c>
      <c r="AB55" s="43">
        <f>'Enthalpy Data'!AJ48</f>
        <v>2612.0061500000002</v>
      </c>
      <c r="AC55" s="76">
        <f>'Enthalpy Data'!AK48</f>
        <v>2612.7294000000002</v>
      </c>
    </row>
    <row r="56" spans="1:29" x14ac:dyDescent="0.25">
      <c r="A56" s="131">
        <f>'Enthalpy Data'!X12</f>
        <v>2400</v>
      </c>
      <c r="B56" s="47">
        <f>'Enthalpy Data'!Y12</f>
        <v>5091.7419047619051</v>
      </c>
      <c r="C56" s="43">
        <f>'Enthalpy Data'!Z12</f>
        <v>5091.5171</v>
      </c>
      <c r="D56" s="43">
        <f>'Enthalpy Data'!AA12</f>
        <v>5091.5614000000005</v>
      </c>
      <c r="E56" s="43">
        <f>'Enthalpy Data'!AB12</f>
        <v>5091.6057000000001</v>
      </c>
      <c r="F56" s="43">
        <f>'Enthalpy Data'!AC12</f>
        <v>5091.6499999999996</v>
      </c>
      <c r="G56" s="43">
        <f>'Enthalpy Data'!AD12</f>
        <v>5091.694300000001</v>
      </c>
      <c r="H56" s="43">
        <f>'Enthalpy Data'!AE12</f>
        <v>5091.9157999999998</v>
      </c>
      <c r="I56" s="43">
        <f>'Enthalpy Data'!AF12</f>
        <v>5092.1373000000012</v>
      </c>
      <c r="J56" s="43">
        <f>'Enthalpy Data'!AG12</f>
        <v>5092.3588</v>
      </c>
      <c r="K56" s="43">
        <f>'Enthalpy Data'!AH12</f>
        <v>5092.5803000000005</v>
      </c>
      <c r="L56" s="43">
        <f>'Enthalpy Data'!AI12</f>
        <v>5092.8018000000011</v>
      </c>
      <c r="M56" s="43">
        <f>'Enthalpy Data'!AJ12</f>
        <v>5093.0232999999998</v>
      </c>
      <c r="N56" s="76">
        <f>'Enthalpy Data'!AK12</f>
        <v>5093.2448000000004</v>
      </c>
      <c r="P56" s="127">
        <f>'Enthalpy Data'!X49</f>
        <v>1500</v>
      </c>
      <c r="Q56" s="47">
        <f>'Enthalpy Data'!Y49</f>
        <v>2732.6279999999997</v>
      </c>
      <c r="R56" s="43">
        <f>'Enthalpy Data'!Z49</f>
        <v>2732.7673500000001</v>
      </c>
      <c r="S56" s="43">
        <f>'Enthalpy Data'!AA49</f>
        <v>2732.9067</v>
      </c>
      <c r="T56" s="43">
        <f>'Enthalpy Data'!AB49</f>
        <v>2733.0460499999999</v>
      </c>
      <c r="U56" s="43">
        <f>'Enthalpy Data'!AC49</f>
        <v>2733.1854000000003</v>
      </c>
      <c r="V56" s="43">
        <f>'Enthalpy Data'!AD49</f>
        <v>2733.3247500000002</v>
      </c>
      <c r="W56" s="43">
        <f>'Enthalpy Data'!AE49</f>
        <v>2734.0215000000003</v>
      </c>
      <c r="X56" s="43">
        <f>'Enthalpy Data'!AF49</f>
        <v>2734.7182499999999</v>
      </c>
      <c r="Y56" s="43">
        <f>'Enthalpy Data'!AG49</f>
        <v>2735.415</v>
      </c>
      <c r="Z56" s="43">
        <f>'Enthalpy Data'!AH49</f>
        <v>2736.11175</v>
      </c>
      <c r="AA56" s="43">
        <f>'Enthalpy Data'!AI49</f>
        <v>2736.8085000000001</v>
      </c>
      <c r="AB56" s="43">
        <f>'Enthalpy Data'!AJ49</f>
        <v>2737.5052500000002</v>
      </c>
      <c r="AC56" s="76">
        <f>'Enthalpy Data'!AK49</f>
        <v>2738.2019999999998</v>
      </c>
    </row>
    <row r="57" spans="1:29" x14ac:dyDescent="0.25">
      <c r="A57" s="131">
        <f>'Enthalpy Data'!X13</f>
        <v>2450</v>
      </c>
      <c r="B57" s="47">
        <f>'Enthalpy Data'!Y13</f>
        <v>5226.475476190476</v>
      </c>
      <c r="C57" s="43">
        <f>'Enthalpy Data'!Z13</f>
        <v>5226.2406000000001</v>
      </c>
      <c r="D57" s="43">
        <f>'Enthalpy Data'!AA13</f>
        <v>5226.2818000000007</v>
      </c>
      <c r="E57" s="43">
        <f>'Enthalpy Data'!AB13</f>
        <v>5226.3229999999994</v>
      </c>
      <c r="F57" s="43">
        <f>'Enthalpy Data'!AC13</f>
        <v>5226.3642</v>
      </c>
      <c r="G57" s="43">
        <f>'Enthalpy Data'!AD13</f>
        <v>5226.4053999999996</v>
      </c>
      <c r="H57" s="43">
        <f>'Enthalpy Data'!AE13</f>
        <v>5226.6113999999998</v>
      </c>
      <c r="I57" s="43">
        <f>'Enthalpy Data'!AF13</f>
        <v>5226.8173999999999</v>
      </c>
      <c r="J57" s="43">
        <f>'Enthalpy Data'!AG13</f>
        <v>5227.0234</v>
      </c>
      <c r="K57" s="43">
        <f>'Enthalpy Data'!AH13</f>
        <v>5227.2294000000002</v>
      </c>
      <c r="L57" s="43">
        <f>'Enthalpy Data'!AI13</f>
        <v>5227.4354000000003</v>
      </c>
      <c r="M57" s="43">
        <f>'Enthalpy Data'!AJ13</f>
        <v>5227.6414000000004</v>
      </c>
      <c r="N57" s="76">
        <f>'Enthalpy Data'!AK13</f>
        <v>5227.8474000000006</v>
      </c>
      <c r="P57" s="127">
        <f>'Enthalpy Data'!X50</f>
        <v>1550</v>
      </c>
      <c r="Q57" s="47">
        <f>'Enthalpy Data'!Y50</f>
        <v>2859.6030000000001</v>
      </c>
      <c r="R57" s="43">
        <f>'Enthalpy Data'!Z50</f>
        <v>2859.7374999999997</v>
      </c>
      <c r="S57" s="43">
        <f>'Enthalpy Data'!AA50</f>
        <v>2859.8719999999998</v>
      </c>
      <c r="T57" s="43">
        <f>'Enthalpy Data'!AB50</f>
        <v>2860.0065</v>
      </c>
      <c r="U57" s="43">
        <f>'Enthalpy Data'!AC50</f>
        <v>2860.1410000000001</v>
      </c>
      <c r="V57" s="43">
        <f>'Enthalpy Data'!AD50</f>
        <v>2860.2754999999997</v>
      </c>
      <c r="W57" s="43">
        <f>'Enthalpy Data'!AE50</f>
        <v>2860.9479999999999</v>
      </c>
      <c r="X57" s="43">
        <f>'Enthalpy Data'!AF50</f>
        <v>2861.6205</v>
      </c>
      <c r="Y57" s="43">
        <f>'Enthalpy Data'!AG50</f>
        <v>2862.2930000000001</v>
      </c>
      <c r="Z57" s="43">
        <f>'Enthalpy Data'!AH50</f>
        <v>2862.9655000000002</v>
      </c>
      <c r="AA57" s="43">
        <f>'Enthalpy Data'!AI50</f>
        <v>2863.6379999999999</v>
      </c>
      <c r="AB57" s="43">
        <f>'Enthalpy Data'!AJ50</f>
        <v>2864.3105</v>
      </c>
      <c r="AC57" s="76">
        <f>'Enthalpy Data'!AK50</f>
        <v>2864.9829999999997</v>
      </c>
    </row>
    <row r="58" spans="1:29" x14ac:dyDescent="0.25">
      <c r="A58" s="131">
        <f>'Enthalpy Data'!X14</f>
        <v>2500</v>
      </c>
      <c r="B58" s="47">
        <f>'Enthalpy Data'!Y14</f>
        <v>5361.3790476190479</v>
      </c>
      <c r="C58" s="43">
        <f>'Enthalpy Data'!Z14</f>
        <v>5361.1332999999995</v>
      </c>
      <c r="D58" s="43">
        <f>'Enthalpy Data'!AA14</f>
        <v>5361.1706000000004</v>
      </c>
      <c r="E58" s="43">
        <f>'Enthalpy Data'!AB14</f>
        <v>5361.2079000000003</v>
      </c>
      <c r="F58" s="43">
        <f>'Enthalpy Data'!AC14</f>
        <v>5361.2452000000003</v>
      </c>
      <c r="G58" s="43">
        <f>'Enthalpy Data'!AD14</f>
        <v>5361.2824999999993</v>
      </c>
      <c r="H58" s="43">
        <f>'Enthalpy Data'!AE14</f>
        <v>5361.4690000000001</v>
      </c>
      <c r="I58" s="43">
        <f>'Enthalpy Data'!AF14</f>
        <v>5361.6554999999998</v>
      </c>
      <c r="J58" s="43">
        <f>'Enthalpy Data'!AG14</f>
        <v>5361.8420000000006</v>
      </c>
      <c r="K58" s="43">
        <f>'Enthalpy Data'!AH14</f>
        <v>5362.0285000000003</v>
      </c>
      <c r="L58" s="43">
        <f>'Enthalpy Data'!AI14</f>
        <v>5362.2150000000001</v>
      </c>
      <c r="M58" s="43">
        <f>'Enthalpy Data'!AJ14</f>
        <v>5362.4015000000009</v>
      </c>
      <c r="N58" s="76">
        <f>'Enthalpy Data'!AK14</f>
        <v>5362.5880000000006</v>
      </c>
      <c r="P58" s="127">
        <f>'Enthalpy Data'!X51</f>
        <v>1600</v>
      </c>
      <c r="Q58" s="47">
        <f>'Enthalpy Data'!Y51</f>
        <v>2986.9180000000001</v>
      </c>
      <c r="R58" s="43">
        <f>'Enthalpy Data'!Z51</f>
        <v>2987.0460499999999</v>
      </c>
      <c r="S58" s="43">
        <f>'Enthalpy Data'!AA51</f>
        <v>2987.1741000000002</v>
      </c>
      <c r="T58" s="43">
        <f>'Enthalpy Data'!AB51</f>
        <v>2987.3021500000004</v>
      </c>
      <c r="U58" s="43">
        <f>'Enthalpy Data'!AC51</f>
        <v>2987.4302000000002</v>
      </c>
      <c r="V58" s="43">
        <f>'Enthalpy Data'!AD51</f>
        <v>2987.55825</v>
      </c>
      <c r="W58" s="43">
        <f>'Enthalpy Data'!AE51</f>
        <v>2988.1985000000004</v>
      </c>
      <c r="X58" s="43">
        <f>'Enthalpy Data'!AF51</f>
        <v>2988.8387499999999</v>
      </c>
      <c r="Y58" s="43">
        <f>'Enthalpy Data'!AG51</f>
        <v>2989.4790000000003</v>
      </c>
      <c r="Z58" s="43">
        <f>'Enthalpy Data'!AH51</f>
        <v>2990.1192500000002</v>
      </c>
      <c r="AA58" s="43">
        <f>'Enthalpy Data'!AI51</f>
        <v>2990.7595000000001</v>
      </c>
      <c r="AB58" s="43">
        <f>'Enthalpy Data'!AJ51</f>
        <v>2991.39975</v>
      </c>
      <c r="AC58" s="76">
        <f>'Enthalpy Data'!AK51</f>
        <v>2992.04</v>
      </c>
    </row>
    <row r="59" spans="1:29" x14ac:dyDescent="0.25">
      <c r="A59" s="131">
        <f>'Enthalpy Data'!X15</f>
        <v>2550</v>
      </c>
      <c r="B59" s="47">
        <f>'Enthalpy Data'!Y15</f>
        <v>5496.3726190476191</v>
      </c>
      <c r="C59" s="43">
        <f>'Enthalpy Data'!Z15</f>
        <v>5496.1172500000002</v>
      </c>
      <c r="D59" s="43">
        <f>'Enthalpy Data'!AA15</f>
        <v>5496.1518999999998</v>
      </c>
      <c r="E59" s="43">
        <f>'Enthalpy Data'!AB15</f>
        <v>5496.1865500000004</v>
      </c>
      <c r="F59" s="43">
        <f>'Enthalpy Data'!AC15</f>
        <v>5496.2212</v>
      </c>
      <c r="G59" s="43">
        <f>'Enthalpy Data'!AD15</f>
        <v>5496.2558499999996</v>
      </c>
      <c r="H59" s="43">
        <f>'Enthalpy Data'!AE15</f>
        <v>5496.4291000000003</v>
      </c>
      <c r="I59" s="43">
        <f>'Enthalpy Data'!AF15</f>
        <v>5496.6023500000001</v>
      </c>
      <c r="J59" s="43">
        <f>'Enthalpy Data'!AG15</f>
        <v>5496.7756000000008</v>
      </c>
      <c r="K59" s="43">
        <f>'Enthalpy Data'!AH15</f>
        <v>5496.9488499999998</v>
      </c>
      <c r="L59" s="43">
        <f>'Enthalpy Data'!AI15</f>
        <v>5497.1220999999996</v>
      </c>
      <c r="M59" s="43">
        <f>'Enthalpy Data'!AJ15</f>
        <v>5497.2953500000003</v>
      </c>
      <c r="N59" s="76">
        <f>'Enthalpy Data'!AK15</f>
        <v>5497.4685999999992</v>
      </c>
      <c r="P59" s="127">
        <f>'Enthalpy Data'!X52</f>
        <v>1650</v>
      </c>
      <c r="Q59" s="47">
        <f>'Enthalpy Data'!Y52</f>
        <v>3114.8832000000002</v>
      </c>
      <c r="R59" s="43">
        <f>'Enthalpy Data'!Z52</f>
        <v>3115.00605</v>
      </c>
      <c r="S59" s="43">
        <f>'Enthalpy Data'!AA52</f>
        <v>3115.1289000000002</v>
      </c>
      <c r="T59" s="43">
        <f>'Enthalpy Data'!AB52</f>
        <v>3115.2517499999999</v>
      </c>
      <c r="U59" s="43">
        <f>'Enthalpy Data'!AC52</f>
        <v>3115.3746000000001</v>
      </c>
      <c r="V59" s="43">
        <f>'Enthalpy Data'!AD52</f>
        <v>3115.4974500000003</v>
      </c>
      <c r="W59" s="43">
        <f>'Enthalpy Data'!AE52</f>
        <v>3116.1117000000004</v>
      </c>
      <c r="X59" s="43">
        <f>'Enthalpy Data'!AF52</f>
        <v>3116.72595</v>
      </c>
      <c r="Y59" s="43">
        <f>'Enthalpy Data'!AG52</f>
        <v>3117.3402000000001</v>
      </c>
      <c r="Z59" s="43">
        <f>'Enthalpy Data'!AH52</f>
        <v>3117.9544500000002</v>
      </c>
      <c r="AA59" s="43">
        <f>'Enthalpy Data'!AI52</f>
        <v>3118.5687000000003</v>
      </c>
      <c r="AB59" s="43">
        <f>'Enthalpy Data'!AJ52</f>
        <v>3119.1829500000003</v>
      </c>
      <c r="AC59" s="76">
        <f>'Enthalpy Data'!AK52</f>
        <v>3119.7972</v>
      </c>
    </row>
    <row r="60" spans="1:29" x14ac:dyDescent="0.25">
      <c r="A60" s="131">
        <f>'Enthalpy Data'!X16</f>
        <v>2600</v>
      </c>
      <c r="B60" s="47">
        <f>'Enthalpy Data'!Y16</f>
        <v>5631.9264285714289</v>
      </c>
      <c r="C60" s="43">
        <f>'Enthalpy Data'!Z16</f>
        <v>5631.6614</v>
      </c>
      <c r="D60" s="43">
        <f>'Enthalpy Data'!AA16</f>
        <v>5631.693400000001</v>
      </c>
      <c r="E60" s="43">
        <f>'Enthalpy Data'!AB16</f>
        <v>5631.7254000000003</v>
      </c>
      <c r="F60" s="43">
        <f>'Enthalpy Data'!AC16</f>
        <v>5631.7573999999995</v>
      </c>
      <c r="G60" s="43">
        <f>'Enthalpy Data'!AD16</f>
        <v>5631.7893999999997</v>
      </c>
      <c r="H60" s="43">
        <f>'Enthalpy Data'!AE16</f>
        <v>5631.9494000000004</v>
      </c>
      <c r="I60" s="43">
        <f>'Enthalpy Data'!AF16</f>
        <v>5632.1094000000003</v>
      </c>
      <c r="J60" s="43">
        <f>'Enthalpy Data'!AG16</f>
        <v>5632.269400000001</v>
      </c>
      <c r="K60" s="43">
        <f>'Enthalpy Data'!AH16</f>
        <v>5632.4294</v>
      </c>
      <c r="L60" s="43">
        <f>'Enthalpy Data'!AI16</f>
        <v>5632.5893999999998</v>
      </c>
      <c r="M60" s="43">
        <f>'Enthalpy Data'!AJ16</f>
        <v>5632.7494000000006</v>
      </c>
      <c r="N60" s="76">
        <f>'Enthalpy Data'!AK16</f>
        <v>5632.9093999999996</v>
      </c>
      <c r="P60" s="127">
        <f>'Enthalpy Data'!X53</f>
        <v>1700</v>
      </c>
      <c r="Q60" s="47">
        <f>'Enthalpy Data'!Y53</f>
        <v>3243.1884</v>
      </c>
      <c r="R60" s="43">
        <f>'Enthalpy Data'!Z53</f>
        <v>3243.3056999999999</v>
      </c>
      <c r="S60" s="43">
        <f>'Enthalpy Data'!AA53</f>
        <v>3243.4230000000002</v>
      </c>
      <c r="T60" s="43">
        <f>'Enthalpy Data'!AB53</f>
        <v>3243.5403000000001</v>
      </c>
      <c r="U60" s="43">
        <f>'Enthalpy Data'!AC53</f>
        <v>3243.6576</v>
      </c>
      <c r="V60" s="43">
        <f>'Enthalpy Data'!AD53</f>
        <v>3243.7748999999999</v>
      </c>
      <c r="W60" s="43">
        <f>'Enthalpy Data'!AE53</f>
        <v>3244.3614000000002</v>
      </c>
      <c r="X60" s="43">
        <f>'Enthalpy Data'!AF53</f>
        <v>3244.9479000000001</v>
      </c>
      <c r="Y60" s="43">
        <f>'Enthalpy Data'!AG53</f>
        <v>3245.5344</v>
      </c>
      <c r="Z60" s="43">
        <f>'Enthalpy Data'!AH53</f>
        <v>3246.1208999999999</v>
      </c>
      <c r="AA60" s="43">
        <f>'Enthalpy Data'!AI53</f>
        <v>3246.7073999999998</v>
      </c>
      <c r="AB60" s="43">
        <f>'Enthalpy Data'!AJ53</f>
        <v>3247.2939000000001</v>
      </c>
      <c r="AC60" s="76">
        <f>'Enthalpy Data'!AK53</f>
        <v>3247.8804</v>
      </c>
    </row>
    <row r="61" spans="1:29" x14ac:dyDescent="0.25">
      <c r="A61" s="131">
        <f>'Enthalpy Data'!X17</f>
        <v>2650</v>
      </c>
      <c r="B61" s="47">
        <f>'Enthalpy Data'!Y17</f>
        <v>5767.6502380952388</v>
      </c>
      <c r="C61" s="43">
        <f>'Enthalpy Data'!Z17</f>
        <v>5767.3760000000002</v>
      </c>
      <c r="D61" s="43">
        <f>'Enthalpy Data'!AA17</f>
        <v>5767.4058000000014</v>
      </c>
      <c r="E61" s="43">
        <f>'Enthalpy Data'!AB17</f>
        <v>5767.4355999999998</v>
      </c>
      <c r="F61" s="43">
        <f>'Enthalpy Data'!AC17</f>
        <v>5767.465400000001</v>
      </c>
      <c r="G61" s="43">
        <f>'Enthalpy Data'!AD17</f>
        <v>5767.4952000000003</v>
      </c>
      <c r="H61" s="43">
        <f>'Enthalpy Data'!AE17</f>
        <v>5767.6442000000006</v>
      </c>
      <c r="I61" s="43">
        <f>'Enthalpy Data'!AF17</f>
        <v>5767.7932000000001</v>
      </c>
      <c r="J61" s="43">
        <f>'Enthalpy Data'!AG17</f>
        <v>5767.9422000000004</v>
      </c>
      <c r="K61" s="43">
        <f>'Enthalpy Data'!AH17</f>
        <v>5768.0912000000008</v>
      </c>
      <c r="L61" s="43">
        <f>'Enthalpy Data'!AI17</f>
        <v>5768.2402000000002</v>
      </c>
      <c r="M61" s="43">
        <f>'Enthalpy Data'!AJ17</f>
        <v>5768.3892000000005</v>
      </c>
      <c r="N61" s="76">
        <f>'Enthalpy Data'!AK17</f>
        <v>5768.5382000000009</v>
      </c>
      <c r="P61" s="127">
        <f>'Enthalpy Data'!X54</f>
        <v>1750</v>
      </c>
      <c r="Q61" s="47">
        <f>'Enthalpy Data'!Y54</f>
        <v>3372.3137999999999</v>
      </c>
      <c r="R61" s="43">
        <f>'Enthalpy Data'!Z54</f>
        <v>3372.4259999999999</v>
      </c>
      <c r="S61" s="43">
        <f>'Enthalpy Data'!AA54</f>
        <v>3372.5381999999995</v>
      </c>
      <c r="T61" s="43">
        <f>'Enthalpy Data'!AB54</f>
        <v>3372.6504</v>
      </c>
      <c r="U61" s="43">
        <f>'Enthalpy Data'!AC54</f>
        <v>3372.7626</v>
      </c>
      <c r="V61" s="43">
        <f>'Enthalpy Data'!AD54</f>
        <v>3372.8747999999996</v>
      </c>
      <c r="W61" s="43">
        <f>'Enthalpy Data'!AE54</f>
        <v>3373.4357999999997</v>
      </c>
      <c r="X61" s="43">
        <f>'Enthalpy Data'!AF54</f>
        <v>3373.9967999999999</v>
      </c>
      <c r="Y61" s="43">
        <f>'Enthalpy Data'!AG54</f>
        <v>3374.5577999999996</v>
      </c>
      <c r="Z61" s="43">
        <f>'Enthalpy Data'!AH54</f>
        <v>3375.1187999999997</v>
      </c>
      <c r="AA61" s="43">
        <f>'Enthalpy Data'!AI54</f>
        <v>3375.6797999999999</v>
      </c>
      <c r="AB61" s="43">
        <f>'Enthalpy Data'!AJ54</f>
        <v>3376.2407999999996</v>
      </c>
      <c r="AC61" s="76">
        <f>'Enthalpy Data'!AK54</f>
        <v>3376.8017999999997</v>
      </c>
    </row>
    <row r="62" spans="1:29" x14ac:dyDescent="0.25">
      <c r="A62" s="131">
        <f>'Enthalpy Data'!X18</f>
        <v>2700</v>
      </c>
      <c r="B62" s="47">
        <f>'Enthalpy Data'!Y18</f>
        <v>5903.4640476190489</v>
      </c>
      <c r="C62" s="43">
        <f>'Enthalpy Data'!Z18</f>
        <v>5903.1806000000015</v>
      </c>
      <c r="D62" s="43">
        <f>'Enthalpy Data'!AA18</f>
        <v>5903.2082</v>
      </c>
      <c r="E62" s="43">
        <f>'Enthalpy Data'!AB18</f>
        <v>5903.2358000000013</v>
      </c>
      <c r="F62" s="43">
        <f>'Enthalpy Data'!AC18</f>
        <v>5903.2633999999998</v>
      </c>
      <c r="G62" s="43">
        <f>'Enthalpy Data'!AD18</f>
        <v>5903.2910000000011</v>
      </c>
      <c r="H62" s="43">
        <f>'Enthalpy Data'!AE18</f>
        <v>5903.4290000000001</v>
      </c>
      <c r="I62" s="43">
        <f>'Enthalpy Data'!AF18</f>
        <v>5903.567</v>
      </c>
      <c r="J62" s="43">
        <f>'Enthalpy Data'!AG18</f>
        <v>5903.7049999999999</v>
      </c>
      <c r="K62" s="43">
        <f>'Enthalpy Data'!AH18</f>
        <v>5903.8430000000008</v>
      </c>
      <c r="L62" s="43">
        <f>'Enthalpy Data'!AI18</f>
        <v>5903.9810000000007</v>
      </c>
      <c r="M62" s="43">
        <f>'Enthalpy Data'!AJ18</f>
        <v>5904.1190000000006</v>
      </c>
      <c r="N62" s="76">
        <f>'Enthalpy Data'!AK18</f>
        <v>5904.2570000000005</v>
      </c>
      <c r="P62" s="127">
        <f>'Enthalpy Data'!X55</f>
        <v>1800</v>
      </c>
      <c r="Q62" s="47">
        <f>'Enthalpy Data'!Y55</f>
        <v>3502.1594000000005</v>
      </c>
      <c r="R62" s="43">
        <f>'Enthalpy Data'!Z55</f>
        <v>3502.2649000000006</v>
      </c>
      <c r="S62" s="43">
        <f>'Enthalpy Data'!AA55</f>
        <v>3502.3704000000002</v>
      </c>
      <c r="T62" s="43">
        <f>'Enthalpy Data'!AB55</f>
        <v>3502.4759000000004</v>
      </c>
      <c r="U62" s="43">
        <f>'Enthalpy Data'!AC55</f>
        <v>3502.5814</v>
      </c>
      <c r="V62" s="43">
        <f>'Enthalpy Data'!AD55</f>
        <v>3502.6869000000002</v>
      </c>
      <c r="W62" s="43">
        <f>'Enthalpy Data'!AE55</f>
        <v>3503.2144000000003</v>
      </c>
      <c r="X62" s="43">
        <f>'Enthalpy Data'!AF55</f>
        <v>3503.7419000000004</v>
      </c>
      <c r="Y62" s="43">
        <f>'Enthalpy Data'!AG55</f>
        <v>3504.2694000000006</v>
      </c>
      <c r="Z62" s="43">
        <f>'Enthalpy Data'!AH55</f>
        <v>3504.7969000000003</v>
      </c>
      <c r="AA62" s="43">
        <f>'Enthalpy Data'!AI55</f>
        <v>3505.3244</v>
      </c>
      <c r="AB62" s="43">
        <f>'Enthalpy Data'!AJ55</f>
        <v>3505.8519000000001</v>
      </c>
      <c r="AC62" s="76">
        <f>'Enthalpy Data'!AK55</f>
        <v>3506.3794000000007</v>
      </c>
    </row>
    <row r="63" spans="1:29" ht="15.75" thickBot="1" x14ac:dyDescent="0.3">
      <c r="A63" s="131">
        <f>'Enthalpy Data'!X19</f>
        <v>2750</v>
      </c>
      <c r="B63" s="47">
        <f>'Enthalpy Data'!Y19</f>
        <v>6039.4578571428574</v>
      </c>
      <c r="C63" s="43">
        <f>'Enthalpy Data'!Z19</f>
        <v>6039.1664499999997</v>
      </c>
      <c r="D63" s="43">
        <f>'Enthalpy Data'!AA19</f>
        <v>6039.1930999999995</v>
      </c>
      <c r="E63" s="43">
        <f>'Enthalpy Data'!AB19</f>
        <v>6039.2197500000002</v>
      </c>
      <c r="F63" s="43">
        <f>'Enthalpy Data'!AC19</f>
        <v>6039.2463999999991</v>
      </c>
      <c r="G63" s="43">
        <f>'Enthalpy Data'!AD19</f>
        <v>6039.2730500000007</v>
      </c>
      <c r="H63" s="43">
        <f>'Enthalpy Data'!AE19</f>
        <v>6039.4063000000006</v>
      </c>
      <c r="I63" s="43">
        <f>'Enthalpy Data'!AF19</f>
        <v>6039.5395499999995</v>
      </c>
      <c r="J63" s="43">
        <f>'Enthalpy Data'!AG19</f>
        <v>6039.6727999999994</v>
      </c>
      <c r="K63" s="43">
        <f>'Enthalpy Data'!AH19</f>
        <v>6039.8060500000001</v>
      </c>
      <c r="L63" s="43">
        <f>'Enthalpy Data'!AI19</f>
        <v>6039.9393</v>
      </c>
      <c r="M63" s="43">
        <f>'Enthalpy Data'!AJ19</f>
        <v>6040.0725500000008</v>
      </c>
      <c r="N63" s="76">
        <f>'Enthalpy Data'!AK19</f>
        <v>6040.2057999999997</v>
      </c>
      <c r="P63" s="128">
        <f>'Enthalpy Data'!X56</f>
        <v>1850</v>
      </c>
      <c r="Q63" s="139">
        <f>'Enthalpy Data'!Y56</f>
        <v>3632.2750000000005</v>
      </c>
      <c r="R63" s="44">
        <f>'Enthalpy Data'!Z56</f>
        <v>3632.3750500000001</v>
      </c>
      <c r="S63" s="44">
        <f>'Enthalpy Data'!AA56</f>
        <v>3632.4751000000006</v>
      </c>
      <c r="T63" s="44">
        <f>'Enthalpy Data'!AB56</f>
        <v>3632.5751500000001</v>
      </c>
      <c r="U63" s="44">
        <f>'Enthalpy Data'!AC56</f>
        <v>3632.6752000000001</v>
      </c>
      <c r="V63" s="44">
        <f>'Enthalpy Data'!AD56</f>
        <v>3632.7752500000006</v>
      </c>
      <c r="W63" s="44">
        <f>'Enthalpy Data'!AE56</f>
        <v>3633.2755000000002</v>
      </c>
      <c r="X63" s="44">
        <f>'Enthalpy Data'!AF56</f>
        <v>3633.7757500000002</v>
      </c>
      <c r="Y63" s="44">
        <f>'Enthalpy Data'!AG56</f>
        <v>3634.2760000000003</v>
      </c>
      <c r="Z63" s="44">
        <f>'Enthalpy Data'!AH56</f>
        <v>3634.7762500000003</v>
      </c>
      <c r="AA63" s="44">
        <f>'Enthalpy Data'!AI56</f>
        <v>3635.2765000000004</v>
      </c>
      <c r="AB63" s="44">
        <f>'Enthalpy Data'!AJ56</f>
        <v>3635.7767500000004</v>
      </c>
      <c r="AC63" s="140">
        <f>'Enthalpy Data'!AK56</f>
        <v>3636.2770000000005</v>
      </c>
    </row>
    <row r="64" spans="1:29" x14ac:dyDescent="0.25">
      <c r="A64" s="131">
        <f>'Enthalpy Data'!X20</f>
        <v>2800</v>
      </c>
      <c r="B64" s="47">
        <f>'Enthalpy Data'!Y20</f>
        <v>6175.5316666666658</v>
      </c>
      <c r="C64" s="43">
        <f>'Enthalpy Data'!Z20</f>
        <v>6175.2315000000008</v>
      </c>
      <c r="D64" s="43">
        <f>'Enthalpy Data'!AA20</f>
        <v>6175.2564000000002</v>
      </c>
      <c r="E64" s="43">
        <f>'Enthalpy Data'!AB20</f>
        <v>6175.2813000000006</v>
      </c>
      <c r="F64" s="43">
        <f>'Enthalpy Data'!AC20</f>
        <v>6175.3062</v>
      </c>
      <c r="G64" s="43">
        <f>'Enthalpy Data'!AD20</f>
        <v>6175.3310999999994</v>
      </c>
      <c r="H64" s="43">
        <f>'Enthalpy Data'!AE20</f>
        <v>6175.4556000000002</v>
      </c>
      <c r="I64" s="43">
        <f>'Enthalpy Data'!AF20</f>
        <v>6175.5801000000001</v>
      </c>
      <c r="J64" s="43">
        <f>'Enthalpy Data'!AG20</f>
        <v>6175.7046</v>
      </c>
      <c r="K64" s="43">
        <f>'Enthalpy Data'!AH20</f>
        <v>6175.8290999999999</v>
      </c>
      <c r="L64" s="43">
        <f>'Enthalpy Data'!AI20</f>
        <v>6175.9536000000007</v>
      </c>
      <c r="M64" s="43">
        <f>'Enthalpy Data'!AJ20</f>
        <v>6176.0781000000006</v>
      </c>
      <c r="N64" s="76">
        <f>'Enthalpy Data'!AK20</f>
        <v>6176.2026000000005</v>
      </c>
    </row>
    <row r="65" spans="1:14" x14ac:dyDescent="0.25">
      <c r="A65" s="131">
        <f>'Enthalpy Data'!X21</f>
        <v>2850</v>
      </c>
      <c r="B65" s="47">
        <f>'Enthalpy Data'!Y21</f>
        <v>6312.1657142857148</v>
      </c>
      <c r="C65" s="43">
        <f>'Enthalpy Data'!Z21</f>
        <v>6311.8567500000008</v>
      </c>
      <c r="D65" s="43">
        <f>'Enthalpy Data'!AA21</f>
        <v>6311.8799000000008</v>
      </c>
      <c r="E65" s="43">
        <f>'Enthalpy Data'!AB21</f>
        <v>6311.9030500000008</v>
      </c>
      <c r="F65" s="43">
        <f>'Enthalpy Data'!AC21</f>
        <v>6311.9261999999999</v>
      </c>
      <c r="G65" s="43">
        <f>'Enthalpy Data'!AD21</f>
        <v>6311.9493499999999</v>
      </c>
      <c r="H65" s="43">
        <f>'Enthalpy Data'!AE21</f>
        <v>6312.0650999999998</v>
      </c>
      <c r="I65" s="43">
        <f>'Enthalpy Data'!AF21</f>
        <v>6312.1808500000006</v>
      </c>
      <c r="J65" s="43">
        <f>'Enthalpy Data'!AG21</f>
        <v>6312.2966000000006</v>
      </c>
      <c r="K65" s="43">
        <f>'Enthalpy Data'!AH21</f>
        <v>6312.4123500000005</v>
      </c>
      <c r="L65" s="43">
        <f>'Enthalpy Data'!AI21</f>
        <v>6312.5281000000004</v>
      </c>
      <c r="M65" s="43">
        <f>'Enthalpy Data'!AJ21</f>
        <v>6312.6438500000004</v>
      </c>
      <c r="N65" s="76">
        <f>'Enthalpy Data'!AK21</f>
        <v>6312.7596000000012</v>
      </c>
    </row>
    <row r="66" spans="1:14" x14ac:dyDescent="0.25">
      <c r="A66" s="131">
        <f>'Enthalpy Data'!X22</f>
        <v>2900</v>
      </c>
      <c r="B66" s="47">
        <f>'Enthalpy Data'!Y22</f>
        <v>6448.7997619047619</v>
      </c>
      <c r="C66" s="43">
        <f>'Enthalpy Data'!Z22</f>
        <v>6448.4844999999996</v>
      </c>
      <c r="D66" s="43">
        <f>'Enthalpy Data'!AA22</f>
        <v>6448.5083999999997</v>
      </c>
      <c r="E66" s="43">
        <f>'Enthalpy Data'!AB22</f>
        <v>6448.5322999999999</v>
      </c>
      <c r="F66" s="43">
        <f>'Enthalpy Data'!AC22</f>
        <v>6448.5561999999991</v>
      </c>
      <c r="G66" s="43">
        <f>'Enthalpy Data'!AD22</f>
        <v>6448.5801000000001</v>
      </c>
      <c r="H66" s="43">
        <f>'Enthalpy Data'!AE22</f>
        <v>6448.699599999999</v>
      </c>
      <c r="I66" s="43">
        <f>'Enthalpy Data'!AF22</f>
        <v>6448.8190999999997</v>
      </c>
      <c r="J66" s="43">
        <f>'Enthalpy Data'!AG22</f>
        <v>6448.9385999999995</v>
      </c>
      <c r="K66" s="43">
        <f>'Enthalpy Data'!AH22</f>
        <v>6449.0581000000002</v>
      </c>
      <c r="L66" s="43">
        <f>'Enthalpy Data'!AI22</f>
        <v>6449.1776</v>
      </c>
      <c r="M66" s="43">
        <f>'Enthalpy Data'!AJ22</f>
        <v>6449.2970999999998</v>
      </c>
      <c r="N66" s="76">
        <f>'Enthalpy Data'!AK22</f>
        <v>6449.4165999999996</v>
      </c>
    </row>
    <row r="67" spans="1:14" x14ac:dyDescent="0.25">
      <c r="A67" s="131">
        <f>'Enthalpy Data'!X23</f>
        <v>2950</v>
      </c>
      <c r="B67" s="47">
        <f>'Enthalpy Data'!Y23</f>
        <v>6585.6938095238093</v>
      </c>
      <c r="C67" s="43">
        <f>'Enthalpy Data'!Z23</f>
        <v>6585.3702000000003</v>
      </c>
      <c r="D67" s="43">
        <f>'Enthalpy Data'!AA23</f>
        <v>6585.3928000000005</v>
      </c>
      <c r="E67" s="43">
        <f>'Enthalpy Data'!AB23</f>
        <v>6585.4154000000008</v>
      </c>
      <c r="F67" s="43">
        <f>'Enthalpy Data'!AC23</f>
        <v>6585.4380000000001</v>
      </c>
      <c r="G67" s="43">
        <f>'Enthalpy Data'!AD23</f>
        <v>6585.4605999999994</v>
      </c>
      <c r="H67" s="43">
        <f>'Enthalpy Data'!AE23</f>
        <v>6585.5736000000006</v>
      </c>
      <c r="I67" s="43">
        <f>'Enthalpy Data'!AF23</f>
        <v>6585.6866</v>
      </c>
      <c r="J67" s="43">
        <f>'Enthalpy Data'!AG23</f>
        <v>6585.7996000000003</v>
      </c>
      <c r="K67" s="43">
        <f>'Enthalpy Data'!AH23</f>
        <v>6585.9125999999997</v>
      </c>
      <c r="L67" s="43">
        <f>'Enthalpy Data'!AI23</f>
        <v>6586.025599999999</v>
      </c>
      <c r="M67" s="43">
        <f>'Enthalpy Data'!AJ23</f>
        <v>6586.1386000000002</v>
      </c>
      <c r="N67" s="76">
        <f>'Enthalpy Data'!AK23</f>
        <v>6586.2515999999996</v>
      </c>
    </row>
    <row r="68" spans="1:14" x14ac:dyDescent="0.25">
      <c r="A68" s="131">
        <f>'Enthalpy Data'!X24</f>
        <v>3000</v>
      </c>
      <c r="B68" s="47">
        <f>'Enthalpy Data'!Y24</f>
        <v>6722.5978571428577</v>
      </c>
      <c r="C68" s="43">
        <f>'Enthalpy Data'!Z24</f>
        <v>6722.2679499999995</v>
      </c>
      <c r="D68" s="43">
        <f>'Enthalpy Data'!AA24</f>
        <v>6722.2912999999999</v>
      </c>
      <c r="E68" s="43">
        <f>'Enthalpy Data'!AB24</f>
        <v>6722.3146499999993</v>
      </c>
      <c r="F68" s="43">
        <f>'Enthalpy Data'!AC24</f>
        <v>6722.3380000000006</v>
      </c>
      <c r="G68" s="43">
        <f>'Enthalpy Data'!AD24</f>
        <v>6722.3613500000001</v>
      </c>
      <c r="H68" s="43">
        <f>'Enthalpy Data'!AE24</f>
        <v>6722.4781000000003</v>
      </c>
      <c r="I68" s="43">
        <f>'Enthalpy Data'!AF24</f>
        <v>6722.5948499999995</v>
      </c>
      <c r="J68" s="43">
        <f>'Enthalpy Data'!AG24</f>
        <v>6722.7115999999996</v>
      </c>
      <c r="K68" s="43">
        <f>'Enthalpy Data'!AH24</f>
        <v>6722.8283499999998</v>
      </c>
      <c r="L68" s="43">
        <f>'Enthalpy Data'!AI24</f>
        <v>6722.9450999999999</v>
      </c>
      <c r="M68" s="43">
        <f>'Enthalpy Data'!AJ24</f>
        <v>6723.06185</v>
      </c>
      <c r="N68" s="76">
        <f>'Enthalpy Data'!AK24</f>
        <v>6723.1785999999993</v>
      </c>
    </row>
    <row r="69" spans="1:14" x14ac:dyDescent="0.25">
      <c r="A69" s="131">
        <f>'Enthalpy Data'!X25</f>
        <v>3050</v>
      </c>
      <c r="B69" s="47">
        <f>'Enthalpy Data'!Y25</f>
        <v>6859.5819047619043</v>
      </c>
      <c r="C69" s="43">
        <f>'Enthalpy Data'!Z25</f>
        <v>6859.2461499999999</v>
      </c>
      <c r="D69" s="43">
        <f>'Enthalpy Data'!AA25</f>
        <v>6859.2707</v>
      </c>
      <c r="E69" s="43">
        <f>'Enthalpy Data'!AB25</f>
        <v>6859.2952499999992</v>
      </c>
      <c r="F69" s="43">
        <f>'Enthalpy Data'!AC25</f>
        <v>6859.3198000000002</v>
      </c>
      <c r="G69" s="43">
        <f>'Enthalpy Data'!AD25</f>
        <v>6859.3443500000003</v>
      </c>
      <c r="H69" s="43">
        <f>'Enthalpy Data'!AE25</f>
        <v>6859.4671000000008</v>
      </c>
      <c r="I69" s="43">
        <f>'Enthalpy Data'!AF25</f>
        <v>6859.5898499999994</v>
      </c>
      <c r="J69" s="43">
        <f>'Enthalpy Data'!AG25</f>
        <v>6859.7125999999998</v>
      </c>
      <c r="K69" s="43">
        <f>'Enthalpy Data'!AH25</f>
        <v>6859.8353500000003</v>
      </c>
      <c r="L69" s="43">
        <f>'Enthalpy Data'!AI25</f>
        <v>6859.9581000000007</v>
      </c>
      <c r="M69" s="43">
        <f>'Enthalpy Data'!AJ25</f>
        <v>6860.0808500000003</v>
      </c>
      <c r="N69" s="76">
        <f>'Enthalpy Data'!AK25</f>
        <v>6860.2035999999998</v>
      </c>
    </row>
    <row r="70" spans="1:14" x14ac:dyDescent="0.25">
      <c r="A70" s="131">
        <f>'Enthalpy Data'!X26</f>
        <v>3100</v>
      </c>
      <c r="B70" s="47">
        <f>'Enthalpy Data'!Y26</f>
        <v>6996.7359523809537</v>
      </c>
      <c r="C70" s="43">
        <f>'Enthalpy Data'!Z26</f>
        <v>6996.3923000000004</v>
      </c>
      <c r="D70" s="43">
        <f>'Enthalpy Data'!AA26</f>
        <v>6996.4160000000002</v>
      </c>
      <c r="E70" s="43">
        <f>'Enthalpy Data'!AB26</f>
        <v>6996.4396999999999</v>
      </c>
      <c r="F70" s="43">
        <f>'Enthalpy Data'!AC26</f>
        <v>6996.4634000000005</v>
      </c>
      <c r="G70" s="43">
        <f>'Enthalpy Data'!AD26</f>
        <v>6996.4871000000003</v>
      </c>
      <c r="H70" s="43">
        <f>'Enthalpy Data'!AE26</f>
        <v>6996.6055999999999</v>
      </c>
      <c r="I70" s="43">
        <f>'Enthalpy Data'!AF26</f>
        <v>6996.7241000000013</v>
      </c>
      <c r="J70" s="43">
        <f>'Enthalpy Data'!AG26</f>
        <v>6996.8426000000009</v>
      </c>
      <c r="K70" s="43">
        <f>'Enthalpy Data'!AH26</f>
        <v>6996.9611000000004</v>
      </c>
      <c r="L70" s="43">
        <f>'Enthalpy Data'!AI26</f>
        <v>6997.0796</v>
      </c>
      <c r="M70" s="43">
        <f>'Enthalpy Data'!AJ26</f>
        <v>6997.1980999999996</v>
      </c>
      <c r="N70" s="76">
        <f>'Enthalpy Data'!AK26</f>
        <v>6997.316600000001</v>
      </c>
    </row>
    <row r="71" spans="1:14" x14ac:dyDescent="0.25">
      <c r="A71" s="131">
        <f>'Enthalpy Data'!X27</f>
        <v>3150</v>
      </c>
      <c r="B71" s="47">
        <f>'Enthalpy Data'!Y27</f>
        <v>7134.3702380952382</v>
      </c>
      <c r="C71" s="43">
        <f>'Enthalpy Data'!Z27</f>
        <v>7134.0219500000012</v>
      </c>
      <c r="D71" s="43">
        <f>'Enthalpy Data'!AA27</f>
        <v>7134.0481000000009</v>
      </c>
      <c r="E71" s="43">
        <f>'Enthalpy Data'!AB27</f>
        <v>7134.0742500000006</v>
      </c>
      <c r="F71" s="43">
        <f>'Enthalpy Data'!AC27</f>
        <v>7134.1004000000012</v>
      </c>
      <c r="G71" s="43">
        <f>'Enthalpy Data'!AD27</f>
        <v>7134.1265500000009</v>
      </c>
      <c r="H71" s="43">
        <f>'Enthalpy Data'!AE27</f>
        <v>7134.2573000000011</v>
      </c>
      <c r="I71" s="43">
        <f>'Enthalpy Data'!AF27</f>
        <v>7134.3880500000005</v>
      </c>
      <c r="J71" s="43">
        <f>'Enthalpy Data'!AG27</f>
        <v>7134.5188000000007</v>
      </c>
      <c r="K71" s="43">
        <f>'Enthalpy Data'!AH27</f>
        <v>7134.649550000001</v>
      </c>
      <c r="L71" s="43">
        <f>'Enthalpy Data'!AI27</f>
        <v>7134.7803000000013</v>
      </c>
      <c r="M71" s="43">
        <f>'Enthalpy Data'!AJ27</f>
        <v>7134.9110500000015</v>
      </c>
      <c r="N71" s="76">
        <f>'Enthalpy Data'!AK27</f>
        <v>7135.0418000000009</v>
      </c>
    </row>
    <row r="72" spans="1:14" x14ac:dyDescent="0.25">
      <c r="A72" s="131">
        <f>'Enthalpy Data'!X28</f>
        <v>3200</v>
      </c>
      <c r="B72" s="47">
        <f>'Enthalpy Data'!Y28</f>
        <v>7271.6142857142859</v>
      </c>
      <c r="C72" s="43">
        <f>'Enthalpy Data'!Z28</f>
        <v>7271.2593500000003</v>
      </c>
      <c r="D72" s="43">
        <f>'Enthalpy Data'!AA28</f>
        <v>7271.2858999999999</v>
      </c>
      <c r="E72" s="43">
        <f>'Enthalpy Data'!AB28</f>
        <v>7271.3124499999994</v>
      </c>
      <c r="F72" s="43">
        <f>'Enthalpy Data'!AC28</f>
        <v>7271.3390000000009</v>
      </c>
      <c r="G72" s="43">
        <f>'Enthalpy Data'!AD28</f>
        <v>7271.3655500000004</v>
      </c>
      <c r="H72" s="43">
        <f>'Enthalpy Data'!AE28</f>
        <v>7271.4983000000011</v>
      </c>
      <c r="I72" s="43">
        <f>'Enthalpy Data'!AF28</f>
        <v>7271.63105</v>
      </c>
      <c r="J72" s="43">
        <f>'Enthalpy Data'!AG28</f>
        <v>7271.7637999999997</v>
      </c>
      <c r="K72" s="43">
        <f>'Enthalpy Data'!AH28</f>
        <v>7271.8965500000004</v>
      </c>
      <c r="L72" s="43">
        <f>'Enthalpy Data'!AI28</f>
        <v>7272.0293000000001</v>
      </c>
      <c r="M72" s="43">
        <f>'Enthalpy Data'!AJ28</f>
        <v>7272.1620500000008</v>
      </c>
      <c r="N72" s="76">
        <f>'Enthalpy Data'!AK28</f>
        <v>7272.2947999999997</v>
      </c>
    </row>
    <row r="73" spans="1:14" x14ac:dyDescent="0.25">
      <c r="A73" s="131">
        <f>'Enthalpy Data'!X29</f>
        <v>3250</v>
      </c>
      <c r="B73" s="47">
        <f>'Enthalpy Data'!Y29</f>
        <v>7409.4185714285713</v>
      </c>
      <c r="C73" s="43">
        <f>'Enthalpy Data'!Z29</f>
        <v>7409.0594500000007</v>
      </c>
      <c r="D73" s="43">
        <f>'Enthalpy Data'!AA29</f>
        <v>7409.0888999999997</v>
      </c>
      <c r="E73" s="43">
        <f>'Enthalpy Data'!AB29</f>
        <v>7409.1183499999997</v>
      </c>
      <c r="F73" s="43">
        <f>'Enthalpy Data'!AC29</f>
        <v>7409.1477999999997</v>
      </c>
      <c r="G73" s="43">
        <f>'Enthalpy Data'!AD29</f>
        <v>7409.1772499999997</v>
      </c>
      <c r="H73" s="43">
        <f>'Enthalpy Data'!AE29</f>
        <v>7409.3244999999997</v>
      </c>
      <c r="I73" s="43">
        <f>'Enthalpy Data'!AF29</f>
        <v>7409.4717499999997</v>
      </c>
      <c r="J73" s="43">
        <f>'Enthalpy Data'!AG29</f>
        <v>7409.6189999999997</v>
      </c>
      <c r="K73" s="43">
        <f>'Enthalpy Data'!AH29</f>
        <v>7409.7662499999997</v>
      </c>
      <c r="L73" s="43">
        <f>'Enthalpy Data'!AI29</f>
        <v>7409.9134999999997</v>
      </c>
      <c r="M73" s="43">
        <f>'Enthalpy Data'!AJ29</f>
        <v>7410.0607500000006</v>
      </c>
      <c r="N73" s="76">
        <f>'Enthalpy Data'!AK29</f>
        <v>7410.2080000000005</v>
      </c>
    </row>
    <row r="74" spans="1:14" x14ac:dyDescent="0.25">
      <c r="A74" s="131">
        <f>'Enthalpy Data'!X30</f>
        <v>3300</v>
      </c>
      <c r="B74" s="47">
        <f>'Enthalpy Data'!Y30</f>
        <v>7547.3928571428569</v>
      </c>
      <c r="C74" s="43">
        <f>'Enthalpy Data'!Z30</f>
        <v>7547.0275000000001</v>
      </c>
      <c r="D74" s="43">
        <f>'Enthalpy Data'!AA30</f>
        <v>7547.0578000000014</v>
      </c>
      <c r="E74" s="43">
        <f>'Enthalpy Data'!AB30</f>
        <v>7547.0881000000008</v>
      </c>
      <c r="F74" s="43">
        <f>'Enthalpy Data'!AC30</f>
        <v>7547.1184000000003</v>
      </c>
      <c r="G74" s="43">
        <f>'Enthalpy Data'!AD30</f>
        <v>7547.1487000000016</v>
      </c>
      <c r="H74" s="43">
        <f>'Enthalpy Data'!AE30</f>
        <v>7547.3002000000006</v>
      </c>
      <c r="I74" s="43">
        <f>'Enthalpy Data'!AF30</f>
        <v>7547.4517000000005</v>
      </c>
      <c r="J74" s="43">
        <f>'Enthalpy Data'!AG30</f>
        <v>7547.6032000000005</v>
      </c>
      <c r="K74" s="43">
        <f>'Enthalpy Data'!AH30</f>
        <v>7547.7547000000004</v>
      </c>
      <c r="L74" s="43">
        <f>'Enthalpy Data'!AI30</f>
        <v>7547.9062000000013</v>
      </c>
      <c r="M74" s="43">
        <f>'Enthalpy Data'!AJ30</f>
        <v>7548.0577000000003</v>
      </c>
      <c r="N74" s="76">
        <f>'Enthalpy Data'!AK30</f>
        <v>7548.2092000000002</v>
      </c>
    </row>
    <row r="75" spans="1:14" x14ac:dyDescent="0.25">
      <c r="A75" s="131">
        <f>'Enthalpy Data'!X31</f>
        <v>3350</v>
      </c>
      <c r="B75" s="47">
        <f>'Enthalpy Data'!Y31</f>
        <v>7685.3671428571433</v>
      </c>
      <c r="C75" s="43">
        <f>'Enthalpy Data'!Z31</f>
        <v>7684.9968000000008</v>
      </c>
      <c r="D75" s="43">
        <f>'Enthalpy Data'!AA31</f>
        <v>7685.0292000000009</v>
      </c>
      <c r="E75" s="43">
        <f>'Enthalpy Data'!AB31</f>
        <v>7685.0616</v>
      </c>
      <c r="F75" s="43">
        <f>'Enthalpy Data'!AC31</f>
        <v>7685.0940000000001</v>
      </c>
      <c r="G75" s="43">
        <f>'Enthalpy Data'!AD31</f>
        <v>7685.1264000000001</v>
      </c>
      <c r="H75" s="43">
        <f>'Enthalpy Data'!AE31</f>
        <v>7685.2884000000013</v>
      </c>
      <c r="I75" s="43">
        <f>'Enthalpy Data'!AF31</f>
        <v>7685.4503999999997</v>
      </c>
      <c r="J75" s="43">
        <f>'Enthalpy Data'!AG31</f>
        <v>7685.6124000000009</v>
      </c>
      <c r="K75" s="43">
        <f>'Enthalpy Data'!AH31</f>
        <v>7685.7744000000002</v>
      </c>
      <c r="L75" s="43">
        <f>'Enthalpy Data'!AI31</f>
        <v>7685.9364000000005</v>
      </c>
      <c r="M75" s="43">
        <f>'Enthalpy Data'!AJ31</f>
        <v>7686.0984000000008</v>
      </c>
      <c r="N75" s="76">
        <f>'Enthalpy Data'!AK31</f>
        <v>7686.2604000000001</v>
      </c>
    </row>
    <row r="76" spans="1:14" x14ac:dyDescent="0.25">
      <c r="A76" s="131">
        <f>'Enthalpy Data'!X32</f>
        <v>3400</v>
      </c>
      <c r="B76" s="47">
        <f>'Enthalpy Data'!Y32</f>
        <v>7823.3514285714282</v>
      </c>
      <c r="C76" s="43">
        <f>'Enthalpy Data'!Z32</f>
        <v>7822.9781500000008</v>
      </c>
      <c r="D76" s="43">
        <f>'Enthalpy Data'!AA32</f>
        <v>7823.0147000000006</v>
      </c>
      <c r="E76" s="43">
        <f>'Enthalpy Data'!AB32</f>
        <v>7823.0512500000004</v>
      </c>
      <c r="F76" s="43">
        <f>'Enthalpy Data'!AC32</f>
        <v>7823.0878000000002</v>
      </c>
      <c r="G76" s="43">
        <f>'Enthalpy Data'!AD32</f>
        <v>7823.124350000001</v>
      </c>
      <c r="H76" s="43">
        <f>'Enthalpy Data'!AE32</f>
        <v>7823.3071</v>
      </c>
      <c r="I76" s="43">
        <f>'Enthalpy Data'!AF32</f>
        <v>7823.4898500000008</v>
      </c>
      <c r="J76" s="43">
        <f>'Enthalpy Data'!AG32</f>
        <v>7823.6725999999999</v>
      </c>
      <c r="K76" s="43">
        <f>'Enthalpy Data'!AH32</f>
        <v>7823.8553499999998</v>
      </c>
      <c r="L76" s="43">
        <f>'Enthalpy Data'!AI32</f>
        <v>7824.0381000000007</v>
      </c>
      <c r="M76" s="43">
        <f>'Enthalpy Data'!AJ32</f>
        <v>7824.2208500000006</v>
      </c>
      <c r="N76" s="76">
        <f>'Enthalpy Data'!AK32</f>
        <v>7824.4036000000006</v>
      </c>
    </row>
    <row r="77" spans="1:14" x14ac:dyDescent="0.25">
      <c r="A77" s="131">
        <f>'Enthalpy Data'!X33</f>
        <v>3450</v>
      </c>
      <c r="B77" s="47">
        <f>'Enthalpy Data'!Y33</f>
        <v>7962.0559523809525</v>
      </c>
      <c r="C77" s="43">
        <f>'Enthalpy Data'!Z33</f>
        <v>7961.6768500000007</v>
      </c>
      <c r="D77" s="43">
        <f>'Enthalpy Data'!AA33</f>
        <v>7961.7147000000014</v>
      </c>
      <c r="E77" s="43">
        <f>'Enthalpy Data'!AB33</f>
        <v>7961.7525500000011</v>
      </c>
      <c r="F77" s="43">
        <f>'Enthalpy Data'!AC33</f>
        <v>7961.7904000000008</v>
      </c>
      <c r="G77" s="43">
        <f>'Enthalpy Data'!AD33</f>
        <v>7961.8282500000014</v>
      </c>
      <c r="H77" s="43">
        <f>'Enthalpy Data'!AE33</f>
        <v>7962.0175000000017</v>
      </c>
      <c r="I77" s="43">
        <f>'Enthalpy Data'!AF33</f>
        <v>7962.2067500000003</v>
      </c>
      <c r="J77" s="43">
        <f>'Enthalpy Data'!AG33</f>
        <v>7962.3960000000006</v>
      </c>
      <c r="K77" s="43">
        <f>'Enthalpy Data'!AH33</f>
        <v>7962.585250000001</v>
      </c>
      <c r="L77" s="43">
        <f>'Enthalpy Data'!AI33</f>
        <v>7962.7745000000004</v>
      </c>
      <c r="M77" s="43">
        <f>'Enthalpy Data'!AJ33</f>
        <v>7962.9637500000008</v>
      </c>
      <c r="N77" s="76">
        <f>'Enthalpy Data'!AK33</f>
        <v>7963.1530000000002</v>
      </c>
    </row>
    <row r="78" spans="1:14" ht="15.75" thickBot="1" x14ac:dyDescent="0.3">
      <c r="A78" s="132">
        <f>'Enthalpy Data'!X34</f>
        <v>3500</v>
      </c>
      <c r="B78" s="139">
        <f>'Enthalpy Data'!Y34</f>
        <v>8100.2102380952383</v>
      </c>
      <c r="C78" s="44">
        <f>'Enthalpy Data'!Z34</f>
        <v>8099.8286500000004</v>
      </c>
      <c r="D78" s="44">
        <f>'Enthalpy Data'!AA34</f>
        <v>8099.8711000000003</v>
      </c>
      <c r="E78" s="44">
        <f>'Enthalpy Data'!AB34</f>
        <v>8099.9135500000011</v>
      </c>
      <c r="F78" s="44">
        <f>'Enthalpy Data'!AC34</f>
        <v>8099.956000000001</v>
      </c>
      <c r="G78" s="44">
        <f>'Enthalpy Data'!AD34</f>
        <v>8099.99845</v>
      </c>
      <c r="H78" s="44">
        <f>'Enthalpy Data'!AE34</f>
        <v>8100.2107000000005</v>
      </c>
      <c r="I78" s="44">
        <f>'Enthalpy Data'!AF34</f>
        <v>8100.422950000001</v>
      </c>
      <c r="J78" s="44">
        <f>'Enthalpy Data'!AG34</f>
        <v>8100.6352000000006</v>
      </c>
      <c r="K78" s="44">
        <f>'Enthalpy Data'!AH34</f>
        <v>8100.8474500000011</v>
      </c>
      <c r="L78" s="44">
        <f>'Enthalpy Data'!AI34</f>
        <v>8101.0597000000007</v>
      </c>
      <c r="M78" s="44">
        <f>'Enthalpy Data'!AJ34</f>
        <v>8101.2719500000003</v>
      </c>
      <c r="N78" s="140">
        <f>'Enthalpy Data'!AK34</f>
        <v>8101.4842000000008</v>
      </c>
    </row>
  </sheetData>
  <mergeCells count="28">
    <mergeCell ref="S24:T24"/>
    <mergeCell ref="U24:V24"/>
    <mergeCell ref="S42:S43"/>
    <mergeCell ref="W24:X24"/>
    <mergeCell ref="A1:K3"/>
    <mergeCell ref="C24:D24"/>
    <mergeCell ref="E24:F24"/>
    <mergeCell ref="G24:H24"/>
    <mergeCell ref="I24:J24"/>
    <mergeCell ref="K24:L24"/>
    <mergeCell ref="F4:K8"/>
    <mergeCell ref="M42:M43"/>
    <mergeCell ref="O42:O43"/>
    <mergeCell ref="Q42:Q43"/>
    <mergeCell ref="M24:N24"/>
    <mergeCell ref="O24:P24"/>
    <mergeCell ref="Q24:R24"/>
    <mergeCell ref="C42:C43"/>
    <mergeCell ref="E42:E43"/>
    <mergeCell ref="G42:G43"/>
    <mergeCell ref="I42:I43"/>
    <mergeCell ref="K42:K43"/>
    <mergeCell ref="U42:U43"/>
    <mergeCell ref="W42:W43"/>
    <mergeCell ref="Y42:Y43"/>
    <mergeCell ref="AA42:AA43"/>
    <mergeCell ref="Y24:Z24"/>
    <mergeCell ref="AA24:AB24"/>
  </mergeCells>
  <conditionalFormatting sqref="C26:C41 E26:E41 G26:G41 I26:I41 K26:K41 M26:M41 O26:O41 Q26:Q41 U26:U41 S26:S41 W26:W41 Y26:Y41 AA26:AA41">
    <cfRule type="colorScale" priority="1">
      <colorScale>
        <cfvo type="min"/>
        <cfvo type="max"/>
        <color theme="9" tint="0.79998168889431442"/>
        <color rgb="FFFF0000"/>
      </colorScale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78"/>
  <sheetViews>
    <sheetView zoomScale="85" zoomScaleNormal="85" workbookViewId="0">
      <selection activeCell="P5" sqref="P5"/>
    </sheetView>
  </sheetViews>
  <sheetFormatPr defaultRowHeight="15" x14ac:dyDescent="0.25"/>
  <cols>
    <col min="6" max="6" width="12.28515625" bestFit="1" customWidth="1"/>
    <col min="8" max="8" width="12.28515625" bestFit="1" customWidth="1"/>
    <col min="10" max="10" width="12.28515625" bestFit="1" customWidth="1"/>
    <col min="12" max="12" width="12.28515625" bestFit="1" customWidth="1"/>
    <col min="14" max="14" width="12.28515625" bestFit="1" customWidth="1"/>
    <col min="16" max="16" width="12.28515625" bestFit="1" customWidth="1"/>
    <col min="20" max="22" width="12.28515625" bestFit="1" customWidth="1"/>
    <col min="24" max="24" width="12.28515625" bestFit="1" customWidth="1"/>
    <col min="26" max="26" width="12.28515625" bestFit="1" customWidth="1"/>
    <col min="28" max="28" width="12.28515625" bestFit="1" customWidth="1"/>
  </cols>
  <sheetData>
    <row r="1" spans="1:28" x14ac:dyDescent="0.25">
      <c r="A1" s="215"/>
      <c r="B1" s="216"/>
      <c r="C1" s="216"/>
      <c r="D1" s="216"/>
      <c r="E1" s="216"/>
      <c r="F1" s="216"/>
      <c r="G1" s="216"/>
      <c r="H1" s="216"/>
      <c r="I1" s="216"/>
      <c r="J1" s="216"/>
      <c r="K1" s="217"/>
      <c r="L1" s="55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54"/>
      <c r="AB1" s="54"/>
    </row>
    <row r="2" spans="1:28" x14ac:dyDescent="0.25">
      <c r="A2" s="218"/>
      <c r="B2" s="219"/>
      <c r="C2" s="219"/>
      <c r="D2" s="219"/>
      <c r="E2" s="219"/>
      <c r="F2" s="219"/>
      <c r="G2" s="219"/>
      <c r="H2" s="219"/>
      <c r="I2" s="219"/>
      <c r="J2" s="219"/>
      <c r="K2" s="220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54"/>
      <c r="AB2" s="54"/>
    </row>
    <row r="3" spans="1:28" ht="15.75" thickBot="1" x14ac:dyDescent="0.3">
      <c r="A3" s="221"/>
      <c r="B3" s="222"/>
      <c r="C3" s="222"/>
      <c r="D3" s="222"/>
      <c r="E3" s="222"/>
      <c r="F3" s="222"/>
      <c r="G3" s="222"/>
      <c r="H3" s="222"/>
      <c r="I3" s="222"/>
      <c r="J3" s="222"/>
      <c r="K3" s="223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54"/>
      <c r="AB3" s="54"/>
    </row>
    <row r="4" spans="1:28" ht="15.75" customHeight="1" thickBot="1" x14ac:dyDescent="0.3">
      <c r="A4" s="78" t="s">
        <v>17</v>
      </c>
      <c r="B4" s="59">
        <v>1800</v>
      </c>
      <c r="C4" s="53"/>
      <c r="D4" s="134" t="s">
        <v>25</v>
      </c>
      <c r="E4" s="167">
        <f>((10^5*(B6*B5)*10^-6))/(8314*293)</f>
        <v>6.5681391066181393E-6</v>
      </c>
      <c r="F4" s="237" t="s">
        <v>65</v>
      </c>
      <c r="G4" s="238"/>
      <c r="H4" s="238"/>
      <c r="I4" s="238"/>
      <c r="J4" s="238"/>
      <c r="K4" s="23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54"/>
      <c r="AB4" s="54"/>
    </row>
    <row r="5" spans="1:28" x14ac:dyDescent="0.25">
      <c r="A5" s="47" t="s">
        <v>20</v>
      </c>
      <c r="B5" s="56">
        <v>0.4</v>
      </c>
      <c r="C5" s="53"/>
      <c r="D5" s="49"/>
      <c r="E5" s="49"/>
      <c r="F5" s="240"/>
      <c r="G5" s="241"/>
      <c r="H5" s="241"/>
      <c r="I5" s="241"/>
      <c r="J5" s="241"/>
      <c r="K5" s="242"/>
      <c r="L5" s="49"/>
      <c r="M5" s="49"/>
      <c r="N5" s="49"/>
      <c r="O5" s="49"/>
      <c r="P5" s="49"/>
      <c r="Q5" s="49"/>
      <c r="R5" s="49"/>
      <c r="S5" s="49"/>
      <c r="T5" s="54"/>
      <c r="U5" s="54"/>
      <c r="V5" s="54"/>
      <c r="W5" s="54"/>
      <c r="X5" s="54"/>
      <c r="Y5" s="54"/>
      <c r="Z5" s="54"/>
      <c r="AA5" s="54"/>
      <c r="AB5" s="54"/>
    </row>
    <row r="6" spans="1:28" x14ac:dyDescent="0.25">
      <c r="A6" s="47" t="s">
        <v>18</v>
      </c>
      <c r="B6" s="25">
        <v>400</v>
      </c>
      <c r="C6" s="53"/>
      <c r="D6" s="49"/>
      <c r="E6" s="49"/>
      <c r="F6" s="240"/>
      <c r="G6" s="241"/>
      <c r="H6" s="241"/>
      <c r="I6" s="241"/>
      <c r="J6" s="241"/>
      <c r="K6" s="242"/>
      <c r="L6" s="49"/>
      <c r="M6" s="49"/>
      <c r="N6" s="49"/>
      <c r="O6" s="49"/>
      <c r="P6" s="49"/>
      <c r="Q6" s="49"/>
      <c r="R6" s="49"/>
      <c r="S6" s="49"/>
      <c r="T6" s="54"/>
      <c r="U6" s="54"/>
      <c r="V6" s="54"/>
      <c r="W6" s="54"/>
      <c r="X6" s="54"/>
      <c r="Y6" s="54"/>
      <c r="Z6" s="54"/>
      <c r="AA6" s="54"/>
      <c r="AB6" s="54"/>
    </row>
    <row r="7" spans="1:28" x14ac:dyDescent="0.25">
      <c r="A7" s="47" t="s">
        <v>19</v>
      </c>
      <c r="B7" s="25">
        <v>40</v>
      </c>
      <c r="C7" s="53"/>
      <c r="D7" s="49"/>
      <c r="E7" s="49"/>
      <c r="F7" s="240"/>
      <c r="G7" s="241"/>
      <c r="H7" s="241"/>
      <c r="I7" s="241"/>
      <c r="J7" s="241"/>
      <c r="K7" s="242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54"/>
      <c r="AB7" s="54"/>
    </row>
    <row r="8" spans="1:28" ht="15.75" thickBot="1" x14ac:dyDescent="0.3">
      <c r="A8" s="51" t="s">
        <v>59</v>
      </c>
      <c r="B8" s="52">
        <v>1.17</v>
      </c>
      <c r="C8" s="53"/>
      <c r="D8" s="54"/>
      <c r="E8" s="54"/>
      <c r="F8" s="243"/>
      <c r="G8" s="244"/>
      <c r="H8" s="244"/>
      <c r="I8" s="244"/>
      <c r="J8" s="244"/>
      <c r="K8" s="245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54"/>
      <c r="AB8" s="54"/>
    </row>
    <row r="9" spans="1:28" ht="60.75" thickBot="1" x14ac:dyDescent="0.3">
      <c r="A9" s="113" t="s">
        <v>16</v>
      </c>
      <c r="B9" s="143" t="s">
        <v>0</v>
      </c>
      <c r="C9" s="81" t="s">
        <v>21</v>
      </c>
      <c r="D9" s="144" t="s">
        <v>1</v>
      </c>
      <c r="E9" s="81" t="s">
        <v>21</v>
      </c>
      <c r="F9" s="144" t="s">
        <v>8</v>
      </c>
      <c r="G9" s="81" t="s">
        <v>21</v>
      </c>
      <c r="H9" s="144" t="s">
        <v>7</v>
      </c>
      <c r="I9" s="81" t="s">
        <v>21</v>
      </c>
      <c r="J9" s="81" t="s">
        <v>22</v>
      </c>
      <c r="K9" s="81" t="s">
        <v>23</v>
      </c>
      <c r="L9" s="67" t="s">
        <v>47</v>
      </c>
      <c r="M9" s="123" t="s">
        <v>48</v>
      </c>
      <c r="N9" s="179" t="s">
        <v>49</v>
      </c>
      <c r="O9" s="180" t="s">
        <v>50</v>
      </c>
      <c r="P9" s="181" t="s">
        <v>51</v>
      </c>
      <c r="Q9" s="199" t="s">
        <v>52</v>
      </c>
      <c r="R9" s="189" t="s">
        <v>53</v>
      </c>
      <c r="S9" s="179" t="s">
        <v>54</v>
      </c>
      <c r="T9" s="179" t="s">
        <v>55</v>
      </c>
      <c r="U9" s="190" t="s">
        <v>67</v>
      </c>
      <c r="V9" s="141" t="s">
        <v>61</v>
      </c>
      <c r="W9" s="142" t="s">
        <v>62</v>
      </c>
      <c r="X9" s="54"/>
      <c r="Y9" s="54"/>
      <c r="Z9" s="54"/>
      <c r="AA9" s="54"/>
    </row>
    <row r="10" spans="1:28" x14ac:dyDescent="0.25">
      <c r="A10" s="45">
        <v>1</v>
      </c>
      <c r="B10" s="168">
        <f>8*115%</f>
        <v>9.1999999999999993</v>
      </c>
      <c r="C10" s="129">
        <v>115.18600000000001</v>
      </c>
      <c r="D10" s="129">
        <f>9*115%</f>
        <v>10.35</v>
      </c>
      <c r="E10" s="129">
        <v>93.212940000000003</v>
      </c>
      <c r="F10" s="129">
        <v>0</v>
      </c>
      <c r="G10" s="129">
        <v>74.391679999999994</v>
      </c>
      <c r="H10" s="129">
        <f>(79/21)*12.5*(115%)</f>
        <v>54.077380952380949</v>
      </c>
      <c r="I10" s="129">
        <v>70.280730000000005</v>
      </c>
      <c r="J10" s="129">
        <v>5065</v>
      </c>
      <c r="K10" s="171">
        <f>FORECAST(5065,A55:A56,B55:B56)</f>
        <v>2390.0286225656614</v>
      </c>
      <c r="L10" s="173">
        <f t="shared" ref="L10:L22" si="0">(((-8.5358E-16*(K10^5))+(8.92213971E-12*(K10^4))-(3.576722317485E-08*(K10^3))+(0.0000699095086815875*(K10^2))-(0.00826892770480903*(K10))-(0.895619545925062)))*0.85</f>
        <v>97.691752881949228</v>
      </c>
      <c r="M10" s="21">
        <f t="shared" ref="M10:M22" si="1">(((6.7E-19*(K10^6))-(7.89843E-15*(K10^5))+(3.687984988E-11*(K10^4))-(8.638622855912E-08*(K10^3))+(0.000110740178605573*(K10^2))-(0.031241611607915*(K10))+(3.30066945333761)))*0.85</f>
        <v>80.000006471377901</v>
      </c>
      <c r="N10" s="21">
        <f t="shared" ref="N10:N22" si="2">(((6.5E-19*(K10^6))-(7.82245E-15*(K10^5))+(0.0000000000371204177*(K10^4))-(8.798317617007E-08*(K10^3))+(0.000109823272345614*(K10^2))-(0.0326064446414848*(K10))+(3.57864890028521)))*0.85</f>
        <v>63.019947253375101</v>
      </c>
      <c r="O10" s="21">
        <f t="shared" ref="O10:O22" si="3">(((5.9E-19*(K10^6))-(7.10207E-15*(K10^5))+(3.346089681E-11*(K10^4))-(7.890960163412E-08*(K10^3))+(0.000098599769211504*(K10^2))-(0.028172899155961*(K10))+(3.05378907997741)))*0.85</f>
        <v>59.129935012476359</v>
      </c>
      <c r="P10" s="174">
        <f t="shared" ref="P10:P22" si="4">(L10*B10)+(M10*D10)+(N10*F10)+(O10*H10)*0.85</f>
        <v>4444.7174116480246</v>
      </c>
      <c r="Q10" s="198">
        <f>FORECAST(P10,A$51:A$52,B51:B52)</f>
        <v>2158.2104021386058</v>
      </c>
      <c r="R10" s="20">
        <f t="shared" ref="R10:R22" si="5">(F10*T10)/($B$7*10^-6)</f>
        <v>0</v>
      </c>
      <c r="S10" s="21">
        <f t="shared" ref="S10:S22" si="6">(H10*T10)/($B$7*10^-6)</f>
        <v>0.14671406319734903</v>
      </c>
      <c r="T10" s="21">
        <f t="shared" ref="T10:T22" si="7">$E$4/(A10+12.5*(1+(79/21)))</f>
        <v>1.085215745389307E-7</v>
      </c>
      <c r="U10" s="22">
        <f t="shared" ref="U10:U22" si="8">(B10+D10+F10+H10)*T10</f>
        <v>7.9901593101300545E-6</v>
      </c>
      <c r="V10" s="78">
        <f>D42</f>
        <v>0</v>
      </c>
      <c r="W10" s="80">
        <f>(V10/U10)*10^6</f>
        <v>0</v>
      </c>
      <c r="X10" s="54"/>
      <c r="Y10" s="54"/>
      <c r="Z10" s="54"/>
      <c r="AA10" s="54"/>
    </row>
    <row r="11" spans="1:28" x14ac:dyDescent="0.25">
      <c r="A11" s="45">
        <v>0.99</v>
      </c>
      <c r="B11" s="47">
        <f>$B$10*A11</f>
        <v>9.1079999999999988</v>
      </c>
      <c r="C11" s="43">
        <f>$C$10*A11</f>
        <v>114.03414000000001</v>
      </c>
      <c r="D11" s="43">
        <f>$D$10*A11</f>
        <v>10.246499999999999</v>
      </c>
      <c r="E11" s="43">
        <f>$E$10*A11</f>
        <v>92.280810600000009</v>
      </c>
      <c r="F11" s="43">
        <f>12.5*(1-A11)*115%</f>
        <v>0.14375000000000013</v>
      </c>
      <c r="G11" s="43">
        <f>$G$10*A11</f>
        <v>73.6477632</v>
      </c>
      <c r="H11" s="79">
        <f t="shared" ref="H11:H22" si="9">(79/21)*12.5*(115%)</f>
        <v>54.077380952380949</v>
      </c>
      <c r="I11" s="43">
        <f>$I$10*A11</f>
        <v>69.577922700000002</v>
      </c>
      <c r="J11" s="43">
        <f>$J$10*A11</f>
        <v>5014.3500000000004</v>
      </c>
      <c r="K11" s="112">
        <f>FORECAST(5014.35,A55:A56,C55:C56)</f>
        <v>2371.2240976381399</v>
      </c>
      <c r="L11" s="182">
        <f t="shared" si="0"/>
        <v>96.718432986359048</v>
      </c>
      <c r="M11" s="24">
        <f t="shared" si="1"/>
        <v>79.096656353481819</v>
      </c>
      <c r="N11" s="24">
        <f t="shared" si="2"/>
        <v>62.386287976754758</v>
      </c>
      <c r="O11" s="24">
        <f t="shared" si="3"/>
        <v>58.561279907887595</v>
      </c>
      <c r="P11" s="145">
        <f t="shared" si="4"/>
        <v>4392.1579521045405</v>
      </c>
      <c r="Q11" s="177">
        <f>FORECAST(P11,A50:A51,B50:B51)</f>
        <v>2138.4636990211193</v>
      </c>
      <c r="R11" s="23">
        <f t="shared" si="5"/>
        <v>3.9006385650075005E-4</v>
      </c>
      <c r="S11" s="24">
        <f t="shared" si="6"/>
        <v>0.14673830792171058</v>
      </c>
      <c r="T11" s="24">
        <f t="shared" si="7"/>
        <v>1.0853950789586077E-7</v>
      </c>
      <c r="U11" s="25">
        <f t="shared" si="8"/>
        <v>7.9858627766988908E-6</v>
      </c>
      <c r="V11" s="47">
        <f>F42</f>
        <v>1.2684779955117784E-8</v>
      </c>
      <c r="W11" s="76">
        <f t="shared" ref="W11:W22" si="10">(V11/U11)*10^6</f>
        <v>1588.404447936342</v>
      </c>
      <c r="X11" s="54"/>
      <c r="Y11" s="54"/>
      <c r="Z11" s="54"/>
      <c r="AA11" s="54"/>
    </row>
    <row r="12" spans="1:28" x14ac:dyDescent="0.25">
      <c r="A12" s="45">
        <v>0.98</v>
      </c>
      <c r="B12" s="47">
        <f t="shared" ref="B12:B22" si="11">$B$10*A12</f>
        <v>9.016</v>
      </c>
      <c r="C12" s="43">
        <f t="shared" ref="C12:C22" si="12">$C$10*A12</f>
        <v>112.88228000000001</v>
      </c>
      <c r="D12" s="43">
        <f t="shared" ref="D12:D22" si="13">$D$10*A12</f>
        <v>10.142999999999999</v>
      </c>
      <c r="E12" s="43">
        <f t="shared" ref="E12:E22" si="14">$E$10*A12</f>
        <v>91.348681200000001</v>
      </c>
      <c r="F12" s="43">
        <f t="shared" ref="F12:F22" si="15">12.5*(1-A12)*115%</f>
        <v>0.28750000000000026</v>
      </c>
      <c r="G12" s="43">
        <f t="shared" ref="G12:G22" si="16">$G$10*A12</f>
        <v>72.903846399999992</v>
      </c>
      <c r="H12" s="79">
        <f t="shared" si="9"/>
        <v>54.077380952380949</v>
      </c>
      <c r="I12" s="43">
        <f t="shared" ref="I12:I22" si="17">$I$10*A12</f>
        <v>68.875115399999999</v>
      </c>
      <c r="J12" s="43">
        <f t="shared" ref="J12:J22" si="18">$J$10*A12</f>
        <v>4963.7</v>
      </c>
      <c r="K12" s="112">
        <f>FORECAST(4963.7,A55:A56,D55:D56)</f>
        <v>2352.3187397308907</v>
      </c>
      <c r="L12" s="182">
        <f t="shared" si="0"/>
        <v>95.741510018323694</v>
      </c>
      <c r="M12" s="24">
        <f t="shared" si="1"/>
        <v>78.191528142201619</v>
      </c>
      <c r="N12" s="24">
        <f t="shared" si="2"/>
        <v>61.750166325349404</v>
      </c>
      <c r="O12" s="24">
        <f t="shared" si="3"/>
        <v>57.988970158596601</v>
      </c>
      <c r="P12" s="145">
        <f t="shared" si="4"/>
        <v>4339.5631828473724</v>
      </c>
      <c r="Q12" s="177">
        <f>FORECAST(P12,A50:A51,D50:D51)</f>
        <v>2118.6867046879606</v>
      </c>
      <c r="R12" s="23">
        <f t="shared" si="5"/>
        <v>7.8025665161200112E-4</v>
      </c>
      <c r="S12" s="24">
        <f t="shared" si="6"/>
        <v>0.14676256066035245</v>
      </c>
      <c r="T12" s="24">
        <f t="shared" si="7"/>
        <v>1.0855744718080005E-7</v>
      </c>
      <c r="U12" s="25">
        <f t="shared" si="8"/>
        <v>7.981564823015526E-6</v>
      </c>
      <c r="V12" s="47">
        <f>H42</f>
        <v>1.3995934356163999E-8</v>
      </c>
      <c r="W12" s="76">
        <f t="shared" si="10"/>
        <v>1753.5326300684201</v>
      </c>
      <c r="X12" s="54"/>
      <c r="Y12" s="54"/>
      <c r="Z12" s="54"/>
      <c r="AA12" s="54"/>
    </row>
    <row r="13" spans="1:28" x14ac:dyDescent="0.25">
      <c r="A13" s="201">
        <v>0.97</v>
      </c>
      <c r="B13" s="47">
        <f t="shared" si="11"/>
        <v>8.9239999999999995</v>
      </c>
      <c r="C13" s="43">
        <f t="shared" si="12"/>
        <v>111.73042000000001</v>
      </c>
      <c r="D13" s="43">
        <f t="shared" si="13"/>
        <v>10.039499999999999</v>
      </c>
      <c r="E13" s="43">
        <f t="shared" si="14"/>
        <v>90.416551800000008</v>
      </c>
      <c r="F13" s="43">
        <f t="shared" si="15"/>
        <v>0.43125000000000036</v>
      </c>
      <c r="G13" s="43">
        <f t="shared" si="16"/>
        <v>72.159929599999998</v>
      </c>
      <c r="H13" s="79">
        <f t="shared" si="9"/>
        <v>54.077380952380949</v>
      </c>
      <c r="I13" s="43">
        <f t="shared" si="17"/>
        <v>68.172308100000009</v>
      </c>
      <c r="J13" s="43">
        <f t="shared" si="18"/>
        <v>4913.05</v>
      </c>
      <c r="K13" s="112">
        <f>FORECAST(4913.05,A54:A55,E54:E55)</f>
        <v>2333.4572983595631</v>
      </c>
      <c r="L13" s="182">
        <f t="shared" si="0"/>
        <v>94.768440021508795</v>
      </c>
      <c r="M13" s="24">
        <f t="shared" si="1"/>
        <v>77.291634997848689</v>
      </c>
      <c r="N13" s="24">
        <f t="shared" si="2"/>
        <v>61.116538368769227</v>
      </c>
      <c r="O13" s="24">
        <f t="shared" si="3"/>
        <v>57.417504813162552</v>
      </c>
      <c r="P13" s="145">
        <f t="shared" si="4"/>
        <v>4287.2794744334524</v>
      </c>
      <c r="Q13" s="177">
        <f>FORECAST(P13,A49:A50,E49:E50)</f>
        <v>2098.9580941561949</v>
      </c>
      <c r="R13" s="23">
        <f t="shared" si="5"/>
        <v>1.170578449276797E-3</v>
      </c>
      <c r="S13" s="24">
        <f t="shared" si="6"/>
        <v>0.146786821417249</v>
      </c>
      <c r="T13" s="24">
        <f t="shared" si="7"/>
        <v>1.085753923966883E-7</v>
      </c>
      <c r="U13" s="25">
        <f t="shared" si="8"/>
        <v>7.9772654483756302E-6</v>
      </c>
      <c r="V13" s="47">
        <f>J42</f>
        <v>1.3320247204900458E-8</v>
      </c>
      <c r="W13" s="202">
        <f t="shared" si="10"/>
        <v>1669.7761019865261</v>
      </c>
      <c r="X13" s="54"/>
      <c r="Y13" s="54"/>
      <c r="Z13" s="54"/>
      <c r="AA13" s="54"/>
    </row>
    <row r="14" spans="1:28" x14ac:dyDescent="0.25">
      <c r="A14" s="45">
        <v>0.96</v>
      </c>
      <c r="B14" s="47">
        <f t="shared" si="11"/>
        <v>8.831999999999999</v>
      </c>
      <c r="C14" s="43">
        <f t="shared" si="12"/>
        <v>110.57856</v>
      </c>
      <c r="D14" s="43">
        <f t="shared" si="13"/>
        <v>9.9359999999999999</v>
      </c>
      <c r="E14" s="43">
        <f t="shared" si="14"/>
        <v>89.4844224</v>
      </c>
      <c r="F14" s="43">
        <f t="shared" si="15"/>
        <v>0.57500000000000051</v>
      </c>
      <c r="G14" s="43">
        <f t="shared" si="16"/>
        <v>71.41601279999999</v>
      </c>
      <c r="H14" s="79">
        <f t="shared" si="9"/>
        <v>54.077380952380949</v>
      </c>
      <c r="I14" s="43">
        <f t="shared" si="17"/>
        <v>67.469500800000006</v>
      </c>
      <c r="J14" s="43">
        <f t="shared" si="18"/>
        <v>4862.3999999999996</v>
      </c>
      <c r="K14" s="112">
        <f>FORECAST(4862.4,A54:A55,F54:F55)</f>
        <v>2314.6006001449032</v>
      </c>
      <c r="L14" s="182">
        <f t="shared" si="0"/>
        <v>93.797161934106285</v>
      </c>
      <c r="M14" s="24">
        <f t="shared" si="1"/>
        <v>76.395163890517239</v>
      </c>
      <c r="N14" s="24">
        <f t="shared" si="2"/>
        <v>60.48416309411521</v>
      </c>
      <c r="O14" s="24">
        <f t="shared" si="3"/>
        <v>56.845815831674336</v>
      </c>
      <c r="P14" s="145">
        <f t="shared" si="4"/>
        <v>4235.2191889339119</v>
      </c>
      <c r="Q14" s="177">
        <f>FORECAST(P14,A49:A50,F49:F50)</f>
        <v>2079.2222489914593</v>
      </c>
      <c r="R14" s="23">
        <f t="shared" si="5"/>
        <v>1.5610293134804692E-3</v>
      </c>
      <c r="S14" s="24">
        <f t="shared" si="6"/>
        <v>0.14681109019637731</v>
      </c>
      <c r="T14" s="24">
        <f t="shared" si="7"/>
        <v>1.0859334354646731E-7</v>
      </c>
      <c r="U14" s="25">
        <f t="shared" si="8"/>
        <v>7.9729646520744091E-6</v>
      </c>
      <c r="V14" s="47">
        <f>L42</f>
        <v>1.1894540198044129E-8</v>
      </c>
      <c r="W14" s="76">
        <f t="shared" si="10"/>
        <v>1491.8591411225436</v>
      </c>
      <c r="X14" s="54"/>
      <c r="Y14" s="54"/>
      <c r="Z14" s="54"/>
      <c r="AA14" s="54"/>
    </row>
    <row r="15" spans="1:28" x14ac:dyDescent="0.25">
      <c r="A15" s="45">
        <v>0.95</v>
      </c>
      <c r="B15" s="47">
        <f t="shared" si="11"/>
        <v>8.7399999999999984</v>
      </c>
      <c r="C15" s="43">
        <f t="shared" si="12"/>
        <v>109.4267</v>
      </c>
      <c r="D15" s="43">
        <f t="shared" si="13"/>
        <v>9.8324999999999996</v>
      </c>
      <c r="E15" s="43">
        <f t="shared" si="14"/>
        <v>88.552293000000006</v>
      </c>
      <c r="F15" s="43">
        <f t="shared" si="15"/>
        <v>0.71875000000000056</v>
      </c>
      <c r="G15" s="43">
        <f t="shared" si="16"/>
        <v>70.672095999999996</v>
      </c>
      <c r="H15" s="79">
        <f t="shared" si="9"/>
        <v>54.077380952380949</v>
      </c>
      <c r="I15" s="43">
        <f t="shared" si="17"/>
        <v>66.766693500000002</v>
      </c>
      <c r="J15" s="43">
        <f t="shared" si="18"/>
        <v>4811.75</v>
      </c>
      <c r="K15" s="112">
        <f>FORECAST(4811.75,A53:A54,G53:G54)</f>
        <v>2295.7196536849629</v>
      </c>
      <c r="L15" s="182">
        <f t="shared" si="0"/>
        <v>92.826148162420935</v>
      </c>
      <c r="M15" s="24">
        <f t="shared" si="1"/>
        <v>75.500808240560488</v>
      </c>
      <c r="N15" s="24">
        <f t="shared" si="2"/>
        <v>59.85214622257471</v>
      </c>
      <c r="O15" s="24">
        <f t="shared" si="3"/>
        <v>56.273137682374866</v>
      </c>
      <c r="P15" s="145">
        <f t="shared" si="4"/>
        <v>4183.3192803225793</v>
      </c>
      <c r="Q15" s="177">
        <f>FORECAST(P15,A$49:A$50,F49:F50)</f>
        <v>2059.5745645408942</v>
      </c>
      <c r="R15" s="23">
        <f t="shared" si="5"/>
        <v>1.9516093082506715E-3</v>
      </c>
      <c r="S15" s="24">
        <f t="shared" si="6"/>
        <v>0.14683536700171707</v>
      </c>
      <c r="T15" s="24">
        <f t="shared" si="7"/>
        <v>1.0861130063308076E-7</v>
      </c>
      <c r="U15" s="25">
        <f t="shared" si="8"/>
        <v>7.9686624334066013E-6</v>
      </c>
      <c r="V15" s="47">
        <f>N42</f>
        <v>1.0246234897287878E-8</v>
      </c>
      <c r="W15" s="76">
        <f t="shared" si="10"/>
        <v>1285.8161558372872</v>
      </c>
      <c r="X15" s="54"/>
      <c r="Y15" s="54"/>
      <c r="Z15" s="54"/>
      <c r="AA15" s="54"/>
    </row>
    <row r="16" spans="1:28" x14ac:dyDescent="0.25">
      <c r="A16" s="45">
        <v>0.9</v>
      </c>
      <c r="B16" s="47">
        <f t="shared" si="11"/>
        <v>8.2799999999999994</v>
      </c>
      <c r="C16" s="43">
        <f t="shared" si="12"/>
        <v>103.66740000000001</v>
      </c>
      <c r="D16" s="43">
        <f t="shared" si="13"/>
        <v>9.3149999999999995</v>
      </c>
      <c r="E16" s="43">
        <f t="shared" si="14"/>
        <v>83.891646000000009</v>
      </c>
      <c r="F16" s="43">
        <f t="shared" si="15"/>
        <v>1.4374999999999996</v>
      </c>
      <c r="G16" s="43">
        <f t="shared" si="16"/>
        <v>66.952511999999999</v>
      </c>
      <c r="H16" s="79">
        <f t="shared" si="9"/>
        <v>54.077380952380949</v>
      </c>
      <c r="I16" s="43">
        <f t="shared" si="17"/>
        <v>63.252657000000006</v>
      </c>
      <c r="J16" s="43">
        <f t="shared" si="18"/>
        <v>4558.5</v>
      </c>
      <c r="K16" s="112">
        <f>FORECAST(4558.5,A52:A53,H52:H53)</f>
        <v>2200.6683016876846</v>
      </c>
      <c r="L16" s="182">
        <f t="shared" si="0"/>
        <v>87.959351365822755</v>
      </c>
      <c r="M16" s="24">
        <f t="shared" si="1"/>
        <v>71.050308133698252</v>
      </c>
      <c r="N16" s="24">
        <f t="shared" si="2"/>
        <v>56.690710061173377</v>
      </c>
      <c r="O16" s="24">
        <f t="shared" si="3"/>
        <v>53.390079386308585</v>
      </c>
      <c r="P16" s="145">
        <f t="shared" si="4"/>
        <v>3925.7462580309279</v>
      </c>
      <c r="Q16" s="177">
        <f>FORECAST(P16,A$47:A$48,G47:G48)</f>
        <v>1961.8660173174869</v>
      </c>
      <c r="R16" s="23">
        <f t="shared" si="5"/>
        <v>3.9064484845345382E-3</v>
      </c>
      <c r="S16" s="24">
        <f t="shared" si="6"/>
        <v>0.14695687156106124</v>
      </c>
      <c r="T16" s="24">
        <f t="shared" si="7"/>
        <v>1.0870117522183066E-7</v>
      </c>
      <c r="U16" s="25">
        <f t="shared" si="8"/>
        <v>7.9471299798519416E-6</v>
      </c>
      <c r="V16" s="47">
        <f>P42</f>
        <v>3.6695003336879234E-9</v>
      </c>
      <c r="W16" s="76">
        <f t="shared" si="10"/>
        <v>461.73906089255729</v>
      </c>
      <c r="X16" s="54"/>
      <c r="Y16" s="54"/>
      <c r="Z16" s="54"/>
      <c r="AA16" s="54"/>
    </row>
    <row r="17" spans="1:28" x14ac:dyDescent="0.25">
      <c r="A17" s="45">
        <v>0.85</v>
      </c>
      <c r="B17" s="47">
        <f t="shared" si="11"/>
        <v>7.8199999999999994</v>
      </c>
      <c r="C17" s="43">
        <f t="shared" si="12"/>
        <v>97.908100000000005</v>
      </c>
      <c r="D17" s="43">
        <f t="shared" si="13"/>
        <v>8.7974999999999994</v>
      </c>
      <c r="E17" s="43">
        <f t="shared" si="14"/>
        <v>79.230998999999997</v>
      </c>
      <c r="F17" s="43">
        <f t="shared" si="15"/>
        <v>2.15625</v>
      </c>
      <c r="G17" s="43">
        <f t="shared" si="16"/>
        <v>63.232927999999994</v>
      </c>
      <c r="H17" s="79">
        <f t="shared" si="9"/>
        <v>54.077380952380949</v>
      </c>
      <c r="I17" s="43">
        <f t="shared" si="17"/>
        <v>59.738620500000003</v>
      </c>
      <c r="J17" s="43">
        <f t="shared" si="18"/>
        <v>4305.25</v>
      </c>
      <c r="K17" s="112">
        <f>FORECAST(4305.25,A50:A51,I50:I51)</f>
        <v>2105.4087162751498</v>
      </c>
      <c r="L17" s="182">
        <f t="shared" si="0"/>
        <v>83.113542386168504</v>
      </c>
      <c r="M17" s="24">
        <f t="shared" si="1"/>
        <v>66.682046086801748</v>
      </c>
      <c r="N17" s="24">
        <f t="shared" si="2"/>
        <v>53.561765809584642</v>
      </c>
      <c r="O17" s="24">
        <f t="shared" si="3"/>
        <v>50.509456509751324</v>
      </c>
      <c r="P17" s="145">
        <f t="shared" si="4"/>
        <v>3673.7820126046017</v>
      </c>
      <c r="Q17" s="177">
        <f>FORECAST(P17,A$46:A$47,H46:H47)</f>
        <v>1865.5664697347549</v>
      </c>
      <c r="R17" s="23">
        <f t="shared" si="5"/>
        <v>5.8645255535266913E-3</v>
      </c>
      <c r="S17" s="24">
        <f t="shared" si="6"/>
        <v>0.14707857737416144</v>
      </c>
      <c r="T17" s="24">
        <f t="shared" si="7"/>
        <v>1.0879119867411832E-7</v>
      </c>
      <c r="U17" s="25">
        <f t="shared" si="8"/>
        <v>7.9255618610746859E-6</v>
      </c>
      <c r="V17" s="47">
        <f>R42</f>
        <v>1.0099190133215087E-9</v>
      </c>
      <c r="W17" s="76">
        <f t="shared" si="10"/>
        <v>127.42554168703016</v>
      </c>
      <c r="X17" s="54"/>
      <c r="Y17" s="54"/>
      <c r="Z17" s="54"/>
      <c r="AA17" s="54"/>
    </row>
    <row r="18" spans="1:28" x14ac:dyDescent="0.25">
      <c r="A18" s="45">
        <v>0.8</v>
      </c>
      <c r="B18" s="47">
        <f t="shared" si="11"/>
        <v>7.3599999999999994</v>
      </c>
      <c r="C18" s="43">
        <f t="shared" si="12"/>
        <v>92.148800000000008</v>
      </c>
      <c r="D18" s="43">
        <f t="shared" si="13"/>
        <v>8.2799999999999994</v>
      </c>
      <c r="E18" s="43">
        <f t="shared" si="14"/>
        <v>74.570352</v>
      </c>
      <c r="F18" s="43">
        <f t="shared" si="15"/>
        <v>2.8749999999999991</v>
      </c>
      <c r="G18" s="43">
        <f t="shared" si="16"/>
        <v>59.513343999999996</v>
      </c>
      <c r="H18" s="79">
        <f t="shared" si="9"/>
        <v>54.077380952380949</v>
      </c>
      <c r="I18" s="43">
        <f t="shared" si="17"/>
        <v>56.224584000000007</v>
      </c>
      <c r="J18" s="43">
        <f t="shared" si="18"/>
        <v>4052</v>
      </c>
      <c r="K18" s="112">
        <f>FORECAST(4052,A48:A49,J48:J49)</f>
        <v>2009.3136801219853</v>
      </c>
      <c r="L18" s="182">
        <f t="shared" si="0"/>
        <v>78.250693156302773</v>
      </c>
      <c r="M18" s="24">
        <f t="shared" si="1"/>
        <v>62.373926807192568</v>
      </c>
      <c r="N18" s="24">
        <f t="shared" si="2"/>
        <v>50.450507229801616</v>
      </c>
      <c r="O18" s="24">
        <f t="shared" si="3"/>
        <v>47.622189041409996</v>
      </c>
      <c r="P18" s="145">
        <f t="shared" si="4"/>
        <v>3426.4171936714574</v>
      </c>
      <c r="Q18" s="177">
        <f>FORECAST(P18,P61:P62,Y61:Y62)</f>
        <v>1769.9902682842005</v>
      </c>
      <c r="R18" s="23">
        <f t="shared" si="5"/>
        <v>7.8258485665075404E-3</v>
      </c>
      <c r="S18" s="24">
        <f t="shared" si="6"/>
        <v>0.14720048494145138</v>
      </c>
      <c r="T18" s="24">
        <f t="shared" si="7"/>
        <v>1.0888137136010493E-7</v>
      </c>
      <c r="U18" s="25">
        <f t="shared" si="8"/>
        <v>7.903957988390398E-6</v>
      </c>
      <c r="V18" s="47">
        <f>T42</f>
        <v>2.2605428090530193E-10</v>
      </c>
      <c r="W18" s="76">
        <f t="shared" si="10"/>
        <v>28.600136948771507</v>
      </c>
      <c r="X18" s="54"/>
      <c r="Y18" s="54"/>
      <c r="Z18" s="54"/>
      <c r="AA18" s="54"/>
    </row>
    <row r="19" spans="1:28" x14ac:dyDescent="0.25">
      <c r="A19" s="45">
        <v>0.75</v>
      </c>
      <c r="B19" s="47">
        <f t="shared" si="11"/>
        <v>6.8999999999999995</v>
      </c>
      <c r="C19" s="43">
        <f t="shared" si="12"/>
        <v>86.389499999999998</v>
      </c>
      <c r="D19" s="43">
        <f t="shared" si="13"/>
        <v>7.7624999999999993</v>
      </c>
      <c r="E19" s="43">
        <f t="shared" si="14"/>
        <v>69.909705000000002</v>
      </c>
      <c r="F19" s="43">
        <f t="shared" si="15"/>
        <v>3.5937499999999996</v>
      </c>
      <c r="G19" s="43">
        <f t="shared" si="16"/>
        <v>55.793759999999992</v>
      </c>
      <c r="H19" s="79">
        <f t="shared" si="9"/>
        <v>54.077380952380949</v>
      </c>
      <c r="I19" s="43">
        <f t="shared" si="17"/>
        <v>52.710547500000004</v>
      </c>
      <c r="J19" s="43">
        <f t="shared" si="18"/>
        <v>3798.75</v>
      </c>
      <c r="K19" s="112">
        <f>FORECAST(3798.75,A46:A47,K46:K47)</f>
        <v>1912.7508198925964</v>
      </c>
      <c r="L19" s="182">
        <f t="shared" si="0"/>
        <v>73.383063781925117</v>
      </c>
      <c r="M19" s="24">
        <f t="shared" si="1"/>
        <v>58.146733063954642</v>
      </c>
      <c r="N19" s="24">
        <f t="shared" si="2"/>
        <v>47.371540632123207</v>
      </c>
      <c r="O19" s="24">
        <f t="shared" si="3"/>
        <v>44.746041846745804</v>
      </c>
      <c r="P19" s="145">
        <f t="shared" si="4"/>
        <v>3184.7350680499285</v>
      </c>
      <c r="Q19" s="177">
        <f>FORECAST(P19,P59:P60,Z59:Z60)</f>
        <v>1676.0523007580878</v>
      </c>
      <c r="R19" s="23">
        <f t="shared" si="5"/>
        <v>9.7904256014731909E-3</v>
      </c>
      <c r="S19" s="24">
        <f t="shared" si="6"/>
        <v>0.14732259476502518</v>
      </c>
      <c r="T19" s="24">
        <f t="shared" si="7"/>
        <v>1.0897169365117987E-7</v>
      </c>
      <c r="U19" s="25">
        <f t="shared" si="8"/>
        <v>7.8823182728203591E-6</v>
      </c>
      <c r="V19" s="47">
        <f>V42</f>
        <v>4.2067220043572774E-11</v>
      </c>
      <c r="W19" s="76">
        <f t="shared" si="10"/>
        <v>5.3369095978562626</v>
      </c>
      <c r="X19" s="54"/>
      <c r="Y19" s="54"/>
      <c r="Z19" s="54"/>
      <c r="AA19" s="54"/>
    </row>
    <row r="20" spans="1:28" x14ac:dyDescent="0.25">
      <c r="A20" s="45">
        <v>0.7</v>
      </c>
      <c r="B20" s="47">
        <f t="shared" si="11"/>
        <v>6.4399999999999995</v>
      </c>
      <c r="C20" s="43">
        <f t="shared" si="12"/>
        <v>80.630200000000002</v>
      </c>
      <c r="D20" s="43">
        <f t="shared" si="13"/>
        <v>7.2449999999999992</v>
      </c>
      <c r="E20" s="43">
        <f t="shared" si="14"/>
        <v>65.249058000000005</v>
      </c>
      <c r="F20" s="43">
        <f t="shared" si="15"/>
        <v>4.3125</v>
      </c>
      <c r="G20" s="43">
        <f t="shared" si="16"/>
        <v>52.074175999999994</v>
      </c>
      <c r="H20" s="79">
        <f t="shared" si="9"/>
        <v>54.077380952380949</v>
      </c>
      <c r="I20" s="43">
        <f t="shared" si="17"/>
        <v>49.196511000000001</v>
      </c>
      <c r="J20" s="43">
        <f t="shared" si="18"/>
        <v>3545.5</v>
      </c>
      <c r="K20" s="112">
        <f>FORECAST(3545.5,P62:P63,AA62:AA63)</f>
        <v>1815.4578494691507</v>
      </c>
      <c r="L20" s="182">
        <f t="shared" si="0"/>
        <v>68.491403578528349</v>
      </c>
      <c r="M20" s="24">
        <f t="shared" si="1"/>
        <v>53.98988372935483</v>
      </c>
      <c r="N20" s="24">
        <f t="shared" si="2"/>
        <v>44.315494764489429</v>
      </c>
      <c r="O20" s="24">
        <f t="shared" si="3"/>
        <v>41.876326096864901</v>
      </c>
      <c r="P20" s="145">
        <f t="shared" si="4"/>
        <v>2948.2296511791101</v>
      </c>
      <c r="Q20" s="177">
        <f>FORECAST(P20,P57:P58,AA57:AA58)</f>
        <v>1583.2719686202215</v>
      </c>
      <c r="R20" s="23">
        <f t="shared" si="5"/>
        <v>1.1758264763246328E-2</v>
      </c>
      <c r="S20" s="24">
        <f t="shared" si="6"/>
        <v>0.14744490734864443</v>
      </c>
      <c r="T20" s="24">
        <f t="shared" si="7"/>
        <v>1.0906216591996593E-7</v>
      </c>
      <c r="U20" s="25">
        <f t="shared" si="8"/>
        <v>7.8606426250903629E-6</v>
      </c>
      <c r="V20" s="47">
        <f>X42</f>
        <v>6.3765193058617932E-12</v>
      </c>
      <c r="W20" s="76">
        <f t="shared" si="10"/>
        <v>0.8111956757210409</v>
      </c>
      <c r="X20" s="54"/>
      <c r="Y20" s="54"/>
      <c r="Z20" s="54"/>
      <c r="AA20" s="54"/>
    </row>
    <row r="21" spans="1:28" x14ac:dyDescent="0.25">
      <c r="A21" s="45">
        <v>0.65</v>
      </c>
      <c r="B21" s="47">
        <f t="shared" si="11"/>
        <v>5.9799999999999995</v>
      </c>
      <c r="C21" s="43">
        <f t="shared" si="12"/>
        <v>74.870900000000006</v>
      </c>
      <c r="D21" s="43">
        <f t="shared" si="13"/>
        <v>6.7275</v>
      </c>
      <c r="E21" s="43">
        <f t="shared" si="14"/>
        <v>60.588411000000001</v>
      </c>
      <c r="F21" s="43">
        <f t="shared" si="15"/>
        <v>5.03125</v>
      </c>
      <c r="G21" s="43">
        <f t="shared" si="16"/>
        <v>48.354591999999997</v>
      </c>
      <c r="H21" s="79">
        <f t="shared" si="9"/>
        <v>54.077380952380949</v>
      </c>
      <c r="I21" s="43">
        <f t="shared" si="17"/>
        <v>45.682474500000005</v>
      </c>
      <c r="J21" s="43">
        <f t="shared" si="18"/>
        <v>3292.25</v>
      </c>
      <c r="K21" s="112">
        <f>FORECAST(3292.25,P60:P61,AB60:AB61)</f>
        <v>1717.4320204673395</v>
      </c>
      <c r="L21" s="182">
        <f t="shared" si="0"/>
        <v>63.570745537040544</v>
      </c>
      <c r="M21" s="24">
        <f t="shared" si="1"/>
        <v>49.901130761223513</v>
      </c>
      <c r="N21" s="24">
        <f t="shared" si="2"/>
        <v>41.277729725301583</v>
      </c>
      <c r="O21" s="24">
        <f t="shared" si="3"/>
        <v>39.012524824979572</v>
      </c>
      <c r="P21" s="145">
        <f t="shared" si="4"/>
        <v>2716.7823850315003</v>
      </c>
      <c r="Q21" s="177">
        <f>FORECAST(P21,P55:P56,AB55:AB56)</f>
        <v>1491.7438192909351</v>
      </c>
      <c r="R21" s="23">
        <f t="shared" si="5"/>
        <v>1.3729374183587679E-2</v>
      </c>
      <c r="S21" s="24">
        <f t="shared" si="6"/>
        <v>0.1475674231977451</v>
      </c>
      <c r="T21" s="24">
        <f t="shared" si="7"/>
        <v>1.0915278854032439E-7</v>
      </c>
      <c r="U21" s="25">
        <f t="shared" si="8"/>
        <v>7.838930955629482E-6</v>
      </c>
      <c r="V21" s="47">
        <f>Z42</f>
        <v>7.7089256375554963E-13</v>
      </c>
      <c r="W21" s="76">
        <f t="shared" si="10"/>
        <v>9.8341542758702022E-2</v>
      </c>
      <c r="X21" s="54"/>
      <c r="Y21" s="54"/>
      <c r="Z21" s="54"/>
      <c r="AA21" s="54"/>
    </row>
    <row r="22" spans="1:28" ht="15.75" thickBot="1" x14ac:dyDescent="0.3">
      <c r="A22" s="46">
        <v>0.6</v>
      </c>
      <c r="B22" s="170">
        <f t="shared" si="11"/>
        <v>5.52</v>
      </c>
      <c r="C22" s="44">
        <f t="shared" si="12"/>
        <v>69.111599999999996</v>
      </c>
      <c r="D22" s="44">
        <f t="shared" si="13"/>
        <v>6.21</v>
      </c>
      <c r="E22" s="44">
        <f t="shared" si="14"/>
        <v>55.927764000000003</v>
      </c>
      <c r="F22" s="44">
        <f t="shared" si="15"/>
        <v>5.75</v>
      </c>
      <c r="G22" s="44">
        <f t="shared" si="16"/>
        <v>44.635007999999992</v>
      </c>
      <c r="H22" s="172">
        <f t="shared" si="9"/>
        <v>54.077380952380949</v>
      </c>
      <c r="I22" s="44">
        <f t="shared" si="17"/>
        <v>42.168438000000002</v>
      </c>
      <c r="J22" s="44">
        <f t="shared" si="18"/>
        <v>3039</v>
      </c>
      <c r="K22" s="115">
        <f>FORECAST(3039,P58:P59,AC58:AC59)</f>
        <v>1618.3786119295037</v>
      </c>
      <c r="L22" s="183">
        <f t="shared" si="0"/>
        <v>58.603493167079058</v>
      </c>
      <c r="M22" s="28">
        <f t="shared" si="1"/>
        <v>45.863132145711376</v>
      </c>
      <c r="N22" s="28">
        <f t="shared" si="2"/>
        <v>38.241192801482875</v>
      </c>
      <c r="O22" s="28">
        <f t="shared" si="3"/>
        <v>36.142217818262374</v>
      </c>
      <c r="P22" s="146">
        <f t="shared" si="4"/>
        <v>2489.4932007244597</v>
      </c>
      <c r="Q22" s="178">
        <f>FORECAST(P22,P54:P55,AC54:AC55)</f>
        <v>1400.7829288992111</v>
      </c>
      <c r="R22" s="125">
        <f t="shared" si="5"/>
        <v>1.5703762021308021E-2</v>
      </c>
      <c r="S22" s="28">
        <f t="shared" si="6"/>
        <v>0.14769014281944448</v>
      </c>
      <c r="T22" s="28">
        <f t="shared" si="7"/>
        <v>1.0924356188736014E-7</v>
      </c>
      <c r="U22" s="29">
        <f t="shared" si="8"/>
        <v>7.8171831745688339E-6</v>
      </c>
      <c r="V22" s="139">
        <f>AB42</f>
        <v>7.0600610941942874E-14</v>
      </c>
      <c r="W22" s="140">
        <f t="shared" si="10"/>
        <v>9.0314643222924006E-3</v>
      </c>
      <c r="X22" s="54">
        <f>((V23-'EGR 20%'!V23)/'EGR 15%'!V23)*100</f>
        <v>67.040978043984637</v>
      </c>
      <c r="Y22" s="54"/>
      <c r="Z22" s="54"/>
      <c r="AA22" s="54"/>
    </row>
    <row r="23" spans="1:28" ht="15.75" thickBot="1" x14ac:dyDescent="0.3">
      <c r="A23" s="147"/>
      <c r="B23" s="53"/>
      <c r="C23" s="53"/>
      <c r="D23" s="53"/>
      <c r="E23" s="53"/>
      <c r="F23" s="53"/>
      <c r="G23" s="53"/>
      <c r="H23" s="53"/>
      <c r="I23" s="53"/>
      <c r="J23" s="53"/>
      <c r="K23" s="148"/>
      <c r="L23" s="53"/>
      <c r="M23" s="149"/>
      <c r="N23" s="53"/>
      <c r="O23" s="53"/>
      <c r="P23" s="53"/>
      <c r="Q23" s="148"/>
      <c r="R23" s="150"/>
      <c r="S23" s="53"/>
      <c r="T23" s="53"/>
      <c r="U23" s="53"/>
      <c r="V23" s="53">
        <f>AVERAGE(V10:V22)</f>
        <v>5.1612688824579307E-9</v>
      </c>
    </row>
    <row r="24" spans="1:28" x14ac:dyDescent="0.25">
      <c r="A24" s="114"/>
      <c r="B24" s="113" t="s">
        <v>16</v>
      </c>
      <c r="C24" s="224">
        <v>1</v>
      </c>
      <c r="D24" s="225"/>
      <c r="E24" s="224">
        <v>0.99</v>
      </c>
      <c r="F24" s="225"/>
      <c r="G24" s="224">
        <v>0.98</v>
      </c>
      <c r="H24" s="225"/>
      <c r="I24" s="224">
        <v>0.97</v>
      </c>
      <c r="J24" s="225"/>
      <c r="K24" s="226">
        <v>0.96</v>
      </c>
      <c r="L24" s="227"/>
      <c r="M24" s="228">
        <v>0.95</v>
      </c>
      <c r="N24" s="229"/>
      <c r="O24" s="224">
        <v>0.9</v>
      </c>
      <c r="P24" s="225"/>
      <c r="Q24" s="226">
        <v>0.85</v>
      </c>
      <c r="R24" s="227"/>
      <c r="S24" s="224">
        <v>0.8</v>
      </c>
      <c r="T24" s="225"/>
      <c r="U24" s="224">
        <v>0.75</v>
      </c>
      <c r="V24" s="230"/>
      <c r="W24" s="231">
        <v>0.7</v>
      </c>
      <c r="X24" s="231"/>
      <c r="Y24" s="231">
        <v>0.65</v>
      </c>
      <c r="Z24" s="231"/>
      <c r="AA24" s="231">
        <v>0.6</v>
      </c>
      <c r="AB24" s="232"/>
    </row>
    <row r="25" spans="1:28" ht="45.75" thickBot="1" x14ac:dyDescent="0.3">
      <c r="A25" s="155" t="s">
        <v>56</v>
      </c>
      <c r="B25" s="156" t="s">
        <v>57</v>
      </c>
      <c r="C25" s="158" t="s">
        <v>58</v>
      </c>
      <c r="D25" s="158" t="s">
        <v>60</v>
      </c>
      <c r="E25" s="158" t="s">
        <v>58</v>
      </c>
      <c r="F25" s="158" t="s">
        <v>60</v>
      </c>
      <c r="G25" s="158" t="s">
        <v>58</v>
      </c>
      <c r="H25" s="158" t="s">
        <v>60</v>
      </c>
      <c r="I25" s="158" t="s">
        <v>58</v>
      </c>
      <c r="J25" s="158" t="s">
        <v>60</v>
      </c>
      <c r="K25" s="158" t="s">
        <v>58</v>
      </c>
      <c r="L25" s="158" t="s">
        <v>60</v>
      </c>
      <c r="M25" s="158" t="s">
        <v>58</v>
      </c>
      <c r="N25" s="158" t="s">
        <v>60</v>
      </c>
      <c r="O25" s="158" t="s">
        <v>58</v>
      </c>
      <c r="P25" s="158" t="s">
        <v>60</v>
      </c>
      <c r="Q25" s="158" t="s">
        <v>58</v>
      </c>
      <c r="R25" s="158" t="s">
        <v>60</v>
      </c>
      <c r="S25" s="158" t="s">
        <v>58</v>
      </c>
      <c r="T25" s="158" t="s">
        <v>60</v>
      </c>
      <c r="U25" s="158" t="s">
        <v>58</v>
      </c>
      <c r="V25" s="158" t="s">
        <v>60</v>
      </c>
      <c r="W25" s="158" t="s">
        <v>58</v>
      </c>
      <c r="X25" s="158" t="s">
        <v>60</v>
      </c>
      <c r="Y25" s="158" t="s">
        <v>58</v>
      </c>
      <c r="Z25" s="158" t="s">
        <v>60</v>
      </c>
      <c r="AA25" s="158" t="s">
        <v>58</v>
      </c>
      <c r="AB25" s="158" t="s">
        <v>60</v>
      </c>
    </row>
    <row r="26" spans="1:28" ht="15.75" thickBot="1" x14ac:dyDescent="0.3">
      <c r="A26" s="135">
        <v>0</v>
      </c>
      <c r="B26" s="136">
        <v>10</v>
      </c>
      <c r="C26" s="159">
        <f>Q10</f>
        <v>2158.2104021386058</v>
      </c>
      <c r="D26" s="138">
        <f t="shared" ref="D26:D41" si="19">((4.7*10^13*($S$10*$R$10)^0.5)*EXP(-67837/C26)/($B$4*6))*$B$7*10^-6</f>
        <v>0</v>
      </c>
      <c r="E26" s="159">
        <f>Q11</f>
        <v>2138.4636990211193</v>
      </c>
      <c r="F26" s="138">
        <f t="shared" ref="F26:F41" si="20">((4.7*10^13*$S$11*$R$11^0.5*EXP(-67837/E26)/($B$4*6))*$B$7*10^-6)</f>
        <v>8.433793674734842E-12</v>
      </c>
      <c r="G26" s="159">
        <f>Q12</f>
        <v>2118.6867046879606</v>
      </c>
      <c r="H26" s="138">
        <f t="shared" ref="H26:H41" si="21">((4.7*10^13*$S$12*$R$12^0.5*EXP(-67837/G26)/($B$4*6))*$B$7*10^-6)</f>
        <v>8.8724823590144002E-12</v>
      </c>
      <c r="I26" s="159">
        <f>Q13</f>
        <v>2098.9580941561949</v>
      </c>
      <c r="J26" s="138">
        <f t="shared" ref="J26:J41" si="22">((4.7*10^13*$S$13*$R$13^0.5*EXP(-67837/I26)/($B$4*6))*$B$7*10^-6)</f>
        <v>8.0444813094345305E-12</v>
      </c>
      <c r="K26" s="159">
        <f>Q14</f>
        <v>2079.2222489914593</v>
      </c>
      <c r="L26" s="138">
        <f t="shared" ref="L26:L41" si="23">((4.7*10^13*$S$14*$R$14^0.5*EXP(-67837/K26)/($B$4*6))*$B$7*10^-6)</f>
        <v>6.8366779495465119E-12</v>
      </c>
      <c r="M26" s="162">
        <f>Q15</f>
        <v>2059.5745645408942</v>
      </c>
      <c r="N26" s="138">
        <f t="shared" ref="N26:N41" si="24">((4.7*10^13*$S$15*$R$15^0.5*EXP(-67837/M26)/($B$4*6))*$B$7*10^-6)</f>
        <v>5.6006280491680213E-12</v>
      </c>
      <c r="O26" s="159">
        <f>Q16</f>
        <v>1961.8660173174869</v>
      </c>
      <c r="P26" s="138">
        <f t="shared" ref="P26:P41" si="25">((4.7*10^13*$S$16*$R$16^0.5*EXP(-67837/O26)/($B$4*6))*$B$7*10^-6)</f>
        <v>1.5376931906412985E-12</v>
      </c>
      <c r="Q26" s="159">
        <f>Q17</f>
        <v>1865.5664697347549</v>
      </c>
      <c r="R26" s="165">
        <f t="shared" ref="R26:R41" si="26">((4.7*10^13*$S$17*$R$17^0.5*EXP(-67837/Q26)/($B$4*6))*$B$7*10^-6)</f>
        <v>3.1643745515257756E-13</v>
      </c>
      <c r="S26" s="159">
        <f>Q18</f>
        <v>1769.9902682842005</v>
      </c>
      <c r="T26" s="138">
        <f t="shared" ref="T26:T41" si="27">((4.7*10^13*$S$18*$R$18^0.5*EXP(-67837/S26)/($B$4*6))*$B$7*10^-6)</f>
        <v>5.1351381574651742E-14</v>
      </c>
      <c r="U26" s="159">
        <f>Q19</f>
        <v>1676.0523007580878</v>
      </c>
      <c r="V26" s="138">
        <f t="shared" ref="V26:V41" si="28">((4.7*10^13*$S$19*$R$19^0.5*EXP(-67837/U26)/($B$4*6))*$B$7*10^-6)</f>
        <v>6.7088857651152565E-15</v>
      </c>
      <c r="W26" s="159">
        <f>Q20</f>
        <v>1583.2719686202215</v>
      </c>
      <c r="X26" s="138">
        <f t="shared" ref="X26:X41" si="29">((4.7*10^13*$S$20*$R$20^0.5*EXP(-67837/W26)/($B$4*6))*$B$7*10^-6)</f>
        <v>6.8662350725840037E-16</v>
      </c>
      <c r="Y26" s="159">
        <f>Q21</f>
        <v>1491.7438192909351</v>
      </c>
      <c r="Z26" s="138">
        <f t="shared" ref="Z26:Z41" si="30">((4.7*10^13*$S$21*$R$21^0.5*EXP(-67837/Y26)/($B$4*6))*$B$7*10^-6)</f>
        <v>5.3582503798283759E-17</v>
      </c>
      <c r="AA26" s="159">
        <f>Q22</f>
        <v>1400.7829288992111</v>
      </c>
      <c r="AB26" s="138">
        <f t="shared" ref="AB26:AB41" si="31">((4.7*10^13*$S$22*$R$22^0.5*EXP(-67837/AA26)/($B$4*6))*$B$7*10^-6)</f>
        <v>2.993023677763737E-18</v>
      </c>
    </row>
    <row r="27" spans="1:28" ht="15.75" thickBot="1" x14ac:dyDescent="0.3">
      <c r="A27" s="151">
        <v>1</v>
      </c>
      <c r="B27" s="154">
        <v>12</v>
      </c>
      <c r="C27" s="160">
        <f>(((B26*10^5)^(1-$B$8))*((B27*10^5)^($B$8-1))*(C26^$B$8))^(1/$B$8)</f>
        <v>2216.1479412068925</v>
      </c>
      <c r="D27" s="138">
        <f t="shared" si="19"/>
        <v>0</v>
      </c>
      <c r="E27" s="47">
        <f>(((B26*10^5)^(1-$B$8))*((B27*10^5)^($B$8-1))*(E26^$B$8))^(1/$B$8)</f>
        <v>2195.8711343598502</v>
      </c>
      <c r="F27" s="169">
        <f t="shared" si="20"/>
        <v>1.9328373650599977E-11</v>
      </c>
      <c r="G27" s="47">
        <f>(((B26*10^5)^(1-$B$8))*((B27*10^5)^($B$8-1))*(G26^$B$8))^(1/$B$8)</f>
        <v>2175.5632231241057</v>
      </c>
      <c r="H27" s="169">
        <f t="shared" si="21"/>
        <v>2.0491772844657692E-11</v>
      </c>
      <c r="I27" s="47">
        <f>(((B26*10^5)^(1-$B$8))*((B27*10^5)^($B$8-1))*(I26^$B$8))^(1/$B$8)</f>
        <v>2155.3049945614403</v>
      </c>
      <c r="J27" s="169">
        <f t="shared" si="22"/>
        <v>1.8726188138873136E-11</v>
      </c>
      <c r="K27" s="160">
        <f>(((B26*10^5)^(1-$B$8))*((B27*10^5)^($B$8-1))*(K26^$B$8))^(1/$B$8)</f>
        <v>2135.0393371508067</v>
      </c>
      <c r="L27" s="169">
        <f t="shared" si="23"/>
        <v>1.6042776621829562E-11</v>
      </c>
      <c r="M27" s="163">
        <f>(((B26*10^5)^(1-$B$8))*((B27*10^5)^($B$8-1))*(M26^$B$8))^(1/$B$8)</f>
        <v>2114.8642071442741</v>
      </c>
      <c r="N27" s="169">
        <f t="shared" si="24"/>
        <v>1.3249667242239131E-11</v>
      </c>
      <c r="O27" s="47">
        <f>(((B26*10^5)^(1-$B$8))*((B27*10^5)^($B$8-1))*(O26^$B$8))^(1/$B$8)</f>
        <v>2014.5326567296781</v>
      </c>
      <c r="P27" s="169">
        <f t="shared" si="25"/>
        <v>3.7971958907866411E-12</v>
      </c>
      <c r="Q27" s="160">
        <f>(((B26*10^5)^(1-$B$8))*((B27*10^5)^($B$8-1))*(Q26^$B$8))^(1/$B$8)</f>
        <v>1915.6479307997374</v>
      </c>
      <c r="R27" s="165">
        <f t="shared" si="26"/>
        <v>8.1874121263510286E-13</v>
      </c>
      <c r="S27" s="47">
        <f>(((B26*10^5)^(1-$B$8))*((B27*10^5)^($B$8-1))*(S26^$B$8))^(1/$B$8)</f>
        <v>1817.5059693565247</v>
      </c>
      <c r="T27" s="169">
        <f t="shared" si="27"/>
        <v>1.3986353839166884E-13</v>
      </c>
      <c r="U27" s="47">
        <f>(((B26*10^5)^(1-$B$8))*((B27*10^5)^($B$8-1))*(U26^$B$8))^(1/$B$8)</f>
        <v>1721.0462205165318</v>
      </c>
      <c r="V27" s="169">
        <f t="shared" si="28"/>
        <v>1.9328218641313621E-14</v>
      </c>
      <c r="W27" s="47">
        <f>(((B26*10^5)^(1-$B$8))*((B27*10^5)^($B$8-1))*(W26^$B$8))^(1/$B$8)</f>
        <v>1625.7751839910488</v>
      </c>
      <c r="X27" s="169">
        <f t="shared" si="29"/>
        <v>2.1046961233653346E-15</v>
      </c>
      <c r="Y27" s="47">
        <f>(((B26*10^5)^(1-$B$8))*((B27*10^5)^($B$8-1))*(Y26^$B$8))^(1/$B$8)</f>
        <v>1531.7899453425935</v>
      </c>
      <c r="Z27" s="169">
        <f t="shared" si="30"/>
        <v>1.7593079627726497E-16</v>
      </c>
      <c r="AA27" s="47">
        <f>(((B26*10^5)^(1-$B$8))*((B27*10^5)^($B$8-1))*(AA26^$B$8))^(1/$B$8)</f>
        <v>1438.3871937979732</v>
      </c>
      <c r="AB27" s="169">
        <f t="shared" si="31"/>
        <v>1.0615893924201357E-17</v>
      </c>
    </row>
    <row r="28" spans="1:28" ht="15.75" thickBot="1" x14ac:dyDescent="0.3">
      <c r="A28" s="151">
        <v>2</v>
      </c>
      <c r="B28" s="154">
        <v>14</v>
      </c>
      <c r="C28" s="160">
        <f t="shared" ref="C28:C41" si="32">(((B27*10^5)^(1-$B$8))*((B28*10^5)^($B$8-1))*(C27^$B$8))^(1/$B$8)</f>
        <v>2266.3451982518131</v>
      </c>
      <c r="D28" s="138">
        <f t="shared" si="19"/>
        <v>0</v>
      </c>
      <c r="E28" s="47">
        <f t="shared" ref="E28:E41" si="33">(((B27*10^5)^(1-$B$8))*((B28*10^5)^($B$8-1))*(E27^$B$8))^(1/$B$8)</f>
        <v>2245.6091079488133</v>
      </c>
      <c r="F28" s="169">
        <f t="shared" si="20"/>
        <v>3.8314270585104517E-11</v>
      </c>
      <c r="G28" s="47">
        <f t="shared" ref="G28:G41" si="34">(((B27*10^5)^(1-$B$8))*((B28*10^5)^($B$8-1))*(G27^$B$8))^(1/$B$8)</f>
        <v>2224.841208721567</v>
      </c>
      <c r="H28" s="169">
        <f t="shared" si="21"/>
        <v>4.0880734228072671E-11</v>
      </c>
      <c r="I28" s="47">
        <f t="shared" ref="I28:I41" si="35">(((B27*10^5)^(1-$B$8))*((B28*10^5)^($B$8-1))*(I27^$B$8))^(1/$B$8)</f>
        <v>2204.1241175137116</v>
      </c>
      <c r="J28" s="169">
        <f t="shared" si="22"/>
        <v>3.7601722208470772E-11</v>
      </c>
      <c r="K28" s="160">
        <f t="shared" ref="K28:K41" si="36">(((B27*10^5)^(1-$B$8))*((B28*10^5)^($B$8-1))*(K27^$B$8))^(1/$B$8)</f>
        <v>2183.3994291894323</v>
      </c>
      <c r="L28" s="169">
        <f t="shared" si="23"/>
        <v>3.242736453669574E-11</v>
      </c>
      <c r="M28" s="163">
        <f t="shared" ref="M28:M41" si="37">(((B27*10^5)^(1-$B$8))*((B28*10^5)^($B$8-1))*(M27^$B$8))^(1/$B$8)</f>
        <v>2162.7673187764813</v>
      </c>
      <c r="N28" s="169">
        <f t="shared" si="24"/>
        <v>2.6962038318338281E-11</v>
      </c>
      <c r="O28" s="47">
        <f t="shared" ref="O28:O41" si="38">(((B27*10^5)^(1-$B$8))*((B28*10^5)^($B$8-1))*(O27^$B$8))^(1/$B$8)</f>
        <v>2060.163190555942</v>
      </c>
      <c r="P28" s="169">
        <f t="shared" si="25"/>
        <v>8.0053003121246692E-12</v>
      </c>
      <c r="Q28" s="160">
        <f t="shared" ref="Q28:Q41" si="39">(((B27*10^5)^(1-$B$8))*((B28*10^5)^($B$8-1))*(Q27^$B$8))^(1/$B$8)</f>
        <v>1959.0386583779484</v>
      </c>
      <c r="R28" s="165">
        <f t="shared" si="26"/>
        <v>1.7938312226254726E-12</v>
      </c>
      <c r="S28" s="47">
        <f t="shared" ref="S28:S41" si="40">(((B27*10^5)^(1-$B$8))*((B28*10^5)^($B$8-1))*(S27^$B$8))^(1/$B$8)</f>
        <v>1858.6737148071204</v>
      </c>
      <c r="T28" s="169">
        <f t="shared" si="27"/>
        <v>3.1969297596776322E-13</v>
      </c>
      <c r="U28" s="47">
        <f t="shared" ref="U28:U41" si="41">(((B27*10^5)^(1-$B$8))*((B28*10^5)^($B$8-1))*(U27^$B$8))^(1/$B$8)</f>
        <v>1760.0290870982665</v>
      </c>
      <c r="V28" s="169">
        <f t="shared" si="28"/>
        <v>4.6274628891239577E-14</v>
      </c>
      <c r="W28" s="47">
        <f t="shared" ref="W28:W41" si="42">(((B27*10^5)^(1-$B$8))*((B28*10^5)^($B$8-1))*(W27^$B$8))^(1/$B$8)</f>
        <v>1662.6000968457406</v>
      </c>
      <c r="X28" s="169">
        <f t="shared" si="29"/>
        <v>5.3034553114360886E-15</v>
      </c>
      <c r="Y28" s="47">
        <f t="shared" ref="Y28:Y41" si="43">(((B27*10^5)^(1-$B$8))*((B28*10^5)^($B$8-1))*(Y27^$B$8))^(1/$B$8)</f>
        <v>1566.4860286660346</v>
      </c>
      <c r="Z28" s="169">
        <f t="shared" si="30"/>
        <v>4.6917839068045816E-16</v>
      </c>
      <c r="AA28" s="47">
        <f t="shared" ref="AA28:AA41" si="44">(((B27*10^5)^(1-$B$8))*((B28*10^5)^($B$8-1))*(AA27^$B$8))^(1/$B$8)</f>
        <v>1470.9676413189441</v>
      </c>
      <c r="AB28" s="169">
        <f t="shared" si="31"/>
        <v>3.0172763016094819E-17</v>
      </c>
    </row>
    <row r="29" spans="1:28" ht="15.75" thickBot="1" x14ac:dyDescent="0.3">
      <c r="A29" s="151">
        <v>3</v>
      </c>
      <c r="B29" s="154">
        <v>16</v>
      </c>
      <c r="C29" s="160">
        <f t="shared" si="32"/>
        <v>2310.7461623360709</v>
      </c>
      <c r="D29" s="138">
        <f t="shared" si="19"/>
        <v>0</v>
      </c>
      <c r="E29" s="47">
        <f t="shared" si="33"/>
        <v>2289.6038221813264</v>
      </c>
      <c r="F29" s="169">
        <f t="shared" si="20"/>
        <v>6.8462275726282055E-11</v>
      </c>
      <c r="G29" s="47">
        <f t="shared" si="34"/>
        <v>2268.4290499197314</v>
      </c>
      <c r="H29" s="169">
        <f t="shared" si="21"/>
        <v>7.3445063597810888E-11</v>
      </c>
      <c r="I29" s="47">
        <f t="shared" si="35"/>
        <v>2247.3060810797483</v>
      </c>
      <c r="J29" s="169">
        <f t="shared" si="22"/>
        <v>6.7927126023490947E-11</v>
      </c>
      <c r="K29" s="160">
        <f t="shared" si="36"/>
        <v>2226.1753662848973</v>
      </c>
      <c r="L29" s="169">
        <f t="shared" si="23"/>
        <v>5.890945752197848E-11</v>
      </c>
      <c r="M29" s="163">
        <f t="shared" si="37"/>
        <v>2205.1390431358941</v>
      </c>
      <c r="N29" s="169">
        <f t="shared" si="24"/>
        <v>4.9260574960320103E-11</v>
      </c>
      <c r="O29" s="47">
        <f t="shared" si="38"/>
        <v>2100.5247523789794</v>
      </c>
      <c r="P29" s="169">
        <f t="shared" si="25"/>
        <v>1.5071635719033423E-11</v>
      </c>
      <c r="Q29" s="160">
        <f t="shared" si="39"/>
        <v>1997.4190450804736</v>
      </c>
      <c r="R29" s="165">
        <f t="shared" si="26"/>
        <v>3.4893816955822517E-12</v>
      </c>
      <c r="S29" s="47">
        <f t="shared" si="40"/>
        <v>1895.0878078231196</v>
      </c>
      <c r="T29" s="169">
        <f t="shared" si="27"/>
        <v>6.4461984634865317E-13</v>
      </c>
      <c r="U29" s="47">
        <f t="shared" si="41"/>
        <v>1794.5105898913021</v>
      </c>
      <c r="V29" s="169">
        <f t="shared" si="28"/>
        <v>9.7047385011285745E-14</v>
      </c>
      <c r="W29" s="47">
        <f t="shared" si="42"/>
        <v>1695.1728255030862</v>
      </c>
      <c r="X29" s="169">
        <f t="shared" si="29"/>
        <v>1.1615772135057114E-14</v>
      </c>
      <c r="Y29" s="47">
        <f t="shared" si="43"/>
        <v>1597.1757444034888</v>
      </c>
      <c r="Z29" s="169">
        <f t="shared" si="30"/>
        <v>1.0782473224436797E-15</v>
      </c>
      <c r="AA29" s="47">
        <f t="shared" si="44"/>
        <v>1499.7860143813034</v>
      </c>
      <c r="AB29" s="169">
        <f t="shared" si="31"/>
        <v>7.3191723743195517E-17</v>
      </c>
    </row>
    <row r="30" spans="1:28" ht="15.75" thickBot="1" x14ac:dyDescent="0.3">
      <c r="A30" s="151">
        <v>4</v>
      </c>
      <c r="B30" s="154">
        <v>18</v>
      </c>
      <c r="C30" s="160">
        <f t="shared" si="32"/>
        <v>2350.6320766691351</v>
      </c>
      <c r="D30" s="138">
        <f t="shared" si="19"/>
        <v>0</v>
      </c>
      <c r="E30" s="47">
        <f t="shared" si="33"/>
        <v>2329.1247974388848</v>
      </c>
      <c r="F30" s="169">
        <f t="shared" si="20"/>
        <v>1.131846169857292E-10</v>
      </c>
      <c r="G30" s="47">
        <f t="shared" si="34"/>
        <v>2307.584526289435</v>
      </c>
      <c r="H30" s="169">
        <f t="shared" si="21"/>
        <v>1.2199351794166111E-10</v>
      </c>
      <c r="I30" s="47">
        <f t="shared" si="35"/>
        <v>2286.0969527432558</v>
      </c>
      <c r="J30" s="169">
        <f t="shared" si="22"/>
        <v>1.1336754280928465E-10</v>
      </c>
      <c r="K30" s="160">
        <f t="shared" si="36"/>
        <v>2264.6014995388641</v>
      </c>
      <c r="L30" s="169">
        <f t="shared" si="23"/>
        <v>9.8796590093451641E-11</v>
      </c>
      <c r="M30" s="163">
        <f t="shared" si="37"/>
        <v>2243.2020672796175</v>
      </c>
      <c r="N30" s="169">
        <f t="shared" si="24"/>
        <v>8.3023035868113518E-11</v>
      </c>
      <c r="O30" s="47">
        <f t="shared" si="38"/>
        <v>2136.7820235987529</v>
      </c>
      <c r="P30" s="169">
        <f t="shared" si="25"/>
        <v>2.6070539558093943E-11</v>
      </c>
      <c r="Q30" s="160">
        <f t="shared" si="39"/>
        <v>2031.896603116865</v>
      </c>
      <c r="R30" s="165">
        <f t="shared" si="26"/>
        <v>6.2090192641449045E-12</v>
      </c>
      <c r="S30" s="47">
        <f t="shared" si="40"/>
        <v>1927.7990208453461</v>
      </c>
      <c r="T30" s="169">
        <f t="shared" si="27"/>
        <v>1.1832937286608765E-12</v>
      </c>
      <c r="U30" s="47">
        <f t="shared" si="41"/>
        <v>1825.4857341216925</v>
      </c>
      <c r="V30" s="169">
        <f t="shared" si="28"/>
        <v>1.843135846496689E-13</v>
      </c>
      <c r="W30" s="47">
        <f t="shared" si="42"/>
        <v>1724.4332952162115</v>
      </c>
      <c r="X30" s="169">
        <f t="shared" si="29"/>
        <v>2.290583374509689E-14</v>
      </c>
      <c r="Y30" s="47">
        <f t="shared" si="43"/>
        <v>1624.7446812060161</v>
      </c>
      <c r="Z30" s="169">
        <f t="shared" si="30"/>
        <v>2.2167173118892212E-15</v>
      </c>
      <c r="AA30" s="47">
        <f t="shared" si="44"/>
        <v>1525.673901792989</v>
      </c>
      <c r="AB30" s="169">
        <f t="shared" si="31"/>
        <v>1.576806005900756E-16</v>
      </c>
    </row>
    <row r="31" spans="1:28" ht="15.75" thickBot="1" x14ac:dyDescent="0.3">
      <c r="A31" s="151">
        <v>5</v>
      </c>
      <c r="B31" s="154">
        <v>20</v>
      </c>
      <c r="C31" s="160">
        <f t="shared" si="32"/>
        <v>2386.8942732855712</v>
      </c>
      <c r="D31" s="138">
        <f t="shared" si="19"/>
        <v>0</v>
      </c>
      <c r="E31" s="47">
        <f t="shared" si="33"/>
        <v>2365.0552104487442</v>
      </c>
      <c r="F31" s="169">
        <f t="shared" si="20"/>
        <v>1.7617916156837064E-10</v>
      </c>
      <c r="G31" s="47">
        <f t="shared" si="34"/>
        <v>2343.1826467404776</v>
      </c>
      <c r="H31" s="169">
        <f t="shared" si="21"/>
        <v>1.9067672454622885E-10</v>
      </c>
      <c r="I31" s="47">
        <f t="shared" si="35"/>
        <v>2321.3635935788902</v>
      </c>
      <c r="J31" s="169">
        <f t="shared" si="22"/>
        <v>1.7793965597494515E-10</v>
      </c>
      <c r="K31" s="160">
        <f t="shared" si="36"/>
        <v>2299.5365392029694</v>
      </c>
      <c r="L31" s="169">
        <f t="shared" si="23"/>
        <v>1.5573432246896812E-10</v>
      </c>
      <c r="M31" s="163">
        <f t="shared" si="37"/>
        <v>2277.8069870462846</v>
      </c>
      <c r="N31" s="169">
        <f t="shared" si="24"/>
        <v>1.3143966321447083E-10</v>
      </c>
      <c r="O31" s="47">
        <f t="shared" si="38"/>
        <v>2169.7452468250776</v>
      </c>
      <c r="P31" s="169">
        <f t="shared" si="25"/>
        <v>4.2229419144994732E-11</v>
      </c>
      <c r="Q31" s="160">
        <f t="shared" si="39"/>
        <v>2063.2418037791904</v>
      </c>
      <c r="R31" s="165">
        <f t="shared" si="26"/>
        <v>1.031099489876222E-11</v>
      </c>
      <c r="S31" s="47">
        <f t="shared" si="40"/>
        <v>1957.5383525870982</v>
      </c>
      <c r="T31" s="169">
        <f t="shared" si="27"/>
        <v>2.0195969616962816E-12</v>
      </c>
      <c r="U31" s="47">
        <f t="shared" si="41"/>
        <v>1853.6467225078547</v>
      </c>
      <c r="V31" s="169">
        <f t="shared" si="28"/>
        <v>3.2414705510420188E-13</v>
      </c>
      <c r="W31" s="47">
        <f t="shared" si="42"/>
        <v>1751.0353908073116</v>
      </c>
      <c r="X31" s="169">
        <f t="shared" si="29"/>
        <v>4.1638852878016309E-14</v>
      </c>
      <c r="Y31" s="47">
        <f t="shared" si="43"/>
        <v>1649.8089231459487</v>
      </c>
      <c r="Z31" s="169">
        <f t="shared" si="30"/>
        <v>4.1801147344915112E-15</v>
      </c>
      <c r="AA31" s="47">
        <f t="shared" si="44"/>
        <v>1549.2098211520822</v>
      </c>
      <c r="AB31" s="169">
        <f t="shared" si="31"/>
        <v>3.0984501848119486E-16</v>
      </c>
    </row>
    <row r="32" spans="1:28" ht="15.75" thickBot="1" x14ac:dyDescent="0.3">
      <c r="A32" s="151">
        <v>6</v>
      </c>
      <c r="B32" s="154">
        <v>22</v>
      </c>
      <c r="C32" s="160">
        <f t="shared" si="32"/>
        <v>2420.1790894201317</v>
      </c>
      <c r="D32" s="138">
        <f t="shared" si="19"/>
        <v>0</v>
      </c>
      <c r="E32" s="47">
        <f t="shared" si="33"/>
        <v>2398.0354847360973</v>
      </c>
      <c r="F32" s="169">
        <f t="shared" si="20"/>
        <v>2.6138137540950394E-10</v>
      </c>
      <c r="G32" s="47">
        <f t="shared" si="34"/>
        <v>2375.8579120169293</v>
      </c>
      <c r="H32" s="169">
        <f t="shared" si="21"/>
        <v>2.8393372473241841E-10</v>
      </c>
      <c r="I32" s="47">
        <f t="shared" si="35"/>
        <v>2353.7345960394969</v>
      </c>
      <c r="J32" s="169">
        <f t="shared" si="22"/>
        <v>2.6596063011846792E-10</v>
      </c>
      <c r="K32" s="160">
        <f t="shared" si="36"/>
        <v>2331.6031672722202</v>
      </c>
      <c r="L32" s="169">
        <f t="shared" si="23"/>
        <v>2.3366072006749964E-10</v>
      </c>
      <c r="M32" s="163">
        <f t="shared" si="37"/>
        <v>2309.5706003752866</v>
      </c>
      <c r="N32" s="169">
        <f t="shared" si="24"/>
        <v>1.9797425414916305E-10</v>
      </c>
      <c r="O32" s="47">
        <f t="shared" si="38"/>
        <v>2200.0019584053512</v>
      </c>
      <c r="P32" s="169">
        <f t="shared" si="25"/>
        <v>6.4916726810163405E-11</v>
      </c>
      <c r="Q32" s="160">
        <f t="shared" si="39"/>
        <v>2092.0133437877043</v>
      </c>
      <c r="R32" s="165">
        <f t="shared" si="26"/>
        <v>1.6206214217574525E-11</v>
      </c>
      <c r="S32" s="47">
        <f t="shared" si="40"/>
        <v>1984.8358767679761</v>
      </c>
      <c r="T32" s="169">
        <f t="shared" si="27"/>
        <v>3.2527442881598205E-12</v>
      </c>
      <c r="U32" s="47">
        <f t="shared" si="41"/>
        <v>1879.4954963842847</v>
      </c>
      <c r="V32" s="169">
        <f t="shared" si="28"/>
        <v>5.3620175061069626E-13</v>
      </c>
      <c r="W32" s="47">
        <f t="shared" si="42"/>
        <v>1775.4532679124852</v>
      </c>
      <c r="X32" s="169">
        <f t="shared" si="29"/>
        <v>7.0940481850094769E-14</v>
      </c>
      <c r="Y32" s="47">
        <f t="shared" si="43"/>
        <v>1672.8152151625955</v>
      </c>
      <c r="Z32" s="169">
        <f t="shared" si="30"/>
        <v>7.3583626127636001E-15</v>
      </c>
      <c r="AA32" s="47">
        <f t="shared" si="44"/>
        <v>1570.8132765828607</v>
      </c>
      <c r="AB32" s="169">
        <f t="shared" si="31"/>
        <v>5.6582908320411923E-16</v>
      </c>
    </row>
    <row r="33" spans="1:29" ht="15.75" thickBot="1" x14ac:dyDescent="0.3">
      <c r="A33" s="151">
        <v>7</v>
      </c>
      <c r="B33" s="154">
        <v>24</v>
      </c>
      <c r="C33" s="160">
        <f t="shared" si="32"/>
        <v>2450.9708712267716</v>
      </c>
      <c r="D33" s="138">
        <f t="shared" si="19"/>
        <v>0</v>
      </c>
      <c r="E33" s="47">
        <f t="shared" si="33"/>
        <v>2428.5455348945197</v>
      </c>
      <c r="F33" s="169">
        <f t="shared" si="20"/>
        <v>3.7292323401490299E-10</v>
      </c>
      <c r="G33" s="47">
        <f t="shared" si="34"/>
        <v>2406.0857983540236</v>
      </c>
      <c r="H33" s="169">
        <f t="shared" si="21"/>
        <v>4.0644568978673713E-10</v>
      </c>
      <c r="I33" s="47">
        <f t="shared" si="35"/>
        <v>2383.6810088602742</v>
      </c>
      <c r="J33" s="169">
        <f t="shared" si="22"/>
        <v>3.8200334127816348E-10</v>
      </c>
      <c r="K33" s="160">
        <f t="shared" si="36"/>
        <v>2361.2680033581805</v>
      </c>
      <c r="L33" s="169">
        <f t="shared" si="23"/>
        <v>3.3676591137681116E-10</v>
      </c>
      <c r="M33" s="163">
        <f t="shared" si="37"/>
        <v>2338.9551175396032</v>
      </c>
      <c r="N33" s="169">
        <f t="shared" si="24"/>
        <v>2.8632909526575688E-10</v>
      </c>
      <c r="O33" s="47">
        <f t="shared" si="38"/>
        <v>2227.9924408343309</v>
      </c>
      <c r="P33" s="169">
        <f t="shared" si="25"/>
        <v>9.5630139399490773E-11</v>
      </c>
      <c r="Q33" s="160">
        <f t="shared" si="39"/>
        <v>2118.6298940670163</v>
      </c>
      <c r="R33" s="165">
        <f t="shared" si="26"/>
        <v>2.435589623080987E-11</v>
      </c>
      <c r="S33" s="47">
        <f t="shared" si="40"/>
        <v>2010.0888150759727</v>
      </c>
      <c r="T33" s="169">
        <f t="shared" si="27"/>
        <v>4.9971910415896454E-12</v>
      </c>
      <c r="U33" s="47">
        <f t="shared" si="41"/>
        <v>1903.4081958552538</v>
      </c>
      <c r="V33" s="169">
        <f t="shared" si="28"/>
        <v>8.4383145216255585E-13</v>
      </c>
      <c r="W33" s="47">
        <f t="shared" si="42"/>
        <v>1798.042244849124</v>
      </c>
      <c r="X33" s="169">
        <f t="shared" si="29"/>
        <v>1.1464672143210307E-13</v>
      </c>
      <c r="Y33" s="47">
        <f t="shared" si="43"/>
        <v>1694.0983348016694</v>
      </c>
      <c r="Z33" s="169">
        <f t="shared" si="30"/>
        <v>1.2247276521679511E-14</v>
      </c>
      <c r="AA33" s="47">
        <f t="shared" si="44"/>
        <v>1590.7986321637561</v>
      </c>
      <c r="AB33" s="169">
        <f t="shared" si="31"/>
        <v>9.7344446532549277E-16</v>
      </c>
    </row>
    <row r="34" spans="1:29" ht="15.75" thickBot="1" x14ac:dyDescent="0.3">
      <c r="A34" s="151">
        <v>8</v>
      </c>
      <c r="B34" s="154">
        <v>26</v>
      </c>
      <c r="C34" s="160">
        <f t="shared" si="32"/>
        <v>2479.6424020128084</v>
      </c>
      <c r="D34" s="138">
        <f t="shared" si="19"/>
        <v>0</v>
      </c>
      <c r="E34" s="47">
        <f t="shared" si="33"/>
        <v>2456.954733423333</v>
      </c>
      <c r="F34" s="169">
        <f t="shared" si="20"/>
        <v>5.1509815995690532E-10</v>
      </c>
      <c r="G34" s="47">
        <f t="shared" si="34"/>
        <v>2434.2322622109459</v>
      </c>
      <c r="H34" s="169">
        <f t="shared" si="21"/>
        <v>5.6309599970712214E-10</v>
      </c>
      <c r="I34" s="47">
        <f t="shared" si="35"/>
        <v>2411.5653808175061</v>
      </c>
      <c r="J34" s="169">
        <f t="shared" si="22"/>
        <v>5.3085733794508319E-10</v>
      </c>
      <c r="K34" s="160">
        <f t="shared" si="36"/>
        <v>2388.8901873046107</v>
      </c>
      <c r="L34" s="169">
        <f t="shared" si="23"/>
        <v>4.6945642421997783E-10</v>
      </c>
      <c r="M34" s="163">
        <f t="shared" si="37"/>
        <v>2366.3162846782925</v>
      </c>
      <c r="N34" s="169">
        <f t="shared" si="24"/>
        <v>4.0041367941593441E-10</v>
      </c>
      <c r="O34" s="47">
        <f t="shared" si="38"/>
        <v>2254.0555632518017</v>
      </c>
      <c r="P34" s="169">
        <f t="shared" si="25"/>
        <v>1.3598525563394054E-10</v>
      </c>
      <c r="Q34" s="160">
        <f t="shared" si="39"/>
        <v>2143.41369013129</v>
      </c>
      <c r="R34" s="165">
        <f t="shared" si="26"/>
        <v>3.5269037809999145E-11</v>
      </c>
      <c r="S34" s="47">
        <f t="shared" si="40"/>
        <v>2033.6028943417425</v>
      </c>
      <c r="T34" s="169">
        <f t="shared" si="27"/>
        <v>7.3824036034989863E-12</v>
      </c>
      <c r="U34" s="47">
        <f t="shared" si="41"/>
        <v>1925.6743220367302</v>
      </c>
      <c r="V34" s="169">
        <f t="shared" si="28"/>
        <v>1.2741658335257225E-12</v>
      </c>
      <c r="W34" s="47">
        <f t="shared" si="42"/>
        <v>1819.0757969745243</v>
      </c>
      <c r="X34" s="169">
        <f t="shared" si="29"/>
        <v>1.773452700331026E-13</v>
      </c>
      <c r="Y34" s="47">
        <f t="shared" si="43"/>
        <v>1713.9159479487926</v>
      </c>
      <c r="Z34" s="169">
        <f t="shared" si="30"/>
        <v>1.9459064961318036E-14</v>
      </c>
      <c r="AA34" s="47">
        <f t="shared" si="44"/>
        <v>1609.407842290208</v>
      </c>
      <c r="AB34" s="169">
        <f t="shared" si="31"/>
        <v>1.5938632749825877E-15</v>
      </c>
    </row>
    <row r="35" spans="1:29" ht="15.75" thickBot="1" x14ac:dyDescent="0.3">
      <c r="A35" s="151">
        <v>9</v>
      </c>
      <c r="B35" s="154">
        <v>28</v>
      </c>
      <c r="C35" s="160">
        <f t="shared" si="32"/>
        <v>2506.4870272310436</v>
      </c>
      <c r="D35" s="138">
        <f t="shared" si="19"/>
        <v>0</v>
      </c>
      <c r="E35" s="47">
        <f t="shared" si="33"/>
        <v>2483.5537417897735</v>
      </c>
      <c r="F35" s="169">
        <f t="shared" si="20"/>
        <v>6.9233110658803415E-10</v>
      </c>
      <c r="G35" s="47">
        <f t="shared" si="34"/>
        <v>2460.5852769521625</v>
      </c>
      <c r="H35" s="169">
        <f t="shared" si="21"/>
        <v>7.5893584944822471E-10</v>
      </c>
      <c r="I35" s="47">
        <f t="shared" si="35"/>
        <v>2437.6730037492512</v>
      </c>
      <c r="J35" s="169">
        <f t="shared" si="22"/>
        <v>7.1749487753507673E-10</v>
      </c>
      <c r="K35" s="160">
        <f t="shared" si="36"/>
        <v>2414.752328439823</v>
      </c>
      <c r="L35" s="169">
        <f t="shared" si="23"/>
        <v>6.3632384905725752E-10</v>
      </c>
      <c r="M35" s="163">
        <f t="shared" si="37"/>
        <v>2391.9340405927878</v>
      </c>
      <c r="N35" s="169">
        <f t="shared" si="24"/>
        <v>5.4431693816682751E-10</v>
      </c>
      <c r="O35" s="47">
        <f t="shared" si="38"/>
        <v>2278.4579838457776</v>
      </c>
      <c r="P35" s="169">
        <f t="shared" si="25"/>
        <v>1.8770496550493984E-10</v>
      </c>
      <c r="Q35" s="160">
        <f t="shared" si="39"/>
        <v>2166.618301067328</v>
      </c>
      <c r="R35" s="165">
        <f t="shared" si="26"/>
        <v>4.9499800379916945E-11</v>
      </c>
      <c r="S35" s="47">
        <f t="shared" si="40"/>
        <v>2055.6186928685838</v>
      </c>
      <c r="T35" s="169">
        <f t="shared" si="27"/>
        <v>1.0552532044494888E-11</v>
      </c>
      <c r="U35" s="47">
        <f t="shared" si="41"/>
        <v>1946.5216851183961</v>
      </c>
      <c r="V35" s="169">
        <f t="shared" si="28"/>
        <v>1.8581512645002407E-12</v>
      </c>
      <c r="W35" s="47">
        <f t="shared" si="42"/>
        <v>1838.7691237113575</v>
      </c>
      <c r="X35" s="169">
        <f t="shared" si="29"/>
        <v>2.6440927828975542E-13</v>
      </c>
      <c r="Y35" s="47">
        <f t="shared" si="43"/>
        <v>1732.4708134571815</v>
      </c>
      <c r="Z35" s="169">
        <f t="shared" si="30"/>
        <v>2.973183846519895E-14</v>
      </c>
      <c r="AA35" s="47">
        <f t="shared" si="44"/>
        <v>1626.8313023481985</v>
      </c>
      <c r="AB35" s="169">
        <f t="shared" si="31"/>
        <v>2.5032574597703192E-15</v>
      </c>
    </row>
    <row r="36" spans="1:29" ht="15.75" thickBot="1" x14ac:dyDescent="0.3">
      <c r="A36" s="151">
        <v>10</v>
      </c>
      <c r="B36" s="154">
        <v>30</v>
      </c>
      <c r="C36" s="160">
        <f t="shared" si="32"/>
        <v>2531.7399339989015</v>
      </c>
      <c r="D36" s="138">
        <f t="shared" si="19"/>
        <v>0</v>
      </c>
      <c r="E36" s="47">
        <f t="shared" si="33"/>
        <v>2508.5755952496197</v>
      </c>
      <c r="F36" s="169">
        <f t="shared" si="20"/>
        <v>9.0915300707593285E-10</v>
      </c>
      <c r="G36" s="47">
        <f t="shared" si="34"/>
        <v>2485.3757226708785</v>
      </c>
      <c r="H36" s="169">
        <f t="shared" si="21"/>
        <v>9.9915460883020787E-10</v>
      </c>
      <c r="I36" s="47">
        <f t="shared" si="35"/>
        <v>2462.2326078586761</v>
      </c>
      <c r="J36" s="169">
        <f t="shared" si="22"/>
        <v>9.4704139401996052E-10</v>
      </c>
      <c r="K36" s="160">
        <f t="shared" si="36"/>
        <v>2439.0810062885662</v>
      </c>
      <c r="L36" s="169">
        <f t="shared" si="23"/>
        <v>8.4211734417616217E-10</v>
      </c>
      <c r="M36" s="163">
        <f t="shared" si="37"/>
        <v>2416.0328237365738</v>
      </c>
      <c r="N36" s="169">
        <f t="shared" si="24"/>
        <v>7.2228265595570147E-10</v>
      </c>
      <c r="O36" s="47">
        <f t="shared" si="38"/>
        <v>2301.4134934556164</v>
      </c>
      <c r="P36" s="169">
        <f t="shared" si="25"/>
        <v>2.5260955384557516E-10</v>
      </c>
      <c r="Q36" s="160">
        <f t="shared" si="39"/>
        <v>2188.4470236435727</v>
      </c>
      <c r="R36" s="165">
        <f t="shared" si="26"/>
        <v>6.7644895089149766E-11</v>
      </c>
      <c r="S36" s="47">
        <f t="shared" si="40"/>
        <v>2076.3290921793746</v>
      </c>
      <c r="T36" s="169">
        <f t="shared" si="27"/>
        <v>1.466601463978159E-11</v>
      </c>
      <c r="U36" s="47">
        <f t="shared" si="41"/>
        <v>1966.1329299011813</v>
      </c>
      <c r="V36" s="169">
        <f t="shared" si="28"/>
        <v>2.6305632318138162E-12</v>
      </c>
      <c r="W36" s="47">
        <f t="shared" si="42"/>
        <v>1857.294759289847</v>
      </c>
      <c r="X36" s="169">
        <f t="shared" si="29"/>
        <v>3.8202442775065327E-13</v>
      </c>
      <c r="Y36" s="47">
        <f t="shared" si="43"/>
        <v>1749.925491440732</v>
      </c>
      <c r="Z36" s="169">
        <f t="shared" si="30"/>
        <v>4.3938159324169846E-14</v>
      </c>
      <c r="AA36" s="47">
        <f t="shared" si="44"/>
        <v>1643.2216601513314</v>
      </c>
      <c r="AB36" s="169">
        <f t="shared" si="31"/>
        <v>3.7943730050568457E-15</v>
      </c>
    </row>
    <row r="37" spans="1:29" ht="15.75" thickBot="1" x14ac:dyDescent="0.3">
      <c r="A37" s="151">
        <v>11</v>
      </c>
      <c r="B37" s="154">
        <v>32</v>
      </c>
      <c r="C37" s="160">
        <f t="shared" si="32"/>
        <v>2555.5927153493385</v>
      </c>
      <c r="D37" s="138">
        <f t="shared" si="19"/>
        <v>0</v>
      </c>
      <c r="E37" s="47">
        <f t="shared" si="33"/>
        <v>2532.2101338414309</v>
      </c>
      <c r="F37" s="169">
        <f t="shared" si="20"/>
        <v>1.1701789181757294E-9</v>
      </c>
      <c r="G37" s="47">
        <f t="shared" si="34"/>
        <v>2508.7916837221837</v>
      </c>
      <c r="H37" s="169">
        <f t="shared" si="21"/>
        <v>1.2890542524711648E-9</v>
      </c>
      <c r="I37" s="47">
        <f t="shared" si="35"/>
        <v>2485.4305261126269</v>
      </c>
      <c r="J37" s="169">
        <f t="shared" si="22"/>
        <v>1.2247498067401111E-9</v>
      </c>
      <c r="K37" s="160">
        <f t="shared" si="36"/>
        <v>2462.0608017871946</v>
      </c>
      <c r="L37" s="169">
        <f t="shared" si="23"/>
        <v>1.091719516691779E-9</v>
      </c>
      <c r="M37" s="163">
        <f t="shared" si="37"/>
        <v>2438.7954708418938</v>
      </c>
      <c r="N37" s="169">
        <f t="shared" si="24"/>
        <v>9.3868772222020815E-10</v>
      </c>
      <c r="O37" s="47">
        <f t="shared" si="38"/>
        <v>2323.096254832149</v>
      </c>
      <c r="P37" s="169">
        <f t="shared" si="25"/>
        <v>3.3260754730238395E-10</v>
      </c>
      <c r="Q37" s="160">
        <f t="shared" si="39"/>
        <v>2209.0654717120256</v>
      </c>
      <c r="R37" s="165">
        <f t="shared" si="26"/>
        <v>9.0341015822796432E-11</v>
      </c>
      <c r="S37" s="47">
        <f t="shared" si="40"/>
        <v>2095.8912214416323</v>
      </c>
      <c r="T37" s="169">
        <f t="shared" si="27"/>
        <v>1.9895136387837606E-11</v>
      </c>
      <c r="U37" s="47">
        <f t="shared" si="41"/>
        <v>1984.6568463007429</v>
      </c>
      <c r="V37" s="169">
        <f t="shared" si="28"/>
        <v>3.6299960009223171E-12</v>
      </c>
      <c r="W37" s="47">
        <f t="shared" si="42"/>
        <v>1874.7932571417487</v>
      </c>
      <c r="X37" s="169">
        <f t="shared" si="29"/>
        <v>5.3721017662491734E-13</v>
      </c>
      <c r="Y37" s="47">
        <f t="shared" si="43"/>
        <v>1766.4124100086128</v>
      </c>
      <c r="Z37" s="169">
        <f t="shared" si="30"/>
        <v>6.3092679714302294E-14</v>
      </c>
      <c r="AA37" s="47">
        <f t="shared" si="44"/>
        <v>1658.7032688440468</v>
      </c>
      <c r="AB37" s="169">
        <f t="shared" si="31"/>
        <v>5.5780313707095072E-15</v>
      </c>
    </row>
    <row r="38" spans="1:29" ht="15.75" thickBot="1" x14ac:dyDescent="0.3">
      <c r="A38" s="151">
        <v>12</v>
      </c>
      <c r="B38" s="154">
        <v>34</v>
      </c>
      <c r="C38" s="160">
        <f t="shared" si="32"/>
        <v>2578.2036197521047</v>
      </c>
      <c r="D38" s="138">
        <f t="shared" si="19"/>
        <v>0</v>
      </c>
      <c r="E38" s="47">
        <f t="shared" si="33"/>
        <v>2554.614158129074</v>
      </c>
      <c r="F38" s="169">
        <f t="shared" si="20"/>
        <v>1.4800892917856331E-9</v>
      </c>
      <c r="G38" s="47">
        <f t="shared" si="34"/>
        <v>2530.9885105429803</v>
      </c>
      <c r="H38" s="169">
        <f t="shared" si="21"/>
        <v>1.6340272697318862E-9</v>
      </c>
      <c r="I38" s="47">
        <f t="shared" si="35"/>
        <v>2507.4206623687355</v>
      </c>
      <c r="J38" s="169">
        <f t="shared" si="22"/>
        <v>1.5559781484572725E-9</v>
      </c>
      <c r="K38" s="160">
        <f t="shared" si="36"/>
        <v>2483.8441716835978</v>
      </c>
      <c r="L38" s="169">
        <f t="shared" si="23"/>
        <v>1.3901252540232669E-9</v>
      </c>
      <c r="M38" s="163">
        <f t="shared" si="37"/>
        <v>2460.3729980111921</v>
      </c>
      <c r="N38" s="169">
        <f t="shared" si="24"/>
        <v>1.1980228947767842E-9</v>
      </c>
      <c r="O38" s="47">
        <f t="shared" si="38"/>
        <v>2343.6501197030857</v>
      </c>
      <c r="P38" s="169">
        <f t="shared" si="25"/>
        <v>4.2968728411506574E-10</v>
      </c>
      <c r="Q38" s="160">
        <f t="shared" si="39"/>
        <v>2228.6104359390465</v>
      </c>
      <c r="R38" s="165">
        <f t="shared" si="26"/>
        <v>1.1826235130749403E-10</v>
      </c>
      <c r="S38" s="47">
        <f t="shared" si="40"/>
        <v>2114.4348632989522</v>
      </c>
      <c r="T38" s="169">
        <f t="shared" si="27"/>
        <v>2.6425558051308431E-11</v>
      </c>
      <c r="U38" s="47">
        <f t="shared" si="41"/>
        <v>2002.2163290596645</v>
      </c>
      <c r="V38" s="169">
        <f t="shared" si="28"/>
        <v>4.8988341039596881E-12</v>
      </c>
      <c r="W38" s="47">
        <f t="shared" si="42"/>
        <v>1891.3807089910129</v>
      </c>
      <c r="X38" s="169">
        <f t="shared" si="29"/>
        <v>7.378359299254111E-13</v>
      </c>
      <c r="Y38" s="47">
        <f t="shared" si="43"/>
        <v>1782.0409496811035</v>
      </c>
      <c r="Z38" s="169">
        <f t="shared" si="30"/>
        <v>8.835892438118951E-14</v>
      </c>
      <c r="AA38" s="47">
        <f t="shared" si="44"/>
        <v>1673.3788393366094</v>
      </c>
      <c r="AB38" s="169">
        <f t="shared" si="31"/>
        <v>7.9845536901254447E-15</v>
      </c>
    </row>
    <row r="39" spans="1:29" ht="15.75" thickBot="1" x14ac:dyDescent="0.3">
      <c r="A39" s="151">
        <v>13</v>
      </c>
      <c r="B39" s="154">
        <v>36</v>
      </c>
      <c r="C39" s="160">
        <f t="shared" si="32"/>
        <v>2599.7049392604117</v>
      </c>
      <c r="D39" s="138">
        <f t="shared" si="19"/>
        <v>0</v>
      </c>
      <c r="E39" s="47">
        <f t="shared" si="33"/>
        <v>2575.9187497499865</v>
      </c>
      <c r="F39" s="169">
        <f t="shared" si="20"/>
        <v>1.8436138983964678E-9</v>
      </c>
      <c r="G39" s="47">
        <f t="shared" si="34"/>
        <v>2552.0960724981824</v>
      </c>
      <c r="H39" s="169">
        <f t="shared" si="21"/>
        <v>2.0395375514409174E-9</v>
      </c>
      <c r="I39" s="47">
        <f t="shared" si="35"/>
        <v>2528.3316766851722</v>
      </c>
      <c r="J39" s="169">
        <f t="shared" si="22"/>
        <v>1.9461700591141723E-9</v>
      </c>
      <c r="K39" s="160">
        <f t="shared" si="36"/>
        <v>2504.5585662857416</v>
      </c>
      <c r="L39" s="169">
        <f t="shared" si="23"/>
        <v>1.7424231279060439E-9</v>
      </c>
      <c r="M39" s="163">
        <f t="shared" si="37"/>
        <v>2480.891651206216</v>
      </c>
      <c r="N39" s="169">
        <f t="shared" si="24"/>
        <v>1.5048757759610815E-9</v>
      </c>
      <c r="O39" s="47">
        <f t="shared" si="38"/>
        <v>2363.1953447789324</v>
      </c>
      <c r="P39" s="169">
        <f t="shared" si="25"/>
        <v>5.4590917007020577E-10</v>
      </c>
      <c r="Q39" s="160">
        <f t="shared" si="39"/>
        <v>2247.1962701515045</v>
      </c>
      <c r="R39" s="165">
        <f t="shared" si="26"/>
        <v>1.5211819529062935E-10</v>
      </c>
      <c r="S39" s="47">
        <f t="shared" si="40"/>
        <v>2132.0685130335955</v>
      </c>
      <c r="T39" s="169">
        <f t="shared" si="27"/>
        <v>3.4455828058599961E-11</v>
      </c>
      <c r="U39" s="47">
        <f t="shared" si="41"/>
        <v>2018.914115334592</v>
      </c>
      <c r="V39" s="169">
        <f t="shared" si="28"/>
        <v>6.483209390787508E-12</v>
      </c>
      <c r="W39" s="47">
        <f t="shared" si="42"/>
        <v>1907.154164828366</v>
      </c>
      <c r="X39" s="169">
        <f t="shared" si="29"/>
        <v>9.9263280579291868E-13</v>
      </c>
      <c r="Y39" s="47">
        <f t="shared" si="43"/>
        <v>1796.9025500382031</v>
      </c>
      <c r="Z39" s="169">
        <f t="shared" si="30"/>
        <v>1.2105527756250382E-13</v>
      </c>
      <c r="AA39" s="47">
        <f t="shared" si="44"/>
        <v>1687.3342355696188</v>
      </c>
      <c r="AB39" s="169">
        <f t="shared" si="31"/>
        <v>1.1165105544023639E-14</v>
      </c>
    </row>
    <row r="40" spans="1:29" ht="15.75" thickBot="1" x14ac:dyDescent="0.3">
      <c r="A40" s="151">
        <v>14</v>
      </c>
      <c r="B40" s="154">
        <v>38</v>
      </c>
      <c r="C40" s="160">
        <f t="shared" si="32"/>
        <v>2620.2084475109959</v>
      </c>
      <c r="D40" s="138">
        <f t="shared" si="19"/>
        <v>0</v>
      </c>
      <c r="E40" s="47">
        <f t="shared" si="33"/>
        <v>2596.2346596598859</v>
      </c>
      <c r="F40" s="169">
        <f t="shared" si="20"/>
        <v>2.2655180040635765E-9</v>
      </c>
      <c r="G40" s="47">
        <f t="shared" si="34"/>
        <v>2572.2240962936949</v>
      </c>
      <c r="H40" s="169">
        <f t="shared" si="21"/>
        <v>2.5111038266026088E-9</v>
      </c>
      <c r="I40" s="47">
        <f t="shared" si="35"/>
        <v>2548.2722740238341</v>
      </c>
      <c r="J40" s="169">
        <f t="shared" si="22"/>
        <v>2.4008377549193848E-9</v>
      </c>
      <c r="K40" s="160">
        <f t="shared" si="36"/>
        <v>2524.311668436832</v>
      </c>
      <c r="L40" s="169">
        <f t="shared" si="23"/>
        <v>2.1537790399710043E-9</v>
      </c>
      <c r="M40" s="163">
        <f t="shared" si="37"/>
        <v>2500.4580957173321</v>
      </c>
      <c r="N40" s="169">
        <f t="shared" si="24"/>
        <v>1.8639157347109902E-9</v>
      </c>
      <c r="O40" s="47">
        <f t="shared" si="38"/>
        <v>2381.8335350280158</v>
      </c>
      <c r="P40" s="169">
        <f t="shared" si="25"/>
        <v>6.8339857620647063E-10</v>
      </c>
      <c r="Q40" s="160">
        <f t="shared" si="39"/>
        <v>2264.9195919677263</v>
      </c>
      <c r="R40" s="165">
        <f t="shared" si="26"/>
        <v>1.9265066544325175E-10</v>
      </c>
      <c r="S40" s="47">
        <f t="shared" si="40"/>
        <v>2148.8838383759521</v>
      </c>
      <c r="T40" s="169">
        <f t="shared" si="27"/>
        <v>4.4196886473540485E-11</v>
      </c>
      <c r="U40" s="47">
        <f t="shared" si="41"/>
        <v>2034.8370078120595</v>
      </c>
      <c r="V40" s="169">
        <f t="shared" si="28"/>
        <v>8.4329466900976061E-12</v>
      </c>
      <c r="W40" s="47">
        <f t="shared" si="42"/>
        <v>1922.1956222503836</v>
      </c>
      <c r="X40" s="169">
        <f t="shared" si="29"/>
        <v>1.3112015892479106E-12</v>
      </c>
      <c r="Y40" s="47">
        <f t="shared" si="43"/>
        <v>1811.0744684370204</v>
      </c>
      <c r="Z40" s="169">
        <f t="shared" si="30"/>
        <v>1.6266023429882307E-13</v>
      </c>
      <c r="AA40" s="47">
        <f t="shared" si="44"/>
        <v>1700.6420040390428</v>
      </c>
      <c r="AB40" s="169">
        <f t="shared" si="31"/>
        <v>1.5292961799680392E-14</v>
      </c>
    </row>
    <row r="41" spans="1:29" ht="15.75" thickBot="1" x14ac:dyDescent="0.3">
      <c r="A41" s="152">
        <v>15</v>
      </c>
      <c r="B41" s="157">
        <v>40</v>
      </c>
      <c r="C41" s="161">
        <f t="shared" si="32"/>
        <v>2639.8094764986549</v>
      </c>
      <c r="D41" s="138">
        <f t="shared" si="19"/>
        <v>0</v>
      </c>
      <c r="E41" s="139">
        <f t="shared" si="33"/>
        <v>2615.6563476065421</v>
      </c>
      <c r="F41" s="169">
        <f t="shared" si="20"/>
        <v>2.7505904674602763E-9</v>
      </c>
      <c r="G41" s="139">
        <f t="shared" si="34"/>
        <v>2591.4661680922595</v>
      </c>
      <c r="H41" s="169">
        <f t="shared" si="21"/>
        <v>3.0542852878952663E-9</v>
      </c>
      <c r="I41" s="139">
        <f t="shared" si="35"/>
        <v>2567.3351690996196</v>
      </c>
      <c r="J41" s="169">
        <f t="shared" si="22"/>
        <v>2.9255471383082673E-9</v>
      </c>
      <c r="K41" s="161">
        <f t="shared" si="36"/>
        <v>2543.1953210843599</v>
      </c>
      <c r="L41" s="169">
        <f t="shared" si="23"/>
        <v>2.6294218213618557E-9</v>
      </c>
      <c r="M41" s="164">
        <f t="shared" si="37"/>
        <v>2519.1633066188328</v>
      </c>
      <c r="N41" s="169">
        <f t="shared" si="24"/>
        <v>2.2798805390127807E-9</v>
      </c>
      <c r="O41" s="139">
        <f t="shared" si="38"/>
        <v>2399.6513495641857</v>
      </c>
      <c r="P41" s="169">
        <f t="shared" si="25"/>
        <v>8.4433933098401294E-10</v>
      </c>
      <c r="Q41" s="161">
        <f t="shared" si="39"/>
        <v>2281.8628067791483</v>
      </c>
      <c r="R41" s="165">
        <f t="shared" si="26"/>
        <v>2.4063253598098414E-10</v>
      </c>
      <c r="S41" s="139">
        <f t="shared" si="40"/>
        <v>2164.9590229465252</v>
      </c>
      <c r="T41" s="169">
        <f t="shared" si="27"/>
        <v>5.5871567883850611E-11</v>
      </c>
      <c r="U41" s="139">
        <f t="shared" si="41"/>
        <v>2050.0590407053464</v>
      </c>
      <c r="V41" s="169">
        <f t="shared" si="28"/>
        <v>1.0801500567129795E-11</v>
      </c>
      <c r="W41" s="139">
        <f t="shared" si="42"/>
        <v>1936.5750171979371</v>
      </c>
      <c r="X41" s="169">
        <f t="shared" si="29"/>
        <v>1.7040173912146962E-12</v>
      </c>
      <c r="Y41" s="139">
        <f t="shared" si="43"/>
        <v>1824.6225978571679</v>
      </c>
      <c r="Z41" s="169">
        <f t="shared" si="30"/>
        <v>2.1481697485402065E-13</v>
      </c>
      <c r="AA41" s="139">
        <f t="shared" si="44"/>
        <v>1713.3640198200653</v>
      </c>
      <c r="AB41" s="169">
        <f t="shared" si="31"/>
        <v>2.0564692225632003E-14</v>
      </c>
    </row>
    <row r="42" spans="1:29" x14ac:dyDescent="0.25">
      <c r="A42" s="147"/>
      <c r="B42" s="147"/>
      <c r="C42" s="233" t="s">
        <v>61</v>
      </c>
      <c r="D42" s="138">
        <f>SUM(D26:D41)</f>
        <v>0</v>
      </c>
      <c r="E42" s="235" t="s">
        <v>61</v>
      </c>
      <c r="F42" s="169">
        <f>SUM(F26:F41)</f>
        <v>1.2684779955117784E-8</v>
      </c>
      <c r="G42" s="235" t="s">
        <v>61</v>
      </c>
      <c r="H42" s="169">
        <f>SUM(H26:H41)</f>
        <v>1.3995934356163999E-8</v>
      </c>
      <c r="I42" s="235" t="s">
        <v>61</v>
      </c>
      <c r="J42" s="169">
        <f>SUM(J26:J41)</f>
        <v>1.3320247204900458E-8</v>
      </c>
      <c r="K42" s="235" t="s">
        <v>61</v>
      </c>
      <c r="L42" s="169">
        <f>SUM(L26:L41)</f>
        <v>1.1894540198044129E-8</v>
      </c>
      <c r="M42" s="235" t="s">
        <v>61</v>
      </c>
      <c r="N42" s="169">
        <f>SUM(N26:N41)</f>
        <v>1.0246234897287878E-8</v>
      </c>
      <c r="O42" s="235" t="s">
        <v>61</v>
      </c>
      <c r="P42" s="169">
        <f>SUM(P26:P41)</f>
        <v>3.6695003336879234E-9</v>
      </c>
      <c r="Q42" s="235" t="s">
        <v>61</v>
      </c>
      <c r="R42" s="169">
        <f>SUM(R26:R41)</f>
        <v>1.0099190133215087E-9</v>
      </c>
      <c r="S42" s="235" t="s">
        <v>61</v>
      </c>
      <c r="T42" s="169">
        <f>SUM(T26:T41)</f>
        <v>2.2605428090530193E-10</v>
      </c>
      <c r="U42" s="235" t="s">
        <v>61</v>
      </c>
      <c r="V42" s="169">
        <f>SUM(V26:V41)</f>
        <v>4.2067220043572774E-11</v>
      </c>
      <c r="W42" s="235" t="s">
        <v>61</v>
      </c>
      <c r="X42" s="169">
        <f>SUM(X26:X41)</f>
        <v>6.3765193058617932E-12</v>
      </c>
      <c r="Y42" s="235" t="s">
        <v>61</v>
      </c>
      <c r="Z42" s="169">
        <f>SUM(Z26:Z41)</f>
        <v>7.7089256375554963E-13</v>
      </c>
      <c r="AA42" s="235" t="s">
        <v>61</v>
      </c>
      <c r="AB42" s="169">
        <f>SUM(AB26:AB41)</f>
        <v>7.0600610941942874E-14</v>
      </c>
    </row>
    <row r="43" spans="1:29" ht="15.75" thickBot="1" x14ac:dyDescent="0.3">
      <c r="A43" s="147"/>
      <c r="B43" s="147"/>
      <c r="C43" s="234"/>
      <c r="D43" s="44"/>
      <c r="E43" s="236"/>
      <c r="F43" s="44"/>
      <c r="G43" s="236"/>
      <c r="H43" s="44"/>
      <c r="I43" s="236"/>
      <c r="J43" s="44"/>
      <c r="K43" s="236"/>
      <c r="L43" s="44"/>
      <c r="M43" s="236"/>
      <c r="N43" s="44"/>
      <c r="O43" s="236"/>
      <c r="P43" s="44"/>
      <c r="Q43" s="236"/>
      <c r="R43" s="153"/>
      <c r="S43" s="236"/>
      <c r="T43" s="44"/>
      <c r="U43" s="236"/>
      <c r="V43" s="44"/>
      <c r="W43" s="236"/>
      <c r="X43" s="44"/>
      <c r="Y43" s="236"/>
      <c r="Z43" s="44"/>
      <c r="AA43" s="236"/>
      <c r="AB43" s="140"/>
    </row>
    <row r="44" spans="1:29" ht="15.75" thickBot="1" x14ac:dyDescent="0.3">
      <c r="A44" s="166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:29" ht="30.75" thickBot="1" x14ac:dyDescent="0.3">
      <c r="A45" s="66" t="str">
        <f>'Enthalpy Data'!X1</f>
        <v>Deg K</v>
      </c>
      <c r="B45" s="81" t="str">
        <f>'Enthalpy Data'!Y1</f>
        <v>Net Enthalpy</v>
      </c>
      <c r="C45" s="81">
        <f>'Enthalpy Data'!Z1</f>
        <v>0.99</v>
      </c>
      <c r="D45" s="81">
        <f>'Enthalpy Data'!AA1</f>
        <v>0.98</v>
      </c>
      <c r="E45" s="81">
        <f>'Enthalpy Data'!AB1</f>
        <v>0.97</v>
      </c>
      <c r="F45" s="81">
        <f>'Enthalpy Data'!AC1</f>
        <v>0.96</v>
      </c>
      <c r="G45" s="81">
        <f>'Enthalpy Data'!AD1</f>
        <v>0.95</v>
      </c>
      <c r="H45" s="81">
        <f>'Enthalpy Data'!AE1</f>
        <v>0.9</v>
      </c>
      <c r="I45" s="81">
        <f>'Enthalpy Data'!AF1</f>
        <v>0.85</v>
      </c>
      <c r="J45" s="81">
        <f>'Enthalpy Data'!AG1</f>
        <v>0.8</v>
      </c>
      <c r="K45" s="81">
        <f>'Enthalpy Data'!AH1</f>
        <v>0.75</v>
      </c>
      <c r="L45" s="81">
        <f>'Enthalpy Data'!AI1</f>
        <v>0.7</v>
      </c>
      <c r="M45" s="81">
        <f>'Enthalpy Data'!AJ1</f>
        <v>0.65</v>
      </c>
      <c r="N45" s="82">
        <f>'Enthalpy Data'!AK1</f>
        <v>0.6</v>
      </c>
      <c r="P45" s="66" t="str">
        <f>'Enthalpy Data'!X38</f>
        <v>Deg K</v>
      </c>
      <c r="Q45" s="81" t="str">
        <f>'Enthalpy Data'!Y38</f>
        <v>Net Enthalpy</v>
      </c>
      <c r="R45" s="81">
        <f>'Enthalpy Data'!Z38</f>
        <v>0.99</v>
      </c>
      <c r="S45" s="81">
        <f>'Enthalpy Data'!AA38</f>
        <v>0.98</v>
      </c>
      <c r="T45" s="81">
        <f>'Enthalpy Data'!AB38</f>
        <v>0.97</v>
      </c>
      <c r="U45" s="81">
        <f>'Enthalpy Data'!AC38</f>
        <v>0.96</v>
      </c>
      <c r="V45" s="81">
        <f>'Enthalpy Data'!AD38</f>
        <v>0.95</v>
      </c>
      <c r="W45" s="81">
        <f>'Enthalpy Data'!AE38</f>
        <v>0.9</v>
      </c>
      <c r="X45" s="81">
        <f>'Enthalpy Data'!AF38</f>
        <v>0.85</v>
      </c>
      <c r="Y45" s="81">
        <f>'Enthalpy Data'!AG38</f>
        <v>0.8</v>
      </c>
      <c r="Z45" s="81">
        <f>'Enthalpy Data'!AH38</f>
        <v>0.75</v>
      </c>
      <c r="AA45" s="81">
        <f>'Enthalpy Data'!AI38</f>
        <v>0.7</v>
      </c>
      <c r="AB45" s="81">
        <f>'Enthalpy Data'!AJ38</f>
        <v>0.65</v>
      </c>
      <c r="AC45" s="82">
        <f>'Enthalpy Data'!AK38</f>
        <v>0.6</v>
      </c>
    </row>
    <row r="46" spans="1:29" x14ac:dyDescent="0.25">
      <c r="A46" s="130">
        <f>'Enthalpy Data'!X2</f>
        <v>1900</v>
      </c>
      <c r="B46" s="78">
        <f>'Enthalpy Data'!Y2</f>
        <v>3763.2309523809522</v>
      </c>
      <c r="C46" s="79">
        <f>'Enthalpy Data'!Z2</f>
        <v>3763.1246000000001</v>
      </c>
      <c r="D46" s="79">
        <f>'Enthalpy Data'!AA2</f>
        <v>3763.2184000000002</v>
      </c>
      <c r="E46" s="79">
        <f>'Enthalpy Data'!AB2</f>
        <v>3763.3122000000003</v>
      </c>
      <c r="F46" s="79">
        <f>'Enthalpy Data'!AC2</f>
        <v>3763.4059999999999</v>
      </c>
      <c r="G46" s="79">
        <f>'Enthalpy Data'!AD2</f>
        <v>3763.4998000000001</v>
      </c>
      <c r="H46" s="79">
        <f>'Enthalpy Data'!AE2</f>
        <v>3763.9688000000001</v>
      </c>
      <c r="I46" s="79">
        <f>'Enthalpy Data'!AF2</f>
        <v>3764.4378000000002</v>
      </c>
      <c r="J46" s="79">
        <f>'Enthalpy Data'!AG2</f>
        <v>3764.9068000000002</v>
      </c>
      <c r="K46" s="79">
        <f>'Enthalpy Data'!AH2</f>
        <v>3765.3758000000003</v>
      </c>
      <c r="L46" s="79">
        <f>'Enthalpy Data'!AI2</f>
        <v>3765.8447999999999</v>
      </c>
      <c r="M46" s="79">
        <f>'Enthalpy Data'!AJ2</f>
        <v>3766.3137999999999</v>
      </c>
      <c r="N46" s="80">
        <f>'Enthalpy Data'!AK2</f>
        <v>3766.7828</v>
      </c>
      <c r="P46" s="126">
        <f>'Enthalpy Data'!X39</f>
        <v>1000</v>
      </c>
      <c r="Q46" s="137">
        <f>'Enthalpy Data'!Y39</f>
        <v>1510.7894000000001</v>
      </c>
      <c r="R46" s="129">
        <f>'Enthalpy Data'!Z39</f>
        <v>1510.9558</v>
      </c>
      <c r="S46" s="129">
        <f>'Enthalpy Data'!AA39</f>
        <v>1511.1222</v>
      </c>
      <c r="T46" s="129">
        <f>'Enthalpy Data'!AB39</f>
        <v>1511.2885999999999</v>
      </c>
      <c r="U46" s="129">
        <f>'Enthalpy Data'!AC39</f>
        <v>1511.4549999999999</v>
      </c>
      <c r="V46" s="129">
        <f>'Enthalpy Data'!AD39</f>
        <v>1511.6214</v>
      </c>
      <c r="W46" s="129">
        <f>'Enthalpy Data'!AE39</f>
        <v>1512.4534000000001</v>
      </c>
      <c r="X46" s="129">
        <f>'Enthalpy Data'!AF39</f>
        <v>1513.2854</v>
      </c>
      <c r="Y46" s="129">
        <f>'Enthalpy Data'!AG39</f>
        <v>1514.1173999999999</v>
      </c>
      <c r="Z46" s="129">
        <f>'Enthalpy Data'!AH39</f>
        <v>1514.9494</v>
      </c>
      <c r="AA46" s="129">
        <f>'Enthalpy Data'!AI39</f>
        <v>1515.7814000000001</v>
      </c>
      <c r="AB46" s="129">
        <f>'Enthalpy Data'!AJ39</f>
        <v>1516.6134000000002</v>
      </c>
      <c r="AC46" s="138">
        <f>'Enthalpy Data'!AK39</f>
        <v>1517.4454000000001</v>
      </c>
    </row>
    <row r="47" spans="1:29" x14ac:dyDescent="0.25">
      <c r="A47" s="131">
        <f>'Enthalpy Data'!X3</f>
        <v>1950</v>
      </c>
      <c r="B47" s="47">
        <f>'Enthalpy Data'!Y3</f>
        <v>3894.2535714285714</v>
      </c>
      <c r="C47" s="43">
        <f>'Enthalpy Data'!Z3</f>
        <v>3894.1346000000003</v>
      </c>
      <c r="D47" s="43">
        <f>'Enthalpy Data'!AA3</f>
        <v>3894.2226000000005</v>
      </c>
      <c r="E47" s="43">
        <f>'Enthalpy Data'!AB3</f>
        <v>3894.3106000000002</v>
      </c>
      <c r="F47" s="43">
        <f>'Enthalpy Data'!AC3</f>
        <v>3894.3986</v>
      </c>
      <c r="G47" s="43">
        <f>'Enthalpy Data'!AD3</f>
        <v>3894.4866000000006</v>
      </c>
      <c r="H47" s="43">
        <f>'Enthalpy Data'!AE3</f>
        <v>3894.9266000000002</v>
      </c>
      <c r="I47" s="43">
        <f>'Enthalpy Data'!AF3</f>
        <v>3895.3666000000003</v>
      </c>
      <c r="J47" s="43">
        <f>'Enthalpy Data'!AG3</f>
        <v>3895.8066000000003</v>
      </c>
      <c r="K47" s="43">
        <f>'Enthalpy Data'!AH3</f>
        <v>3896.2466000000004</v>
      </c>
      <c r="L47" s="43">
        <f>'Enthalpy Data'!AI3</f>
        <v>3896.6866000000005</v>
      </c>
      <c r="M47" s="43">
        <f>'Enthalpy Data'!AJ3</f>
        <v>3897.1266000000001</v>
      </c>
      <c r="N47" s="76">
        <f>'Enthalpy Data'!AK3</f>
        <v>3897.5666000000006</v>
      </c>
      <c r="P47" s="127">
        <f>'Enthalpy Data'!X40</f>
        <v>1050</v>
      </c>
      <c r="Q47" s="47">
        <f>'Enthalpy Data'!Y40</f>
        <v>1628.4621999999999</v>
      </c>
      <c r="R47" s="43">
        <f>'Enthalpy Data'!Z40</f>
        <v>1628.62895</v>
      </c>
      <c r="S47" s="43">
        <f>'Enthalpy Data'!AA40</f>
        <v>1628.7957000000001</v>
      </c>
      <c r="T47" s="43">
        <f>'Enthalpy Data'!AB40</f>
        <v>1628.96245</v>
      </c>
      <c r="U47" s="43">
        <f>'Enthalpy Data'!AC40</f>
        <v>1629.1291999999999</v>
      </c>
      <c r="V47" s="43">
        <f>'Enthalpy Data'!AD40</f>
        <v>1629.2959499999999</v>
      </c>
      <c r="W47" s="43">
        <f>'Enthalpy Data'!AE40</f>
        <v>1630.1297</v>
      </c>
      <c r="X47" s="43">
        <f>'Enthalpy Data'!AF40</f>
        <v>1630.96345</v>
      </c>
      <c r="Y47" s="43">
        <f>'Enthalpy Data'!AG40</f>
        <v>1631.7972</v>
      </c>
      <c r="Z47" s="43">
        <f>'Enthalpy Data'!AH40</f>
        <v>1632.63095</v>
      </c>
      <c r="AA47" s="43">
        <f>'Enthalpy Data'!AI40</f>
        <v>1633.4647</v>
      </c>
      <c r="AB47" s="43">
        <f>'Enthalpy Data'!AJ40</f>
        <v>1634.2984500000002</v>
      </c>
      <c r="AC47" s="76">
        <f>'Enthalpy Data'!AK40</f>
        <v>1635.1322</v>
      </c>
    </row>
    <row r="48" spans="1:29" x14ac:dyDescent="0.25">
      <c r="A48" s="131">
        <f>'Enthalpy Data'!X4</f>
        <v>2000</v>
      </c>
      <c r="B48" s="47">
        <f>'Enthalpy Data'!Y4</f>
        <v>4026.0064285714288</v>
      </c>
      <c r="C48" s="43">
        <f>'Enthalpy Data'!Z4</f>
        <v>4025.8752500000001</v>
      </c>
      <c r="D48" s="43">
        <f>'Enthalpy Data'!AA4</f>
        <v>4025.9579000000003</v>
      </c>
      <c r="E48" s="43">
        <f>'Enthalpy Data'!AB4</f>
        <v>4026.0405500000002</v>
      </c>
      <c r="F48" s="43">
        <f>'Enthalpy Data'!AC4</f>
        <v>4026.1232</v>
      </c>
      <c r="G48" s="43">
        <f>'Enthalpy Data'!AD4</f>
        <v>4026.2058500000003</v>
      </c>
      <c r="H48" s="43">
        <f>'Enthalpy Data'!AE4</f>
        <v>4026.6191000000003</v>
      </c>
      <c r="I48" s="43">
        <f>'Enthalpy Data'!AF4</f>
        <v>4027.03235</v>
      </c>
      <c r="J48" s="43">
        <f>'Enthalpy Data'!AG4</f>
        <v>4027.4456000000005</v>
      </c>
      <c r="K48" s="43">
        <f>'Enthalpy Data'!AH4</f>
        <v>4027.8588500000001</v>
      </c>
      <c r="L48" s="43">
        <f>'Enthalpy Data'!AI4</f>
        <v>4028.2721000000001</v>
      </c>
      <c r="M48" s="43">
        <f>'Enthalpy Data'!AJ4</f>
        <v>4028.6853500000002</v>
      </c>
      <c r="N48" s="76">
        <f>'Enthalpy Data'!AK4</f>
        <v>4029.0985999999998</v>
      </c>
      <c r="P48" s="127">
        <f>'Enthalpy Data'!X41</f>
        <v>1100</v>
      </c>
      <c r="Q48" s="47">
        <f>'Enthalpy Data'!Y41</f>
        <v>1747.6754000000001</v>
      </c>
      <c r="R48" s="43">
        <f>'Enthalpy Data'!Z41</f>
        <v>1747.8413500000001</v>
      </c>
      <c r="S48" s="43">
        <f>'Enthalpy Data'!AA41</f>
        <v>1748.0073</v>
      </c>
      <c r="T48" s="43">
        <f>'Enthalpy Data'!AB41</f>
        <v>1748.1732500000001</v>
      </c>
      <c r="U48" s="43">
        <f>'Enthalpy Data'!AC41</f>
        <v>1748.3392000000001</v>
      </c>
      <c r="V48" s="43">
        <f>'Enthalpy Data'!AD41</f>
        <v>1748.50515</v>
      </c>
      <c r="W48" s="43">
        <f>'Enthalpy Data'!AE41</f>
        <v>1749.3349000000001</v>
      </c>
      <c r="X48" s="43">
        <f>'Enthalpy Data'!AF41</f>
        <v>1750.1646500000002</v>
      </c>
      <c r="Y48" s="43">
        <f>'Enthalpy Data'!AG41</f>
        <v>1750.9944000000003</v>
      </c>
      <c r="Z48" s="43">
        <f>'Enthalpy Data'!AH41</f>
        <v>1751.8241500000001</v>
      </c>
      <c r="AA48" s="43">
        <f>'Enthalpy Data'!AI41</f>
        <v>1752.6539</v>
      </c>
      <c r="AB48" s="43">
        <f>'Enthalpy Data'!AJ41</f>
        <v>1753.4836500000001</v>
      </c>
      <c r="AC48" s="76">
        <f>'Enthalpy Data'!AK41</f>
        <v>1754.3134000000002</v>
      </c>
    </row>
    <row r="49" spans="1:29" x14ac:dyDescent="0.25">
      <c r="A49" s="131">
        <f>'Enthalpy Data'!X5</f>
        <v>2050</v>
      </c>
      <c r="B49" s="47">
        <f>'Enthalpy Data'!Y5</f>
        <v>4157.9392857142857</v>
      </c>
      <c r="C49" s="43">
        <f>'Enthalpy Data'!Z5</f>
        <v>4157.7959000000001</v>
      </c>
      <c r="D49" s="43">
        <f>'Enthalpy Data'!AA5</f>
        <v>4157.8732000000009</v>
      </c>
      <c r="E49" s="43">
        <f>'Enthalpy Data'!AB5</f>
        <v>4157.9504999999999</v>
      </c>
      <c r="F49" s="43">
        <f>'Enthalpy Data'!AC5</f>
        <v>4158.0277999999998</v>
      </c>
      <c r="G49" s="43">
        <f>'Enthalpy Data'!AD5</f>
        <v>4158.1051000000007</v>
      </c>
      <c r="H49" s="43">
        <f>'Enthalpy Data'!AE5</f>
        <v>4158.4916000000003</v>
      </c>
      <c r="I49" s="43">
        <f>'Enthalpy Data'!AF5</f>
        <v>4158.8780999999999</v>
      </c>
      <c r="J49" s="43">
        <f>'Enthalpy Data'!AG5</f>
        <v>4159.2646000000004</v>
      </c>
      <c r="K49" s="43">
        <f>'Enthalpy Data'!AH5</f>
        <v>4159.6511</v>
      </c>
      <c r="L49" s="43">
        <f>'Enthalpy Data'!AI5</f>
        <v>4160.0376000000006</v>
      </c>
      <c r="M49" s="43">
        <f>'Enthalpy Data'!AJ5</f>
        <v>4160.4241000000002</v>
      </c>
      <c r="N49" s="76">
        <f>'Enthalpy Data'!AK5</f>
        <v>4160.8106000000007</v>
      </c>
      <c r="P49" s="127">
        <f>'Enthalpy Data'!X42</f>
        <v>1150</v>
      </c>
      <c r="Q49" s="47">
        <f>'Enthalpy Data'!Y42</f>
        <v>1867.7888000000003</v>
      </c>
      <c r="R49" s="43">
        <f>'Enthalpy Data'!Z42</f>
        <v>1867.9536000000003</v>
      </c>
      <c r="S49" s="43">
        <f>'Enthalpy Data'!AA42</f>
        <v>1868.1184000000001</v>
      </c>
      <c r="T49" s="43">
        <f>'Enthalpy Data'!AB42</f>
        <v>1868.2832000000001</v>
      </c>
      <c r="U49" s="43">
        <f>'Enthalpy Data'!AC42</f>
        <v>1868.4480000000001</v>
      </c>
      <c r="V49" s="43">
        <f>'Enthalpy Data'!AD42</f>
        <v>1868.6128000000001</v>
      </c>
      <c r="W49" s="43">
        <f>'Enthalpy Data'!AE42</f>
        <v>1869.4368000000002</v>
      </c>
      <c r="X49" s="43">
        <f>'Enthalpy Data'!AF42</f>
        <v>1870.2608</v>
      </c>
      <c r="Y49" s="43">
        <f>'Enthalpy Data'!AG42</f>
        <v>1871.0848000000001</v>
      </c>
      <c r="Z49" s="43">
        <f>'Enthalpy Data'!AH42</f>
        <v>1871.9088000000002</v>
      </c>
      <c r="AA49" s="43">
        <f>'Enthalpy Data'!AI42</f>
        <v>1872.7328000000002</v>
      </c>
      <c r="AB49" s="43">
        <f>'Enthalpy Data'!AJ42</f>
        <v>1873.5568000000003</v>
      </c>
      <c r="AC49" s="76">
        <f>'Enthalpy Data'!AK42</f>
        <v>1874.3808000000001</v>
      </c>
    </row>
    <row r="50" spans="1:29" x14ac:dyDescent="0.25">
      <c r="A50" s="131">
        <f>'Enthalpy Data'!X6</f>
        <v>2100</v>
      </c>
      <c r="B50" s="47">
        <f>'Enthalpy Data'!Y6</f>
        <v>4290.0421428571426</v>
      </c>
      <c r="C50" s="43">
        <f>'Enthalpy Data'!Z6</f>
        <v>4289.8869999999997</v>
      </c>
      <c r="D50" s="43">
        <f>'Enthalpy Data'!AA6</f>
        <v>4289.9593999999997</v>
      </c>
      <c r="E50" s="43">
        <f>'Enthalpy Data'!AB6</f>
        <v>4290.0317999999997</v>
      </c>
      <c r="F50" s="43">
        <f>'Enthalpy Data'!AC6</f>
        <v>4290.1041999999998</v>
      </c>
      <c r="G50" s="43">
        <f>'Enthalpy Data'!AD6</f>
        <v>4290.1766000000007</v>
      </c>
      <c r="H50" s="43">
        <f>'Enthalpy Data'!AE6</f>
        <v>4290.5385999999999</v>
      </c>
      <c r="I50" s="43">
        <f>'Enthalpy Data'!AF6</f>
        <v>4290.9005999999999</v>
      </c>
      <c r="J50" s="43">
        <f>'Enthalpy Data'!AG6</f>
        <v>4291.2626</v>
      </c>
      <c r="K50" s="43">
        <f>'Enthalpy Data'!AH6</f>
        <v>4291.6246000000001</v>
      </c>
      <c r="L50" s="43">
        <f>'Enthalpy Data'!AI6</f>
        <v>4291.9866000000002</v>
      </c>
      <c r="M50" s="43">
        <f>'Enthalpy Data'!AJ6</f>
        <v>4292.3486000000003</v>
      </c>
      <c r="N50" s="76">
        <f>'Enthalpy Data'!AK6</f>
        <v>4292.7106000000003</v>
      </c>
      <c r="P50" s="127">
        <f>'Enthalpy Data'!X43</f>
        <v>1200</v>
      </c>
      <c r="Q50" s="47">
        <f>'Enthalpy Data'!Y43</f>
        <v>1988.8024</v>
      </c>
      <c r="R50" s="43">
        <f>'Enthalpy Data'!Z43</f>
        <v>1988.9644500000002</v>
      </c>
      <c r="S50" s="43">
        <f>'Enthalpy Data'!AA43</f>
        <v>1989.1265000000003</v>
      </c>
      <c r="T50" s="43">
        <f>'Enthalpy Data'!AB43</f>
        <v>1989.28855</v>
      </c>
      <c r="U50" s="43">
        <f>'Enthalpy Data'!AC43</f>
        <v>1989.4506000000001</v>
      </c>
      <c r="V50" s="43">
        <f>'Enthalpy Data'!AD43</f>
        <v>1989.6126500000003</v>
      </c>
      <c r="W50" s="43">
        <f>'Enthalpy Data'!AE43</f>
        <v>1990.4229000000003</v>
      </c>
      <c r="X50" s="43">
        <f>'Enthalpy Data'!AF43</f>
        <v>1991.23315</v>
      </c>
      <c r="Y50" s="43">
        <f>'Enthalpy Data'!AG43</f>
        <v>1992.0434000000002</v>
      </c>
      <c r="Z50" s="43">
        <f>'Enthalpy Data'!AH43</f>
        <v>1992.85365</v>
      </c>
      <c r="AA50" s="43">
        <f>'Enthalpy Data'!AI43</f>
        <v>1993.6639000000002</v>
      </c>
      <c r="AB50" s="43">
        <f>'Enthalpy Data'!AJ43</f>
        <v>1994.4741500000002</v>
      </c>
      <c r="AC50" s="76">
        <f>'Enthalpy Data'!AK43</f>
        <v>1995.2844</v>
      </c>
    </row>
    <row r="51" spans="1:29" x14ac:dyDescent="0.25">
      <c r="A51" s="131">
        <f>'Enthalpy Data'!X7</f>
        <v>2150</v>
      </c>
      <c r="B51" s="47">
        <f>'Enthalpy Data'!Y7</f>
        <v>4422.7852380952381</v>
      </c>
      <c r="C51" s="43">
        <f>'Enthalpy Data'!Z7</f>
        <v>4422.6175000000003</v>
      </c>
      <c r="D51" s="43">
        <f>'Enthalpy Data'!AA7</f>
        <v>4422.6841999999997</v>
      </c>
      <c r="E51" s="43">
        <f>'Enthalpy Data'!AB7</f>
        <v>4422.7509</v>
      </c>
      <c r="F51" s="43">
        <f>'Enthalpy Data'!AC7</f>
        <v>4422.8176000000003</v>
      </c>
      <c r="G51" s="43">
        <f>'Enthalpy Data'!AD7</f>
        <v>4422.8842999999997</v>
      </c>
      <c r="H51" s="43">
        <f>'Enthalpy Data'!AE7</f>
        <v>4423.2177999999994</v>
      </c>
      <c r="I51" s="43">
        <f>'Enthalpy Data'!AF7</f>
        <v>4423.5513000000001</v>
      </c>
      <c r="J51" s="43">
        <f>'Enthalpy Data'!AG7</f>
        <v>4423.8847999999998</v>
      </c>
      <c r="K51" s="43">
        <f>'Enthalpy Data'!AH7</f>
        <v>4424.2183000000005</v>
      </c>
      <c r="L51" s="43">
        <f>'Enthalpy Data'!AI7</f>
        <v>4424.5518000000002</v>
      </c>
      <c r="M51" s="43">
        <f>'Enthalpy Data'!AJ7</f>
        <v>4424.8852999999999</v>
      </c>
      <c r="N51" s="76">
        <f>'Enthalpy Data'!AK7</f>
        <v>4425.2187999999996</v>
      </c>
      <c r="P51" s="127">
        <f>'Enthalpy Data'!X44</f>
        <v>1250</v>
      </c>
      <c r="Q51" s="47">
        <f>'Enthalpy Data'!Y44</f>
        <v>2110.6262000000002</v>
      </c>
      <c r="R51" s="43">
        <f>'Enthalpy Data'!Z44</f>
        <v>2110.7864000000004</v>
      </c>
      <c r="S51" s="43">
        <f>'Enthalpy Data'!AA44</f>
        <v>2110.9465999999998</v>
      </c>
      <c r="T51" s="43">
        <f>'Enthalpy Data'!AB44</f>
        <v>2111.1068000000005</v>
      </c>
      <c r="U51" s="43">
        <f>'Enthalpy Data'!AC44</f>
        <v>2111.2670000000003</v>
      </c>
      <c r="V51" s="43">
        <f>'Enthalpy Data'!AD44</f>
        <v>2111.4272000000001</v>
      </c>
      <c r="W51" s="43">
        <f>'Enthalpy Data'!AE44</f>
        <v>2112.2282</v>
      </c>
      <c r="X51" s="43">
        <f>'Enthalpy Data'!AF44</f>
        <v>2113.0292000000004</v>
      </c>
      <c r="Y51" s="43">
        <f>'Enthalpy Data'!AG44</f>
        <v>2113.8302000000003</v>
      </c>
      <c r="Z51" s="43">
        <f>'Enthalpy Data'!AH44</f>
        <v>2114.6312000000003</v>
      </c>
      <c r="AA51" s="43">
        <f>'Enthalpy Data'!AI44</f>
        <v>2115.4322000000002</v>
      </c>
      <c r="AB51" s="43">
        <f>'Enthalpy Data'!AJ44</f>
        <v>2116.2332000000001</v>
      </c>
      <c r="AC51" s="76">
        <f>'Enthalpy Data'!AK44</f>
        <v>2117.0342000000001</v>
      </c>
    </row>
    <row r="52" spans="1:29" x14ac:dyDescent="0.25">
      <c r="A52" s="131">
        <f>'Enthalpy Data'!X8</f>
        <v>2200</v>
      </c>
      <c r="B52" s="47">
        <f>'Enthalpy Data'!Y8</f>
        <v>4556.3485714285716</v>
      </c>
      <c r="C52" s="43">
        <f>'Enthalpy Data'!Z8</f>
        <v>4556.1686499999996</v>
      </c>
      <c r="D52" s="43">
        <f>'Enthalpy Data'!AA8</f>
        <v>4556.2300999999998</v>
      </c>
      <c r="E52" s="43">
        <f>'Enthalpy Data'!AB8</f>
        <v>4556.2915499999999</v>
      </c>
      <c r="F52" s="43">
        <f>'Enthalpy Data'!AC8</f>
        <v>4556.353000000001</v>
      </c>
      <c r="G52" s="43">
        <f>'Enthalpy Data'!AD8</f>
        <v>4556.4144500000002</v>
      </c>
      <c r="H52" s="43">
        <f>'Enthalpy Data'!AE8</f>
        <v>4556.7217000000001</v>
      </c>
      <c r="I52" s="43">
        <f>'Enthalpy Data'!AF8</f>
        <v>4557.0289500000008</v>
      </c>
      <c r="J52" s="43">
        <f>'Enthalpy Data'!AG8</f>
        <v>4557.3362000000006</v>
      </c>
      <c r="K52" s="43">
        <f>'Enthalpy Data'!AH8</f>
        <v>4557.6434500000005</v>
      </c>
      <c r="L52" s="43">
        <f>'Enthalpy Data'!AI8</f>
        <v>4557.9507000000003</v>
      </c>
      <c r="M52" s="43">
        <f>'Enthalpy Data'!AJ8</f>
        <v>4558.2579500000002</v>
      </c>
      <c r="N52" s="76">
        <f>'Enthalpy Data'!AK8</f>
        <v>4558.5652000000009</v>
      </c>
      <c r="P52" s="127">
        <f>'Enthalpy Data'!X45</f>
        <v>1300</v>
      </c>
      <c r="Q52" s="47">
        <f>'Enthalpy Data'!Y45</f>
        <v>2233.4402</v>
      </c>
      <c r="R52" s="43">
        <f>'Enthalpy Data'!Z45</f>
        <v>2233.5969500000001</v>
      </c>
      <c r="S52" s="43">
        <f>'Enthalpy Data'!AA45</f>
        <v>2233.7537000000002</v>
      </c>
      <c r="T52" s="43">
        <f>'Enthalpy Data'!AB45</f>
        <v>2233.9104499999999</v>
      </c>
      <c r="U52" s="43">
        <f>'Enthalpy Data'!AC45</f>
        <v>2234.0672000000004</v>
      </c>
      <c r="V52" s="43">
        <f>'Enthalpy Data'!AD45</f>
        <v>2234.2239500000001</v>
      </c>
      <c r="W52" s="43">
        <f>'Enthalpy Data'!AE45</f>
        <v>2235.0077000000001</v>
      </c>
      <c r="X52" s="43">
        <f>'Enthalpy Data'!AF45</f>
        <v>2235.7914500000002</v>
      </c>
      <c r="Y52" s="43">
        <f>'Enthalpy Data'!AG45</f>
        <v>2236.5752000000002</v>
      </c>
      <c r="Z52" s="43">
        <f>'Enthalpy Data'!AH45</f>
        <v>2237.3589499999998</v>
      </c>
      <c r="AA52" s="43">
        <f>'Enthalpy Data'!AI45</f>
        <v>2238.1427000000003</v>
      </c>
      <c r="AB52" s="43">
        <f>'Enthalpy Data'!AJ45</f>
        <v>2238.9264499999999</v>
      </c>
      <c r="AC52" s="76">
        <f>'Enthalpy Data'!AK45</f>
        <v>2239.7102</v>
      </c>
    </row>
    <row r="53" spans="1:29" x14ac:dyDescent="0.25">
      <c r="A53" s="131">
        <f>'Enthalpy Data'!X9</f>
        <v>2250</v>
      </c>
      <c r="B53" s="47">
        <f>'Enthalpy Data'!Y9</f>
        <v>4689.4416666666675</v>
      </c>
      <c r="C53" s="43">
        <f>'Enthalpy Data'!Z9</f>
        <v>4689.2508500000004</v>
      </c>
      <c r="D53" s="43">
        <f>'Enthalpy Data'!AA9</f>
        <v>4689.3082999999997</v>
      </c>
      <c r="E53" s="43">
        <f>'Enthalpy Data'!AB9</f>
        <v>4689.3657499999999</v>
      </c>
      <c r="F53" s="43">
        <f>'Enthalpy Data'!AC9</f>
        <v>4689.4232000000002</v>
      </c>
      <c r="G53" s="43">
        <f>'Enthalpy Data'!AD9</f>
        <v>4689.4806499999995</v>
      </c>
      <c r="H53" s="43">
        <f>'Enthalpy Data'!AE9</f>
        <v>4689.7679000000007</v>
      </c>
      <c r="I53" s="43">
        <f>'Enthalpy Data'!AF9</f>
        <v>4690.0551500000001</v>
      </c>
      <c r="J53" s="43">
        <f>'Enthalpy Data'!AG9</f>
        <v>4690.3424000000014</v>
      </c>
      <c r="K53" s="43">
        <f>'Enthalpy Data'!AH9</f>
        <v>4690.6296500000008</v>
      </c>
      <c r="L53" s="43">
        <f>'Enthalpy Data'!AI9</f>
        <v>4690.9169000000002</v>
      </c>
      <c r="M53" s="43">
        <f>'Enthalpy Data'!AJ9</f>
        <v>4691.2041500000005</v>
      </c>
      <c r="N53" s="76">
        <f>'Enthalpy Data'!AK9</f>
        <v>4691.4913999999999</v>
      </c>
      <c r="P53" s="127">
        <f>'Enthalpy Data'!X46</f>
        <v>1350</v>
      </c>
      <c r="Q53" s="47">
        <f>'Enthalpy Data'!Y46</f>
        <v>2357.0744</v>
      </c>
      <c r="R53" s="43">
        <f>'Enthalpy Data'!Z46</f>
        <v>2357.2281499999999</v>
      </c>
      <c r="S53" s="43">
        <f>'Enthalpy Data'!AA46</f>
        <v>2357.3818999999999</v>
      </c>
      <c r="T53" s="43">
        <f>'Enthalpy Data'!AB46</f>
        <v>2357.5356500000003</v>
      </c>
      <c r="U53" s="43">
        <f>'Enthalpy Data'!AC46</f>
        <v>2357.6893999999998</v>
      </c>
      <c r="V53" s="43">
        <f>'Enthalpy Data'!AD46</f>
        <v>2357.8431499999997</v>
      </c>
      <c r="W53" s="43">
        <f>'Enthalpy Data'!AE46</f>
        <v>2358.6118999999999</v>
      </c>
      <c r="X53" s="43">
        <f>'Enthalpy Data'!AF46</f>
        <v>2359.3806500000001</v>
      </c>
      <c r="Y53" s="43">
        <f>'Enthalpy Data'!AG46</f>
        <v>2360.1494000000002</v>
      </c>
      <c r="Z53" s="43">
        <f>'Enthalpy Data'!AH46</f>
        <v>2360.91815</v>
      </c>
      <c r="AA53" s="43">
        <f>'Enthalpy Data'!AI46</f>
        <v>2361.6868999999997</v>
      </c>
      <c r="AB53" s="43">
        <f>'Enthalpy Data'!AJ46</f>
        <v>2362.4556499999999</v>
      </c>
      <c r="AC53" s="76">
        <f>'Enthalpy Data'!AK46</f>
        <v>2363.2244000000001</v>
      </c>
    </row>
    <row r="54" spans="1:29" x14ac:dyDescent="0.25">
      <c r="A54" s="131">
        <f>'Enthalpy Data'!X10</f>
        <v>2300</v>
      </c>
      <c r="B54" s="47">
        <f>'Enthalpy Data'!Y10</f>
        <v>4823.1849999999995</v>
      </c>
      <c r="C54" s="43">
        <f>'Enthalpy Data'!Z10</f>
        <v>4822.9832500000002</v>
      </c>
      <c r="D54" s="43">
        <f>'Enthalpy Data'!AA10</f>
        <v>4823.0367000000006</v>
      </c>
      <c r="E54" s="43">
        <f>'Enthalpy Data'!AB10</f>
        <v>4823.09015</v>
      </c>
      <c r="F54" s="43">
        <f>'Enthalpy Data'!AC10</f>
        <v>4823.1436000000003</v>
      </c>
      <c r="G54" s="43">
        <f>'Enthalpy Data'!AD10</f>
        <v>4823.1970500000007</v>
      </c>
      <c r="H54" s="43">
        <f>'Enthalpy Data'!AE10</f>
        <v>4823.4642999999996</v>
      </c>
      <c r="I54" s="43">
        <f>'Enthalpy Data'!AF10</f>
        <v>4823.7315499999995</v>
      </c>
      <c r="J54" s="43">
        <f>'Enthalpy Data'!AG10</f>
        <v>4823.9987999999994</v>
      </c>
      <c r="K54" s="43">
        <f>'Enthalpy Data'!AH10</f>
        <v>4824.2660500000002</v>
      </c>
      <c r="L54" s="43">
        <f>'Enthalpy Data'!AI10</f>
        <v>4824.5333000000001</v>
      </c>
      <c r="M54" s="43">
        <f>'Enthalpy Data'!AJ10</f>
        <v>4824.8005499999999</v>
      </c>
      <c r="N54" s="76">
        <f>'Enthalpy Data'!AK10</f>
        <v>4825.0677999999998</v>
      </c>
      <c r="P54" s="127">
        <f>'Enthalpy Data'!X47</f>
        <v>1400</v>
      </c>
      <c r="Q54" s="47">
        <f>'Enthalpy Data'!Y47</f>
        <v>2481.5987999999998</v>
      </c>
      <c r="R54" s="43">
        <f>'Enthalpy Data'!Z47</f>
        <v>2481.7471500000001</v>
      </c>
      <c r="S54" s="43">
        <f>'Enthalpy Data'!AA47</f>
        <v>2481.8955000000001</v>
      </c>
      <c r="T54" s="43">
        <f>'Enthalpy Data'!AB47</f>
        <v>2482.04385</v>
      </c>
      <c r="U54" s="43">
        <f>'Enthalpy Data'!AC47</f>
        <v>2482.1922</v>
      </c>
      <c r="V54" s="43">
        <f>'Enthalpy Data'!AD47</f>
        <v>2482.3405499999999</v>
      </c>
      <c r="W54" s="43">
        <f>'Enthalpy Data'!AE47</f>
        <v>2483.0823</v>
      </c>
      <c r="X54" s="43">
        <f>'Enthalpy Data'!AF47</f>
        <v>2483.8240500000002</v>
      </c>
      <c r="Y54" s="43">
        <f>'Enthalpy Data'!AG47</f>
        <v>2484.5658000000003</v>
      </c>
      <c r="Z54" s="43">
        <f>'Enthalpy Data'!AH47</f>
        <v>2485.30755</v>
      </c>
      <c r="AA54" s="43">
        <f>'Enthalpy Data'!AI47</f>
        <v>2486.0492999999997</v>
      </c>
      <c r="AB54" s="43">
        <f>'Enthalpy Data'!AJ47</f>
        <v>2486.7910499999998</v>
      </c>
      <c r="AC54" s="76">
        <f>'Enthalpy Data'!AK47</f>
        <v>2487.5328</v>
      </c>
    </row>
    <row r="55" spans="1:29" x14ac:dyDescent="0.25">
      <c r="A55" s="131">
        <f>'Enthalpy Data'!X11</f>
        <v>2350</v>
      </c>
      <c r="B55" s="47">
        <f>'Enthalpy Data'!Y11</f>
        <v>4957.6485714285709</v>
      </c>
      <c r="C55" s="43">
        <f>'Enthalpy Data'!Z11</f>
        <v>4957.4342500000002</v>
      </c>
      <c r="D55" s="43">
        <f>'Enthalpy Data'!AA11</f>
        <v>4957.4820999999993</v>
      </c>
      <c r="E55" s="43">
        <f>'Enthalpy Data'!AB11</f>
        <v>4957.5299500000001</v>
      </c>
      <c r="F55" s="43">
        <f>'Enthalpy Data'!AC11</f>
        <v>4957.5778</v>
      </c>
      <c r="G55" s="43">
        <f>'Enthalpy Data'!AD11</f>
        <v>4957.62565</v>
      </c>
      <c r="H55" s="43">
        <f>'Enthalpy Data'!AE11</f>
        <v>4957.8649000000005</v>
      </c>
      <c r="I55" s="43">
        <f>'Enthalpy Data'!AF11</f>
        <v>4958.1041499999992</v>
      </c>
      <c r="J55" s="43">
        <f>'Enthalpy Data'!AG11</f>
        <v>4958.3433999999997</v>
      </c>
      <c r="K55" s="43">
        <f>'Enthalpy Data'!AH11</f>
        <v>4958.5826500000003</v>
      </c>
      <c r="L55" s="43">
        <f>'Enthalpy Data'!AI11</f>
        <v>4958.8218999999999</v>
      </c>
      <c r="M55" s="43">
        <f>'Enthalpy Data'!AJ11</f>
        <v>4959.0611500000005</v>
      </c>
      <c r="N55" s="76">
        <f>'Enthalpy Data'!AK11</f>
        <v>4959.3004000000001</v>
      </c>
      <c r="P55" s="127">
        <f>'Enthalpy Data'!X48</f>
        <v>1450</v>
      </c>
      <c r="Q55" s="47">
        <f>'Enthalpy Data'!Y48</f>
        <v>2606.9434000000001</v>
      </c>
      <c r="R55" s="43">
        <f>'Enthalpy Data'!Z48</f>
        <v>2607.0880500000003</v>
      </c>
      <c r="S55" s="43">
        <f>'Enthalpy Data'!AA48</f>
        <v>2607.2327000000005</v>
      </c>
      <c r="T55" s="43">
        <f>'Enthalpy Data'!AB48</f>
        <v>2607.3773500000002</v>
      </c>
      <c r="U55" s="43">
        <f>'Enthalpy Data'!AC48</f>
        <v>2607.5220000000004</v>
      </c>
      <c r="V55" s="43">
        <f>'Enthalpy Data'!AD48</f>
        <v>2607.6666500000001</v>
      </c>
      <c r="W55" s="43">
        <f>'Enthalpy Data'!AE48</f>
        <v>2608.3899000000001</v>
      </c>
      <c r="X55" s="43">
        <f>'Enthalpy Data'!AF48</f>
        <v>2609.1131500000001</v>
      </c>
      <c r="Y55" s="43">
        <f>'Enthalpy Data'!AG48</f>
        <v>2609.8364000000001</v>
      </c>
      <c r="Z55" s="43">
        <f>'Enthalpy Data'!AH48</f>
        <v>2610.5596500000001</v>
      </c>
      <c r="AA55" s="43">
        <f>'Enthalpy Data'!AI48</f>
        <v>2611.2829000000002</v>
      </c>
      <c r="AB55" s="43">
        <f>'Enthalpy Data'!AJ48</f>
        <v>2612.0061500000002</v>
      </c>
      <c r="AC55" s="76">
        <f>'Enthalpy Data'!AK48</f>
        <v>2612.7294000000002</v>
      </c>
    </row>
    <row r="56" spans="1:29" x14ac:dyDescent="0.25">
      <c r="A56" s="131">
        <f>'Enthalpy Data'!X12</f>
        <v>2400</v>
      </c>
      <c r="B56" s="47">
        <f>'Enthalpy Data'!Y12</f>
        <v>5091.7419047619051</v>
      </c>
      <c r="C56" s="43">
        <f>'Enthalpy Data'!Z12</f>
        <v>5091.5171</v>
      </c>
      <c r="D56" s="43">
        <f>'Enthalpy Data'!AA12</f>
        <v>5091.5614000000005</v>
      </c>
      <c r="E56" s="43">
        <f>'Enthalpy Data'!AB12</f>
        <v>5091.6057000000001</v>
      </c>
      <c r="F56" s="43">
        <f>'Enthalpy Data'!AC12</f>
        <v>5091.6499999999996</v>
      </c>
      <c r="G56" s="43">
        <f>'Enthalpy Data'!AD12</f>
        <v>5091.694300000001</v>
      </c>
      <c r="H56" s="43">
        <f>'Enthalpy Data'!AE12</f>
        <v>5091.9157999999998</v>
      </c>
      <c r="I56" s="43">
        <f>'Enthalpy Data'!AF12</f>
        <v>5092.1373000000012</v>
      </c>
      <c r="J56" s="43">
        <f>'Enthalpy Data'!AG12</f>
        <v>5092.3588</v>
      </c>
      <c r="K56" s="43">
        <f>'Enthalpy Data'!AH12</f>
        <v>5092.5803000000005</v>
      </c>
      <c r="L56" s="43">
        <f>'Enthalpy Data'!AI12</f>
        <v>5092.8018000000011</v>
      </c>
      <c r="M56" s="43">
        <f>'Enthalpy Data'!AJ12</f>
        <v>5093.0232999999998</v>
      </c>
      <c r="N56" s="76">
        <f>'Enthalpy Data'!AK12</f>
        <v>5093.2448000000004</v>
      </c>
      <c r="P56" s="127">
        <f>'Enthalpy Data'!X49</f>
        <v>1500</v>
      </c>
      <c r="Q56" s="47">
        <f>'Enthalpy Data'!Y49</f>
        <v>2732.6279999999997</v>
      </c>
      <c r="R56" s="43">
        <f>'Enthalpy Data'!Z49</f>
        <v>2732.7673500000001</v>
      </c>
      <c r="S56" s="43">
        <f>'Enthalpy Data'!AA49</f>
        <v>2732.9067</v>
      </c>
      <c r="T56" s="43">
        <f>'Enthalpy Data'!AB49</f>
        <v>2733.0460499999999</v>
      </c>
      <c r="U56" s="43">
        <f>'Enthalpy Data'!AC49</f>
        <v>2733.1854000000003</v>
      </c>
      <c r="V56" s="43">
        <f>'Enthalpy Data'!AD49</f>
        <v>2733.3247500000002</v>
      </c>
      <c r="W56" s="43">
        <f>'Enthalpy Data'!AE49</f>
        <v>2734.0215000000003</v>
      </c>
      <c r="X56" s="43">
        <f>'Enthalpy Data'!AF49</f>
        <v>2734.7182499999999</v>
      </c>
      <c r="Y56" s="43">
        <f>'Enthalpy Data'!AG49</f>
        <v>2735.415</v>
      </c>
      <c r="Z56" s="43">
        <f>'Enthalpy Data'!AH49</f>
        <v>2736.11175</v>
      </c>
      <c r="AA56" s="43">
        <f>'Enthalpy Data'!AI49</f>
        <v>2736.8085000000001</v>
      </c>
      <c r="AB56" s="43">
        <f>'Enthalpy Data'!AJ49</f>
        <v>2737.5052500000002</v>
      </c>
      <c r="AC56" s="76">
        <f>'Enthalpy Data'!AK49</f>
        <v>2738.2019999999998</v>
      </c>
    </row>
    <row r="57" spans="1:29" x14ac:dyDescent="0.25">
      <c r="A57" s="131">
        <f>'Enthalpy Data'!X13</f>
        <v>2450</v>
      </c>
      <c r="B57" s="47">
        <f>'Enthalpy Data'!Y13</f>
        <v>5226.475476190476</v>
      </c>
      <c r="C57" s="43">
        <f>'Enthalpy Data'!Z13</f>
        <v>5226.2406000000001</v>
      </c>
      <c r="D57" s="43">
        <f>'Enthalpy Data'!AA13</f>
        <v>5226.2818000000007</v>
      </c>
      <c r="E57" s="43">
        <f>'Enthalpy Data'!AB13</f>
        <v>5226.3229999999994</v>
      </c>
      <c r="F57" s="43">
        <f>'Enthalpy Data'!AC13</f>
        <v>5226.3642</v>
      </c>
      <c r="G57" s="43">
        <f>'Enthalpy Data'!AD13</f>
        <v>5226.4053999999996</v>
      </c>
      <c r="H57" s="43">
        <f>'Enthalpy Data'!AE13</f>
        <v>5226.6113999999998</v>
      </c>
      <c r="I57" s="43">
        <f>'Enthalpy Data'!AF13</f>
        <v>5226.8173999999999</v>
      </c>
      <c r="J57" s="43">
        <f>'Enthalpy Data'!AG13</f>
        <v>5227.0234</v>
      </c>
      <c r="K57" s="43">
        <f>'Enthalpy Data'!AH13</f>
        <v>5227.2294000000002</v>
      </c>
      <c r="L57" s="43">
        <f>'Enthalpy Data'!AI13</f>
        <v>5227.4354000000003</v>
      </c>
      <c r="M57" s="43">
        <f>'Enthalpy Data'!AJ13</f>
        <v>5227.6414000000004</v>
      </c>
      <c r="N57" s="76">
        <f>'Enthalpy Data'!AK13</f>
        <v>5227.8474000000006</v>
      </c>
      <c r="P57" s="127">
        <f>'Enthalpy Data'!X50</f>
        <v>1550</v>
      </c>
      <c r="Q57" s="47">
        <f>'Enthalpy Data'!Y50</f>
        <v>2859.6030000000001</v>
      </c>
      <c r="R57" s="43">
        <f>'Enthalpy Data'!Z50</f>
        <v>2859.7374999999997</v>
      </c>
      <c r="S57" s="43">
        <f>'Enthalpy Data'!AA50</f>
        <v>2859.8719999999998</v>
      </c>
      <c r="T57" s="43">
        <f>'Enthalpy Data'!AB50</f>
        <v>2860.0065</v>
      </c>
      <c r="U57" s="43">
        <f>'Enthalpy Data'!AC50</f>
        <v>2860.1410000000001</v>
      </c>
      <c r="V57" s="43">
        <f>'Enthalpy Data'!AD50</f>
        <v>2860.2754999999997</v>
      </c>
      <c r="W57" s="43">
        <f>'Enthalpy Data'!AE50</f>
        <v>2860.9479999999999</v>
      </c>
      <c r="X57" s="43">
        <f>'Enthalpy Data'!AF50</f>
        <v>2861.6205</v>
      </c>
      <c r="Y57" s="43">
        <f>'Enthalpy Data'!AG50</f>
        <v>2862.2930000000001</v>
      </c>
      <c r="Z57" s="43">
        <f>'Enthalpy Data'!AH50</f>
        <v>2862.9655000000002</v>
      </c>
      <c r="AA57" s="43">
        <f>'Enthalpy Data'!AI50</f>
        <v>2863.6379999999999</v>
      </c>
      <c r="AB57" s="43">
        <f>'Enthalpy Data'!AJ50</f>
        <v>2864.3105</v>
      </c>
      <c r="AC57" s="76">
        <f>'Enthalpy Data'!AK50</f>
        <v>2864.9829999999997</v>
      </c>
    </row>
    <row r="58" spans="1:29" x14ac:dyDescent="0.25">
      <c r="A58" s="131">
        <f>'Enthalpy Data'!X14</f>
        <v>2500</v>
      </c>
      <c r="B58" s="47">
        <f>'Enthalpy Data'!Y14</f>
        <v>5361.3790476190479</v>
      </c>
      <c r="C58" s="43">
        <f>'Enthalpy Data'!Z14</f>
        <v>5361.1332999999995</v>
      </c>
      <c r="D58" s="43">
        <f>'Enthalpy Data'!AA14</f>
        <v>5361.1706000000004</v>
      </c>
      <c r="E58" s="43">
        <f>'Enthalpy Data'!AB14</f>
        <v>5361.2079000000003</v>
      </c>
      <c r="F58" s="43">
        <f>'Enthalpy Data'!AC14</f>
        <v>5361.2452000000003</v>
      </c>
      <c r="G58" s="43">
        <f>'Enthalpy Data'!AD14</f>
        <v>5361.2824999999993</v>
      </c>
      <c r="H58" s="43">
        <f>'Enthalpy Data'!AE14</f>
        <v>5361.4690000000001</v>
      </c>
      <c r="I58" s="43">
        <f>'Enthalpy Data'!AF14</f>
        <v>5361.6554999999998</v>
      </c>
      <c r="J58" s="43">
        <f>'Enthalpy Data'!AG14</f>
        <v>5361.8420000000006</v>
      </c>
      <c r="K58" s="43">
        <f>'Enthalpy Data'!AH14</f>
        <v>5362.0285000000003</v>
      </c>
      <c r="L58" s="43">
        <f>'Enthalpy Data'!AI14</f>
        <v>5362.2150000000001</v>
      </c>
      <c r="M58" s="43">
        <f>'Enthalpy Data'!AJ14</f>
        <v>5362.4015000000009</v>
      </c>
      <c r="N58" s="76">
        <f>'Enthalpy Data'!AK14</f>
        <v>5362.5880000000006</v>
      </c>
      <c r="P58" s="127">
        <f>'Enthalpy Data'!X51</f>
        <v>1600</v>
      </c>
      <c r="Q58" s="47">
        <f>'Enthalpy Data'!Y51</f>
        <v>2986.9180000000001</v>
      </c>
      <c r="R58" s="43">
        <f>'Enthalpy Data'!Z51</f>
        <v>2987.0460499999999</v>
      </c>
      <c r="S58" s="43">
        <f>'Enthalpy Data'!AA51</f>
        <v>2987.1741000000002</v>
      </c>
      <c r="T58" s="43">
        <f>'Enthalpy Data'!AB51</f>
        <v>2987.3021500000004</v>
      </c>
      <c r="U58" s="43">
        <f>'Enthalpy Data'!AC51</f>
        <v>2987.4302000000002</v>
      </c>
      <c r="V58" s="43">
        <f>'Enthalpy Data'!AD51</f>
        <v>2987.55825</v>
      </c>
      <c r="W58" s="43">
        <f>'Enthalpy Data'!AE51</f>
        <v>2988.1985000000004</v>
      </c>
      <c r="X58" s="43">
        <f>'Enthalpy Data'!AF51</f>
        <v>2988.8387499999999</v>
      </c>
      <c r="Y58" s="43">
        <f>'Enthalpy Data'!AG51</f>
        <v>2989.4790000000003</v>
      </c>
      <c r="Z58" s="43">
        <f>'Enthalpy Data'!AH51</f>
        <v>2990.1192500000002</v>
      </c>
      <c r="AA58" s="43">
        <f>'Enthalpy Data'!AI51</f>
        <v>2990.7595000000001</v>
      </c>
      <c r="AB58" s="43">
        <f>'Enthalpy Data'!AJ51</f>
        <v>2991.39975</v>
      </c>
      <c r="AC58" s="76">
        <f>'Enthalpy Data'!AK51</f>
        <v>2992.04</v>
      </c>
    </row>
    <row r="59" spans="1:29" x14ac:dyDescent="0.25">
      <c r="A59" s="131">
        <f>'Enthalpy Data'!X15</f>
        <v>2550</v>
      </c>
      <c r="B59" s="47">
        <f>'Enthalpy Data'!Y15</f>
        <v>5496.3726190476191</v>
      </c>
      <c r="C59" s="43">
        <f>'Enthalpy Data'!Z15</f>
        <v>5496.1172500000002</v>
      </c>
      <c r="D59" s="43">
        <f>'Enthalpy Data'!AA15</f>
        <v>5496.1518999999998</v>
      </c>
      <c r="E59" s="43">
        <f>'Enthalpy Data'!AB15</f>
        <v>5496.1865500000004</v>
      </c>
      <c r="F59" s="43">
        <f>'Enthalpy Data'!AC15</f>
        <v>5496.2212</v>
      </c>
      <c r="G59" s="43">
        <f>'Enthalpy Data'!AD15</f>
        <v>5496.2558499999996</v>
      </c>
      <c r="H59" s="43">
        <f>'Enthalpy Data'!AE15</f>
        <v>5496.4291000000003</v>
      </c>
      <c r="I59" s="43">
        <f>'Enthalpy Data'!AF15</f>
        <v>5496.6023500000001</v>
      </c>
      <c r="J59" s="43">
        <f>'Enthalpy Data'!AG15</f>
        <v>5496.7756000000008</v>
      </c>
      <c r="K59" s="43">
        <f>'Enthalpy Data'!AH15</f>
        <v>5496.9488499999998</v>
      </c>
      <c r="L59" s="43">
        <f>'Enthalpy Data'!AI15</f>
        <v>5497.1220999999996</v>
      </c>
      <c r="M59" s="43">
        <f>'Enthalpy Data'!AJ15</f>
        <v>5497.2953500000003</v>
      </c>
      <c r="N59" s="76">
        <f>'Enthalpy Data'!AK15</f>
        <v>5497.4685999999992</v>
      </c>
      <c r="P59" s="127">
        <f>'Enthalpy Data'!X52</f>
        <v>1650</v>
      </c>
      <c r="Q59" s="47">
        <f>'Enthalpy Data'!Y52</f>
        <v>3114.8832000000002</v>
      </c>
      <c r="R59" s="43">
        <f>'Enthalpy Data'!Z52</f>
        <v>3115.00605</v>
      </c>
      <c r="S59" s="43">
        <f>'Enthalpy Data'!AA52</f>
        <v>3115.1289000000002</v>
      </c>
      <c r="T59" s="43">
        <f>'Enthalpy Data'!AB52</f>
        <v>3115.2517499999999</v>
      </c>
      <c r="U59" s="43">
        <f>'Enthalpy Data'!AC52</f>
        <v>3115.3746000000001</v>
      </c>
      <c r="V59" s="43">
        <f>'Enthalpy Data'!AD52</f>
        <v>3115.4974500000003</v>
      </c>
      <c r="W59" s="43">
        <f>'Enthalpy Data'!AE52</f>
        <v>3116.1117000000004</v>
      </c>
      <c r="X59" s="43">
        <f>'Enthalpy Data'!AF52</f>
        <v>3116.72595</v>
      </c>
      <c r="Y59" s="43">
        <f>'Enthalpy Data'!AG52</f>
        <v>3117.3402000000001</v>
      </c>
      <c r="Z59" s="43">
        <f>'Enthalpy Data'!AH52</f>
        <v>3117.9544500000002</v>
      </c>
      <c r="AA59" s="43">
        <f>'Enthalpy Data'!AI52</f>
        <v>3118.5687000000003</v>
      </c>
      <c r="AB59" s="43">
        <f>'Enthalpy Data'!AJ52</f>
        <v>3119.1829500000003</v>
      </c>
      <c r="AC59" s="76">
        <f>'Enthalpy Data'!AK52</f>
        <v>3119.7972</v>
      </c>
    </row>
    <row r="60" spans="1:29" x14ac:dyDescent="0.25">
      <c r="A60" s="131">
        <f>'Enthalpy Data'!X16</f>
        <v>2600</v>
      </c>
      <c r="B60" s="47">
        <f>'Enthalpy Data'!Y16</f>
        <v>5631.9264285714289</v>
      </c>
      <c r="C60" s="43">
        <f>'Enthalpy Data'!Z16</f>
        <v>5631.6614</v>
      </c>
      <c r="D60" s="43">
        <f>'Enthalpy Data'!AA16</f>
        <v>5631.693400000001</v>
      </c>
      <c r="E60" s="43">
        <f>'Enthalpy Data'!AB16</f>
        <v>5631.7254000000003</v>
      </c>
      <c r="F60" s="43">
        <f>'Enthalpy Data'!AC16</f>
        <v>5631.7573999999995</v>
      </c>
      <c r="G60" s="43">
        <f>'Enthalpy Data'!AD16</f>
        <v>5631.7893999999997</v>
      </c>
      <c r="H60" s="43">
        <f>'Enthalpy Data'!AE16</f>
        <v>5631.9494000000004</v>
      </c>
      <c r="I60" s="43">
        <f>'Enthalpy Data'!AF16</f>
        <v>5632.1094000000003</v>
      </c>
      <c r="J60" s="43">
        <f>'Enthalpy Data'!AG16</f>
        <v>5632.269400000001</v>
      </c>
      <c r="K60" s="43">
        <f>'Enthalpy Data'!AH16</f>
        <v>5632.4294</v>
      </c>
      <c r="L60" s="43">
        <f>'Enthalpy Data'!AI16</f>
        <v>5632.5893999999998</v>
      </c>
      <c r="M60" s="43">
        <f>'Enthalpy Data'!AJ16</f>
        <v>5632.7494000000006</v>
      </c>
      <c r="N60" s="76">
        <f>'Enthalpy Data'!AK16</f>
        <v>5632.9093999999996</v>
      </c>
      <c r="P60" s="127">
        <f>'Enthalpy Data'!X53</f>
        <v>1700</v>
      </c>
      <c r="Q60" s="47">
        <f>'Enthalpy Data'!Y53</f>
        <v>3243.1884</v>
      </c>
      <c r="R60" s="43">
        <f>'Enthalpy Data'!Z53</f>
        <v>3243.3056999999999</v>
      </c>
      <c r="S60" s="43">
        <f>'Enthalpy Data'!AA53</f>
        <v>3243.4230000000002</v>
      </c>
      <c r="T60" s="43">
        <f>'Enthalpy Data'!AB53</f>
        <v>3243.5403000000001</v>
      </c>
      <c r="U60" s="43">
        <f>'Enthalpy Data'!AC53</f>
        <v>3243.6576</v>
      </c>
      <c r="V60" s="43">
        <f>'Enthalpy Data'!AD53</f>
        <v>3243.7748999999999</v>
      </c>
      <c r="W60" s="43">
        <f>'Enthalpy Data'!AE53</f>
        <v>3244.3614000000002</v>
      </c>
      <c r="X60" s="43">
        <f>'Enthalpy Data'!AF53</f>
        <v>3244.9479000000001</v>
      </c>
      <c r="Y60" s="43">
        <f>'Enthalpy Data'!AG53</f>
        <v>3245.5344</v>
      </c>
      <c r="Z60" s="43">
        <f>'Enthalpy Data'!AH53</f>
        <v>3246.1208999999999</v>
      </c>
      <c r="AA60" s="43">
        <f>'Enthalpy Data'!AI53</f>
        <v>3246.7073999999998</v>
      </c>
      <c r="AB60" s="43">
        <f>'Enthalpy Data'!AJ53</f>
        <v>3247.2939000000001</v>
      </c>
      <c r="AC60" s="76">
        <f>'Enthalpy Data'!AK53</f>
        <v>3247.8804</v>
      </c>
    </row>
    <row r="61" spans="1:29" x14ac:dyDescent="0.25">
      <c r="A61" s="131">
        <f>'Enthalpy Data'!X17</f>
        <v>2650</v>
      </c>
      <c r="B61" s="47">
        <f>'Enthalpy Data'!Y17</f>
        <v>5767.6502380952388</v>
      </c>
      <c r="C61" s="43">
        <f>'Enthalpy Data'!Z17</f>
        <v>5767.3760000000002</v>
      </c>
      <c r="D61" s="43">
        <f>'Enthalpy Data'!AA17</f>
        <v>5767.4058000000014</v>
      </c>
      <c r="E61" s="43">
        <f>'Enthalpy Data'!AB17</f>
        <v>5767.4355999999998</v>
      </c>
      <c r="F61" s="43">
        <f>'Enthalpy Data'!AC17</f>
        <v>5767.465400000001</v>
      </c>
      <c r="G61" s="43">
        <f>'Enthalpy Data'!AD17</f>
        <v>5767.4952000000003</v>
      </c>
      <c r="H61" s="43">
        <f>'Enthalpy Data'!AE17</f>
        <v>5767.6442000000006</v>
      </c>
      <c r="I61" s="43">
        <f>'Enthalpy Data'!AF17</f>
        <v>5767.7932000000001</v>
      </c>
      <c r="J61" s="43">
        <f>'Enthalpy Data'!AG17</f>
        <v>5767.9422000000004</v>
      </c>
      <c r="K61" s="43">
        <f>'Enthalpy Data'!AH17</f>
        <v>5768.0912000000008</v>
      </c>
      <c r="L61" s="43">
        <f>'Enthalpy Data'!AI17</f>
        <v>5768.2402000000002</v>
      </c>
      <c r="M61" s="43">
        <f>'Enthalpy Data'!AJ17</f>
        <v>5768.3892000000005</v>
      </c>
      <c r="N61" s="76">
        <f>'Enthalpy Data'!AK17</f>
        <v>5768.5382000000009</v>
      </c>
      <c r="P61" s="127">
        <f>'Enthalpy Data'!X54</f>
        <v>1750</v>
      </c>
      <c r="Q61" s="47">
        <f>'Enthalpy Data'!Y54</f>
        <v>3372.3137999999999</v>
      </c>
      <c r="R61" s="43">
        <f>'Enthalpy Data'!Z54</f>
        <v>3372.4259999999999</v>
      </c>
      <c r="S61" s="43">
        <f>'Enthalpy Data'!AA54</f>
        <v>3372.5381999999995</v>
      </c>
      <c r="T61" s="43">
        <f>'Enthalpy Data'!AB54</f>
        <v>3372.6504</v>
      </c>
      <c r="U61" s="43">
        <f>'Enthalpy Data'!AC54</f>
        <v>3372.7626</v>
      </c>
      <c r="V61" s="43">
        <f>'Enthalpy Data'!AD54</f>
        <v>3372.8747999999996</v>
      </c>
      <c r="W61" s="43">
        <f>'Enthalpy Data'!AE54</f>
        <v>3373.4357999999997</v>
      </c>
      <c r="X61" s="43">
        <f>'Enthalpy Data'!AF54</f>
        <v>3373.9967999999999</v>
      </c>
      <c r="Y61" s="43">
        <f>'Enthalpy Data'!AG54</f>
        <v>3374.5577999999996</v>
      </c>
      <c r="Z61" s="43">
        <f>'Enthalpy Data'!AH54</f>
        <v>3375.1187999999997</v>
      </c>
      <c r="AA61" s="43">
        <f>'Enthalpy Data'!AI54</f>
        <v>3375.6797999999999</v>
      </c>
      <c r="AB61" s="43">
        <f>'Enthalpy Data'!AJ54</f>
        <v>3376.2407999999996</v>
      </c>
      <c r="AC61" s="76">
        <f>'Enthalpy Data'!AK54</f>
        <v>3376.8017999999997</v>
      </c>
    </row>
    <row r="62" spans="1:29" x14ac:dyDescent="0.25">
      <c r="A62" s="131">
        <f>'Enthalpy Data'!X18</f>
        <v>2700</v>
      </c>
      <c r="B62" s="47">
        <f>'Enthalpy Data'!Y18</f>
        <v>5903.4640476190489</v>
      </c>
      <c r="C62" s="43">
        <f>'Enthalpy Data'!Z18</f>
        <v>5903.1806000000015</v>
      </c>
      <c r="D62" s="43">
        <f>'Enthalpy Data'!AA18</f>
        <v>5903.2082</v>
      </c>
      <c r="E62" s="43">
        <f>'Enthalpy Data'!AB18</f>
        <v>5903.2358000000013</v>
      </c>
      <c r="F62" s="43">
        <f>'Enthalpy Data'!AC18</f>
        <v>5903.2633999999998</v>
      </c>
      <c r="G62" s="43">
        <f>'Enthalpy Data'!AD18</f>
        <v>5903.2910000000011</v>
      </c>
      <c r="H62" s="43">
        <f>'Enthalpy Data'!AE18</f>
        <v>5903.4290000000001</v>
      </c>
      <c r="I62" s="43">
        <f>'Enthalpy Data'!AF18</f>
        <v>5903.567</v>
      </c>
      <c r="J62" s="43">
        <f>'Enthalpy Data'!AG18</f>
        <v>5903.7049999999999</v>
      </c>
      <c r="K62" s="43">
        <f>'Enthalpy Data'!AH18</f>
        <v>5903.8430000000008</v>
      </c>
      <c r="L62" s="43">
        <f>'Enthalpy Data'!AI18</f>
        <v>5903.9810000000007</v>
      </c>
      <c r="M62" s="43">
        <f>'Enthalpy Data'!AJ18</f>
        <v>5904.1190000000006</v>
      </c>
      <c r="N62" s="76">
        <f>'Enthalpy Data'!AK18</f>
        <v>5904.2570000000005</v>
      </c>
      <c r="P62" s="127">
        <f>'Enthalpy Data'!X55</f>
        <v>1800</v>
      </c>
      <c r="Q62" s="47">
        <f>'Enthalpy Data'!Y55</f>
        <v>3502.1594000000005</v>
      </c>
      <c r="R62" s="43">
        <f>'Enthalpy Data'!Z55</f>
        <v>3502.2649000000006</v>
      </c>
      <c r="S62" s="43">
        <f>'Enthalpy Data'!AA55</f>
        <v>3502.3704000000002</v>
      </c>
      <c r="T62" s="43">
        <f>'Enthalpy Data'!AB55</f>
        <v>3502.4759000000004</v>
      </c>
      <c r="U62" s="43">
        <f>'Enthalpy Data'!AC55</f>
        <v>3502.5814</v>
      </c>
      <c r="V62" s="43">
        <f>'Enthalpy Data'!AD55</f>
        <v>3502.6869000000002</v>
      </c>
      <c r="W62" s="43">
        <f>'Enthalpy Data'!AE55</f>
        <v>3503.2144000000003</v>
      </c>
      <c r="X62" s="43">
        <f>'Enthalpy Data'!AF55</f>
        <v>3503.7419000000004</v>
      </c>
      <c r="Y62" s="43">
        <f>'Enthalpy Data'!AG55</f>
        <v>3504.2694000000006</v>
      </c>
      <c r="Z62" s="43">
        <f>'Enthalpy Data'!AH55</f>
        <v>3504.7969000000003</v>
      </c>
      <c r="AA62" s="43">
        <f>'Enthalpy Data'!AI55</f>
        <v>3505.3244</v>
      </c>
      <c r="AB62" s="43">
        <f>'Enthalpy Data'!AJ55</f>
        <v>3505.8519000000001</v>
      </c>
      <c r="AC62" s="76">
        <f>'Enthalpy Data'!AK55</f>
        <v>3506.3794000000007</v>
      </c>
    </row>
    <row r="63" spans="1:29" ht="15.75" thickBot="1" x14ac:dyDescent="0.3">
      <c r="A63" s="131">
        <f>'Enthalpy Data'!X19</f>
        <v>2750</v>
      </c>
      <c r="B63" s="47">
        <f>'Enthalpy Data'!Y19</f>
        <v>6039.4578571428574</v>
      </c>
      <c r="C63" s="43">
        <f>'Enthalpy Data'!Z19</f>
        <v>6039.1664499999997</v>
      </c>
      <c r="D63" s="43">
        <f>'Enthalpy Data'!AA19</f>
        <v>6039.1930999999995</v>
      </c>
      <c r="E63" s="43">
        <f>'Enthalpy Data'!AB19</f>
        <v>6039.2197500000002</v>
      </c>
      <c r="F63" s="43">
        <f>'Enthalpy Data'!AC19</f>
        <v>6039.2463999999991</v>
      </c>
      <c r="G63" s="43">
        <f>'Enthalpy Data'!AD19</f>
        <v>6039.2730500000007</v>
      </c>
      <c r="H63" s="43">
        <f>'Enthalpy Data'!AE19</f>
        <v>6039.4063000000006</v>
      </c>
      <c r="I63" s="43">
        <f>'Enthalpy Data'!AF19</f>
        <v>6039.5395499999995</v>
      </c>
      <c r="J63" s="43">
        <f>'Enthalpy Data'!AG19</f>
        <v>6039.6727999999994</v>
      </c>
      <c r="K63" s="43">
        <f>'Enthalpy Data'!AH19</f>
        <v>6039.8060500000001</v>
      </c>
      <c r="L63" s="43">
        <f>'Enthalpy Data'!AI19</f>
        <v>6039.9393</v>
      </c>
      <c r="M63" s="43">
        <f>'Enthalpy Data'!AJ19</f>
        <v>6040.0725500000008</v>
      </c>
      <c r="N63" s="76">
        <f>'Enthalpy Data'!AK19</f>
        <v>6040.2057999999997</v>
      </c>
      <c r="P63" s="128">
        <f>'Enthalpy Data'!X56</f>
        <v>1850</v>
      </c>
      <c r="Q63" s="139">
        <f>'Enthalpy Data'!Y56</f>
        <v>3632.2750000000005</v>
      </c>
      <c r="R63" s="44">
        <f>'Enthalpy Data'!Z56</f>
        <v>3632.3750500000001</v>
      </c>
      <c r="S63" s="44">
        <f>'Enthalpy Data'!AA56</f>
        <v>3632.4751000000006</v>
      </c>
      <c r="T63" s="44">
        <f>'Enthalpy Data'!AB56</f>
        <v>3632.5751500000001</v>
      </c>
      <c r="U63" s="44">
        <f>'Enthalpy Data'!AC56</f>
        <v>3632.6752000000001</v>
      </c>
      <c r="V63" s="44">
        <f>'Enthalpy Data'!AD56</f>
        <v>3632.7752500000006</v>
      </c>
      <c r="W63" s="44">
        <f>'Enthalpy Data'!AE56</f>
        <v>3633.2755000000002</v>
      </c>
      <c r="X63" s="44">
        <f>'Enthalpy Data'!AF56</f>
        <v>3633.7757500000002</v>
      </c>
      <c r="Y63" s="44">
        <f>'Enthalpy Data'!AG56</f>
        <v>3634.2760000000003</v>
      </c>
      <c r="Z63" s="44">
        <f>'Enthalpy Data'!AH56</f>
        <v>3634.7762500000003</v>
      </c>
      <c r="AA63" s="44">
        <f>'Enthalpy Data'!AI56</f>
        <v>3635.2765000000004</v>
      </c>
      <c r="AB63" s="44">
        <f>'Enthalpy Data'!AJ56</f>
        <v>3635.7767500000004</v>
      </c>
      <c r="AC63" s="140">
        <f>'Enthalpy Data'!AK56</f>
        <v>3636.2770000000005</v>
      </c>
    </row>
    <row r="64" spans="1:29" x14ac:dyDescent="0.25">
      <c r="A64" s="131">
        <f>'Enthalpy Data'!X20</f>
        <v>2800</v>
      </c>
      <c r="B64" s="47">
        <f>'Enthalpy Data'!Y20</f>
        <v>6175.5316666666658</v>
      </c>
      <c r="C64" s="43">
        <f>'Enthalpy Data'!Z20</f>
        <v>6175.2315000000008</v>
      </c>
      <c r="D64" s="43">
        <f>'Enthalpy Data'!AA20</f>
        <v>6175.2564000000002</v>
      </c>
      <c r="E64" s="43">
        <f>'Enthalpy Data'!AB20</f>
        <v>6175.2813000000006</v>
      </c>
      <c r="F64" s="43">
        <f>'Enthalpy Data'!AC20</f>
        <v>6175.3062</v>
      </c>
      <c r="G64" s="43">
        <f>'Enthalpy Data'!AD20</f>
        <v>6175.3310999999994</v>
      </c>
      <c r="H64" s="43">
        <f>'Enthalpy Data'!AE20</f>
        <v>6175.4556000000002</v>
      </c>
      <c r="I64" s="43">
        <f>'Enthalpy Data'!AF20</f>
        <v>6175.5801000000001</v>
      </c>
      <c r="J64" s="43">
        <f>'Enthalpy Data'!AG20</f>
        <v>6175.7046</v>
      </c>
      <c r="K64" s="43">
        <f>'Enthalpy Data'!AH20</f>
        <v>6175.8290999999999</v>
      </c>
      <c r="L64" s="43">
        <f>'Enthalpy Data'!AI20</f>
        <v>6175.9536000000007</v>
      </c>
      <c r="M64" s="43">
        <f>'Enthalpy Data'!AJ20</f>
        <v>6176.0781000000006</v>
      </c>
      <c r="N64" s="76">
        <f>'Enthalpy Data'!AK20</f>
        <v>6176.2026000000005</v>
      </c>
    </row>
    <row r="65" spans="1:14" x14ac:dyDescent="0.25">
      <c r="A65" s="131">
        <f>'Enthalpy Data'!X21</f>
        <v>2850</v>
      </c>
      <c r="B65" s="47">
        <f>'Enthalpy Data'!Y21</f>
        <v>6312.1657142857148</v>
      </c>
      <c r="C65" s="43">
        <f>'Enthalpy Data'!Z21</f>
        <v>6311.8567500000008</v>
      </c>
      <c r="D65" s="43">
        <f>'Enthalpy Data'!AA21</f>
        <v>6311.8799000000008</v>
      </c>
      <c r="E65" s="43">
        <f>'Enthalpy Data'!AB21</f>
        <v>6311.9030500000008</v>
      </c>
      <c r="F65" s="43">
        <f>'Enthalpy Data'!AC21</f>
        <v>6311.9261999999999</v>
      </c>
      <c r="G65" s="43">
        <f>'Enthalpy Data'!AD21</f>
        <v>6311.9493499999999</v>
      </c>
      <c r="H65" s="43">
        <f>'Enthalpy Data'!AE21</f>
        <v>6312.0650999999998</v>
      </c>
      <c r="I65" s="43">
        <f>'Enthalpy Data'!AF21</f>
        <v>6312.1808500000006</v>
      </c>
      <c r="J65" s="43">
        <f>'Enthalpy Data'!AG21</f>
        <v>6312.2966000000006</v>
      </c>
      <c r="K65" s="43">
        <f>'Enthalpy Data'!AH21</f>
        <v>6312.4123500000005</v>
      </c>
      <c r="L65" s="43">
        <f>'Enthalpy Data'!AI21</f>
        <v>6312.5281000000004</v>
      </c>
      <c r="M65" s="43">
        <f>'Enthalpy Data'!AJ21</f>
        <v>6312.6438500000004</v>
      </c>
      <c r="N65" s="76">
        <f>'Enthalpy Data'!AK21</f>
        <v>6312.7596000000012</v>
      </c>
    </row>
    <row r="66" spans="1:14" x14ac:dyDescent="0.25">
      <c r="A66" s="131">
        <f>'Enthalpy Data'!X22</f>
        <v>2900</v>
      </c>
      <c r="B66" s="47">
        <f>'Enthalpy Data'!Y22</f>
        <v>6448.7997619047619</v>
      </c>
      <c r="C66" s="43">
        <f>'Enthalpy Data'!Z22</f>
        <v>6448.4844999999996</v>
      </c>
      <c r="D66" s="43">
        <f>'Enthalpy Data'!AA22</f>
        <v>6448.5083999999997</v>
      </c>
      <c r="E66" s="43">
        <f>'Enthalpy Data'!AB22</f>
        <v>6448.5322999999999</v>
      </c>
      <c r="F66" s="43">
        <f>'Enthalpy Data'!AC22</f>
        <v>6448.5561999999991</v>
      </c>
      <c r="G66" s="43">
        <f>'Enthalpy Data'!AD22</f>
        <v>6448.5801000000001</v>
      </c>
      <c r="H66" s="43">
        <f>'Enthalpy Data'!AE22</f>
        <v>6448.699599999999</v>
      </c>
      <c r="I66" s="43">
        <f>'Enthalpy Data'!AF22</f>
        <v>6448.8190999999997</v>
      </c>
      <c r="J66" s="43">
        <f>'Enthalpy Data'!AG22</f>
        <v>6448.9385999999995</v>
      </c>
      <c r="K66" s="43">
        <f>'Enthalpy Data'!AH22</f>
        <v>6449.0581000000002</v>
      </c>
      <c r="L66" s="43">
        <f>'Enthalpy Data'!AI22</f>
        <v>6449.1776</v>
      </c>
      <c r="M66" s="43">
        <f>'Enthalpy Data'!AJ22</f>
        <v>6449.2970999999998</v>
      </c>
      <c r="N66" s="76">
        <f>'Enthalpy Data'!AK22</f>
        <v>6449.4165999999996</v>
      </c>
    </row>
    <row r="67" spans="1:14" x14ac:dyDescent="0.25">
      <c r="A67" s="131">
        <f>'Enthalpy Data'!X23</f>
        <v>2950</v>
      </c>
      <c r="B67" s="47">
        <f>'Enthalpy Data'!Y23</f>
        <v>6585.6938095238093</v>
      </c>
      <c r="C67" s="43">
        <f>'Enthalpy Data'!Z23</f>
        <v>6585.3702000000003</v>
      </c>
      <c r="D67" s="43">
        <f>'Enthalpy Data'!AA23</f>
        <v>6585.3928000000005</v>
      </c>
      <c r="E67" s="43">
        <f>'Enthalpy Data'!AB23</f>
        <v>6585.4154000000008</v>
      </c>
      <c r="F67" s="43">
        <f>'Enthalpy Data'!AC23</f>
        <v>6585.4380000000001</v>
      </c>
      <c r="G67" s="43">
        <f>'Enthalpy Data'!AD23</f>
        <v>6585.4605999999994</v>
      </c>
      <c r="H67" s="43">
        <f>'Enthalpy Data'!AE23</f>
        <v>6585.5736000000006</v>
      </c>
      <c r="I67" s="43">
        <f>'Enthalpy Data'!AF23</f>
        <v>6585.6866</v>
      </c>
      <c r="J67" s="43">
        <f>'Enthalpy Data'!AG23</f>
        <v>6585.7996000000003</v>
      </c>
      <c r="K67" s="43">
        <f>'Enthalpy Data'!AH23</f>
        <v>6585.9125999999997</v>
      </c>
      <c r="L67" s="43">
        <f>'Enthalpy Data'!AI23</f>
        <v>6586.025599999999</v>
      </c>
      <c r="M67" s="43">
        <f>'Enthalpy Data'!AJ23</f>
        <v>6586.1386000000002</v>
      </c>
      <c r="N67" s="76">
        <f>'Enthalpy Data'!AK23</f>
        <v>6586.2515999999996</v>
      </c>
    </row>
    <row r="68" spans="1:14" x14ac:dyDescent="0.25">
      <c r="A68" s="131">
        <f>'Enthalpy Data'!X24</f>
        <v>3000</v>
      </c>
      <c r="B68" s="47">
        <f>'Enthalpy Data'!Y24</f>
        <v>6722.5978571428577</v>
      </c>
      <c r="C68" s="43">
        <f>'Enthalpy Data'!Z24</f>
        <v>6722.2679499999995</v>
      </c>
      <c r="D68" s="43">
        <f>'Enthalpy Data'!AA24</f>
        <v>6722.2912999999999</v>
      </c>
      <c r="E68" s="43">
        <f>'Enthalpy Data'!AB24</f>
        <v>6722.3146499999993</v>
      </c>
      <c r="F68" s="43">
        <f>'Enthalpy Data'!AC24</f>
        <v>6722.3380000000006</v>
      </c>
      <c r="G68" s="43">
        <f>'Enthalpy Data'!AD24</f>
        <v>6722.3613500000001</v>
      </c>
      <c r="H68" s="43">
        <f>'Enthalpy Data'!AE24</f>
        <v>6722.4781000000003</v>
      </c>
      <c r="I68" s="43">
        <f>'Enthalpy Data'!AF24</f>
        <v>6722.5948499999995</v>
      </c>
      <c r="J68" s="43">
        <f>'Enthalpy Data'!AG24</f>
        <v>6722.7115999999996</v>
      </c>
      <c r="K68" s="43">
        <f>'Enthalpy Data'!AH24</f>
        <v>6722.8283499999998</v>
      </c>
      <c r="L68" s="43">
        <f>'Enthalpy Data'!AI24</f>
        <v>6722.9450999999999</v>
      </c>
      <c r="M68" s="43">
        <f>'Enthalpy Data'!AJ24</f>
        <v>6723.06185</v>
      </c>
      <c r="N68" s="76">
        <f>'Enthalpy Data'!AK24</f>
        <v>6723.1785999999993</v>
      </c>
    </row>
    <row r="69" spans="1:14" x14ac:dyDescent="0.25">
      <c r="A69" s="131">
        <f>'Enthalpy Data'!X25</f>
        <v>3050</v>
      </c>
      <c r="B69" s="47">
        <f>'Enthalpy Data'!Y25</f>
        <v>6859.5819047619043</v>
      </c>
      <c r="C69" s="43">
        <f>'Enthalpy Data'!Z25</f>
        <v>6859.2461499999999</v>
      </c>
      <c r="D69" s="43">
        <f>'Enthalpy Data'!AA25</f>
        <v>6859.2707</v>
      </c>
      <c r="E69" s="43">
        <f>'Enthalpy Data'!AB25</f>
        <v>6859.2952499999992</v>
      </c>
      <c r="F69" s="43">
        <f>'Enthalpy Data'!AC25</f>
        <v>6859.3198000000002</v>
      </c>
      <c r="G69" s="43">
        <f>'Enthalpy Data'!AD25</f>
        <v>6859.3443500000003</v>
      </c>
      <c r="H69" s="43">
        <f>'Enthalpy Data'!AE25</f>
        <v>6859.4671000000008</v>
      </c>
      <c r="I69" s="43">
        <f>'Enthalpy Data'!AF25</f>
        <v>6859.5898499999994</v>
      </c>
      <c r="J69" s="43">
        <f>'Enthalpy Data'!AG25</f>
        <v>6859.7125999999998</v>
      </c>
      <c r="K69" s="43">
        <f>'Enthalpy Data'!AH25</f>
        <v>6859.8353500000003</v>
      </c>
      <c r="L69" s="43">
        <f>'Enthalpy Data'!AI25</f>
        <v>6859.9581000000007</v>
      </c>
      <c r="M69" s="43">
        <f>'Enthalpy Data'!AJ25</f>
        <v>6860.0808500000003</v>
      </c>
      <c r="N69" s="76">
        <f>'Enthalpy Data'!AK25</f>
        <v>6860.2035999999998</v>
      </c>
    </row>
    <row r="70" spans="1:14" x14ac:dyDescent="0.25">
      <c r="A70" s="131">
        <f>'Enthalpy Data'!X26</f>
        <v>3100</v>
      </c>
      <c r="B70" s="47">
        <f>'Enthalpy Data'!Y26</f>
        <v>6996.7359523809537</v>
      </c>
      <c r="C70" s="43">
        <f>'Enthalpy Data'!Z26</f>
        <v>6996.3923000000004</v>
      </c>
      <c r="D70" s="43">
        <f>'Enthalpy Data'!AA26</f>
        <v>6996.4160000000002</v>
      </c>
      <c r="E70" s="43">
        <f>'Enthalpy Data'!AB26</f>
        <v>6996.4396999999999</v>
      </c>
      <c r="F70" s="43">
        <f>'Enthalpy Data'!AC26</f>
        <v>6996.4634000000005</v>
      </c>
      <c r="G70" s="43">
        <f>'Enthalpy Data'!AD26</f>
        <v>6996.4871000000003</v>
      </c>
      <c r="H70" s="43">
        <f>'Enthalpy Data'!AE26</f>
        <v>6996.6055999999999</v>
      </c>
      <c r="I70" s="43">
        <f>'Enthalpy Data'!AF26</f>
        <v>6996.7241000000013</v>
      </c>
      <c r="J70" s="43">
        <f>'Enthalpy Data'!AG26</f>
        <v>6996.8426000000009</v>
      </c>
      <c r="K70" s="43">
        <f>'Enthalpy Data'!AH26</f>
        <v>6996.9611000000004</v>
      </c>
      <c r="L70" s="43">
        <f>'Enthalpy Data'!AI26</f>
        <v>6997.0796</v>
      </c>
      <c r="M70" s="43">
        <f>'Enthalpy Data'!AJ26</f>
        <v>6997.1980999999996</v>
      </c>
      <c r="N70" s="76">
        <f>'Enthalpy Data'!AK26</f>
        <v>6997.316600000001</v>
      </c>
    </row>
    <row r="71" spans="1:14" x14ac:dyDescent="0.25">
      <c r="A71" s="131">
        <f>'Enthalpy Data'!X27</f>
        <v>3150</v>
      </c>
      <c r="B71" s="47">
        <f>'Enthalpy Data'!Y27</f>
        <v>7134.3702380952382</v>
      </c>
      <c r="C71" s="43">
        <f>'Enthalpy Data'!Z27</f>
        <v>7134.0219500000012</v>
      </c>
      <c r="D71" s="43">
        <f>'Enthalpy Data'!AA27</f>
        <v>7134.0481000000009</v>
      </c>
      <c r="E71" s="43">
        <f>'Enthalpy Data'!AB27</f>
        <v>7134.0742500000006</v>
      </c>
      <c r="F71" s="43">
        <f>'Enthalpy Data'!AC27</f>
        <v>7134.1004000000012</v>
      </c>
      <c r="G71" s="43">
        <f>'Enthalpy Data'!AD27</f>
        <v>7134.1265500000009</v>
      </c>
      <c r="H71" s="43">
        <f>'Enthalpy Data'!AE27</f>
        <v>7134.2573000000011</v>
      </c>
      <c r="I71" s="43">
        <f>'Enthalpy Data'!AF27</f>
        <v>7134.3880500000005</v>
      </c>
      <c r="J71" s="43">
        <f>'Enthalpy Data'!AG27</f>
        <v>7134.5188000000007</v>
      </c>
      <c r="K71" s="43">
        <f>'Enthalpy Data'!AH27</f>
        <v>7134.649550000001</v>
      </c>
      <c r="L71" s="43">
        <f>'Enthalpy Data'!AI27</f>
        <v>7134.7803000000013</v>
      </c>
      <c r="M71" s="43">
        <f>'Enthalpy Data'!AJ27</f>
        <v>7134.9110500000015</v>
      </c>
      <c r="N71" s="76">
        <f>'Enthalpy Data'!AK27</f>
        <v>7135.0418000000009</v>
      </c>
    </row>
    <row r="72" spans="1:14" x14ac:dyDescent="0.25">
      <c r="A72" s="131">
        <f>'Enthalpy Data'!X28</f>
        <v>3200</v>
      </c>
      <c r="B72" s="47">
        <f>'Enthalpy Data'!Y28</f>
        <v>7271.6142857142859</v>
      </c>
      <c r="C72" s="43">
        <f>'Enthalpy Data'!Z28</f>
        <v>7271.2593500000003</v>
      </c>
      <c r="D72" s="43">
        <f>'Enthalpy Data'!AA28</f>
        <v>7271.2858999999999</v>
      </c>
      <c r="E72" s="43">
        <f>'Enthalpy Data'!AB28</f>
        <v>7271.3124499999994</v>
      </c>
      <c r="F72" s="43">
        <f>'Enthalpy Data'!AC28</f>
        <v>7271.3390000000009</v>
      </c>
      <c r="G72" s="43">
        <f>'Enthalpy Data'!AD28</f>
        <v>7271.3655500000004</v>
      </c>
      <c r="H72" s="43">
        <f>'Enthalpy Data'!AE28</f>
        <v>7271.4983000000011</v>
      </c>
      <c r="I72" s="43">
        <f>'Enthalpy Data'!AF28</f>
        <v>7271.63105</v>
      </c>
      <c r="J72" s="43">
        <f>'Enthalpy Data'!AG28</f>
        <v>7271.7637999999997</v>
      </c>
      <c r="K72" s="43">
        <f>'Enthalpy Data'!AH28</f>
        <v>7271.8965500000004</v>
      </c>
      <c r="L72" s="43">
        <f>'Enthalpy Data'!AI28</f>
        <v>7272.0293000000001</v>
      </c>
      <c r="M72" s="43">
        <f>'Enthalpy Data'!AJ28</f>
        <v>7272.1620500000008</v>
      </c>
      <c r="N72" s="76">
        <f>'Enthalpy Data'!AK28</f>
        <v>7272.2947999999997</v>
      </c>
    </row>
    <row r="73" spans="1:14" x14ac:dyDescent="0.25">
      <c r="A73" s="131">
        <f>'Enthalpy Data'!X29</f>
        <v>3250</v>
      </c>
      <c r="B73" s="47">
        <f>'Enthalpy Data'!Y29</f>
        <v>7409.4185714285713</v>
      </c>
      <c r="C73" s="43">
        <f>'Enthalpy Data'!Z29</f>
        <v>7409.0594500000007</v>
      </c>
      <c r="D73" s="43">
        <f>'Enthalpy Data'!AA29</f>
        <v>7409.0888999999997</v>
      </c>
      <c r="E73" s="43">
        <f>'Enthalpy Data'!AB29</f>
        <v>7409.1183499999997</v>
      </c>
      <c r="F73" s="43">
        <f>'Enthalpy Data'!AC29</f>
        <v>7409.1477999999997</v>
      </c>
      <c r="G73" s="43">
        <f>'Enthalpy Data'!AD29</f>
        <v>7409.1772499999997</v>
      </c>
      <c r="H73" s="43">
        <f>'Enthalpy Data'!AE29</f>
        <v>7409.3244999999997</v>
      </c>
      <c r="I73" s="43">
        <f>'Enthalpy Data'!AF29</f>
        <v>7409.4717499999997</v>
      </c>
      <c r="J73" s="43">
        <f>'Enthalpy Data'!AG29</f>
        <v>7409.6189999999997</v>
      </c>
      <c r="K73" s="43">
        <f>'Enthalpy Data'!AH29</f>
        <v>7409.7662499999997</v>
      </c>
      <c r="L73" s="43">
        <f>'Enthalpy Data'!AI29</f>
        <v>7409.9134999999997</v>
      </c>
      <c r="M73" s="43">
        <f>'Enthalpy Data'!AJ29</f>
        <v>7410.0607500000006</v>
      </c>
      <c r="N73" s="76">
        <f>'Enthalpy Data'!AK29</f>
        <v>7410.2080000000005</v>
      </c>
    </row>
    <row r="74" spans="1:14" x14ac:dyDescent="0.25">
      <c r="A74" s="131">
        <f>'Enthalpy Data'!X30</f>
        <v>3300</v>
      </c>
      <c r="B74" s="47">
        <f>'Enthalpy Data'!Y30</f>
        <v>7547.3928571428569</v>
      </c>
      <c r="C74" s="43">
        <f>'Enthalpy Data'!Z30</f>
        <v>7547.0275000000001</v>
      </c>
      <c r="D74" s="43">
        <f>'Enthalpy Data'!AA30</f>
        <v>7547.0578000000014</v>
      </c>
      <c r="E74" s="43">
        <f>'Enthalpy Data'!AB30</f>
        <v>7547.0881000000008</v>
      </c>
      <c r="F74" s="43">
        <f>'Enthalpy Data'!AC30</f>
        <v>7547.1184000000003</v>
      </c>
      <c r="G74" s="43">
        <f>'Enthalpy Data'!AD30</f>
        <v>7547.1487000000016</v>
      </c>
      <c r="H74" s="43">
        <f>'Enthalpy Data'!AE30</f>
        <v>7547.3002000000006</v>
      </c>
      <c r="I74" s="43">
        <f>'Enthalpy Data'!AF30</f>
        <v>7547.4517000000005</v>
      </c>
      <c r="J74" s="43">
        <f>'Enthalpy Data'!AG30</f>
        <v>7547.6032000000005</v>
      </c>
      <c r="K74" s="43">
        <f>'Enthalpy Data'!AH30</f>
        <v>7547.7547000000004</v>
      </c>
      <c r="L74" s="43">
        <f>'Enthalpy Data'!AI30</f>
        <v>7547.9062000000013</v>
      </c>
      <c r="M74" s="43">
        <f>'Enthalpy Data'!AJ30</f>
        <v>7548.0577000000003</v>
      </c>
      <c r="N74" s="76">
        <f>'Enthalpy Data'!AK30</f>
        <v>7548.2092000000002</v>
      </c>
    </row>
    <row r="75" spans="1:14" x14ac:dyDescent="0.25">
      <c r="A75" s="131">
        <f>'Enthalpy Data'!X31</f>
        <v>3350</v>
      </c>
      <c r="B75" s="47">
        <f>'Enthalpy Data'!Y31</f>
        <v>7685.3671428571433</v>
      </c>
      <c r="C75" s="43">
        <f>'Enthalpy Data'!Z31</f>
        <v>7684.9968000000008</v>
      </c>
      <c r="D75" s="43">
        <f>'Enthalpy Data'!AA31</f>
        <v>7685.0292000000009</v>
      </c>
      <c r="E75" s="43">
        <f>'Enthalpy Data'!AB31</f>
        <v>7685.0616</v>
      </c>
      <c r="F75" s="43">
        <f>'Enthalpy Data'!AC31</f>
        <v>7685.0940000000001</v>
      </c>
      <c r="G75" s="43">
        <f>'Enthalpy Data'!AD31</f>
        <v>7685.1264000000001</v>
      </c>
      <c r="H75" s="43">
        <f>'Enthalpy Data'!AE31</f>
        <v>7685.2884000000013</v>
      </c>
      <c r="I75" s="43">
        <f>'Enthalpy Data'!AF31</f>
        <v>7685.4503999999997</v>
      </c>
      <c r="J75" s="43">
        <f>'Enthalpy Data'!AG31</f>
        <v>7685.6124000000009</v>
      </c>
      <c r="K75" s="43">
        <f>'Enthalpy Data'!AH31</f>
        <v>7685.7744000000002</v>
      </c>
      <c r="L75" s="43">
        <f>'Enthalpy Data'!AI31</f>
        <v>7685.9364000000005</v>
      </c>
      <c r="M75" s="43">
        <f>'Enthalpy Data'!AJ31</f>
        <v>7686.0984000000008</v>
      </c>
      <c r="N75" s="76">
        <f>'Enthalpy Data'!AK31</f>
        <v>7686.2604000000001</v>
      </c>
    </row>
    <row r="76" spans="1:14" x14ac:dyDescent="0.25">
      <c r="A76" s="131">
        <f>'Enthalpy Data'!X32</f>
        <v>3400</v>
      </c>
      <c r="B76" s="47">
        <f>'Enthalpy Data'!Y32</f>
        <v>7823.3514285714282</v>
      </c>
      <c r="C76" s="43">
        <f>'Enthalpy Data'!Z32</f>
        <v>7822.9781500000008</v>
      </c>
      <c r="D76" s="43">
        <f>'Enthalpy Data'!AA32</f>
        <v>7823.0147000000006</v>
      </c>
      <c r="E76" s="43">
        <f>'Enthalpy Data'!AB32</f>
        <v>7823.0512500000004</v>
      </c>
      <c r="F76" s="43">
        <f>'Enthalpy Data'!AC32</f>
        <v>7823.0878000000002</v>
      </c>
      <c r="G76" s="43">
        <f>'Enthalpy Data'!AD32</f>
        <v>7823.124350000001</v>
      </c>
      <c r="H76" s="43">
        <f>'Enthalpy Data'!AE32</f>
        <v>7823.3071</v>
      </c>
      <c r="I76" s="43">
        <f>'Enthalpy Data'!AF32</f>
        <v>7823.4898500000008</v>
      </c>
      <c r="J76" s="43">
        <f>'Enthalpy Data'!AG32</f>
        <v>7823.6725999999999</v>
      </c>
      <c r="K76" s="43">
        <f>'Enthalpy Data'!AH32</f>
        <v>7823.8553499999998</v>
      </c>
      <c r="L76" s="43">
        <f>'Enthalpy Data'!AI32</f>
        <v>7824.0381000000007</v>
      </c>
      <c r="M76" s="43">
        <f>'Enthalpy Data'!AJ32</f>
        <v>7824.2208500000006</v>
      </c>
      <c r="N76" s="76">
        <f>'Enthalpy Data'!AK32</f>
        <v>7824.4036000000006</v>
      </c>
    </row>
    <row r="77" spans="1:14" x14ac:dyDescent="0.25">
      <c r="A77" s="131">
        <f>'Enthalpy Data'!X33</f>
        <v>3450</v>
      </c>
      <c r="B77" s="47">
        <f>'Enthalpy Data'!Y33</f>
        <v>7962.0559523809525</v>
      </c>
      <c r="C77" s="43">
        <f>'Enthalpy Data'!Z33</f>
        <v>7961.6768500000007</v>
      </c>
      <c r="D77" s="43">
        <f>'Enthalpy Data'!AA33</f>
        <v>7961.7147000000014</v>
      </c>
      <c r="E77" s="43">
        <f>'Enthalpy Data'!AB33</f>
        <v>7961.7525500000011</v>
      </c>
      <c r="F77" s="43">
        <f>'Enthalpy Data'!AC33</f>
        <v>7961.7904000000008</v>
      </c>
      <c r="G77" s="43">
        <f>'Enthalpy Data'!AD33</f>
        <v>7961.8282500000014</v>
      </c>
      <c r="H77" s="43">
        <f>'Enthalpy Data'!AE33</f>
        <v>7962.0175000000017</v>
      </c>
      <c r="I77" s="43">
        <f>'Enthalpy Data'!AF33</f>
        <v>7962.2067500000003</v>
      </c>
      <c r="J77" s="43">
        <f>'Enthalpy Data'!AG33</f>
        <v>7962.3960000000006</v>
      </c>
      <c r="K77" s="43">
        <f>'Enthalpy Data'!AH33</f>
        <v>7962.585250000001</v>
      </c>
      <c r="L77" s="43">
        <f>'Enthalpy Data'!AI33</f>
        <v>7962.7745000000004</v>
      </c>
      <c r="M77" s="43">
        <f>'Enthalpy Data'!AJ33</f>
        <v>7962.9637500000008</v>
      </c>
      <c r="N77" s="76">
        <f>'Enthalpy Data'!AK33</f>
        <v>7963.1530000000002</v>
      </c>
    </row>
    <row r="78" spans="1:14" ht="15.75" thickBot="1" x14ac:dyDescent="0.3">
      <c r="A78" s="132">
        <f>'Enthalpy Data'!X34</f>
        <v>3500</v>
      </c>
      <c r="B78" s="139">
        <f>'Enthalpy Data'!Y34</f>
        <v>8100.2102380952383</v>
      </c>
      <c r="C78" s="44">
        <f>'Enthalpy Data'!Z34</f>
        <v>8099.8286500000004</v>
      </c>
      <c r="D78" s="44">
        <f>'Enthalpy Data'!AA34</f>
        <v>8099.8711000000003</v>
      </c>
      <c r="E78" s="44">
        <f>'Enthalpy Data'!AB34</f>
        <v>8099.9135500000011</v>
      </c>
      <c r="F78" s="44">
        <f>'Enthalpy Data'!AC34</f>
        <v>8099.956000000001</v>
      </c>
      <c r="G78" s="44">
        <f>'Enthalpy Data'!AD34</f>
        <v>8099.99845</v>
      </c>
      <c r="H78" s="44">
        <f>'Enthalpy Data'!AE34</f>
        <v>8100.2107000000005</v>
      </c>
      <c r="I78" s="44">
        <f>'Enthalpy Data'!AF34</f>
        <v>8100.422950000001</v>
      </c>
      <c r="J78" s="44">
        <f>'Enthalpy Data'!AG34</f>
        <v>8100.6352000000006</v>
      </c>
      <c r="K78" s="44">
        <f>'Enthalpy Data'!AH34</f>
        <v>8100.8474500000011</v>
      </c>
      <c r="L78" s="44">
        <f>'Enthalpy Data'!AI34</f>
        <v>8101.0597000000007</v>
      </c>
      <c r="M78" s="44">
        <f>'Enthalpy Data'!AJ34</f>
        <v>8101.2719500000003</v>
      </c>
      <c r="N78" s="140">
        <f>'Enthalpy Data'!AK34</f>
        <v>8101.4842000000008</v>
      </c>
    </row>
  </sheetData>
  <mergeCells count="28">
    <mergeCell ref="S24:T24"/>
    <mergeCell ref="U24:V24"/>
    <mergeCell ref="S42:S43"/>
    <mergeCell ref="W24:X24"/>
    <mergeCell ref="A1:K3"/>
    <mergeCell ref="C24:D24"/>
    <mergeCell ref="E24:F24"/>
    <mergeCell ref="G24:H24"/>
    <mergeCell ref="I24:J24"/>
    <mergeCell ref="K24:L24"/>
    <mergeCell ref="F4:K8"/>
    <mergeCell ref="M42:M43"/>
    <mergeCell ref="O42:O43"/>
    <mergeCell ref="Q42:Q43"/>
    <mergeCell ref="M24:N24"/>
    <mergeCell ref="O24:P24"/>
    <mergeCell ref="Q24:R24"/>
    <mergeCell ref="C42:C43"/>
    <mergeCell ref="E42:E43"/>
    <mergeCell ref="G42:G43"/>
    <mergeCell ref="I42:I43"/>
    <mergeCell ref="K42:K43"/>
    <mergeCell ref="U42:U43"/>
    <mergeCell ref="W42:W43"/>
    <mergeCell ref="Y42:Y43"/>
    <mergeCell ref="AA42:AA43"/>
    <mergeCell ref="Y24:Z24"/>
    <mergeCell ref="AA24:AB24"/>
  </mergeCells>
  <conditionalFormatting sqref="C26:C41 E26:E41 G26:G41 I26:I41 K26:K41 M26:M41 O26:O41 Q26:Q41 S26:S41 U26:U41 W26:W41 Y26:Y41 AA26:AA41">
    <cfRule type="colorScale" priority="1">
      <colorScale>
        <cfvo type="min"/>
        <cfvo type="max"/>
        <color theme="9" tint="0.79998168889431442"/>
        <color rgb="FFFF0000"/>
      </colorScale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78"/>
  <sheetViews>
    <sheetView topLeftCell="A13" zoomScale="85" zoomScaleNormal="85" workbookViewId="0">
      <selection activeCell="P4" sqref="P4"/>
    </sheetView>
  </sheetViews>
  <sheetFormatPr defaultRowHeight="15" x14ac:dyDescent="0.25"/>
  <cols>
    <col min="6" max="6" width="12.28515625" bestFit="1" customWidth="1"/>
    <col min="8" max="8" width="12.28515625" bestFit="1" customWidth="1"/>
    <col min="10" max="10" width="12.28515625" bestFit="1" customWidth="1"/>
    <col min="12" max="12" width="12.28515625" bestFit="1" customWidth="1"/>
    <col min="14" max="14" width="12.28515625" bestFit="1" customWidth="1"/>
    <col min="16" max="16" width="12.28515625" bestFit="1" customWidth="1"/>
    <col min="20" max="20" width="11.28515625" bestFit="1" customWidth="1"/>
    <col min="21" max="22" width="12.28515625" bestFit="1" customWidth="1"/>
    <col min="24" max="24" width="12.28515625" bestFit="1" customWidth="1"/>
    <col min="26" max="26" width="12.28515625" bestFit="1" customWidth="1"/>
    <col min="28" max="28" width="12.28515625" bestFit="1" customWidth="1"/>
  </cols>
  <sheetData>
    <row r="1" spans="1:28" x14ac:dyDescent="0.25">
      <c r="A1" s="215"/>
      <c r="B1" s="216"/>
      <c r="C1" s="216"/>
      <c r="D1" s="216"/>
      <c r="E1" s="216"/>
      <c r="F1" s="216"/>
      <c r="G1" s="216"/>
      <c r="H1" s="216"/>
      <c r="I1" s="216"/>
      <c r="J1" s="216"/>
      <c r="K1" s="217"/>
      <c r="L1" s="55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54"/>
      <c r="AB1" s="54"/>
    </row>
    <row r="2" spans="1:28" x14ac:dyDescent="0.25">
      <c r="A2" s="218"/>
      <c r="B2" s="219"/>
      <c r="C2" s="219"/>
      <c r="D2" s="219"/>
      <c r="E2" s="219"/>
      <c r="F2" s="219"/>
      <c r="G2" s="219"/>
      <c r="H2" s="219"/>
      <c r="I2" s="219"/>
      <c r="J2" s="219"/>
      <c r="K2" s="220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54"/>
      <c r="AB2" s="54"/>
    </row>
    <row r="3" spans="1:28" ht="15.75" thickBot="1" x14ac:dyDescent="0.3">
      <c r="A3" s="221"/>
      <c r="B3" s="222"/>
      <c r="C3" s="222"/>
      <c r="D3" s="222"/>
      <c r="E3" s="222"/>
      <c r="F3" s="222"/>
      <c r="G3" s="222"/>
      <c r="H3" s="222"/>
      <c r="I3" s="222"/>
      <c r="J3" s="222"/>
      <c r="K3" s="223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54"/>
      <c r="AB3" s="54"/>
    </row>
    <row r="4" spans="1:28" ht="15.75" thickBot="1" x14ac:dyDescent="0.3">
      <c r="A4" s="78" t="s">
        <v>17</v>
      </c>
      <c r="B4" s="59">
        <v>1800</v>
      </c>
      <c r="C4" s="53"/>
      <c r="D4" s="134" t="s">
        <v>25</v>
      </c>
      <c r="E4" s="167">
        <f>((10^5*(B6*B5)*10^-6))/(8314*293)</f>
        <v>6.5681391066181393E-6</v>
      </c>
      <c r="F4" s="237" t="s">
        <v>66</v>
      </c>
      <c r="G4" s="238"/>
      <c r="H4" s="238"/>
      <c r="I4" s="238"/>
      <c r="J4" s="238"/>
      <c r="K4" s="23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54"/>
      <c r="AB4" s="54"/>
    </row>
    <row r="5" spans="1:28" x14ac:dyDescent="0.25">
      <c r="A5" s="47" t="s">
        <v>20</v>
      </c>
      <c r="B5" s="56">
        <v>0.4</v>
      </c>
      <c r="C5" s="53"/>
      <c r="D5" s="49"/>
      <c r="E5" s="49"/>
      <c r="F5" s="240"/>
      <c r="G5" s="241"/>
      <c r="H5" s="241"/>
      <c r="I5" s="241"/>
      <c r="J5" s="241"/>
      <c r="K5" s="242"/>
      <c r="L5" s="49"/>
      <c r="M5" s="49"/>
      <c r="N5" s="49"/>
      <c r="O5" s="49"/>
      <c r="P5" s="49"/>
      <c r="Q5" s="49"/>
      <c r="R5" s="49"/>
      <c r="S5" s="49"/>
      <c r="T5" s="54"/>
      <c r="U5" s="54"/>
      <c r="V5" s="54"/>
      <c r="W5" s="54"/>
      <c r="X5" s="54"/>
      <c r="Y5" s="54"/>
      <c r="Z5" s="54"/>
      <c r="AA5" s="54"/>
      <c r="AB5" s="54"/>
    </row>
    <row r="6" spans="1:28" x14ac:dyDescent="0.25">
      <c r="A6" s="47" t="s">
        <v>18</v>
      </c>
      <c r="B6" s="25">
        <v>400</v>
      </c>
      <c r="C6" s="53"/>
      <c r="D6" s="49"/>
      <c r="E6" s="49"/>
      <c r="F6" s="240"/>
      <c r="G6" s="241"/>
      <c r="H6" s="241"/>
      <c r="I6" s="241"/>
      <c r="J6" s="241"/>
      <c r="K6" s="242"/>
      <c r="L6" s="49"/>
      <c r="M6" s="49"/>
      <c r="N6" s="49"/>
      <c r="O6" s="49"/>
      <c r="P6" s="49"/>
      <c r="Q6" s="49"/>
      <c r="R6" s="49"/>
      <c r="S6" s="49"/>
      <c r="T6" s="54"/>
      <c r="U6" s="54"/>
      <c r="V6" s="54"/>
      <c r="W6" s="54"/>
      <c r="X6" s="54"/>
      <c r="Y6" s="54"/>
      <c r="Z6" s="54"/>
      <c r="AA6" s="54"/>
      <c r="AB6" s="54"/>
    </row>
    <row r="7" spans="1:28" x14ac:dyDescent="0.25">
      <c r="A7" s="47" t="s">
        <v>19</v>
      </c>
      <c r="B7" s="25">
        <v>40</v>
      </c>
      <c r="C7" s="53"/>
      <c r="D7" s="49"/>
      <c r="E7" s="49"/>
      <c r="F7" s="240"/>
      <c r="G7" s="241"/>
      <c r="H7" s="241"/>
      <c r="I7" s="241"/>
      <c r="J7" s="241"/>
      <c r="K7" s="242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54"/>
      <c r="AB7" s="54"/>
    </row>
    <row r="8" spans="1:28" ht="15.75" thickBot="1" x14ac:dyDescent="0.3">
      <c r="A8" s="51" t="s">
        <v>59</v>
      </c>
      <c r="B8" s="52">
        <v>1.17</v>
      </c>
      <c r="C8" s="53"/>
      <c r="D8" s="54"/>
      <c r="E8" s="54"/>
      <c r="F8" s="243"/>
      <c r="G8" s="244"/>
      <c r="H8" s="244"/>
      <c r="I8" s="244"/>
      <c r="J8" s="244"/>
      <c r="K8" s="245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54"/>
      <c r="AB8" s="54"/>
    </row>
    <row r="9" spans="1:28" ht="60.75" thickBot="1" x14ac:dyDescent="0.3">
      <c r="A9" s="113" t="s">
        <v>16</v>
      </c>
      <c r="B9" s="143" t="s">
        <v>0</v>
      </c>
      <c r="C9" s="81" t="s">
        <v>21</v>
      </c>
      <c r="D9" s="144" t="s">
        <v>1</v>
      </c>
      <c r="E9" s="81" t="s">
        <v>21</v>
      </c>
      <c r="F9" s="144" t="s">
        <v>8</v>
      </c>
      <c r="G9" s="81" t="s">
        <v>21</v>
      </c>
      <c r="H9" s="144" t="s">
        <v>7</v>
      </c>
      <c r="I9" s="81" t="s">
        <v>21</v>
      </c>
      <c r="J9" s="81" t="s">
        <v>22</v>
      </c>
      <c r="K9" s="81" t="s">
        <v>23</v>
      </c>
      <c r="L9" s="67" t="s">
        <v>47</v>
      </c>
      <c r="M9" s="123" t="s">
        <v>48</v>
      </c>
      <c r="N9" s="179" t="s">
        <v>49</v>
      </c>
      <c r="O9" s="180" t="s">
        <v>50</v>
      </c>
      <c r="P9" s="181" t="s">
        <v>51</v>
      </c>
      <c r="Q9" s="199" t="s">
        <v>52</v>
      </c>
      <c r="R9" s="189" t="s">
        <v>53</v>
      </c>
      <c r="S9" s="179" t="s">
        <v>54</v>
      </c>
      <c r="T9" s="179" t="s">
        <v>55</v>
      </c>
      <c r="U9" s="190" t="s">
        <v>67</v>
      </c>
      <c r="V9" s="141" t="s">
        <v>61</v>
      </c>
      <c r="W9" s="142" t="s">
        <v>62</v>
      </c>
      <c r="X9" s="54"/>
      <c r="Y9" s="54"/>
      <c r="Z9" s="54"/>
      <c r="AA9" s="54"/>
    </row>
    <row r="10" spans="1:28" x14ac:dyDescent="0.25">
      <c r="A10" s="45">
        <v>1</v>
      </c>
      <c r="B10" s="168">
        <f>8*120%</f>
        <v>9.6</v>
      </c>
      <c r="C10" s="129">
        <v>115.18600000000001</v>
      </c>
      <c r="D10" s="129">
        <f>9*120%</f>
        <v>10.799999999999999</v>
      </c>
      <c r="E10" s="129">
        <v>93.212940000000003</v>
      </c>
      <c r="F10" s="129">
        <v>0</v>
      </c>
      <c r="G10" s="129">
        <v>74.391679999999994</v>
      </c>
      <c r="H10" s="129">
        <f>(79/21)*12.5*(120%)</f>
        <v>56.428571428571431</v>
      </c>
      <c r="I10" s="129">
        <v>70.280730000000005</v>
      </c>
      <c r="J10" s="129">
        <v>5065</v>
      </c>
      <c r="K10" s="171">
        <f>FORECAST(5065,A55:A56,B55:B56)</f>
        <v>2390.0286225656614</v>
      </c>
      <c r="L10" s="173">
        <f t="shared" ref="L10:L22" si="0">(((-8.5358E-16*(K10^5))+(8.92213971E-12*(K10^4))-(3.576722317485E-08*(K10^3))+(0.0000699095086815875*(K10^2))-(0.00826892770480903*(K10))-(0.895619545925062)))*0.8</f>
        <v>91.945179183011049</v>
      </c>
      <c r="M10" s="21">
        <f t="shared" ref="M10:M22" si="1">(((6.7E-19*(K10^6))-(7.89843E-15*(K10^5))+(3.687984988E-11*(K10^4))-(8.638622855912E-08*(K10^3))+(0.000110740178605573*(K10^2))-(0.031241611607915*(K10))+(3.30066945333761)))*0.8</f>
        <v>75.294123737767436</v>
      </c>
      <c r="N10" s="21">
        <f t="shared" ref="N10:N22" si="2">(((6.5E-19*(K10^6))-(7.82245E-15*(K10^5))+(0.0000000000371204177*(K10^4))-(8.798317617007E-08*(K10^3))+(0.000109823272345614*(K10^2))-(0.0326064446414848*(K10))+(3.57864890028521)))*0.8</f>
        <v>59.312891532588338</v>
      </c>
      <c r="O10" s="21">
        <f t="shared" ref="O10:O22" si="3">(((5.9E-19*(K10^6))-(7.10207E-15*(K10^5))+(3.346089681E-11*(K10^4))-(7.890960163412E-08*(K10^3))+(0.000098599769211504*(K10^2))-(0.028172899155961*(K10))+(3.05378907997741)))*0.8</f>
        <v>55.651703541154227</v>
      </c>
      <c r="P10" s="174">
        <f t="shared" ref="P10:P22" si="4">(L10*B10)+(M10*D10)+(N10*F10)+(O10*H10)*0.8</f>
        <v>4208.127159239757</v>
      </c>
      <c r="Q10" s="198">
        <f>FORECAST(P10,A$49:A$50,B49:B50)</f>
        <v>2068.9957562655886</v>
      </c>
      <c r="R10" s="20">
        <f t="shared" ref="R10:R22" si="5">(F10*T10)/($B$7*10^-6)</f>
        <v>0</v>
      </c>
      <c r="S10" s="21">
        <f t="shared" ref="S10:S22" si="6">(H10*T10)/($B$7*10^-6)</f>
        <v>0.15309293551027725</v>
      </c>
      <c r="T10" s="21">
        <f t="shared" ref="T10:T22" si="7">$E$4/(A10+12.5*(1+(79/21)))</f>
        <v>1.085215745389307E-7</v>
      </c>
      <c r="U10" s="22">
        <f t="shared" ref="U10:U22" si="8">(B10+D10+F10+H10)*T10</f>
        <v>8.3375575410052749E-6</v>
      </c>
      <c r="V10" s="78">
        <f>D42</f>
        <v>0</v>
      </c>
      <c r="W10" s="80">
        <f>(V10/U10)*10^6</f>
        <v>0</v>
      </c>
      <c r="X10" s="54"/>
      <c r="Y10" s="54"/>
      <c r="Z10" s="54"/>
      <c r="AA10" s="54"/>
    </row>
    <row r="11" spans="1:28" x14ac:dyDescent="0.25">
      <c r="A11" s="45">
        <v>0.99</v>
      </c>
      <c r="B11" s="47">
        <f>$B$10*A11</f>
        <v>9.5039999999999996</v>
      </c>
      <c r="C11" s="43">
        <f>$C$10*A11</f>
        <v>114.03414000000001</v>
      </c>
      <c r="D11" s="43">
        <f>$D$10*A11</f>
        <v>10.691999999999998</v>
      </c>
      <c r="E11" s="43">
        <f>$E$10*A11</f>
        <v>92.280810600000009</v>
      </c>
      <c r="F11" s="43">
        <f>12.5*(1-A11)*120%</f>
        <v>0.15000000000000013</v>
      </c>
      <c r="G11" s="43">
        <f>$G$10*A11</f>
        <v>73.6477632</v>
      </c>
      <c r="H11" s="79">
        <f t="shared" ref="H11:H22" si="9">(79/21)*12.5*(120%)</f>
        <v>56.428571428571431</v>
      </c>
      <c r="I11" s="43">
        <f>$I$10*A11</f>
        <v>69.577922700000002</v>
      </c>
      <c r="J11" s="43">
        <f>$J$10*A11</f>
        <v>5014.3500000000004</v>
      </c>
      <c r="K11" s="112">
        <f>FORECAST(5014.35,A55:A56,C55:C56)</f>
        <v>2371.2240976381399</v>
      </c>
      <c r="L11" s="182">
        <f t="shared" si="0"/>
        <v>91.029113398926171</v>
      </c>
      <c r="M11" s="24">
        <f t="shared" si="1"/>
        <v>74.443911862100535</v>
      </c>
      <c r="N11" s="24">
        <f t="shared" si="2"/>
        <v>58.716506331063307</v>
      </c>
      <c r="O11" s="24">
        <f t="shared" si="3"/>
        <v>55.116498736835389</v>
      </c>
      <c r="P11" s="145">
        <f t="shared" si="4"/>
        <v>4158.018704014059</v>
      </c>
      <c r="Q11" s="177">
        <f>FORECAST(P11,A49:A50,B49:B50)</f>
        <v>2050.0300592665035</v>
      </c>
      <c r="R11" s="23">
        <f t="shared" si="5"/>
        <v>4.0702315460947828E-4</v>
      </c>
      <c r="S11" s="24">
        <f t="shared" si="6"/>
        <v>0.15311823435308933</v>
      </c>
      <c r="T11" s="24">
        <f t="shared" si="7"/>
        <v>1.0853950789586077E-7</v>
      </c>
      <c r="U11" s="25">
        <f t="shared" si="8"/>
        <v>8.3330742017727539E-6</v>
      </c>
      <c r="V11" s="47">
        <f>F42</f>
        <v>4.2907844217656821E-9</v>
      </c>
      <c r="W11" s="76">
        <f t="shared" ref="W11:W22" si="10">(V11/U11)*10^6</f>
        <v>514.91014214812503</v>
      </c>
      <c r="X11" s="54"/>
      <c r="Y11" s="54"/>
      <c r="Z11" s="54"/>
      <c r="AA11" s="54"/>
    </row>
    <row r="12" spans="1:28" x14ac:dyDescent="0.25">
      <c r="A12" s="45">
        <v>0.98</v>
      </c>
      <c r="B12" s="47">
        <f t="shared" ref="B12:B22" si="11">$B$10*A12</f>
        <v>9.4079999999999995</v>
      </c>
      <c r="C12" s="43">
        <f t="shared" ref="C12:C22" si="12">$C$10*A12</f>
        <v>112.88228000000001</v>
      </c>
      <c r="D12" s="43">
        <f t="shared" ref="D12:D22" si="13">$D$10*A12</f>
        <v>10.584</v>
      </c>
      <c r="E12" s="43">
        <f t="shared" ref="E12:E22" si="14">$E$10*A12</f>
        <v>91.348681200000001</v>
      </c>
      <c r="F12" s="43">
        <f t="shared" ref="F12:F22" si="15">12.5*(1-A12)*120%</f>
        <v>0.30000000000000027</v>
      </c>
      <c r="G12" s="43">
        <f t="shared" ref="G12:G22" si="16">$G$10*A12</f>
        <v>72.903846399999992</v>
      </c>
      <c r="H12" s="79">
        <f t="shared" si="9"/>
        <v>56.428571428571431</v>
      </c>
      <c r="I12" s="43">
        <f t="shared" ref="I12:I22" si="17">$I$10*A12</f>
        <v>68.875115399999999</v>
      </c>
      <c r="J12" s="43">
        <f t="shared" ref="J12:J22" si="18">$J$10*A12</f>
        <v>4963.7</v>
      </c>
      <c r="K12" s="112">
        <f>FORECAST(4963.7,A55:A56,D55:D56)</f>
        <v>2352.3187397308907</v>
      </c>
      <c r="L12" s="182">
        <f t="shared" si="0"/>
        <v>90.109656487834073</v>
      </c>
      <c r="M12" s="24">
        <f t="shared" si="1"/>
        <v>73.592026486777996</v>
      </c>
      <c r="N12" s="24">
        <f t="shared" si="2"/>
        <v>58.117803600328855</v>
      </c>
      <c r="O12" s="24">
        <f t="shared" si="3"/>
        <v>54.57785426691445</v>
      </c>
      <c r="P12" s="145">
        <f t="shared" si="4"/>
        <v>4107.885275988695</v>
      </c>
      <c r="Q12" s="177">
        <f>FORECAST(P12,A48:A49,D48:D49)</f>
        <v>2031.0530226549513</v>
      </c>
      <c r="R12" s="23">
        <f t="shared" si="5"/>
        <v>8.1418085385600116E-4</v>
      </c>
      <c r="S12" s="24">
        <f t="shared" si="6"/>
        <v>0.15314354155862867</v>
      </c>
      <c r="T12" s="24">
        <f t="shared" si="7"/>
        <v>1.0855744718080005E-7</v>
      </c>
      <c r="U12" s="25">
        <f t="shared" si="8"/>
        <v>8.3285893805379407E-6</v>
      </c>
      <c r="V12" s="47">
        <f>H42</f>
        <v>4.6838033388341405E-9</v>
      </c>
      <c r="W12" s="76">
        <f t="shared" si="10"/>
        <v>562.37654719527245</v>
      </c>
      <c r="X12" s="54"/>
      <c r="Y12" s="54"/>
      <c r="Z12" s="54"/>
      <c r="AA12" s="54"/>
    </row>
    <row r="13" spans="1:28" x14ac:dyDescent="0.25">
      <c r="A13" s="201">
        <v>0.97</v>
      </c>
      <c r="B13" s="47">
        <f t="shared" si="11"/>
        <v>9.3119999999999994</v>
      </c>
      <c r="C13" s="43">
        <f t="shared" si="12"/>
        <v>111.73042000000001</v>
      </c>
      <c r="D13" s="43">
        <f t="shared" si="13"/>
        <v>10.475999999999999</v>
      </c>
      <c r="E13" s="43">
        <f t="shared" si="14"/>
        <v>90.416551800000008</v>
      </c>
      <c r="F13" s="43">
        <f t="shared" si="15"/>
        <v>0.4500000000000004</v>
      </c>
      <c r="G13" s="43">
        <f t="shared" si="16"/>
        <v>72.159929599999998</v>
      </c>
      <c r="H13" s="79">
        <f t="shared" si="9"/>
        <v>56.428571428571431</v>
      </c>
      <c r="I13" s="43">
        <f t="shared" si="17"/>
        <v>68.172308100000009</v>
      </c>
      <c r="J13" s="43">
        <f t="shared" si="18"/>
        <v>4913.05</v>
      </c>
      <c r="K13" s="112">
        <f>FORECAST(4913.05,A54:A55,E54:E55)</f>
        <v>2333.4572983595631</v>
      </c>
      <c r="L13" s="182">
        <f t="shared" si="0"/>
        <v>89.193825902596529</v>
      </c>
      <c r="M13" s="24">
        <f t="shared" si="1"/>
        <v>72.74506823326935</v>
      </c>
      <c r="N13" s="24">
        <f t="shared" si="2"/>
        <v>57.521447876488686</v>
      </c>
      <c r="O13" s="24">
        <f t="shared" si="3"/>
        <v>54.040004530035347</v>
      </c>
      <c r="P13" s="145">
        <f t="shared" si="4"/>
        <v>4058.055097659867</v>
      </c>
      <c r="Q13" s="177">
        <f>FORECAST(P13,A48:A49,E48:E49)</f>
        <v>2012.1350010593844</v>
      </c>
      <c r="R13" s="23">
        <f t="shared" si="5"/>
        <v>1.2214731644627447E-3</v>
      </c>
      <c r="S13" s="24">
        <f t="shared" si="6"/>
        <v>0.15316885713104245</v>
      </c>
      <c r="T13" s="24">
        <f t="shared" si="7"/>
        <v>1.085753923966883E-7</v>
      </c>
      <c r="U13" s="25">
        <f t="shared" si="8"/>
        <v>8.324103076565875E-6</v>
      </c>
      <c r="V13" s="47">
        <f>J42</f>
        <v>4.4101284795251249E-9</v>
      </c>
      <c r="W13" s="202">
        <f t="shared" si="10"/>
        <v>529.80224283149221</v>
      </c>
      <c r="X13" s="54"/>
      <c r="Y13" s="54"/>
      <c r="Z13" s="54"/>
      <c r="AA13" s="54"/>
    </row>
    <row r="14" spans="1:28" x14ac:dyDescent="0.25">
      <c r="A14" s="45">
        <v>0.96</v>
      </c>
      <c r="B14" s="47">
        <f t="shared" si="11"/>
        <v>9.2159999999999993</v>
      </c>
      <c r="C14" s="43">
        <f t="shared" si="12"/>
        <v>110.57856</v>
      </c>
      <c r="D14" s="43">
        <f t="shared" si="13"/>
        <v>10.367999999999999</v>
      </c>
      <c r="E14" s="43">
        <f t="shared" si="14"/>
        <v>89.4844224</v>
      </c>
      <c r="F14" s="43">
        <f t="shared" si="15"/>
        <v>0.60000000000000053</v>
      </c>
      <c r="G14" s="43">
        <f t="shared" si="16"/>
        <v>71.41601279999999</v>
      </c>
      <c r="H14" s="79">
        <f t="shared" si="9"/>
        <v>56.428571428571431</v>
      </c>
      <c r="I14" s="43">
        <f t="shared" si="17"/>
        <v>67.469500800000006</v>
      </c>
      <c r="J14" s="43">
        <f t="shared" si="18"/>
        <v>4862.3999999999996</v>
      </c>
      <c r="K14" s="112">
        <f>FORECAST(4862.4,A54:A55,F54:F55)</f>
        <v>2314.6006001449032</v>
      </c>
      <c r="L14" s="182">
        <f t="shared" si="0"/>
        <v>88.279681820335327</v>
      </c>
      <c r="M14" s="24">
        <f t="shared" si="1"/>
        <v>71.901330720486825</v>
      </c>
      <c r="N14" s="24">
        <f t="shared" si="2"/>
        <v>56.926271147402559</v>
      </c>
      <c r="O14" s="24">
        <f t="shared" si="3"/>
        <v>53.501944312164085</v>
      </c>
      <c r="P14" s="145">
        <f t="shared" si="4"/>
        <v>4008.4449362037813</v>
      </c>
      <c r="Q14" s="177">
        <f>FORECAST(P14,A47:A48,F47:F48)</f>
        <v>1993.2896878046245</v>
      </c>
      <c r="R14" s="23">
        <f t="shared" si="5"/>
        <v>1.6289001531970112E-3</v>
      </c>
      <c r="S14" s="24">
        <f t="shared" si="6"/>
        <v>0.15319418107448068</v>
      </c>
      <c r="T14" s="24">
        <f t="shared" si="7"/>
        <v>1.0859334354646731E-7</v>
      </c>
      <c r="U14" s="25">
        <f t="shared" si="8"/>
        <v>8.3196152891211238E-6</v>
      </c>
      <c r="V14" s="47">
        <f>L42</f>
        <v>3.8997193905503558E-9</v>
      </c>
      <c r="W14" s="76">
        <f t="shared" si="10"/>
        <v>468.73794701176843</v>
      </c>
      <c r="X14" s="54"/>
      <c r="Y14" s="54"/>
      <c r="Z14" s="54"/>
      <c r="AA14" s="54"/>
    </row>
    <row r="15" spans="1:28" x14ac:dyDescent="0.25">
      <c r="A15" s="45">
        <v>0.95</v>
      </c>
      <c r="B15" s="47">
        <f t="shared" si="11"/>
        <v>9.1199999999999992</v>
      </c>
      <c r="C15" s="43">
        <f t="shared" si="12"/>
        <v>109.4267</v>
      </c>
      <c r="D15" s="43">
        <f t="shared" si="13"/>
        <v>10.259999999999998</v>
      </c>
      <c r="E15" s="43">
        <f t="shared" si="14"/>
        <v>88.552293000000006</v>
      </c>
      <c r="F15" s="43">
        <f t="shared" si="15"/>
        <v>0.75000000000000067</v>
      </c>
      <c r="G15" s="43">
        <f t="shared" si="16"/>
        <v>70.672095999999996</v>
      </c>
      <c r="H15" s="79">
        <f t="shared" si="9"/>
        <v>56.428571428571431</v>
      </c>
      <c r="I15" s="43">
        <f t="shared" si="17"/>
        <v>66.766693500000002</v>
      </c>
      <c r="J15" s="43">
        <f t="shared" si="18"/>
        <v>4811.75</v>
      </c>
      <c r="K15" s="112">
        <f>FORECAST(4811.75,A53:A54,G53:G54)</f>
        <v>2295.7196536849629</v>
      </c>
      <c r="L15" s="182">
        <f t="shared" si="0"/>
        <v>87.365786505807947</v>
      </c>
      <c r="M15" s="24">
        <f t="shared" si="1"/>
        <v>71.059584226409868</v>
      </c>
      <c r="N15" s="24">
        <f t="shared" si="2"/>
        <v>56.331431738893848</v>
      </c>
      <c r="O15" s="24">
        <f t="shared" si="3"/>
        <v>52.962953112823406</v>
      </c>
      <c r="P15" s="145">
        <f t="shared" si="4"/>
        <v>3958.9949071361325</v>
      </c>
      <c r="Q15" s="177">
        <f>FORECAST(P15,A$47:A$48,F47:F48)</f>
        <v>1974.5194546562038</v>
      </c>
      <c r="R15" s="23">
        <f t="shared" si="5"/>
        <v>2.0364618868702659E-3</v>
      </c>
      <c r="S15" s="24">
        <f t="shared" si="6"/>
        <v>0.15321951339309609</v>
      </c>
      <c r="T15" s="24">
        <f t="shared" si="7"/>
        <v>1.0861130063308076E-7</v>
      </c>
      <c r="U15" s="25">
        <f t="shared" si="8"/>
        <v>8.3151260174677579E-6</v>
      </c>
      <c r="V15" s="47">
        <f>N42</f>
        <v>3.325724492836949E-9</v>
      </c>
      <c r="W15" s="76">
        <f t="shared" si="10"/>
        <v>399.96080466496005</v>
      </c>
      <c r="X15" s="54"/>
      <c r="Y15" s="54"/>
      <c r="Z15" s="54"/>
      <c r="AA15" s="54"/>
    </row>
    <row r="16" spans="1:28" x14ac:dyDescent="0.25">
      <c r="A16" s="45">
        <v>0.9</v>
      </c>
      <c r="B16" s="47">
        <f t="shared" si="11"/>
        <v>8.64</v>
      </c>
      <c r="C16" s="43">
        <f t="shared" si="12"/>
        <v>103.66740000000001</v>
      </c>
      <c r="D16" s="43">
        <f t="shared" si="13"/>
        <v>9.7199999999999989</v>
      </c>
      <c r="E16" s="43">
        <f t="shared" si="14"/>
        <v>83.891646000000009</v>
      </c>
      <c r="F16" s="43">
        <f t="shared" si="15"/>
        <v>1.4999999999999998</v>
      </c>
      <c r="G16" s="43">
        <f t="shared" si="16"/>
        <v>66.952511999999999</v>
      </c>
      <c r="H16" s="79">
        <f t="shared" si="9"/>
        <v>56.428571428571431</v>
      </c>
      <c r="I16" s="43">
        <f t="shared" si="17"/>
        <v>63.252657000000006</v>
      </c>
      <c r="J16" s="43">
        <f t="shared" si="18"/>
        <v>4558.5</v>
      </c>
      <c r="K16" s="112">
        <f>FORECAST(4558.5,A52:A53,H52:H53)</f>
        <v>2200.6683016876846</v>
      </c>
      <c r="L16" s="182">
        <f t="shared" si="0"/>
        <v>82.785271873715544</v>
      </c>
      <c r="M16" s="24">
        <f t="shared" si="1"/>
        <v>66.870878243480703</v>
      </c>
      <c r="N16" s="24">
        <f t="shared" si="2"/>
        <v>53.355962410516128</v>
      </c>
      <c r="O16" s="24">
        <f t="shared" si="3"/>
        <v>50.249486481231614</v>
      </c>
      <c r="P16" s="145">
        <f t="shared" si="4"/>
        <v>3713.6890188554789</v>
      </c>
      <c r="Q16" s="177">
        <f>FORECAST(P16,A$49:A$50,G49:G50)</f>
        <v>1881.7517098145618</v>
      </c>
      <c r="R16" s="23">
        <f t="shared" si="5"/>
        <v>4.0762940708186498E-3</v>
      </c>
      <c r="S16" s="24">
        <f t="shared" si="6"/>
        <v>0.15334630075936828</v>
      </c>
      <c r="T16" s="24">
        <f t="shared" si="7"/>
        <v>1.0870117522183066E-7</v>
      </c>
      <c r="U16" s="25">
        <f t="shared" si="8"/>
        <v>8.292657370280287E-6</v>
      </c>
      <c r="V16" s="47">
        <f>P42</f>
        <v>1.1404685388502036E-9</v>
      </c>
      <c r="W16" s="76">
        <f t="shared" si="10"/>
        <v>137.52751234332698</v>
      </c>
      <c r="X16" s="54"/>
      <c r="Y16" s="54"/>
      <c r="Z16" s="54"/>
      <c r="AA16" s="54"/>
    </row>
    <row r="17" spans="1:28" x14ac:dyDescent="0.25">
      <c r="A17" s="45">
        <v>0.85</v>
      </c>
      <c r="B17" s="47">
        <f t="shared" si="11"/>
        <v>8.16</v>
      </c>
      <c r="C17" s="43">
        <f t="shared" si="12"/>
        <v>97.908100000000005</v>
      </c>
      <c r="D17" s="43">
        <f t="shared" si="13"/>
        <v>9.18</v>
      </c>
      <c r="E17" s="43">
        <f t="shared" si="14"/>
        <v>79.230998999999997</v>
      </c>
      <c r="F17" s="43">
        <f t="shared" si="15"/>
        <v>2.25</v>
      </c>
      <c r="G17" s="43">
        <f t="shared" si="16"/>
        <v>63.232927999999994</v>
      </c>
      <c r="H17" s="79">
        <f t="shared" si="9"/>
        <v>56.428571428571431</v>
      </c>
      <c r="I17" s="43">
        <f t="shared" si="17"/>
        <v>59.738620500000003</v>
      </c>
      <c r="J17" s="43">
        <f t="shared" si="18"/>
        <v>4305.25</v>
      </c>
      <c r="K17" s="112">
        <f>FORECAST(4305.25,A50:A51,I50:I51)</f>
        <v>2105.4087162751498</v>
      </c>
      <c r="L17" s="182">
        <f t="shared" si="0"/>
        <v>78.224510481099784</v>
      </c>
      <c r="M17" s="24">
        <f t="shared" si="1"/>
        <v>62.759572787578115</v>
      </c>
      <c r="N17" s="24">
        <f t="shared" si="2"/>
        <v>50.411073703138491</v>
      </c>
      <c r="O17" s="24">
        <f t="shared" si="3"/>
        <v>47.538312009177723</v>
      </c>
      <c r="P17" s="145">
        <f t="shared" si="4"/>
        <v>3473.8850273906833</v>
      </c>
      <c r="Q17" s="177">
        <f>FORECAST(P17,P61:P62,X61:X62)</f>
        <v>1788.4940268999303</v>
      </c>
      <c r="R17" s="23">
        <f t="shared" si="5"/>
        <v>6.1195049254191558E-3</v>
      </c>
      <c r="S17" s="24">
        <f t="shared" si="6"/>
        <v>0.15347329812955979</v>
      </c>
      <c r="T17" s="24">
        <f t="shared" si="7"/>
        <v>1.0879119867411832E-7</v>
      </c>
      <c r="U17" s="25">
        <f t="shared" si="8"/>
        <v>8.2701515072083688E-6</v>
      </c>
      <c r="V17" s="47">
        <f>R42</f>
        <v>2.9031595644657155E-10</v>
      </c>
      <c r="W17" s="76">
        <f t="shared" si="10"/>
        <v>35.104067464003343</v>
      </c>
      <c r="X17" s="54"/>
      <c r="Y17" s="54"/>
      <c r="Z17" s="54"/>
      <c r="AA17" s="54"/>
    </row>
    <row r="18" spans="1:28" x14ac:dyDescent="0.25">
      <c r="A18" s="45">
        <v>0.8</v>
      </c>
      <c r="B18" s="47">
        <f t="shared" si="11"/>
        <v>7.68</v>
      </c>
      <c r="C18" s="43">
        <f t="shared" si="12"/>
        <v>92.148800000000008</v>
      </c>
      <c r="D18" s="43">
        <f t="shared" si="13"/>
        <v>8.6399999999999988</v>
      </c>
      <c r="E18" s="43">
        <f t="shared" si="14"/>
        <v>74.570352</v>
      </c>
      <c r="F18" s="43">
        <f t="shared" si="15"/>
        <v>2.9999999999999996</v>
      </c>
      <c r="G18" s="43">
        <f t="shared" si="16"/>
        <v>59.513343999999996</v>
      </c>
      <c r="H18" s="79">
        <f t="shared" si="9"/>
        <v>56.428571428571431</v>
      </c>
      <c r="I18" s="43">
        <f t="shared" si="17"/>
        <v>56.224584000000007</v>
      </c>
      <c r="J18" s="43">
        <f t="shared" si="18"/>
        <v>4052</v>
      </c>
      <c r="K18" s="112">
        <f>FORECAST(4052,A48:A49,J48:J49)</f>
        <v>2009.3136801219853</v>
      </c>
      <c r="L18" s="182">
        <f t="shared" si="0"/>
        <v>73.647711205932026</v>
      </c>
      <c r="M18" s="24">
        <f t="shared" si="1"/>
        <v>58.70487228912242</v>
      </c>
      <c r="N18" s="24">
        <f t="shared" si="2"/>
        <v>47.482830333930934</v>
      </c>
      <c r="O18" s="24">
        <f t="shared" si="3"/>
        <v>44.820883803680005</v>
      </c>
      <c r="P18" s="145">
        <f t="shared" si="4"/>
        <v>3238.6157642074941</v>
      </c>
      <c r="Q18" s="177">
        <f>FORECAST(P18,P59:P60,Y59:Y60)</f>
        <v>1697.301502020955</v>
      </c>
      <c r="R18" s="23">
        <f t="shared" si="5"/>
        <v>8.1661028520078685E-3</v>
      </c>
      <c r="S18" s="24">
        <f t="shared" si="6"/>
        <v>0.15360050602586234</v>
      </c>
      <c r="T18" s="24">
        <f t="shared" si="7"/>
        <v>1.0888137136010493E-7</v>
      </c>
      <c r="U18" s="25">
        <f t="shared" si="8"/>
        <v>8.247608335711721E-6</v>
      </c>
      <c r="V18" s="47">
        <f>T42</f>
        <v>6.1153373348207875E-11</v>
      </c>
      <c r="W18" s="76">
        <f t="shared" si="10"/>
        <v>7.4146796088045193</v>
      </c>
      <c r="X18" s="54"/>
      <c r="Y18" s="54"/>
      <c r="Z18" s="54"/>
      <c r="AA18" s="54"/>
    </row>
    <row r="19" spans="1:28" x14ac:dyDescent="0.25">
      <c r="A19" s="45">
        <v>0.75</v>
      </c>
      <c r="B19" s="47">
        <f t="shared" si="11"/>
        <v>7.1999999999999993</v>
      </c>
      <c r="C19" s="43">
        <f t="shared" si="12"/>
        <v>86.389499999999998</v>
      </c>
      <c r="D19" s="43">
        <f t="shared" si="13"/>
        <v>8.1</v>
      </c>
      <c r="E19" s="43">
        <f t="shared" si="14"/>
        <v>69.909705000000002</v>
      </c>
      <c r="F19" s="43">
        <f t="shared" si="15"/>
        <v>3.75</v>
      </c>
      <c r="G19" s="43">
        <f t="shared" si="16"/>
        <v>55.793759999999992</v>
      </c>
      <c r="H19" s="79">
        <f t="shared" si="9"/>
        <v>56.428571428571431</v>
      </c>
      <c r="I19" s="43">
        <f t="shared" si="17"/>
        <v>52.710547500000004</v>
      </c>
      <c r="J19" s="43">
        <f t="shared" si="18"/>
        <v>3798.75</v>
      </c>
      <c r="K19" s="112">
        <f>FORECAST(3798.75,A46:A47,K46:K47)</f>
        <v>1912.7508198925964</v>
      </c>
      <c r="L19" s="182">
        <f t="shared" si="0"/>
        <v>69.066412971223642</v>
      </c>
      <c r="M19" s="24">
        <f t="shared" si="1"/>
        <v>54.726337001369075</v>
      </c>
      <c r="N19" s="24">
        <f t="shared" si="2"/>
        <v>44.584979418468905</v>
      </c>
      <c r="O19" s="24">
        <f t="shared" si="3"/>
        <v>42.113921738113703</v>
      </c>
      <c r="P19" s="145">
        <f t="shared" si="4"/>
        <v>3008.8979286722915</v>
      </c>
      <c r="Q19" s="177">
        <f>FORECAST(P19,P58:P59,Z58:Z59)</f>
        <v>1607.3448778866427</v>
      </c>
      <c r="R19" s="23">
        <f t="shared" si="5"/>
        <v>1.0216096279798114E-2</v>
      </c>
      <c r="S19" s="24">
        <f t="shared" si="6"/>
        <v>0.1537279249722002</v>
      </c>
      <c r="T19" s="24">
        <f t="shared" si="7"/>
        <v>1.0897169365117987E-7</v>
      </c>
      <c r="U19" s="25">
        <f t="shared" si="8"/>
        <v>8.2250277629429829E-6</v>
      </c>
      <c r="V19" s="47">
        <f>V42</f>
        <v>1.0583340113551606E-11</v>
      </c>
      <c r="W19" s="76">
        <f t="shared" si="10"/>
        <v>1.2867239380314017</v>
      </c>
      <c r="X19" s="54"/>
      <c r="Y19" s="54"/>
      <c r="Z19" s="54"/>
      <c r="AA19" s="54"/>
    </row>
    <row r="20" spans="1:28" x14ac:dyDescent="0.25">
      <c r="A20" s="45">
        <v>0.7</v>
      </c>
      <c r="B20" s="47">
        <f t="shared" si="11"/>
        <v>6.72</v>
      </c>
      <c r="C20" s="43">
        <f t="shared" si="12"/>
        <v>80.630200000000002</v>
      </c>
      <c r="D20" s="43">
        <f t="shared" si="13"/>
        <v>7.5599999999999987</v>
      </c>
      <c r="E20" s="43">
        <f t="shared" si="14"/>
        <v>65.249058000000005</v>
      </c>
      <c r="F20" s="43">
        <f t="shared" si="15"/>
        <v>4.5</v>
      </c>
      <c r="G20" s="43">
        <f t="shared" si="16"/>
        <v>52.074175999999994</v>
      </c>
      <c r="H20" s="79">
        <f t="shared" si="9"/>
        <v>56.428571428571431</v>
      </c>
      <c r="I20" s="43">
        <f t="shared" si="17"/>
        <v>49.196511000000001</v>
      </c>
      <c r="J20" s="43">
        <f t="shared" si="18"/>
        <v>3545.5</v>
      </c>
      <c r="K20" s="112">
        <f>FORECAST(3545.5,P62:P63,AA62:AA63)</f>
        <v>1815.4578494691507</v>
      </c>
      <c r="L20" s="182">
        <f t="shared" si="0"/>
        <v>64.462497485673751</v>
      </c>
      <c r="M20" s="24">
        <f t="shared" si="1"/>
        <v>50.814008215863375</v>
      </c>
      <c r="N20" s="24">
        <f t="shared" si="2"/>
        <v>41.708700954813587</v>
      </c>
      <c r="O20" s="24">
        <f t="shared" si="3"/>
        <v>39.413012797049319</v>
      </c>
      <c r="P20" s="145">
        <f t="shared" si="4"/>
        <v>2784.2470457791142</v>
      </c>
      <c r="Q20" s="177">
        <f>FORECAST(P20,P56:P57,AA56:AA57)</f>
        <v>1518.7017002271216</v>
      </c>
      <c r="R20" s="23">
        <f t="shared" si="5"/>
        <v>1.2269493665996169E-2</v>
      </c>
      <c r="S20" s="24">
        <f t="shared" si="6"/>
        <v>0.15385555549423768</v>
      </c>
      <c r="T20" s="24">
        <f t="shared" si="7"/>
        <v>1.0906216591996593E-7</v>
      </c>
      <c r="U20" s="25">
        <f t="shared" si="8"/>
        <v>8.202409695746467E-6</v>
      </c>
      <c r="V20" s="47">
        <f>X42</f>
        <v>1.4886311759269273E-12</v>
      </c>
      <c r="W20" s="76">
        <f t="shared" si="10"/>
        <v>0.18148705455408895</v>
      </c>
      <c r="X20" s="54"/>
      <c r="Y20" s="54"/>
      <c r="Z20" s="54"/>
      <c r="AA20" s="54"/>
    </row>
    <row r="21" spans="1:28" x14ac:dyDescent="0.25">
      <c r="A21" s="45">
        <v>0.65</v>
      </c>
      <c r="B21" s="47">
        <f t="shared" si="11"/>
        <v>6.24</v>
      </c>
      <c r="C21" s="43">
        <f t="shared" si="12"/>
        <v>74.870900000000006</v>
      </c>
      <c r="D21" s="43">
        <f t="shared" si="13"/>
        <v>7.02</v>
      </c>
      <c r="E21" s="43">
        <f t="shared" si="14"/>
        <v>60.588411000000001</v>
      </c>
      <c r="F21" s="43">
        <f t="shared" si="15"/>
        <v>5.25</v>
      </c>
      <c r="G21" s="43">
        <f t="shared" si="16"/>
        <v>48.354591999999997</v>
      </c>
      <c r="H21" s="79">
        <f t="shared" si="9"/>
        <v>56.428571428571431</v>
      </c>
      <c r="I21" s="43">
        <f t="shared" si="17"/>
        <v>45.682474500000005</v>
      </c>
      <c r="J21" s="43">
        <f t="shared" si="18"/>
        <v>3292.25</v>
      </c>
      <c r="K21" s="112">
        <f>FORECAST(3292.25,P60:P61,AB60:AB61)</f>
        <v>1717.4320204673395</v>
      </c>
      <c r="L21" s="182">
        <f t="shared" si="0"/>
        <v>59.831289917214633</v>
      </c>
      <c r="M21" s="24">
        <f t="shared" si="1"/>
        <v>46.965770128210373</v>
      </c>
      <c r="N21" s="24">
        <f t="shared" si="2"/>
        <v>38.849627976754434</v>
      </c>
      <c r="O21" s="24">
        <f t="shared" si="3"/>
        <v>36.717670423510185</v>
      </c>
      <c r="P21" s="145">
        <f t="shared" si="4"/>
        <v>2564.5480528084481</v>
      </c>
      <c r="Q21" s="177">
        <f>FORECAST(P21,P54:P55,AB54:AB55)</f>
        <v>1431.049371365134</v>
      </c>
      <c r="R21" s="23">
        <f t="shared" si="5"/>
        <v>1.4326303495917578E-2</v>
      </c>
      <c r="S21" s="24">
        <f t="shared" si="6"/>
        <v>0.15398339811938622</v>
      </c>
      <c r="T21" s="24">
        <f t="shared" si="7"/>
        <v>1.0915278854032439E-7</v>
      </c>
      <c r="U21" s="25">
        <f t="shared" si="8"/>
        <v>8.179754040656853E-6</v>
      </c>
      <c r="V21" s="47">
        <f>Z42</f>
        <v>1.6489413442177284E-13</v>
      </c>
      <c r="W21" s="76">
        <f t="shared" si="10"/>
        <v>2.0158813284871274E-2</v>
      </c>
      <c r="X21" s="54"/>
      <c r="Y21" s="54"/>
      <c r="Z21" s="54"/>
      <c r="AA21" s="54"/>
    </row>
    <row r="22" spans="1:28" ht="15.75" thickBot="1" x14ac:dyDescent="0.3">
      <c r="A22" s="46">
        <v>0.6</v>
      </c>
      <c r="B22" s="170">
        <f t="shared" si="11"/>
        <v>5.76</v>
      </c>
      <c r="C22" s="44">
        <f t="shared" si="12"/>
        <v>69.111599999999996</v>
      </c>
      <c r="D22" s="44">
        <f t="shared" si="13"/>
        <v>6.4799999999999995</v>
      </c>
      <c r="E22" s="44">
        <f t="shared" si="14"/>
        <v>55.927764000000003</v>
      </c>
      <c r="F22" s="44">
        <f t="shared" si="15"/>
        <v>6</v>
      </c>
      <c r="G22" s="44">
        <f t="shared" si="16"/>
        <v>44.635007999999992</v>
      </c>
      <c r="H22" s="172">
        <f t="shared" si="9"/>
        <v>56.428571428571431</v>
      </c>
      <c r="I22" s="44">
        <f t="shared" si="17"/>
        <v>42.168438000000002</v>
      </c>
      <c r="J22" s="44">
        <f t="shared" si="18"/>
        <v>3039</v>
      </c>
      <c r="K22" s="115">
        <f>FORECAST(3039,P58:P59,AC58:AC59)</f>
        <v>1618.3786119295037</v>
      </c>
      <c r="L22" s="183">
        <f t="shared" si="0"/>
        <v>55.156228863133236</v>
      </c>
      <c r="M22" s="28">
        <f t="shared" si="1"/>
        <v>43.165300843022472</v>
      </c>
      <c r="N22" s="28">
        <f t="shared" si="2"/>
        <v>35.991710871983884</v>
      </c>
      <c r="O22" s="28">
        <f t="shared" si="3"/>
        <v>34.016205005423409</v>
      </c>
      <c r="P22" s="146">
        <f t="shared" si="4"/>
        <v>2348.9499760483077</v>
      </c>
      <c r="Q22" s="178">
        <f>FORECAST(P22,P52:P53,AC52:AC53)</f>
        <v>1344.2215453965241</v>
      </c>
      <c r="R22" s="125">
        <f t="shared" si="5"/>
        <v>1.6386534283104024E-2</v>
      </c>
      <c r="S22" s="28">
        <f t="shared" si="6"/>
        <v>0.15411145337681165</v>
      </c>
      <c r="T22" s="28">
        <f t="shared" si="7"/>
        <v>1.0924356188736014E-7</v>
      </c>
      <c r="U22" s="29">
        <f t="shared" si="8"/>
        <v>8.1570607038979139E-6</v>
      </c>
      <c r="V22" s="139">
        <f>AB42</f>
        <v>1.3816736749507114E-14</v>
      </c>
      <c r="W22" s="140">
        <f t="shared" si="10"/>
        <v>1.6938376764690105E-3</v>
      </c>
      <c r="X22" s="54"/>
      <c r="Y22" s="54"/>
      <c r="Z22" s="54"/>
      <c r="AA22" s="54"/>
    </row>
    <row r="23" spans="1:28" ht="15.75" thickBot="1" x14ac:dyDescent="0.3">
      <c r="A23" s="147"/>
      <c r="B23" s="53"/>
      <c r="C23" s="53"/>
      <c r="D23" s="53"/>
      <c r="E23" s="53"/>
      <c r="F23" s="53"/>
      <c r="G23" s="53"/>
      <c r="H23" s="53"/>
      <c r="I23" s="53"/>
      <c r="J23" s="53"/>
      <c r="K23" s="148"/>
      <c r="L23" s="53"/>
      <c r="M23" s="149"/>
      <c r="N23" s="53"/>
      <c r="O23" s="53"/>
      <c r="P23" s="53"/>
      <c r="Q23" s="148"/>
      <c r="R23" s="150"/>
      <c r="S23" s="53"/>
      <c r="T23" s="53"/>
      <c r="U23" s="53"/>
      <c r="V23" s="53">
        <f>AVERAGE(V10:V22)</f>
        <v>1.7011037441782985E-9</v>
      </c>
    </row>
    <row r="24" spans="1:28" x14ac:dyDescent="0.25">
      <c r="A24" s="114"/>
      <c r="B24" s="113" t="s">
        <v>16</v>
      </c>
      <c r="C24" s="224">
        <v>1</v>
      </c>
      <c r="D24" s="225"/>
      <c r="E24" s="224">
        <v>0.99</v>
      </c>
      <c r="F24" s="225"/>
      <c r="G24" s="224">
        <v>0.98</v>
      </c>
      <c r="H24" s="225"/>
      <c r="I24" s="224">
        <v>0.97</v>
      </c>
      <c r="J24" s="225"/>
      <c r="K24" s="226">
        <v>0.96</v>
      </c>
      <c r="L24" s="227"/>
      <c r="M24" s="228">
        <v>0.95</v>
      </c>
      <c r="N24" s="229"/>
      <c r="O24" s="224">
        <v>0.9</v>
      </c>
      <c r="P24" s="225"/>
      <c r="Q24" s="226">
        <v>0.85</v>
      </c>
      <c r="R24" s="227"/>
      <c r="S24" s="224">
        <v>0.8</v>
      </c>
      <c r="T24" s="225"/>
      <c r="U24" s="224">
        <v>0.75</v>
      </c>
      <c r="V24" s="230"/>
      <c r="W24" s="231">
        <v>0.7</v>
      </c>
      <c r="X24" s="231"/>
      <c r="Y24" s="231">
        <v>0.65</v>
      </c>
      <c r="Z24" s="231"/>
      <c r="AA24" s="231">
        <v>0.6</v>
      </c>
      <c r="AB24" s="232"/>
    </row>
    <row r="25" spans="1:28" ht="45.75" thickBot="1" x14ac:dyDescent="0.3">
      <c r="A25" s="155" t="s">
        <v>56</v>
      </c>
      <c r="B25" s="156" t="s">
        <v>57</v>
      </c>
      <c r="C25" s="158" t="s">
        <v>58</v>
      </c>
      <c r="D25" s="158" t="s">
        <v>60</v>
      </c>
      <c r="E25" s="158" t="s">
        <v>58</v>
      </c>
      <c r="F25" s="158" t="s">
        <v>60</v>
      </c>
      <c r="G25" s="158" t="s">
        <v>58</v>
      </c>
      <c r="H25" s="158" t="s">
        <v>60</v>
      </c>
      <c r="I25" s="158" t="s">
        <v>58</v>
      </c>
      <c r="J25" s="158" t="s">
        <v>60</v>
      </c>
      <c r="K25" s="158" t="s">
        <v>58</v>
      </c>
      <c r="L25" s="158" t="s">
        <v>60</v>
      </c>
      <c r="M25" s="158" t="s">
        <v>58</v>
      </c>
      <c r="N25" s="158" t="s">
        <v>60</v>
      </c>
      <c r="O25" s="158" t="s">
        <v>58</v>
      </c>
      <c r="P25" s="158" t="s">
        <v>60</v>
      </c>
      <c r="Q25" s="158" t="s">
        <v>58</v>
      </c>
      <c r="R25" s="158" t="s">
        <v>60</v>
      </c>
      <c r="S25" s="158" t="s">
        <v>58</v>
      </c>
      <c r="T25" s="158" t="s">
        <v>60</v>
      </c>
      <c r="U25" s="158" t="s">
        <v>58</v>
      </c>
      <c r="V25" s="158" t="s">
        <v>60</v>
      </c>
      <c r="W25" s="158" t="s">
        <v>58</v>
      </c>
      <c r="X25" s="158" t="s">
        <v>60</v>
      </c>
      <c r="Y25" s="158" t="s">
        <v>58</v>
      </c>
      <c r="Z25" s="158" t="s">
        <v>60</v>
      </c>
      <c r="AA25" s="158" t="s">
        <v>58</v>
      </c>
      <c r="AB25" s="158" t="s">
        <v>60</v>
      </c>
    </row>
    <row r="26" spans="1:28" ht="15.75" thickBot="1" x14ac:dyDescent="0.3">
      <c r="A26" s="135">
        <v>0</v>
      </c>
      <c r="B26" s="136">
        <v>10</v>
      </c>
      <c r="C26" s="159">
        <f>Q10</f>
        <v>2068.9957562655886</v>
      </c>
      <c r="D26" s="138">
        <f t="shared" ref="D26:D41" si="19">((4.7*10^13*($S$10*$R$10)^0.5)*EXP(-67837/C26)/($B$4*6))*$B$7*10^-6</f>
        <v>0</v>
      </c>
      <c r="E26" s="159">
        <f>Q11</f>
        <v>2050.0300592665035</v>
      </c>
      <c r="F26" s="138">
        <f t="shared" ref="F26:F41" si="20">((4.7*10^13*$S$11*$R$11^0.5*EXP(-67837/E26)/($B$4*6))*$B$7*10^-6)</f>
        <v>2.2879538243470745E-12</v>
      </c>
      <c r="G26" s="159">
        <f>Q12</f>
        <v>2031.0530226549513</v>
      </c>
      <c r="H26" s="138">
        <f t="shared" ref="H26:H41" si="21">((4.7*10^13*$S$12*$R$12^0.5*EXP(-67837/G26)/($B$4*6))*$B$7*10^-6)</f>
        <v>2.3757135917493963E-12</v>
      </c>
      <c r="I26" s="159">
        <f>Q13</f>
        <v>2012.1350010593844</v>
      </c>
      <c r="J26" s="138">
        <f t="shared" ref="J26:J41" si="22">((4.7*10^13*$S$13*$R$13^0.5*EXP(-67837/I26)/($B$4*6))*$B$7*10^-6)</f>
        <v>2.1260239096111336E-12</v>
      </c>
      <c r="K26" s="159">
        <f>Q14</f>
        <v>1993.2896878046245</v>
      </c>
      <c r="L26" s="138">
        <f t="shared" ref="L26:L41" si="23">((4.7*10^13*$S$14*$R$14^0.5*EXP(-67837/K26)/($B$4*6))*$B$7*10^-6)</f>
        <v>1.7853209783855863E-12</v>
      </c>
      <c r="M26" s="162">
        <f>Q15</f>
        <v>1974.5194546562038</v>
      </c>
      <c r="N26" s="138">
        <f t="shared" ref="N26:N41" si="24">((4.7*10^13*$S$15*$R$15^0.5*EXP(-67837/M26)/($B$4*6))*$B$7*10^-6)</f>
        <v>1.4446911112968266E-12</v>
      </c>
      <c r="O26" s="159">
        <f>Q16</f>
        <v>1881.7517098145618</v>
      </c>
      <c r="P26" s="138">
        <f t="shared" ref="P26:P41" si="25">((4.7*10^13*$S$16*$R$16^0.5*EXP(-67837/O26)/($B$4*6))*$B$7*10^-6)</f>
        <v>3.7606117501659494E-13</v>
      </c>
      <c r="Q26" s="159">
        <f>Q17</f>
        <v>1788.4940268999303</v>
      </c>
      <c r="R26" s="165">
        <f t="shared" ref="R26:R41" si="26">((4.7*10^13*$S$17*$R$17^0.5*EXP(-67837/Q26)/($B$4*6))*$B$7*10^-6)</f>
        <v>7.0384304997300026E-14</v>
      </c>
      <c r="S26" s="159">
        <f>Q18</f>
        <v>1697.301502020955</v>
      </c>
      <c r="T26" s="138">
        <f t="shared" ref="T26:T41" si="27">((4.7*10^13*$S$18*$R$18^0.5*EXP(-67837/S26)/($B$4*6))*$B$7*10^-6)</f>
        <v>1.0603355020716277E-14</v>
      </c>
      <c r="U26" s="159">
        <f>Q19</f>
        <v>1607.3448778866427</v>
      </c>
      <c r="V26" s="138">
        <f t="shared" ref="V26:V41" si="28">((4.7*10^13*$S$19*$R$19^0.5*EXP(-67837/U26)/($B$4*6))*$B$7*10^-6)</f>
        <v>1.2676471514638779E-15</v>
      </c>
      <c r="W26" s="159">
        <f>Q20</f>
        <v>1518.7017002271216</v>
      </c>
      <c r="X26" s="138">
        <f t="shared" ref="X26:X41" si="29">((4.7*10^13*$S$20*$R$20^0.5*EXP(-67837/W26)/($B$4*6))*$B$7*10^-6)</f>
        <v>1.1838584655523621E-16</v>
      </c>
      <c r="Y26" s="159">
        <f>Q21</f>
        <v>1431.049371365134</v>
      </c>
      <c r="Z26" s="138">
        <f t="shared" ref="Z26:Z41" si="30">((4.7*10^13*$S$21*$R$21^0.5*EXP(-67837/Y26)/($B$4*6))*$B$7*10^-6)</f>
        <v>8.3008082699997078E-18</v>
      </c>
      <c r="AA26" s="159">
        <f>Q22</f>
        <v>1344.2215453965241</v>
      </c>
      <c r="AB26" s="138">
        <f t="shared" ref="AB26:AB41" si="31">((4.7*10^13*$S$22*$R$22^0.5*EXP(-67837/AA26)/($B$4*6))*$B$7*10^-6)</f>
        <v>4.1578017564637943E-19</v>
      </c>
    </row>
    <row r="27" spans="1:28" ht="15.75" thickBot="1" x14ac:dyDescent="0.3">
      <c r="A27" s="151">
        <v>1</v>
      </c>
      <c r="B27" s="154">
        <v>12</v>
      </c>
      <c r="C27" s="160">
        <f>(((B26*10^5)^(1-$B$8))*((B27*10^5)^($B$8-1))*(C26^$B$8))^(1/$B$8)</f>
        <v>2124.5383124232158</v>
      </c>
      <c r="D27" s="138">
        <f t="shared" si="19"/>
        <v>0</v>
      </c>
      <c r="E27" s="47">
        <f>(((B26*10^5)^(1-$B$8))*((B27*10^5)^($B$8-1))*(E26^$B$8))^(1/$B$8)</f>
        <v>2105.0634779416341</v>
      </c>
      <c r="F27" s="169">
        <f t="shared" si="20"/>
        <v>5.4344627005553898E-12</v>
      </c>
      <c r="G27" s="47">
        <f>(((B26*10^5)^(1-$B$8))*((B27*10^5)^($B$8-1))*(G26^$B$8))^(1/$B$8)</f>
        <v>2085.5769994336865</v>
      </c>
      <c r="H27" s="169">
        <f t="shared" si="21"/>
        <v>5.6887108533800506E-12</v>
      </c>
      <c r="I27" s="47">
        <f>(((B26*10^5)^(1-$B$8))*((B27*10^5)^($B$8-1))*(I26^$B$8))^(1/$B$8)</f>
        <v>2066.1511202102438</v>
      </c>
      <c r="J27" s="169">
        <f t="shared" si="22"/>
        <v>5.1327880694238144E-12</v>
      </c>
      <c r="K27" s="160">
        <f>(((B26*10^5)^(1-$B$8))*((B27*10^5)^($B$8-1))*(K26^$B$8))^(1/$B$8)</f>
        <v>2046.7999011958475</v>
      </c>
      <c r="L27" s="169">
        <f t="shared" si="23"/>
        <v>4.3463079306606016E-12</v>
      </c>
      <c r="M27" s="163">
        <f>(((B26*10^5)^(1-$B$8))*((B27*10^5)^($B$8-1))*(M26^$B$8))^(1/$B$8)</f>
        <v>2027.5257778264911</v>
      </c>
      <c r="N27" s="169">
        <f t="shared" si="24"/>
        <v>3.5469284787780098E-12</v>
      </c>
      <c r="O27" s="47">
        <f>(((B26*10^5)^(1-$B$8))*((B27*10^5)^($B$8-1))*(O26^$B$8))^(1/$B$8)</f>
        <v>1932.2676665054187</v>
      </c>
      <c r="P27" s="169">
        <f t="shared" si="25"/>
        <v>9.6508642014194407E-13</v>
      </c>
      <c r="Q27" s="160">
        <f>(((B26*10^5)^(1-$B$8))*((B27*10^5)^($B$8-1))*(Q26^$B$8))^(1/$B$8)</f>
        <v>1836.5064646373407</v>
      </c>
      <c r="R27" s="165">
        <f t="shared" si="26"/>
        <v>1.8972568037310451E-13</v>
      </c>
      <c r="S27" s="47">
        <f>(((B26*10^5)^(1-$B$8))*((B27*10^5)^($B$8-1))*(S26^$B$8))^(1/$B$8)</f>
        <v>1742.8658603367865</v>
      </c>
      <c r="T27" s="169">
        <f t="shared" si="27"/>
        <v>3.0146128847237016E-14</v>
      </c>
      <c r="U27" s="47">
        <f>(((B26*10^5)^(1-$B$8))*((B27*10^5)^($B$8-1))*(U26^$B$8))^(1/$B$8)</f>
        <v>1650.494334754467</v>
      </c>
      <c r="V27" s="169">
        <f t="shared" si="28"/>
        <v>3.8210554073217303E-15</v>
      </c>
      <c r="W27" s="47">
        <f>(((B26*10^5)^(1-$B$8))*((B27*10^5)^($B$8-1))*(W26^$B$8))^(1/$B$8)</f>
        <v>1559.4715153493132</v>
      </c>
      <c r="X27" s="169">
        <f t="shared" si="29"/>
        <v>3.8058675876882777E-16</v>
      </c>
      <c r="Y27" s="47">
        <f>(((B26*10^5)^(1-$B$8))*((B27*10^5)^($B$8-1))*(Y26^$B$8))^(1/$B$8)</f>
        <v>1469.4661442525003</v>
      </c>
      <c r="Z27" s="169">
        <f t="shared" si="30"/>
        <v>2.8664056125242415E-17</v>
      </c>
      <c r="AA27" s="47">
        <f>(((B26*10^5)^(1-$B$8))*((B27*10^5)^($B$8-1))*(AA26^$B$8))^(1/$B$8)</f>
        <v>1380.3074099747278</v>
      </c>
      <c r="AB27" s="169">
        <f t="shared" si="31"/>
        <v>1.5554151275904146E-18</v>
      </c>
    </row>
    <row r="28" spans="1:28" ht="15.75" thickBot="1" x14ac:dyDescent="0.3">
      <c r="A28" s="151">
        <v>2</v>
      </c>
      <c r="B28" s="154">
        <v>14</v>
      </c>
      <c r="C28" s="160">
        <f t="shared" ref="C28:C41" si="32">(((B27*10^5)^(1-$B$8))*((B28*10^5)^($B$8-1))*(C27^$B$8))^(1/$B$8)</f>
        <v>2172.6605491148725</v>
      </c>
      <c r="D28" s="138">
        <f t="shared" si="19"/>
        <v>0</v>
      </c>
      <c r="E28" s="47">
        <f t="shared" ref="E28:E41" si="33">(((B27*10^5)^(1-$B$8))*((B28*10^5)^($B$8-1))*(E27^$B$8))^(1/$B$8)</f>
        <v>2152.7445963964633</v>
      </c>
      <c r="F28" s="169">
        <f t="shared" si="20"/>
        <v>1.1095347162936604E-11</v>
      </c>
      <c r="G28" s="47">
        <f t="shared" ref="G28:G41" si="34">(((B27*10^5)^(1-$B$8))*((B28*10^5)^($B$8-1))*(G27^$B$8))^(1/$B$8)</f>
        <v>2132.8167359065728</v>
      </c>
      <c r="H28" s="169">
        <f t="shared" si="21"/>
        <v>1.1692152328931457E-11</v>
      </c>
      <c r="I28" s="47">
        <f t="shared" ref="I28:I41" si="35">(((B27*10^5)^(1-$B$8))*((B28*10^5)^($B$8-1))*(I27^$B$8))^(1/$B$8)</f>
        <v>2112.9508473161709</v>
      </c>
      <c r="J28" s="169">
        <f t="shared" si="22"/>
        <v>1.0621249969150269E-11</v>
      </c>
      <c r="K28" s="160">
        <f t="shared" ref="K28:K41" si="36">(((B27*10^5)^(1-$B$8))*((B28*10^5)^($B$8-1))*(K27^$B$8))^(1/$B$8)</f>
        <v>2093.1613100392901</v>
      </c>
      <c r="L28" s="169">
        <f t="shared" si="23"/>
        <v>9.0558389994378299E-12</v>
      </c>
      <c r="M28" s="163">
        <f t="shared" ref="M28:M41" si="37">(((B27*10^5)^(1-$B$8))*((B28*10^5)^($B$8-1))*(M27^$B$8))^(1/$B$8)</f>
        <v>2073.4506146762064</v>
      </c>
      <c r="N28" s="169">
        <f t="shared" si="24"/>
        <v>7.4420279260128883E-12</v>
      </c>
      <c r="O28" s="47">
        <f t="shared" ref="O28:O41" si="38">(((B27*10^5)^(1-$B$8))*((B28*10^5)^($B$8-1))*(O27^$B$8))^(1/$B$8)</f>
        <v>1976.0348423927555</v>
      </c>
      <c r="P28" s="169">
        <f t="shared" si="25"/>
        <v>2.1002513741525596E-12</v>
      </c>
      <c r="Q28" s="160">
        <f t="shared" ref="Q28:Q41" si="39">(((B27*10^5)^(1-$B$8))*((B28*10^5)^($B$8-1))*(Q27^$B$8))^(1/$B$8)</f>
        <v>1878.1045842194903</v>
      </c>
      <c r="R28" s="165">
        <f t="shared" si="26"/>
        <v>4.299720173275513E-13</v>
      </c>
      <c r="S28" s="47">
        <f t="shared" ref="S28:S41" si="40">(((B27*10^5)^(1-$B$8))*((B28*10^5)^($B$8-1))*(S27^$B$8))^(1/$B$8)</f>
        <v>1782.3429565898889</v>
      </c>
      <c r="T28" s="169">
        <f t="shared" si="27"/>
        <v>7.1389759728843407E-14</v>
      </c>
      <c r="U28" s="47">
        <f t="shared" ref="U28:U41" si="41">(((B27*10^5)^(1-$B$8))*((B28*10^5)^($B$8-1))*(U27^$B$8))^(1/$B$8)</f>
        <v>1687.8791531740048</v>
      </c>
      <c r="V28" s="169">
        <f t="shared" si="28"/>
        <v>9.4960197733294246E-15</v>
      </c>
      <c r="W28" s="47">
        <f t="shared" ref="W28:W41" si="42">(((B27*10^5)^(1-$B$8))*((B28*10^5)^($B$8-1))*(W27^$B$8))^(1/$B$8)</f>
        <v>1594.7946050468313</v>
      </c>
      <c r="X28" s="169">
        <f t="shared" si="29"/>
        <v>9.9744306765013476E-16</v>
      </c>
      <c r="Y28" s="47">
        <f t="shared" ref="Y28:Y41" si="43">(((B27*10^5)^(1-$B$8))*((B28*10^5)^($B$8-1))*(Y27^$B$8))^(1/$B$8)</f>
        <v>1502.7505511236773</v>
      </c>
      <c r="Z28" s="169">
        <f t="shared" si="30"/>
        <v>7.9689547209781477E-17</v>
      </c>
      <c r="AA28" s="47">
        <f t="shared" ref="AA28:AA41" si="44">(((B27*10^5)^(1-$B$8))*((B28*10^5)^($B$8-1))*(AA27^$B$8))^(1/$B$8)</f>
        <v>1411.5723109189205</v>
      </c>
      <c r="AB28" s="169">
        <f t="shared" si="31"/>
        <v>4.6194855464789697E-18</v>
      </c>
    </row>
    <row r="29" spans="1:28" ht="15.75" thickBot="1" x14ac:dyDescent="0.3">
      <c r="A29" s="151">
        <v>3</v>
      </c>
      <c r="B29" s="154">
        <v>16</v>
      </c>
      <c r="C29" s="160">
        <f t="shared" si="32"/>
        <v>2215.226096094631</v>
      </c>
      <c r="D29" s="138">
        <f t="shared" si="19"/>
        <v>0</v>
      </c>
      <c r="E29" s="47">
        <f t="shared" si="33"/>
        <v>2194.9199612000725</v>
      </c>
      <c r="F29" s="169">
        <f t="shared" si="20"/>
        <v>2.0328544641423786E-11</v>
      </c>
      <c r="G29" s="47">
        <f t="shared" si="34"/>
        <v>2174.6016852436551</v>
      </c>
      <c r="H29" s="169">
        <f t="shared" si="21"/>
        <v>2.1543529733825256E-11</v>
      </c>
      <c r="I29" s="47">
        <f t="shared" si="35"/>
        <v>2154.3465953054242</v>
      </c>
      <c r="J29" s="169">
        <f t="shared" si="22"/>
        <v>1.9683100842647791E-11</v>
      </c>
      <c r="K29" s="160">
        <f t="shared" si="36"/>
        <v>2134.1693525128294</v>
      </c>
      <c r="L29" s="169">
        <f t="shared" si="23"/>
        <v>1.688027731594093E-11</v>
      </c>
      <c r="M29" s="163">
        <f t="shared" si="37"/>
        <v>2114.0724962605896</v>
      </c>
      <c r="N29" s="169">
        <f t="shared" si="24"/>
        <v>1.395446361541587E-11</v>
      </c>
      <c r="O29" s="47">
        <f t="shared" si="38"/>
        <v>2014.7482088004858</v>
      </c>
      <c r="P29" s="169">
        <f t="shared" si="25"/>
        <v>4.0621198030805756E-12</v>
      </c>
      <c r="Q29" s="160">
        <f t="shared" si="39"/>
        <v>1914.899355931555</v>
      </c>
      <c r="R29" s="165">
        <f t="shared" si="26"/>
        <v>8.6071561768022544E-13</v>
      </c>
      <c r="S29" s="47">
        <f t="shared" si="40"/>
        <v>1817.2616201996609</v>
      </c>
      <c r="T29" s="169">
        <f t="shared" si="27"/>
        <v>1.4833719467418347E-13</v>
      </c>
      <c r="U29" s="47">
        <f t="shared" si="41"/>
        <v>1720.9471349256191</v>
      </c>
      <c r="V29" s="169">
        <f t="shared" si="28"/>
        <v>2.0555655789911295E-14</v>
      </c>
      <c r="W29" s="47">
        <f t="shared" si="42"/>
        <v>1626.0389265363701</v>
      </c>
      <c r="X29" s="169">
        <f t="shared" si="29"/>
        <v>2.2586751887420626E-15</v>
      </c>
      <c r="Y29" s="47">
        <f t="shared" si="43"/>
        <v>1532.1915971300443</v>
      </c>
      <c r="Z29" s="169">
        <f t="shared" si="30"/>
        <v>1.8971811841211179E-16</v>
      </c>
      <c r="AA29" s="47">
        <f t="shared" si="44"/>
        <v>1439.2270439789104</v>
      </c>
      <c r="AB29" s="169">
        <f t="shared" si="31"/>
        <v>1.1631450404097374E-17</v>
      </c>
    </row>
    <row r="30" spans="1:28" ht="15.75" thickBot="1" x14ac:dyDescent="0.3">
      <c r="A30" s="151">
        <v>4</v>
      </c>
      <c r="B30" s="154">
        <v>18</v>
      </c>
      <c r="C30" s="160">
        <f t="shared" si="32"/>
        <v>2253.4632334043708</v>
      </c>
      <c r="D30" s="138">
        <f t="shared" si="19"/>
        <v>0</v>
      </c>
      <c r="E30" s="47">
        <f t="shared" si="33"/>
        <v>2232.8065932184736</v>
      </c>
      <c r="F30" s="169">
        <f t="shared" si="20"/>
        <v>3.434479151106001E-11</v>
      </c>
      <c r="G30" s="47">
        <f t="shared" si="34"/>
        <v>2212.1376024031924</v>
      </c>
      <c r="H30" s="169">
        <f t="shared" si="21"/>
        <v>3.6576274667593606E-11</v>
      </c>
      <c r="I30" s="47">
        <f t="shared" si="35"/>
        <v>2191.5328882633717</v>
      </c>
      <c r="J30" s="169">
        <f t="shared" si="22"/>
        <v>3.358439082585312E-11</v>
      </c>
      <c r="K30" s="160">
        <f t="shared" si="36"/>
        <v>2171.0073649929723</v>
      </c>
      <c r="L30" s="169">
        <f t="shared" si="23"/>
        <v>2.8947920149757233E-11</v>
      </c>
      <c r="M30" s="163">
        <f t="shared" si="37"/>
        <v>2150.5636158193433</v>
      </c>
      <c r="N30" s="169">
        <f t="shared" si="24"/>
        <v>2.4053465407705104E-11</v>
      </c>
      <c r="O30" s="47">
        <f t="shared" si="38"/>
        <v>2049.5248864679584</v>
      </c>
      <c r="P30" s="169">
        <f t="shared" si="25"/>
        <v>7.1924128168730701E-12</v>
      </c>
      <c r="Q30" s="160">
        <f t="shared" si="39"/>
        <v>1947.952537155888</v>
      </c>
      <c r="R30" s="165">
        <f t="shared" si="26"/>
        <v>1.5700714410667463E-12</v>
      </c>
      <c r="S30" s="47">
        <f t="shared" si="40"/>
        <v>1848.6294711931996</v>
      </c>
      <c r="T30" s="169">
        <f t="shared" si="27"/>
        <v>2.7947051518412259E-13</v>
      </c>
      <c r="U30" s="47">
        <f t="shared" si="41"/>
        <v>1750.6524963859977</v>
      </c>
      <c r="V30" s="169">
        <f t="shared" si="28"/>
        <v>4.0124785468600121E-14</v>
      </c>
      <c r="W30" s="47">
        <f t="shared" si="42"/>
        <v>1654.1060722848633</v>
      </c>
      <c r="X30" s="169">
        <f t="shared" si="29"/>
        <v>4.5844781628597251E-15</v>
      </c>
      <c r="Y30" s="47">
        <f t="shared" si="43"/>
        <v>1558.6388390560842</v>
      </c>
      <c r="Z30" s="169">
        <f t="shared" si="30"/>
        <v>4.0213837433441805E-16</v>
      </c>
      <c r="AA30" s="47">
        <f t="shared" si="44"/>
        <v>1464.0696197311247</v>
      </c>
      <c r="AB30" s="169">
        <f t="shared" si="31"/>
        <v>2.5880654498524204E-17</v>
      </c>
    </row>
    <row r="31" spans="1:28" ht="15.75" thickBot="1" x14ac:dyDescent="0.3">
      <c r="A31" s="151">
        <v>5</v>
      </c>
      <c r="B31" s="154">
        <v>20</v>
      </c>
      <c r="C31" s="160">
        <f t="shared" si="32"/>
        <v>2288.2264477962253</v>
      </c>
      <c r="D31" s="138">
        <f t="shared" si="19"/>
        <v>0</v>
      </c>
      <c r="E31" s="47">
        <f t="shared" si="33"/>
        <v>2267.2511464488089</v>
      </c>
      <c r="F31" s="169">
        <f t="shared" si="20"/>
        <v>5.4490108323116537E-11</v>
      </c>
      <c r="G31" s="47">
        <f t="shared" si="34"/>
        <v>2246.2633039441262</v>
      </c>
      <c r="H31" s="169">
        <f t="shared" si="21"/>
        <v>5.8281297843943929E-11</v>
      </c>
      <c r="I31" s="47">
        <f t="shared" si="35"/>
        <v>2225.3407296837104</v>
      </c>
      <c r="J31" s="169">
        <f t="shared" si="22"/>
        <v>5.374889207319945E-11</v>
      </c>
      <c r="K31" s="160">
        <f t="shared" si="36"/>
        <v>2204.4985679364208</v>
      </c>
      <c r="L31" s="169">
        <f t="shared" si="23"/>
        <v>4.6535061710484803E-11</v>
      </c>
      <c r="M31" s="163">
        <f t="shared" si="37"/>
        <v>2183.7394417799501</v>
      </c>
      <c r="N31" s="169">
        <f t="shared" si="24"/>
        <v>3.8841895416011102E-11</v>
      </c>
      <c r="O31" s="47">
        <f t="shared" si="38"/>
        <v>2081.1420311249362</v>
      </c>
      <c r="P31" s="169">
        <f t="shared" si="25"/>
        <v>1.1892071981261481E-11</v>
      </c>
      <c r="Q31" s="160">
        <f t="shared" si="39"/>
        <v>1978.0027685821201</v>
      </c>
      <c r="R31" s="165">
        <f t="shared" si="26"/>
        <v>2.6649527108971997E-12</v>
      </c>
      <c r="S31" s="47">
        <f t="shared" si="40"/>
        <v>1877.147488121795</v>
      </c>
      <c r="T31" s="169">
        <f t="shared" si="27"/>
        <v>4.8803521881574286E-13</v>
      </c>
      <c r="U31" s="47">
        <f t="shared" si="41"/>
        <v>1777.6590643900211</v>
      </c>
      <c r="V31" s="169">
        <f t="shared" si="28"/>
        <v>7.228997977810286E-14</v>
      </c>
      <c r="W31" s="47">
        <f t="shared" si="42"/>
        <v>1679.6232598587812</v>
      </c>
      <c r="X31" s="169">
        <f t="shared" si="29"/>
        <v>8.5482634301488257E-15</v>
      </c>
      <c r="Y31" s="47">
        <f t="shared" si="43"/>
        <v>1582.6832944163436</v>
      </c>
      <c r="Z31" s="169">
        <f t="shared" si="30"/>
        <v>7.7899940512417878E-16</v>
      </c>
      <c r="AA31" s="47">
        <f t="shared" si="44"/>
        <v>1486.6551961544967</v>
      </c>
      <c r="AB31" s="169">
        <f t="shared" si="31"/>
        <v>5.2322152800023363E-17</v>
      </c>
    </row>
    <row r="32" spans="1:28" ht="15.75" thickBot="1" x14ac:dyDescent="0.3">
      <c r="A32" s="151">
        <v>6</v>
      </c>
      <c r="B32" s="154">
        <v>22</v>
      </c>
      <c r="C32" s="160">
        <f t="shared" si="32"/>
        <v>2320.135358652296</v>
      </c>
      <c r="D32" s="138">
        <f t="shared" si="19"/>
        <v>0</v>
      </c>
      <c r="E32" s="47">
        <f t="shared" si="33"/>
        <v>2298.867560458023</v>
      </c>
      <c r="F32" s="169">
        <f t="shared" si="20"/>
        <v>8.2229591211822317E-11</v>
      </c>
      <c r="G32" s="47">
        <f t="shared" si="34"/>
        <v>2277.5870462222783</v>
      </c>
      <c r="H32" s="169">
        <f t="shared" si="21"/>
        <v>8.8289579030230087E-11</v>
      </c>
      <c r="I32" s="47">
        <f t="shared" si="35"/>
        <v>2256.3727103848551</v>
      </c>
      <c r="J32" s="169">
        <f t="shared" si="22"/>
        <v>8.1742078548279277E-11</v>
      </c>
      <c r="K32" s="160">
        <f t="shared" si="36"/>
        <v>2235.2399083987539</v>
      </c>
      <c r="L32" s="169">
        <f t="shared" si="23"/>
        <v>7.1052255884674052E-11</v>
      </c>
      <c r="M32" s="163">
        <f t="shared" si="37"/>
        <v>2214.1912999200181</v>
      </c>
      <c r="N32" s="169">
        <f t="shared" si="24"/>
        <v>5.9544988173479038E-11</v>
      </c>
      <c r="O32" s="47">
        <f t="shared" si="38"/>
        <v>2110.1631866202515</v>
      </c>
      <c r="P32" s="169">
        <f t="shared" si="25"/>
        <v>1.8618703196777663E-11</v>
      </c>
      <c r="Q32" s="160">
        <f t="shared" si="39"/>
        <v>2005.5856654044758</v>
      </c>
      <c r="R32" s="165">
        <f t="shared" si="26"/>
        <v>4.2710361985837268E-12</v>
      </c>
      <c r="S32" s="47">
        <f t="shared" si="40"/>
        <v>1903.3239759951273</v>
      </c>
      <c r="T32" s="169">
        <f t="shared" si="27"/>
        <v>8.022334066282399E-13</v>
      </c>
      <c r="U32" s="47">
        <f t="shared" si="41"/>
        <v>1802.4482038883157</v>
      </c>
      <c r="V32" s="169">
        <f t="shared" si="28"/>
        <v>1.2218219267176923E-13</v>
      </c>
      <c r="W32" s="47">
        <f t="shared" si="42"/>
        <v>1703.045307498443</v>
      </c>
      <c r="X32" s="169">
        <f t="shared" si="29"/>
        <v>1.4897433497761976E-14</v>
      </c>
      <c r="Y32" s="47">
        <f t="shared" si="43"/>
        <v>1604.7535314785737</v>
      </c>
      <c r="Z32" s="169">
        <f t="shared" si="30"/>
        <v>1.4045795245536084E-15</v>
      </c>
      <c r="AA32" s="47">
        <f t="shared" si="44"/>
        <v>1507.3863384649521</v>
      </c>
      <c r="AB32" s="169">
        <f t="shared" si="31"/>
        <v>9.8001182124738102E-17</v>
      </c>
    </row>
    <row r="33" spans="1:29" ht="15.75" thickBot="1" x14ac:dyDescent="0.3">
      <c r="A33" s="151">
        <v>7</v>
      </c>
      <c r="B33" s="154">
        <v>24</v>
      </c>
      <c r="C33" s="160">
        <f t="shared" si="32"/>
        <v>2349.6542905519218</v>
      </c>
      <c r="D33" s="138">
        <f t="shared" si="19"/>
        <v>0</v>
      </c>
      <c r="E33" s="47">
        <f t="shared" si="33"/>
        <v>2328.1159035386777</v>
      </c>
      <c r="F33" s="169">
        <f t="shared" si="20"/>
        <v>1.1913270922805777E-10</v>
      </c>
      <c r="G33" s="47">
        <f t="shared" si="34"/>
        <v>2306.5646386985873</v>
      </c>
      <c r="H33" s="169">
        <f t="shared" si="21"/>
        <v>1.2835614201912244E-10</v>
      </c>
      <c r="I33" s="47">
        <f t="shared" si="35"/>
        <v>2285.0803942402981</v>
      </c>
      <c r="J33" s="169">
        <f t="shared" si="22"/>
        <v>1.1925614673357812E-10</v>
      </c>
      <c r="K33" s="160">
        <f t="shared" si="36"/>
        <v>2263.6787209832387</v>
      </c>
      <c r="L33" s="169">
        <f t="shared" si="23"/>
        <v>1.0403125001839581E-10</v>
      </c>
      <c r="M33" s="163">
        <f t="shared" si="37"/>
        <v>2242.3623124220858</v>
      </c>
      <c r="N33" s="169">
        <f t="shared" si="24"/>
        <v>8.7499436651490351E-11</v>
      </c>
      <c r="O33" s="47">
        <f t="shared" si="38"/>
        <v>2137.0106561744087</v>
      </c>
      <c r="P33" s="169">
        <f t="shared" si="25"/>
        <v>2.7883689007296833E-11</v>
      </c>
      <c r="Q33" s="160">
        <f t="shared" si="39"/>
        <v>2031.1026019293902</v>
      </c>
      <c r="R33" s="165">
        <f t="shared" si="26"/>
        <v>6.5325087652935191E-12</v>
      </c>
      <c r="S33" s="47">
        <f t="shared" si="40"/>
        <v>1927.5398436688811</v>
      </c>
      <c r="T33" s="169">
        <f t="shared" si="27"/>
        <v>1.2553441692390588E-12</v>
      </c>
      <c r="U33" s="47">
        <f t="shared" si="41"/>
        <v>1825.3806356469904</v>
      </c>
      <c r="V33" s="169">
        <f t="shared" si="28"/>
        <v>1.9604385810624032E-13</v>
      </c>
      <c r="W33" s="47">
        <f t="shared" si="42"/>
        <v>1724.7130426443896</v>
      </c>
      <c r="X33" s="169">
        <f t="shared" si="29"/>
        <v>2.4572102765849066E-14</v>
      </c>
      <c r="Y33" s="47">
        <f t="shared" si="43"/>
        <v>1625.1707067242942</v>
      </c>
      <c r="Z33" s="169">
        <f t="shared" si="30"/>
        <v>2.3888495604696537E-15</v>
      </c>
      <c r="AA33" s="47">
        <f t="shared" si="44"/>
        <v>1526.5647172201543</v>
      </c>
      <c r="AB33" s="169">
        <f t="shared" si="31"/>
        <v>1.7249311321454932E-16</v>
      </c>
    </row>
    <row r="34" spans="1:29" ht="15.75" thickBot="1" x14ac:dyDescent="0.3">
      <c r="A34" s="151">
        <v>8</v>
      </c>
      <c r="B34" s="154">
        <v>26</v>
      </c>
      <c r="C34" s="160">
        <f t="shared" si="32"/>
        <v>2377.1406169375077</v>
      </c>
      <c r="D34" s="138">
        <f t="shared" si="19"/>
        <v>0</v>
      </c>
      <c r="E34" s="47">
        <f t="shared" si="33"/>
        <v>2355.3502732267843</v>
      </c>
      <c r="F34" s="169">
        <f t="shared" si="20"/>
        <v>1.6686011100272628E-10</v>
      </c>
      <c r="G34" s="47">
        <f t="shared" si="34"/>
        <v>2333.546901044012</v>
      </c>
      <c r="H34" s="169">
        <f t="shared" si="21"/>
        <v>1.8034550084125035E-10</v>
      </c>
      <c r="I34" s="47">
        <f t="shared" si="35"/>
        <v>2311.811333249474</v>
      </c>
      <c r="J34" s="169">
        <f t="shared" si="22"/>
        <v>1.6809623778487763E-10</v>
      </c>
      <c r="K34" s="160">
        <f t="shared" si="36"/>
        <v>2290.1593025765569</v>
      </c>
      <c r="L34" s="169">
        <f t="shared" si="23"/>
        <v>1.4711280284402335E-10</v>
      </c>
      <c r="M34" s="163">
        <f t="shared" si="37"/>
        <v>2268.5935340285178</v>
      </c>
      <c r="N34" s="169">
        <f t="shared" si="24"/>
        <v>1.2414306694585978E-10</v>
      </c>
      <c r="O34" s="47">
        <f t="shared" si="38"/>
        <v>2162.0094709452778</v>
      </c>
      <c r="P34" s="169">
        <f t="shared" si="25"/>
        <v>4.0249153538956913E-11</v>
      </c>
      <c r="Q34" s="160">
        <f t="shared" si="39"/>
        <v>2054.8625011042304</v>
      </c>
      <c r="R34" s="165">
        <f t="shared" si="26"/>
        <v>9.6116617239511496E-12</v>
      </c>
      <c r="S34" s="47">
        <f t="shared" si="40"/>
        <v>1950.0882625904846</v>
      </c>
      <c r="T34" s="169">
        <f t="shared" si="27"/>
        <v>1.8857862104010502E-12</v>
      </c>
      <c r="U34" s="47">
        <f t="shared" si="41"/>
        <v>1846.7339930881551</v>
      </c>
      <c r="V34" s="169">
        <f t="shared" si="28"/>
        <v>3.0128238023085691E-13</v>
      </c>
      <c r="W34" s="47">
        <f t="shared" si="42"/>
        <v>1744.8887875623643</v>
      </c>
      <c r="X34" s="169">
        <f t="shared" si="29"/>
        <v>3.8721790538183424E-14</v>
      </c>
      <c r="Y34" s="47">
        <f t="shared" si="43"/>
        <v>1644.1820024101919</v>
      </c>
      <c r="Z34" s="169">
        <f t="shared" si="30"/>
        <v>3.8707904729401641E-15</v>
      </c>
      <c r="AA34" s="47">
        <f t="shared" si="44"/>
        <v>1544.4225170824395</v>
      </c>
      <c r="AB34" s="169">
        <f t="shared" si="31"/>
        <v>2.8835142337654312E-16</v>
      </c>
    </row>
    <row r="35" spans="1:29" ht="15.75" thickBot="1" x14ac:dyDescent="0.3">
      <c r="A35" s="151">
        <v>9</v>
      </c>
      <c r="B35" s="154">
        <v>28</v>
      </c>
      <c r="C35" s="160">
        <f t="shared" si="32"/>
        <v>2402.8755571453912</v>
      </c>
      <c r="D35" s="138">
        <f t="shared" si="19"/>
        <v>0</v>
      </c>
      <c r="E35" s="47">
        <f t="shared" si="33"/>
        <v>2380.8493110280078</v>
      </c>
      <c r="F35" s="169">
        <f t="shared" si="20"/>
        <v>2.2715185495041257E-10</v>
      </c>
      <c r="G35" s="47">
        <f t="shared" si="34"/>
        <v>2358.8098953922504</v>
      </c>
      <c r="H35" s="169">
        <f t="shared" si="21"/>
        <v>2.4621854188324108E-10</v>
      </c>
      <c r="I35" s="47">
        <f t="shared" si="35"/>
        <v>2336.8390181954892</v>
      </c>
      <c r="J35" s="169">
        <f t="shared" si="22"/>
        <v>2.301678850184116E-10</v>
      </c>
      <c r="K35" s="160">
        <f t="shared" si="36"/>
        <v>2314.9525824937818</v>
      </c>
      <c r="L35" s="169">
        <f t="shared" si="23"/>
        <v>2.0203545990926824E-10</v>
      </c>
      <c r="M35" s="163">
        <f t="shared" si="37"/>
        <v>2293.1533427912946</v>
      </c>
      <c r="N35" s="169">
        <f t="shared" si="24"/>
        <v>1.710052099151696E-10</v>
      </c>
      <c r="O35" s="47">
        <f t="shared" si="38"/>
        <v>2185.4153999287046</v>
      </c>
      <c r="P35" s="169">
        <f t="shared" si="25"/>
        <v>5.6324897812075114E-11</v>
      </c>
      <c r="Q35" s="160">
        <f t="shared" si="39"/>
        <v>2077.1084562759829</v>
      </c>
      <c r="R35" s="165">
        <f t="shared" si="26"/>
        <v>1.3688381436484821E-11</v>
      </c>
      <c r="S35" s="47">
        <f t="shared" si="40"/>
        <v>1971.1999311557695</v>
      </c>
      <c r="T35" s="169">
        <f t="shared" si="27"/>
        <v>2.7371348697985131E-12</v>
      </c>
      <c r="U35" s="47">
        <f t="shared" si="41"/>
        <v>1866.7267476409829</v>
      </c>
      <c r="V35" s="169">
        <f t="shared" si="28"/>
        <v>4.4651184031852573E-13</v>
      </c>
      <c r="W35" s="47">
        <f t="shared" si="42"/>
        <v>1763.778965239432</v>
      </c>
      <c r="X35" s="169">
        <f t="shared" si="29"/>
        <v>5.8720175435558291E-14</v>
      </c>
      <c r="Y35" s="47">
        <f t="shared" si="43"/>
        <v>1661.9819277580734</v>
      </c>
      <c r="Z35" s="169">
        <f t="shared" si="30"/>
        <v>6.0215403562217858E-15</v>
      </c>
      <c r="AA35" s="47">
        <f t="shared" si="44"/>
        <v>1561.1424455753656</v>
      </c>
      <c r="AB35" s="169">
        <f t="shared" si="31"/>
        <v>4.6155772238379119E-16</v>
      </c>
    </row>
    <row r="36" spans="1:29" ht="15.75" thickBot="1" x14ac:dyDescent="0.3">
      <c r="A36" s="151">
        <v>10</v>
      </c>
      <c r="B36" s="154">
        <v>30</v>
      </c>
      <c r="C36" s="160">
        <f t="shared" si="32"/>
        <v>2427.0845762865697</v>
      </c>
      <c r="D36" s="138">
        <f t="shared" si="19"/>
        <v>0</v>
      </c>
      <c r="E36" s="47">
        <f t="shared" si="33"/>
        <v>2404.8364153004477</v>
      </c>
      <c r="F36" s="169">
        <f t="shared" si="20"/>
        <v>3.0181694123025804E-10</v>
      </c>
      <c r="G36" s="47">
        <f t="shared" si="34"/>
        <v>2382.5749521127868</v>
      </c>
      <c r="H36" s="169">
        <f t="shared" si="21"/>
        <v>3.2802075019746719E-10</v>
      </c>
      <c r="I36" s="47">
        <f t="shared" si="35"/>
        <v>2360.3827178902643</v>
      </c>
      <c r="J36" s="169">
        <f t="shared" si="22"/>
        <v>3.0746564150064211E-10</v>
      </c>
      <c r="K36" s="160">
        <f t="shared" si="36"/>
        <v>2338.2757759125434</v>
      </c>
      <c r="L36" s="169">
        <f t="shared" si="23"/>
        <v>2.706252847505972E-10</v>
      </c>
      <c r="M36" s="163">
        <f t="shared" si="37"/>
        <v>2316.2569084354714</v>
      </c>
      <c r="N36" s="169">
        <f t="shared" si="24"/>
        <v>2.2969780232524323E-10</v>
      </c>
      <c r="O36" s="47">
        <f t="shared" si="38"/>
        <v>2207.4335036507105</v>
      </c>
      <c r="P36" s="169">
        <f t="shared" si="25"/>
        <v>7.6765380006310334E-11</v>
      </c>
      <c r="Q36" s="160">
        <f t="shared" si="39"/>
        <v>2098.0353653815155</v>
      </c>
      <c r="R36" s="165">
        <f t="shared" si="26"/>
        <v>1.8959571436513419E-11</v>
      </c>
      <c r="S36" s="47">
        <f t="shared" si="40"/>
        <v>1991.0598097593588</v>
      </c>
      <c r="T36" s="169">
        <f t="shared" si="27"/>
        <v>3.8581033079211516E-12</v>
      </c>
      <c r="U36" s="47">
        <f t="shared" si="41"/>
        <v>1885.5340568379177</v>
      </c>
      <c r="V36" s="169">
        <f t="shared" si="28"/>
        <v>6.4158457080206414E-13</v>
      </c>
      <c r="W36" s="47">
        <f t="shared" si="42"/>
        <v>1781.5490734763393</v>
      </c>
      <c r="X36" s="169">
        <f t="shared" si="29"/>
        <v>8.6178033381091672E-14</v>
      </c>
      <c r="Y36" s="47">
        <f t="shared" si="43"/>
        <v>1678.726428812962</v>
      </c>
      <c r="Z36" s="169">
        <f t="shared" si="30"/>
        <v>9.0473567647418044E-15</v>
      </c>
      <c r="AA36" s="47">
        <f t="shared" si="44"/>
        <v>1576.8709868369608</v>
      </c>
      <c r="AB36" s="169">
        <f t="shared" si="31"/>
        <v>7.1196912319261255E-16</v>
      </c>
    </row>
    <row r="37" spans="1:29" ht="15.75" thickBot="1" x14ac:dyDescent="0.3">
      <c r="A37" s="151">
        <v>11</v>
      </c>
      <c r="B37" s="154">
        <v>32</v>
      </c>
      <c r="C37" s="160">
        <f t="shared" si="32"/>
        <v>2449.9513474504388</v>
      </c>
      <c r="D37" s="138">
        <f t="shared" si="19"/>
        <v>0</v>
      </c>
      <c r="E37" s="47">
        <f t="shared" si="33"/>
        <v>2427.4935754721587</v>
      </c>
      <c r="F37" s="169">
        <f t="shared" si="20"/>
        <v>3.9272401413248974E-10</v>
      </c>
      <c r="G37" s="47">
        <f t="shared" si="34"/>
        <v>2405.0223759656824</v>
      </c>
      <c r="H37" s="169">
        <f t="shared" si="21"/>
        <v>4.2787166581240744E-10</v>
      </c>
      <c r="I37" s="47">
        <f t="shared" si="35"/>
        <v>2382.6210576648627</v>
      </c>
      <c r="J37" s="169">
        <f t="shared" si="22"/>
        <v>4.0206280982848902E-10</v>
      </c>
      <c r="K37" s="160">
        <f t="shared" si="36"/>
        <v>2360.3058351895124</v>
      </c>
      <c r="L37" s="169">
        <f t="shared" si="23"/>
        <v>3.5478650490431357E-10</v>
      </c>
      <c r="M37" s="163">
        <f t="shared" si="37"/>
        <v>2338.0795170084948</v>
      </c>
      <c r="N37" s="169">
        <f t="shared" si="24"/>
        <v>3.019072079453066E-10</v>
      </c>
      <c r="O37" s="47">
        <f t="shared" si="38"/>
        <v>2228.2308327922715</v>
      </c>
      <c r="P37" s="169">
        <f t="shared" si="25"/>
        <v>1.0226678695684774E-10</v>
      </c>
      <c r="Q37" s="160">
        <f t="shared" si="39"/>
        <v>2117.8020002415524</v>
      </c>
      <c r="R37" s="165">
        <f t="shared" si="26"/>
        <v>2.563853185015684E-11</v>
      </c>
      <c r="S37" s="47">
        <f t="shared" si="40"/>
        <v>2009.8185746941199</v>
      </c>
      <c r="T37" s="169">
        <f t="shared" si="27"/>
        <v>5.3024956681584788E-12</v>
      </c>
      <c r="U37" s="47">
        <f t="shared" si="41"/>
        <v>1903.2986111598614</v>
      </c>
      <c r="V37" s="169">
        <f t="shared" si="28"/>
        <v>8.9761405543943274E-13</v>
      </c>
      <c r="W37" s="47">
        <f t="shared" si="42"/>
        <v>1798.333933541956</v>
      </c>
      <c r="X37" s="169">
        <f t="shared" si="29"/>
        <v>1.2295449591654237E-13</v>
      </c>
      <c r="Y37" s="47">
        <f t="shared" si="43"/>
        <v>1694.5425455933412</v>
      </c>
      <c r="Z37" s="169">
        <f t="shared" si="30"/>
        <v>1.3192387989750976E-14</v>
      </c>
      <c r="AA37" s="47">
        <f t="shared" si="44"/>
        <v>1591.7274728297621</v>
      </c>
      <c r="AB37" s="169">
        <f t="shared" si="31"/>
        <v>1.0637592896373187E-15</v>
      </c>
    </row>
    <row r="38" spans="1:29" ht="15.75" thickBot="1" x14ac:dyDescent="0.3">
      <c r="A38" s="151">
        <v>12</v>
      </c>
      <c r="B38" s="154">
        <v>34</v>
      </c>
      <c r="C38" s="160">
        <f t="shared" si="32"/>
        <v>2471.6275775382437</v>
      </c>
      <c r="D38" s="138">
        <f t="shared" si="19"/>
        <v>0</v>
      </c>
      <c r="E38" s="47">
        <f t="shared" si="33"/>
        <v>2448.9711078049381</v>
      </c>
      <c r="F38" s="169">
        <f t="shared" si="20"/>
        <v>5.0179310686182211E-10</v>
      </c>
      <c r="G38" s="47">
        <f t="shared" si="34"/>
        <v>2426.3010917418151</v>
      </c>
      <c r="H38" s="169">
        <f t="shared" si="21"/>
        <v>5.4795545092896098E-10</v>
      </c>
      <c r="I38" s="47">
        <f t="shared" si="35"/>
        <v>2403.7015751664608</v>
      </c>
      <c r="J38" s="169">
        <f t="shared" si="22"/>
        <v>5.1610218327107674E-10</v>
      </c>
      <c r="K38" s="160">
        <f t="shared" si="36"/>
        <v>2381.1889161594263</v>
      </c>
      <c r="L38" s="169">
        <f t="shared" si="23"/>
        <v>4.5649301293732524E-10</v>
      </c>
      <c r="M38" s="163">
        <f t="shared" si="37"/>
        <v>2358.7659480378302</v>
      </c>
      <c r="N38" s="169">
        <f t="shared" si="24"/>
        <v>3.8938672643080204E-10</v>
      </c>
      <c r="O38" s="47">
        <f t="shared" si="38"/>
        <v>2247.945364785166</v>
      </c>
      <c r="P38" s="169">
        <f t="shared" si="25"/>
        <v>1.3356422446877084E-10</v>
      </c>
      <c r="Q38" s="160">
        <f t="shared" si="39"/>
        <v>2136.5395002680007</v>
      </c>
      <c r="R38" s="165">
        <f t="shared" si="26"/>
        <v>3.3954314951433479E-11</v>
      </c>
      <c r="S38" s="47">
        <f t="shared" si="40"/>
        <v>2027.600678777595</v>
      </c>
      <c r="T38" s="169">
        <f t="shared" si="27"/>
        <v>7.1291384689903995E-12</v>
      </c>
      <c r="U38" s="47">
        <f t="shared" si="41"/>
        <v>1920.1382674510928</v>
      </c>
      <c r="V38" s="169">
        <f t="shared" si="28"/>
        <v>1.2269904282284218E-12</v>
      </c>
      <c r="W38" s="47">
        <f t="shared" si="42"/>
        <v>1814.2449026143536</v>
      </c>
      <c r="X38" s="169">
        <f t="shared" si="29"/>
        <v>1.7116676917114188E-13</v>
      </c>
      <c r="Y38" s="47">
        <f t="shared" si="43"/>
        <v>1709.5352082640022</v>
      </c>
      <c r="Z38" s="169">
        <f t="shared" si="30"/>
        <v>1.8741252287698373E-14</v>
      </c>
      <c r="AA38" s="47">
        <f t="shared" si="44"/>
        <v>1605.8104671610754</v>
      </c>
      <c r="AB38" s="169">
        <f t="shared" si="31"/>
        <v>1.5458503431972605E-15</v>
      </c>
    </row>
    <row r="39" spans="1:29" ht="15.75" thickBot="1" x14ac:dyDescent="0.3">
      <c r="A39" s="151">
        <v>13</v>
      </c>
      <c r="B39" s="154">
        <v>36</v>
      </c>
      <c r="C39" s="160">
        <f t="shared" si="32"/>
        <v>2492.2400900035341</v>
      </c>
      <c r="D39" s="138">
        <f t="shared" si="19"/>
        <v>0</v>
      </c>
      <c r="E39" s="47">
        <f t="shared" si="33"/>
        <v>2469.3946732099812</v>
      </c>
      <c r="F39" s="169">
        <f t="shared" si="20"/>
        <v>6.3098830983406729E-10</v>
      </c>
      <c r="G39" s="47">
        <f t="shared" si="34"/>
        <v>2446.5355971149461</v>
      </c>
      <c r="H39" s="169">
        <f t="shared" si="21"/>
        <v>6.905124528076645E-10</v>
      </c>
      <c r="I39" s="47">
        <f t="shared" si="35"/>
        <v>2423.7476084488317</v>
      </c>
      <c r="J39" s="169">
        <f t="shared" si="22"/>
        <v>6.5178770516118937E-10</v>
      </c>
      <c r="K39" s="160">
        <f t="shared" si="36"/>
        <v>2401.0472017128809</v>
      </c>
      <c r="L39" s="169">
        <f t="shared" si="23"/>
        <v>5.7778065517745016E-10</v>
      </c>
      <c r="M39" s="163">
        <f t="shared" si="37"/>
        <v>2378.4372338530898</v>
      </c>
      <c r="N39" s="169">
        <f t="shared" si="24"/>
        <v>4.9394974661204498E-10</v>
      </c>
      <c r="O39" s="47">
        <f t="shared" si="38"/>
        <v>2266.6924455646567</v>
      </c>
      <c r="P39" s="169">
        <f t="shared" si="25"/>
        <v>1.7142904164601333E-10</v>
      </c>
      <c r="Q39" s="160">
        <f t="shared" si="39"/>
        <v>2154.3574949699869</v>
      </c>
      <c r="R39" s="165">
        <f t="shared" si="26"/>
        <v>4.4151070604785157E-11</v>
      </c>
      <c r="S39" s="47">
        <f t="shared" si="40"/>
        <v>2044.510161680987</v>
      </c>
      <c r="T39" s="169">
        <f t="shared" si="27"/>
        <v>9.4017952323735795E-12</v>
      </c>
      <c r="U39" s="47">
        <f t="shared" si="41"/>
        <v>1936.1515513020254</v>
      </c>
      <c r="V39" s="169">
        <f t="shared" si="28"/>
        <v>1.6433896723797886E-12</v>
      </c>
      <c r="W39" s="47">
        <f t="shared" si="42"/>
        <v>1829.3750727136351</v>
      </c>
      <c r="X39" s="169">
        <f t="shared" si="29"/>
        <v>2.331984508875159E-13</v>
      </c>
      <c r="Y39" s="47">
        <f t="shared" si="43"/>
        <v>1723.7921360108969</v>
      </c>
      <c r="Z39" s="169">
        <f t="shared" si="30"/>
        <v>2.6021427767682089E-14</v>
      </c>
      <c r="AA39" s="47">
        <f t="shared" si="44"/>
        <v>1619.2023667223432</v>
      </c>
      <c r="AB39" s="169">
        <f t="shared" si="31"/>
        <v>2.1923334998728743E-15</v>
      </c>
    </row>
    <row r="40" spans="1:29" ht="15.75" thickBot="1" x14ac:dyDescent="0.3">
      <c r="A40" s="151">
        <v>14</v>
      </c>
      <c r="B40" s="154">
        <v>38</v>
      </c>
      <c r="C40" s="160">
        <f t="shared" si="32"/>
        <v>2511.8960380598401</v>
      </c>
      <c r="D40" s="138">
        <f t="shared" si="19"/>
        <v>0</v>
      </c>
      <c r="E40" s="47">
        <f t="shared" si="33"/>
        <v>2488.8704426680774</v>
      </c>
      <c r="F40" s="169">
        <f t="shared" si="20"/>
        <v>7.8231125496709389E-10</v>
      </c>
      <c r="G40" s="47">
        <f t="shared" si="34"/>
        <v>2465.8310802458377</v>
      </c>
      <c r="H40" s="169">
        <f t="shared" si="21"/>
        <v>8.5783165522410117E-10</v>
      </c>
      <c r="I40" s="47">
        <f t="shared" si="35"/>
        <v>2442.8633659090983</v>
      </c>
      <c r="J40" s="169">
        <f t="shared" si="22"/>
        <v>8.1137695669637251E-10</v>
      </c>
      <c r="K40" s="160">
        <f t="shared" si="36"/>
        <v>2419.9839242489247</v>
      </c>
      <c r="L40" s="169">
        <f t="shared" si="23"/>
        <v>7.2074023968818586E-10</v>
      </c>
      <c r="M40" s="163">
        <f t="shared" si="37"/>
        <v>2397.195634743643</v>
      </c>
      <c r="N40" s="169">
        <f t="shared" si="24"/>
        <v>6.1746349625180201E-10</v>
      </c>
      <c r="O40" s="47">
        <f t="shared" si="38"/>
        <v>2284.569530982048</v>
      </c>
      <c r="P40" s="169">
        <f t="shared" si="25"/>
        <v>2.1666629621773373E-10</v>
      </c>
      <c r="Q40" s="160">
        <f t="shared" si="39"/>
        <v>2171.3486103868722</v>
      </c>
      <c r="R40" s="165">
        <f t="shared" si="26"/>
        <v>5.648739159984733E-11</v>
      </c>
      <c r="S40" s="47">
        <f t="shared" si="40"/>
        <v>2060.634926586175</v>
      </c>
      <c r="T40" s="169">
        <f t="shared" si="27"/>
        <v>1.2189068360671731E-11</v>
      </c>
      <c r="U40" s="47">
        <f t="shared" si="41"/>
        <v>1951.421707044314</v>
      </c>
      <c r="V40" s="169">
        <f t="shared" si="28"/>
        <v>2.1617774680466271E-12</v>
      </c>
      <c r="W40" s="47">
        <f t="shared" si="42"/>
        <v>1843.8030973445625</v>
      </c>
      <c r="X40" s="169">
        <f t="shared" si="29"/>
        <v>3.1170657634193003E-13</v>
      </c>
      <c r="Y40" s="47">
        <f t="shared" si="43"/>
        <v>1737.3874428279262</v>
      </c>
      <c r="Z40" s="169">
        <f t="shared" si="30"/>
        <v>3.540545814917587E-14</v>
      </c>
      <c r="AA40" s="47">
        <f t="shared" si="44"/>
        <v>1631.9727886975779</v>
      </c>
      <c r="AB40" s="169">
        <f t="shared" si="31"/>
        <v>3.0428768637644612E-15</v>
      </c>
    </row>
    <row r="41" spans="1:29" ht="15.75" thickBot="1" x14ac:dyDescent="0.3">
      <c r="A41" s="152">
        <v>15</v>
      </c>
      <c r="B41" s="157">
        <v>40</v>
      </c>
      <c r="C41" s="161">
        <f t="shared" si="32"/>
        <v>2530.6868129322638</v>
      </c>
      <c r="D41" s="138">
        <f t="shared" si="19"/>
        <v>0</v>
      </c>
      <c r="E41" s="139">
        <f t="shared" si="33"/>
        <v>2507.488969655732</v>
      </c>
      <c r="F41" s="169">
        <f t="shared" si="20"/>
        <v>9.5779532018349283E-10</v>
      </c>
      <c r="G41" s="139">
        <f t="shared" si="34"/>
        <v>2484.2772563615113</v>
      </c>
      <c r="H41" s="169">
        <f t="shared" si="21"/>
        <v>1.0522439210702714E-9</v>
      </c>
      <c r="I41" s="139">
        <f t="shared" si="35"/>
        <v>2461.1377271316028</v>
      </c>
      <c r="J41" s="169">
        <f t="shared" si="22"/>
        <v>9.9717438929232268E-10</v>
      </c>
      <c r="K41" s="161">
        <f t="shared" si="36"/>
        <v>2438.0871309208715</v>
      </c>
      <c r="L41" s="169">
        <f t="shared" si="23"/>
        <v>8.875111973514554E-10</v>
      </c>
      <c r="M41" s="164">
        <f t="shared" si="37"/>
        <v>2415.1283687481969</v>
      </c>
      <c r="N41" s="169">
        <f t="shared" si="24"/>
        <v>7.6184333963053142E-10</v>
      </c>
      <c r="O41" s="139">
        <f t="shared" si="38"/>
        <v>2301.6597413596401</v>
      </c>
      <c r="P41" s="169">
        <f t="shared" si="25"/>
        <v>2.7011236242889482E-10</v>
      </c>
      <c r="Q41" s="161">
        <f t="shared" si="39"/>
        <v>2187.5918474831178</v>
      </c>
      <c r="R41" s="165">
        <f t="shared" si="26"/>
        <v>7.1235666107179973E-11</v>
      </c>
      <c r="S41" s="139">
        <f t="shared" si="40"/>
        <v>2076.0499463214828</v>
      </c>
      <c r="T41" s="169">
        <f t="shared" si="27"/>
        <v>1.556429148175482E-11</v>
      </c>
      <c r="U41" s="139">
        <f t="shared" si="41"/>
        <v>1966.0197339620777</v>
      </c>
      <c r="V41" s="169">
        <f t="shared" si="28"/>
        <v>2.7984085039591505E-12</v>
      </c>
      <c r="W41" s="139">
        <f t="shared" si="42"/>
        <v>1857.596060264332</v>
      </c>
      <c r="X41" s="169">
        <f t="shared" si="29"/>
        <v>4.0962751553662781E-13</v>
      </c>
      <c r="Y41" s="139">
        <f t="shared" si="43"/>
        <v>1750.3843407129057</v>
      </c>
      <c r="Z41" s="169">
        <f t="shared" si="30"/>
        <v>4.7312981239062772E-14</v>
      </c>
      <c r="AA41" s="139">
        <f t="shared" si="44"/>
        <v>1644.1811097449795</v>
      </c>
      <c r="AB41" s="169">
        <f t="shared" si="31"/>
        <v>4.1431192501906041E-15</v>
      </c>
    </row>
    <row r="42" spans="1:29" x14ac:dyDescent="0.25">
      <c r="A42" s="147"/>
      <c r="B42" s="147"/>
      <c r="C42" s="233" t="s">
        <v>61</v>
      </c>
      <c r="D42" s="138">
        <f>SUM(D26:D41)</f>
        <v>0</v>
      </c>
      <c r="E42" s="235" t="s">
        <v>61</v>
      </c>
      <c r="F42" s="169">
        <f>SUM(F26:F41)</f>
        <v>4.2907844217656821E-9</v>
      </c>
      <c r="G42" s="235" t="s">
        <v>61</v>
      </c>
      <c r="H42" s="169">
        <f>SUM(H26:H41)</f>
        <v>4.6838033388341405E-9</v>
      </c>
      <c r="I42" s="235" t="s">
        <v>61</v>
      </c>
      <c r="J42" s="169">
        <f>SUM(J26:J41)</f>
        <v>4.4101284795251249E-9</v>
      </c>
      <c r="K42" s="235" t="s">
        <v>61</v>
      </c>
      <c r="L42" s="169">
        <f>SUM(L26:L41)</f>
        <v>3.8997193905503558E-9</v>
      </c>
      <c r="M42" s="235" t="s">
        <v>61</v>
      </c>
      <c r="N42" s="169">
        <f>SUM(N26:N41)</f>
        <v>3.325724492836949E-9</v>
      </c>
      <c r="O42" s="235" t="s">
        <v>61</v>
      </c>
      <c r="P42" s="169">
        <f>SUM(P26:P41)</f>
        <v>1.1404685388502036E-9</v>
      </c>
      <c r="Q42" s="235" t="s">
        <v>61</v>
      </c>
      <c r="R42" s="169">
        <f>SUM(R26:R41)</f>
        <v>2.9031595644657155E-10</v>
      </c>
      <c r="S42" s="235" t="s">
        <v>61</v>
      </c>
      <c r="T42" s="169">
        <f>SUM(T26:T41)</f>
        <v>6.1153373348207875E-11</v>
      </c>
      <c r="U42" s="235" t="s">
        <v>61</v>
      </c>
      <c r="V42" s="169">
        <f>SUM(V26:V41)</f>
        <v>1.0583340113551606E-11</v>
      </c>
      <c r="W42" s="235" t="s">
        <v>61</v>
      </c>
      <c r="X42" s="169">
        <f>SUM(X26:X41)</f>
        <v>1.4886311759269273E-12</v>
      </c>
      <c r="Y42" s="235" t="s">
        <v>61</v>
      </c>
      <c r="Z42" s="169">
        <f>SUM(Z26:Z41)</f>
        <v>1.6489413442177284E-13</v>
      </c>
      <c r="AA42" s="235" t="s">
        <v>61</v>
      </c>
      <c r="AB42" s="169">
        <f>SUM(AB26:AB41)</f>
        <v>1.3816736749507114E-14</v>
      </c>
    </row>
    <row r="43" spans="1:29" ht="15.75" thickBot="1" x14ac:dyDescent="0.3">
      <c r="A43" s="147"/>
      <c r="B43" s="147"/>
      <c r="C43" s="234"/>
      <c r="D43" s="44"/>
      <c r="E43" s="236"/>
      <c r="F43" s="44"/>
      <c r="G43" s="236"/>
      <c r="H43" s="44"/>
      <c r="I43" s="236"/>
      <c r="J43" s="44"/>
      <c r="K43" s="236"/>
      <c r="L43" s="44"/>
      <c r="M43" s="236"/>
      <c r="N43" s="44"/>
      <c r="O43" s="236"/>
      <c r="P43" s="44"/>
      <c r="Q43" s="236"/>
      <c r="R43" s="153"/>
      <c r="S43" s="236"/>
      <c r="T43" s="44"/>
      <c r="U43" s="236"/>
      <c r="V43" s="44"/>
      <c r="W43" s="236"/>
      <c r="X43" s="44"/>
      <c r="Y43" s="236"/>
      <c r="Z43" s="44"/>
      <c r="AA43" s="236"/>
      <c r="AB43" s="140"/>
    </row>
    <row r="44" spans="1:29" ht="15.75" thickBot="1" x14ac:dyDescent="0.3">
      <c r="A44" s="166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</row>
    <row r="45" spans="1:29" ht="30.75" thickBot="1" x14ac:dyDescent="0.3">
      <c r="A45" s="66" t="str">
        <f>'Enthalpy Data'!X1</f>
        <v>Deg K</v>
      </c>
      <c r="B45" s="81" t="str">
        <f>'Enthalpy Data'!Y1</f>
        <v>Net Enthalpy</v>
      </c>
      <c r="C45" s="81">
        <f>'Enthalpy Data'!Z1</f>
        <v>0.99</v>
      </c>
      <c r="D45" s="81">
        <f>'Enthalpy Data'!AA1</f>
        <v>0.98</v>
      </c>
      <c r="E45" s="81">
        <f>'Enthalpy Data'!AB1</f>
        <v>0.97</v>
      </c>
      <c r="F45" s="81">
        <f>'Enthalpy Data'!AC1</f>
        <v>0.96</v>
      </c>
      <c r="G45" s="81">
        <f>'Enthalpy Data'!AD1</f>
        <v>0.95</v>
      </c>
      <c r="H45" s="81">
        <f>'Enthalpy Data'!AE1</f>
        <v>0.9</v>
      </c>
      <c r="I45" s="81">
        <f>'Enthalpy Data'!AF1</f>
        <v>0.85</v>
      </c>
      <c r="J45" s="81">
        <f>'Enthalpy Data'!AG1</f>
        <v>0.8</v>
      </c>
      <c r="K45" s="81">
        <f>'Enthalpy Data'!AH1</f>
        <v>0.75</v>
      </c>
      <c r="L45" s="81">
        <f>'Enthalpy Data'!AI1</f>
        <v>0.7</v>
      </c>
      <c r="M45" s="81">
        <f>'Enthalpy Data'!AJ1</f>
        <v>0.65</v>
      </c>
      <c r="N45" s="82">
        <f>'Enthalpy Data'!AK1</f>
        <v>0.6</v>
      </c>
      <c r="P45" s="66" t="str">
        <f>'Enthalpy Data'!X38</f>
        <v>Deg K</v>
      </c>
      <c r="Q45" s="81" t="str">
        <f>'Enthalpy Data'!Y38</f>
        <v>Net Enthalpy</v>
      </c>
      <c r="R45" s="81">
        <f>'Enthalpy Data'!Z38</f>
        <v>0.99</v>
      </c>
      <c r="S45" s="81">
        <f>'Enthalpy Data'!AA38</f>
        <v>0.98</v>
      </c>
      <c r="T45" s="81">
        <f>'Enthalpy Data'!AB38</f>
        <v>0.97</v>
      </c>
      <c r="U45" s="81">
        <f>'Enthalpy Data'!AC38</f>
        <v>0.96</v>
      </c>
      <c r="V45" s="81">
        <f>'Enthalpy Data'!AD38</f>
        <v>0.95</v>
      </c>
      <c r="W45" s="81">
        <f>'Enthalpy Data'!AE38</f>
        <v>0.9</v>
      </c>
      <c r="X45" s="81">
        <f>'Enthalpy Data'!AF38</f>
        <v>0.85</v>
      </c>
      <c r="Y45" s="81">
        <f>'Enthalpy Data'!AG38</f>
        <v>0.8</v>
      </c>
      <c r="Z45" s="81">
        <f>'Enthalpy Data'!AH38</f>
        <v>0.75</v>
      </c>
      <c r="AA45" s="81">
        <f>'Enthalpy Data'!AI38</f>
        <v>0.7</v>
      </c>
      <c r="AB45" s="81">
        <f>'Enthalpy Data'!AJ38</f>
        <v>0.65</v>
      </c>
      <c r="AC45" s="82">
        <f>'Enthalpy Data'!AK38</f>
        <v>0.6</v>
      </c>
    </row>
    <row r="46" spans="1:29" x14ac:dyDescent="0.25">
      <c r="A46" s="130">
        <f>'Enthalpy Data'!X2</f>
        <v>1900</v>
      </c>
      <c r="B46" s="78">
        <f>'Enthalpy Data'!Y2</f>
        <v>3763.2309523809522</v>
      </c>
      <c r="C46" s="79">
        <f>'Enthalpy Data'!Z2</f>
        <v>3763.1246000000001</v>
      </c>
      <c r="D46" s="79">
        <f>'Enthalpy Data'!AA2</f>
        <v>3763.2184000000002</v>
      </c>
      <c r="E46" s="79">
        <f>'Enthalpy Data'!AB2</f>
        <v>3763.3122000000003</v>
      </c>
      <c r="F46" s="79">
        <f>'Enthalpy Data'!AC2</f>
        <v>3763.4059999999999</v>
      </c>
      <c r="G46" s="79">
        <f>'Enthalpy Data'!AD2</f>
        <v>3763.4998000000001</v>
      </c>
      <c r="H46" s="79">
        <f>'Enthalpy Data'!AE2</f>
        <v>3763.9688000000001</v>
      </c>
      <c r="I46" s="79">
        <f>'Enthalpy Data'!AF2</f>
        <v>3764.4378000000002</v>
      </c>
      <c r="J46" s="79">
        <f>'Enthalpy Data'!AG2</f>
        <v>3764.9068000000002</v>
      </c>
      <c r="K46" s="79">
        <f>'Enthalpy Data'!AH2</f>
        <v>3765.3758000000003</v>
      </c>
      <c r="L46" s="79">
        <f>'Enthalpy Data'!AI2</f>
        <v>3765.8447999999999</v>
      </c>
      <c r="M46" s="79">
        <f>'Enthalpy Data'!AJ2</f>
        <v>3766.3137999999999</v>
      </c>
      <c r="N46" s="80">
        <f>'Enthalpy Data'!AK2</f>
        <v>3766.7828</v>
      </c>
      <c r="P46" s="126">
        <f>'Enthalpy Data'!X39</f>
        <v>1000</v>
      </c>
      <c r="Q46" s="137">
        <f>'Enthalpy Data'!Y39</f>
        <v>1510.7894000000001</v>
      </c>
      <c r="R46" s="129">
        <f>'Enthalpy Data'!Z39</f>
        <v>1510.9558</v>
      </c>
      <c r="S46" s="129">
        <f>'Enthalpy Data'!AA39</f>
        <v>1511.1222</v>
      </c>
      <c r="T46" s="129">
        <f>'Enthalpy Data'!AB39</f>
        <v>1511.2885999999999</v>
      </c>
      <c r="U46" s="129">
        <f>'Enthalpy Data'!AC39</f>
        <v>1511.4549999999999</v>
      </c>
      <c r="V46" s="129">
        <f>'Enthalpy Data'!AD39</f>
        <v>1511.6214</v>
      </c>
      <c r="W46" s="129">
        <f>'Enthalpy Data'!AE39</f>
        <v>1512.4534000000001</v>
      </c>
      <c r="X46" s="129">
        <f>'Enthalpy Data'!AF39</f>
        <v>1513.2854</v>
      </c>
      <c r="Y46" s="129">
        <f>'Enthalpy Data'!AG39</f>
        <v>1514.1173999999999</v>
      </c>
      <c r="Z46" s="129">
        <f>'Enthalpy Data'!AH39</f>
        <v>1514.9494</v>
      </c>
      <c r="AA46" s="129">
        <f>'Enthalpy Data'!AI39</f>
        <v>1515.7814000000001</v>
      </c>
      <c r="AB46" s="129">
        <f>'Enthalpy Data'!AJ39</f>
        <v>1516.6134000000002</v>
      </c>
      <c r="AC46" s="138">
        <f>'Enthalpy Data'!AK39</f>
        <v>1517.4454000000001</v>
      </c>
    </row>
    <row r="47" spans="1:29" x14ac:dyDescent="0.25">
      <c r="A47" s="131">
        <f>'Enthalpy Data'!X3</f>
        <v>1950</v>
      </c>
      <c r="B47" s="47">
        <f>'Enthalpy Data'!Y3</f>
        <v>3894.2535714285714</v>
      </c>
      <c r="C47" s="43">
        <f>'Enthalpy Data'!Z3</f>
        <v>3894.1346000000003</v>
      </c>
      <c r="D47" s="43">
        <f>'Enthalpy Data'!AA3</f>
        <v>3894.2226000000005</v>
      </c>
      <c r="E47" s="43">
        <f>'Enthalpy Data'!AB3</f>
        <v>3894.3106000000002</v>
      </c>
      <c r="F47" s="43">
        <f>'Enthalpy Data'!AC3</f>
        <v>3894.3986</v>
      </c>
      <c r="G47" s="43">
        <f>'Enthalpy Data'!AD3</f>
        <v>3894.4866000000006</v>
      </c>
      <c r="H47" s="43">
        <f>'Enthalpy Data'!AE3</f>
        <v>3894.9266000000002</v>
      </c>
      <c r="I47" s="43">
        <f>'Enthalpy Data'!AF3</f>
        <v>3895.3666000000003</v>
      </c>
      <c r="J47" s="43">
        <f>'Enthalpy Data'!AG3</f>
        <v>3895.8066000000003</v>
      </c>
      <c r="K47" s="43">
        <f>'Enthalpy Data'!AH3</f>
        <v>3896.2466000000004</v>
      </c>
      <c r="L47" s="43">
        <f>'Enthalpy Data'!AI3</f>
        <v>3896.6866000000005</v>
      </c>
      <c r="M47" s="43">
        <f>'Enthalpy Data'!AJ3</f>
        <v>3897.1266000000001</v>
      </c>
      <c r="N47" s="76">
        <f>'Enthalpy Data'!AK3</f>
        <v>3897.5666000000006</v>
      </c>
      <c r="P47" s="127">
        <f>'Enthalpy Data'!X40</f>
        <v>1050</v>
      </c>
      <c r="Q47" s="47">
        <f>'Enthalpy Data'!Y40</f>
        <v>1628.4621999999999</v>
      </c>
      <c r="R47" s="43">
        <f>'Enthalpy Data'!Z40</f>
        <v>1628.62895</v>
      </c>
      <c r="S47" s="43">
        <f>'Enthalpy Data'!AA40</f>
        <v>1628.7957000000001</v>
      </c>
      <c r="T47" s="43">
        <f>'Enthalpy Data'!AB40</f>
        <v>1628.96245</v>
      </c>
      <c r="U47" s="43">
        <f>'Enthalpy Data'!AC40</f>
        <v>1629.1291999999999</v>
      </c>
      <c r="V47" s="43">
        <f>'Enthalpy Data'!AD40</f>
        <v>1629.2959499999999</v>
      </c>
      <c r="W47" s="43">
        <f>'Enthalpy Data'!AE40</f>
        <v>1630.1297</v>
      </c>
      <c r="X47" s="43">
        <f>'Enthalpy Data'!AF40</f>
        <v>1630.96345</v>
      </c>
      <c r="Y47" s="43">
        <f>'Enthalpy Data'!AG40</f>
        <v>1631.7972</v>
      </c>
      <c r="Z47" s="43">
        <f>'Enthalpy Data'!AH40</f>
        <v>1632.63095</v>
      </c>
      <c r="AA47" s="43">
        <f>'Enthalpy Data'!AI40</f>
        <v>1633.4647</v>
      </c>
      <c r="AB47" s="43">
        <f>'Enthalpy Data'!AJ40</f>
        <v>1634.2984500000002</v>
      </c>
      <c r="AC47" s="76">
        <f>'Enthalpy Data'!AK40</f>
        <v>1635.1322</v>
      </c>
    </row>
    <row r="48" spans="1:29" x14ac:dyDescent="0.25">
      <c r="A48" s="131">
        <f>'Enthalpy Data'!X4</f>
        <v>2000</v>
      </c>
      <c r="B48" s="47">
        <f>'Enthalpy Data'!Y4</f>
        <v>4026.0064285714288</v>
      </c>
      <c r="C48" s="43">
        <f>'Enthalpy Data'!Z4</f>
        <v>4025.8752500000001</v>
      </c>
      <c r="D48" s="43">
        <f>'Enthalpy Data'!AA4</f>
        <v>4025.9579000000003</v>
      </c>
      <c r="E48" s="43">
        <f>'Enthalpy Data'!AB4</f>
        <v>4026.0405500000002</v>
      </c>
      <c r="F48" s="43">
        <f>'Enthalpy Data'!AC4</f>
        <v>4026.1232</v>
      </c>
      <c r="G48" s="43">
        <f>'Enthalpy Data'!AD4</f>
        <v>4026.2058500000003</v>
      </c>
      <c r="H48" s="43">
        <f>'Enthalpy Data'!AE4</f>
        <v>4026.6191000000003</v>
      </c>
      <c r="I48" s="43">
        <f>'Enthalpy Data'!AF4</f>
        <v>4027.03235</v>
      </c>
      <c r="J48" s="43">
        <f>'Enthalpy Data'!AG4</f>
        <v>4027.4456000000005</v>
      </c>
      <c r="K48" s="43">
        <f>'Enthalpy Data'!AH4</f>
        <v>4027.8588500000001</v>
      </c>
      <c r="L48" s="43">
        <f>'Enthalpy Data'!AI4</f>
        <v>4028.2721000000001</v>
      </c>
      <c r="M48" s="43">
        <f>'Enthalpy Data'!AJ4</f>
        <v>4028.6853500000002</v>
      </c>
      <c r="N48" s="76">
        <f>'Enthalpy Data'!AK4</f>
        <v>4029.0985999999998</v>
      </c>
      <c r="P48" s="127">
        <f>'Enthalpy Data'!X41</f>
        <v>1100</v>
      </c>
      <c r="Q48" s="47">
        <f>'Enthalpy Data'!Y41</f>
        <v>1747.6754000000001</v>
      </c>
      <c r="R48" s="43">
        <f>'Enthalpy Data'!Z41</f>
        <v>1747.8413500000001</v>
      </c>
      <c r="S48" s="43">
        <f>'Enthalpy Data'!AA41</f>
        <v>1748.0073</v>
      </c>
      <c r="T48" s="43">
        <f>'Enthalpy Data'!AB41</f>
        <v>1748.1732500000001</v>
      </c>
      <c r="U48" s="43">
        <f>'Enthalpy Data'!AC41</f>
        <v>1748.3392000000001</v>
      </c>
      <c r="V48" s="43">
        <f>'Enthalpy Data'!AD41</f>
        <v>1748.50515</v>
      </c>
      <c r="W48" s="43">
        <f>'Enthalpy Data'!AE41</f>
        <v>1749.3349000000001</v>
      </c>
      <c r="X48" s="43">
        <f>'Enthalpy Data'!AF41</f>
        <v>1750.1646500000002</v>
      </c>
      <c r="Y48" s="43">
        <f>'Enthalpy Data'!AG41</f>
        <v>1750.9944000000003</v>
      </c>
      <c r="Z48" s="43">
        <f>'Enthalpy Data'!AH41</f>
        <v>1751.8241500000001</v>
      </c>
      <c r="AA48" s="43">
        <f>'Enthalpy Data'!AI41</f>
        <v>1752.6539</v>
      </c>
      <c r="AB48" s="43">
        <f>'Enthalpy Data'!AJ41</f>
        <v>1753.4836500000001</v>
      </c>
      <c r="AC48" s="76">
        <f>'Enthalpy Data'!AK41</f>
        <v>1754.3134000000002</v>
      </c>
    </row>
    <row r="49" spans="1:29" x14ac:dyDescent="0.25">
      <c r="A49" s="131">
        <f>'Enthalpy Data'!X5</f>
        <v>2050</v>
      </c>
      <c r="B49" s="47">
        <f>'Enthalpy Data'!Y5</f>
        <v>4157.9392857142857</v>
      </c>
      <c r="C49" s="43">
        <f>'Enthalpy Data'!Z5</f>
        <v>4157.7959000000001</v>
      </c>
      <c r="D49" s="43">
        <f>'Enthalpy Data'!AA5</f>
        <v>4157.8732000000009</v>
      </c>
      <c r="E49" s="43">
        <f>'Enthalpy Data'!AB5</f>
        <v>4157.9504999999999</v>
      </c>
      <c r="F49" s="43">
        <f>'Enthalpy Data'!AC5</f>
        <v>4158.0277999999998</v>
      </c>
      <c r="G49" s="43">
        <f>'Enthalpy Data'!AD5</f>
        <v>4158.1051000000007</v>
      </c>
      <c r="H49" s="43">
        <f>'Enthalpy Data'!AE5</f>
        <v>4158.4916000000003</v>
      </c>
      <c r="I49" s="43">
        <f>'Enthalpy Data'!AF5</f>
        <v>4158.8780999999999</v>
      </c>
      <c r="J49" s="43">
        <f>'Enthalpy Data'!AG5</f>
        <v>4159.2646000000004</v>
      </c>
      <c r="K49" s="43">
        <f>'Enthalpy Data'!AH5</f>
        <v>4159.6511</v>
      </c>
      <c r="L49" s="43">
        <f>'Enthalpy Data'!AI5</f>
        <v>4160.0376000000006</v>
      </c>
      <c r="M49" s="43">
        <f>'Enthalpy Data'!AJ5</f>
        <v>4160.4241000000002</v>
      </c>
      <c r="N49" s="76">
        <f>'Enthalpy Data'!AK5</f>
        <v>4160.8106000000007</v>
      </c>
      <c r="P49" s="127">
        <f>'Enthalpy Data'!X42</f>
        <v>1150</v>
      </c>
      <c r="Q49" s="47">
        <f>'Enthalpy Data'!Y42</f>
        <v>1867.7888000000003</v>
      </c>
      <c r="R49" s="43">
        <f>'Enthalpy Data'!Z42</f>
        <v>1867.9536000000003</v>
      </c>
      <c r="S49" s="43">
        <f>'Enthalpy Data'!AA42</f>
        <v>1868.1184000000001</v>
      </c>
      <c r="T49" s="43">
        <f>'Enthalpy Data'!AB42</f>
        <v>1868.2832000000001</v>
      </c>
      <c r="U49" s="43">
        <f>'Enthalpy Data'!AC42</f>
        <v>1868.4480000000001</v>
      </c>
      <c r="V49" s="43">
        <f>'Enthalpy Data'!AD42</f>
        <v>1868.6128000000001</v>
      </c>
      <c r="W49" s="43">
        <f>'Enthalpy Data'!AE42</f>
        <v>1869.4368000000002</v>
      </c>
      <c r="X49" s="43">
        <f>'Enthalpy Data'!AF42</f>
        <v>1870.2608</v>
      </c>
      <c r="Y49" s="43">
        <f>'Enthalpy Data'!AG42</f>
        <v>1871.0848000000001</v>
      </c>
      <c r="Z49" s="43">
        <f>'Enthalpy Data'!AH42</f>
        <v>1871.9088000000002</v>
      </c>
      <c r="AA49" s="43">
        <f>'Enthalpy Data'!AI42</f>
        <v>1872.7328000000002</v>
      </c>
      <c r="AB49" s="43">
        <f>'Enthalpy Data'!AJ42</f>
        <v>1873.5568000000003</v>
      </c>
      <c r="AC49" s="76">
        <f>'Enthalpy Data'!AK42</f>
        <v>1874.3808000000001</v>
      </c>
    </row>
    <row r="50" spans="1:29" x14ac:dyDescent="0.25">
      <c r="A50" s="131">
        <f>'Enthalpy Data'!X6</f>
        <v>2100</v>
      </c>
      <c r="B50" s="47">
        <f>'Enthalpy Data'!Y6</f>
        <v>4290.0421428571426</v>
      </c>
      <c r="C50" s="43">
        <f>'Enthalpy Data'!Z6</f>
        <v>4289.8869999999997</v>
      </c>
      <c r="D50" s="43">
        <f>'Enthalpy Data'!AA6</f>
        <v>4289.9593999999997</v>
      </c>
      <c r="E50" s="43">
        <f>'Enthalpy Data'!AB6</f>
        <v>4290.0317999999997</v>
      </c>
      <c r="F50" s="43">
        <f>'Enthalpy Data'!AC6</f>
        <v>4290.1041999999998</v>
      </c>
      <c r="G50" s="43">
        <f>'Enthalpy Data'!AD6</f>
        <v>4290.1766000000007</v>
      </c>
      <c r="H50" s="43">
        <f>'Enthalpy Data'!AE6</f>
        <v>4290.5385999999999</v>
      </c>
      <c r="I50" s="43">
        <f>'Enthalpy Data'!AF6</f>
        <v>4290.9005999999999</v>
      </c>
      <c r="J50" s="43">
        <f>'Enthalpy Data'!AG6</f>
        <v>4291.2626</v>
      </c>
      <c r="K50" s="43">
        <f>'Enthalpy Data'!AH6</f>
        <v>4291.6246000000001</v>
      </c>
      <c r="L50" s="43">
        <f>'Enthalpy Data'!AI6</f>
        <v>4291.9866000000002</v>
      </c>
      <c r="M50" s="43">
        <f>'Enthalpy Data'!AJ6</f>
        <v>4292.3486000000003</v>
      </c>
      <c r="N50" s="76">
        <f>'Enthalpy Data'!AK6</f>
        <v>4292.7106000000003</v>
      </c>
      <c r="P50" s="127">
        <f>'Enthalpy Data'!X43</f>
        <v>1200</v>
      </c>
      <c r="Q50" s="47">
        <f>'Enthalpy Data'!Y43</f>
        <v>1988.8024</v>
      </c>
      <c r="R50" s="43">
        <f>'Enthalpy Data'!Z43</f>
        <v>1988.9644500000002</v>
      </c>
      <c r="S50" s="43">
        <f>'Enthalpy Data'!AA43</f>
        <v>1989.1265000000003</v>
      </c>
      <c r="T50" s="43">
        <f>'Enthalpy Data'!AB43</f>
        <v>1989.28855</v>
      </c>
      <c r="U50" s="43">
        <f>'Enthalpy Data'!AC43</f>
        <v>1989.4506000000001</v>
      </c>
      <c r="V50" s="43">
        <f>'Enthalpy Data'!AD43</f>
        <v>1989.6126500000003</v>
      </c>
      <c r="W50" s="43">
        <f>'Enthalpy Data'!AE43</f>
        <v>1990.4229000000003</v>
      </c>
      <c r="X50" s="43">
        <f>'Enthalpy Data'!AF43</f>
        <v>1991.23315</v>
      </c>
      <c r="Y50" s="43">
        <f>'Enthalpy Data'!AG43</f>
        <v>1992.0434000000002</v>
      </c>
      <c r="Z50" s="43">
        <f>'Enthalpy Data'!AH43</f>
        <v>1992.85365</v>
      </c>
      <c r="AA50" s="43">
        <f>'Enthalpy Data'!AI43</f>
        <v>1993.6639000000002</v>
      </c>
      <c r="AB50" s="43">
        <f>'Enthalpy Data'!AJ43</f>
        <v>1994.4741500000002</v>
      </c>
      <c r="AC50" s="76">
        <f>'Enthalpy Data'!AK43</f>
        <v>1995.2844</v>
      </c>
    </row>
    <row r="51" spans="1:29" x14ac:dyDescent="0.25">
      <c r="A51" s="131">
        <f>'Enthalpy Data'!X7</f>
        <v>2150</v>
      </c>
      <c r="B51" s="47">
        <f>'Enthalpy Data'!Y7</f>
        <v>4422.7852380952381</v>
      </c>
      <c r="C51" s="43">
        <f>'Enthalpy Data'!Z7</f>
        <v>4422.6175000000003</v>
      </c>
      <c r="D51" s="43">
        <f>'Enthalpy Data'!AA7</f>
        <v>4422.6841999999997</v>
      </c>
      <c r="E51" s="43">
        <f>'Enthalpy Data'!AB7</f>
        <v>4422.7509</v>
      </c>
      <c r="F51" s="43">
        <f>'Enthalpy Data'!AC7</f>
        <v>4422.8176000000003</v>
      </c>
      <c r="G51" s="43">
        <f>'Enthalpy Data'!AD7</f>
        <v>4422.8842999999997</v>
      </c>
      <c r="H51" s="43">
        <f>'Enthalpy Data'!AE7</f>
        <v>4423.2177999999994</v>
      </c>
      <c r="I51" s="43">
        <f>'Enthalpy Data'!AF7</f>
        <v>4423.5513000000001</v>
      </c>
      <c r="J51" s="43">
        <f>'Enthalpy Data'!AG7</f>
        <v>4423.8847999999998</v>
      </c>
      <c r="K51" s="43">
        <f>'Enthalpy Data'!AH7</f>
        <v>4424.2183000000005</v>
      </c>
      <c r="L51" s="43">
        <f>'Enthalpy Data'!AI7</f>
        <v>4424.5518000000002</v>
      </c>
      <c r="M51" s="43">
        <f>'Enthalpy Data'!AJ7</f>
        <v>4424.8852999999999</v>
      </c>
      <c r="N51" s="76">
        <f>'Enthalpy Data'!AK7</f>
        <v>4425.2187999999996</v>
      </c>
      <c r="P51" s="127">
        <f>'Enthalpy Data'!X44</f>
        <v>1250</v>
      </c>
      <c r="Q51" s="47">
        <f>'Enthalpy Data'!Y44</f>
        <v>2110.6262000000002</v>
      </c>
      <c r="R51" s="43">
        <f>'Enthalpy Data'!Z44</f>
        <v>2110.7864000000004</v>
      </c>
      <c r="S51" s="43">
        <f>'Enthalpy Data'!AA44</f>
        <v>2110.9465999999998</v>
      </c>
      <c r="T51" s="43">
        <f>'Enthalpy Data'!AB44</f>
        <v>2111.1068000000005</v>
      </c>
      <c r="U51" s="43">
        <f>'Enthalpy Data'!AC44</f>
        <v>2111.2670000000003</v>
      </c>
      <c r="V51" s="43">
        <f>'Enthalpy Data'!AD44</f>
        <v>2111.4272000000001</v>
      </c>
      <c r="W51" s="43">
        <f>'Enthalpy Data'!AE44</f>
        <v>2112.2282</v>
      </c>
      <c r="X51" s="43">
        <f>'Enthalpy Data'!AF44</f>
        <v>2113.0292000000004</v>
      </c>
      <c r="Y51" s="43">
        <f>'Enthalpy Data'!AG44</f>
        <v>2113.8302000000003</v>
      </c>
      <c r="Z51" s="43">
        <f>'Enthalpy Data'!AH44</f>
        <v>2114.6312000000003</v>
      </c>
      <c r="AA51" s="43">
        <f>'Enthalpy Data'!AI44</f>
        <v>2115.4322000000002</v>
      </c>
      <c r="AB51" s="43">
        <f>'Enthalpy Data'!AJ44</f>
        <v>2116.2332000000001</v>
      </c>
      <c r="AC51" s="76">
        <f>'Enthalpy Data'!AK44</f>
        <v>2117.0342000000001</v>
      </c>
    </row>
    <row r="52" spans="1:29" x14ac:dyDescent="0.25">
      <c r="A52" s="131">
        <f>'Enthalpy Data'!X8</f>
        <v>2200</v>
      </c>
      <c r="B52" s="47">
        <f>'Enthalpy Data'!Y8</f>
        <v>4556.3485714285716</v>
      </c>
      <c r="C52" s="43">
        <f>'Enthalpy Data'!Z8</f>
        <v>4556.1686499999996</v>
      </c>
      <c r="D52" s="43">
        <f>'Enthalpy Data'!AA8</f>
        <v>4556.2300999999998</v>
      </c>
      <c r="E52" s="43">
        <f>'Enthalpy Data'!AB8</f>
        <v>4556.2915499999999</v>
      </c>
      <c r="F52" s="43">
        <f>'Enthalpy Data'!AC8</f>
        <v>4556.353000000001</v>
      </c>
      <c r="G52" s="43">
        <f>'Enthalpy Data'!AD8</f>
        <v>4556.4144500000002</v>
      </c>
      <c r="H52" s="43">
        <f>'Enthalpy Data'!AE8</f>
        <v>4556.7217000000001</v>
      </c>
      <c r="I52" s="43">
        <f>'Enthalpy Data'!AF8</f>
        <v>4557.0289500000008</v>
      </c>
      <c r="J52" s="43">
        <f>'Enthalpy Data'!AG8</f>
        <v>4557.3362000000006</v>
      </c>
      <c r="K52" s="43">
        <f>'Enthalpy Data'!AH8</f>
        <v>4557.6434500000005</v>
      </c>
      <c r="L52" s="43">
        <f>'Enthalpy Data'!AI8</f>
        <v>4557.9507000000003</v>
      </c>
      <c r="M52" s="43">
        <f>'Enthalpy Data'!AJ8</f>
        <v>4558.2579500000002</v>
      </c>
      <c r="N52" s="76">
        <f>'Enthalpy Data'!AK8</f>
        <v>4558.5652000000009</v>
      </c>
      <c r="P52" s="127">
        <f>'Enthalpy Data'!X45</f>
        <v>1300</v>
      </c>
      <c r="Q52" s="47">
        <f>'Enthalpy Data'!Y45</f>
        <v>2233.4402</v>
      </c>
      <c r="R52" s="43">
        <f>'Enthalpy Data'!Z45</f>
        <v>2233.5969500000001</v>
      </c>
      <c r="S52" s="43">
        <f>'Enthalpy Data'!AA45</f>
        <v>2233.7537000000002</v>
      </c>
      <c r="T52" s="43">
        <f>'Enthalpy Data'!AB45</f>
        <v>2233.9104499999999</v>
      </c>
      <c r="U52" s="43">
        <f>'Enthalpy Data'!AC45</f>
        <v>2234.0672000000004</v>
      </c>
      <c r="V52" s="43">
        <f>'Enthalpy Data'!AD45</f>
        <v>2234.2239500000001</v>
      </c>
      <c r="W52" s="43">
        <f>'Enthalpy Data'!AE45</f>
        <v>2235.0077000000001</v>
      </c>
      <c r="X52" s="43">
        <f>'Enthalpy Data'!AF45</f>
        <v>2235.7914500000002</v>
      </c>
      <c r="Y52" s="43">
        <f>'Enthalpy Data'!AG45</f>
        <v>2236.5752000000002</v>
      </c>
      <c r="Z52" s="43">
        <f>'Enthalpy Data'!AH45</f>
        <v>2237.3589499999998</v>
      </c>
      <c r="AA52" s="43">
        <f>'Enthalpy Data'!AI45</f>
        <v>2238.1427000000003</v>
      </c>
      <c r="AB52" s="43">
        <f>'Enthalpy Data'!AJ45</f>
        <v>2238.9264499999999</v>
      </c>
      <c r="AC52" s="76">
        <f>'Enthalpy Data'!AK45</f>
        <v>2239.7102</v>
      </c>
    </row>
    <row r="53" spans="1:29" x14ac:dyDescent="0.25">
      <c r="A53" s="131">
        <f>'Enthalpy Data'!X9</f>
        <v>2250</v>
      </c>
      <c r="B53" s="47">
        <f>'Enthalpy Data'!Y9</f>
        <v>4689.4416666666675</v>
      </c>
      <c r="C53" s="43">
        <f>'Enthalpy Data'!Z9</f>
        <v>4689.2508500000004</v>
      </c>
      <c r="D53" s="43">
        <f>'Enthalpy Data'!AA9</f>
        <v>4689.3082999999997</v>
      </c>
      <c r="E53" s="43">
        <f>'Enthalpy Data'!AB9</f>
        <v>4689.3657499999999</v>
      </c>
      <c r="F53" s="43">
        <f>'Enthalpy Data'!AC9</f>
        <v>4689.4232000000002</v>
      </c>
      <c r="G53" s="43">
        <f>'Enthalpy Data'!AD9</f>
        <v>4689.4806499999995</v>
      </c>
      <c r="H53" s="43">
        <f>'Enthalpy Data'!AE9</f>
        <v>4689.7679000000007</v>
      </c>
      <c r="I53" s="43">
        <f>'Enthalpy Data'!AF9</f>
        <v>4690.0551500000001</v>
      </c>
      <c r="J53" s="43">
        <f>'Enthalpy Data'!AG9</f>
        <v>4690.3424000000014</v>
      </c>
      <c r="K53" s="43">
        <f>'Enthalpy Data'!AH9</f>
        <v>4690.6296500000008</v>
      </c>
      <c r="L53" s="43">
        <f>'Enthalpy Data'!AI9</f>
        <v>4690.9169000000002</v>
      </c>
      <c r="M53" s="43">
        <f>'Enthalpy Data'!AJ9</f>
        <v>4691.2041500000005</v>
      </c>
      <c r="N53" s="76">
        <f>'Enthalpy Data'!AK9</f>
        <v>4691.4913999999999</v>
      </c>
      <c r="P53" s="127">
        <f>'Enthalpy Data'!X46</f>
        <v>1350</v>
      </c>
      <c r="Q53" s="47">
        <f>'Enthalpy Data'!Y46</f>
        <v>2357.0744</v>
      </c>
      <c r="R53" s="43">
        <f>'Enthalpy Data'!Z46</f>
        <v>2357.2281499999999</v>
      </c>
      <c r="S53" s="43">
        <f>'Enthalpy Data'!AA46</f>
        <v>2357.3818999999999</v>
      </c>
      <c r="T53" s="43">
        <f>'Enthalpy Data'!AB46</f>
        <v>2357.5356500000003</v>
      </c>
      <c r="U53" s="43">
        <f>'Enthalpy Data'!AC46</f>
        <v>2357.6893999999998</v>
      </c>
      <c r="V53" s="43">
        <f>'Enthalpy Data'!AD46</f>
        <v>2357.8431499999997</v>
      </c>
      <c r="W53" s="43">
        <f>'Enthalpy Data'!AE46</f>
        <v>2358.6118999999999</v>
      </c>
      <c r="X53" s="43">
        <f>'Enthalpy Data'!AF46</f>
        <v>2359.3806500000001</v>
      </c>
      <c r="Y53" s="43">
        <f>'Enthalpy Data'!AG46</f>
        <v>2360.1494000000002</v>
      </c>
      <c r="Z53" s="43">
        <f>'Enthalpy Data'!AH46</f>
        <v>2360.91815</v>
      </c>
      <c r="AA53" s="43">
        <f>'Enthalpy Data'!AI46</f>
        <v>2361.6868999999997</v>
      </c>
      <c r="AB53" s="43">
        <f>'Enthalpy Data'!AJ46</f>
        <v>2362.4556499999999</v>
      </c>
      <c r="AC53" s="76">
        <f>'Enthalpy Data'!AK46</f>
        <v>2363.2244000000001</v>
      </c>
    </row>
    <row r="54" spans="1:29" x14ac:dyDescent="0.25">
      <c r="A54" s="131">
        <f>'Enthalpy Data'!X10</f>
        <v>2300</v>
      </c>
      <c r="B54" s="47">
        <f>'Enthalpy Data'!Y10</f>
        <v>4823.1849999999995</v>
      </c>
      <c r="C54" s="43">
        <f>'Enthalpy Data'!Z10</f>
        <v>4822.9832500000002</v>
      </c>
      <c r="D54" s="43">
        <f>'Enthalpy Data'!AA10</f>
        <v>4823.0367000000006</v>
      </c>
      <c r="E54" s="43">
        <f>'Enthalpy Data'!AB10</f>
        <v>4823.09015</v>
      </c>
      <c r="F54" s="43">
        <f>'Enthalpy Data'!AC10</f>
        <v>4823.1436000000003</v>
      </c>
      <c r="G54" s="43">
        <f>'Enthalpy Data'!AD10</f>
        <v>4823.1970500000007</v>
      </c>
      <c r="H54" s="43">
        <f>'Enthalpy Data'!AE10</f>
        <v>4823.4642999999996</v>
      </c>
      <c r="I54" s="43">
        <f>'Enthalpy Data'!AF10</f>
        <v>4823.7315499999995</v>
      </c>
      <c r="J54" s="43">
        <f>'Enthalpy Data'!AG10</f>
        <v>4823.9987999999994</v>
      </c>
      <c r="K54" s="43">
        <f>'Enthalpy Data'!AH10</f>
        <v>4824.2660500000002</v>
      </c>
      <c r="L54" s="43">
        <f>'Enthalpy Data'!AI10</f>
        <v>4824.5333000000001</v>
      </c>
      <c r="M54" s="43">
        <f>'Enthalpy Data'!AJ10</f>
        <v>4824.8005499999999</v>
      </c>
      <c r="N54" s="76">
        <f>'Enthalpy Data'!AK10</f>
        <v>4825.0677999999998</v>
      </c>
      <c r="P54" s="127">
        <f>'Enthalpy Data'!X47</f>
        <v>1400</v>
      </c>
      <c r="Q54" s="47">
        <f>'Enthalpy Data'!Y47</f>
        <v>2481.5987999999998</v>
      </c>
      <c r="R54" s="43">
        <f>'Enthalpy Data'!Z47</f>
        <v>2481.7471500000001</v>
      </c>
      <c r="S54" s="43">
        <f>'Enthalpy Data'!AA47</f>
        <v>2481.8955000000001</v>
      </c>
      <c r="T54" s="43">
        <f>'Enthalpy Data'!AB47</f>
        <v>2482.04385</v>
      </c>
      <c r="U54" s="43">
        <f>'Enthalpy Data'!AC47</f>
        <v>2482.1922</v>
      </c>
      <c r="V54" s="43">
        <f>'Enthalpy Data'!AD47</f>
        <v>2482.3405499999999</v>
      </c>
      <c r="W54" s="43">
        <f>'Enthalpy Data'!AE47</f>
        <v>2483.0823</v>
      </c>
      <c r="X54" s="43">
        <f>'Enthalpy Data'!AF47</f>
        <v>2483.8240500000002</v>
      </c>
      <c r="Y54" s="43">
        <f>'Enthalpy Data'!AG47</f>
        <v>2484.5658000000003</v>
      </c>
      <c r="Z54" s="43">
        <f>'Enthalpy Data'!AH47</f>
        <v>2485.30755</v>
      </c>
      <c r="AA54" s="43">
        <f>'Enthalpy Data'!AI47</f>
        <v>2486.0492999999997</v>
      </c>
      <c r="AB54" s="43">
        <f>'Enthalpy Data'!AJ47</f>
        <v>2486.7910499999998</v>
      </c>
      <c r="AC54" s="76">
        <f>'Enthalpy Data'!AK47</f>
        <v>2487.5328</v>
      </c>
    </row>
    <row r="55" spans="1:29" x14ac:dyDescent="0.25">
      <c r="A55" s="131">
        <f>'Enthalpy Data'!X11</f>
        <v>2350</v>
      </c>
      <c r="B55" s="47">
        <f>'Enthalpy Data'!Y11</f>
        <v>4957.6485714285709</v>
      </c>
      <c r="C55" s="43">
        <f>'Enthalpy Data'!Z11</f>
        <v>4957.4342500000002</v>
      </c>
      <c r="D55" s="43">
        <f>'Enthalpy Data'!AA11</f>
        <v>4957.4820999999993</v>
      </c>
      <c r="E55" s="43">
        <f>'Enthalpy Data'!AB11</f>
        <v>4957.5299500000001</v>
      </c>
      <c r="F55" s="43">
        <f>'Enthalpy Data'!AC11</f>
        <v>4957.5778</v>
      </c>
      <c r="G55" s="43">
        <f>'Enthalpy Data'!AD11</f>
        <v>4957.62565</v>
      </c>
      <c r="H55" s="43">
        <f>'Enthalpy Data'!AE11</f>
        <v>4957.8649000000005</v>
      </c>
      <c r="I55" s="43">
        <f>'Enthalpy Data'!AF11</f>
        <v>4958.1041499999992</v>
      </c>
      <c r="J55" s="43">
        <f>'Enthalpy Data'!AG11</f>
        <v>4958.3433999999997</v>
      </c>
      <c r="K55" s="43">
        <f>'Enthalpy Data'!AH11</f>
        <v>4958.5826500000003</v>
      </c>
      <c r="L55" s="43">
        <f>'Enthalpy Data'!AI11</f>
        <v>4958.8218999999999</v>
      </c>
      <c r="M55" s="43">
        <f>'Enthalpy Data'!AJ11</f>
        <v>4959.0611500000005</v>
      </c>
      <c r="N55" s="76">
        <f>'Enthalpy Data'!AK11</f>
        <v>4959.3004000000001</v>
      </c>
      <c r="P55" s="127">
        <f>'Enthalpy Data'!X48</f>
        <v>1450</v>
      </c>
      <c r="Q55" s="47">
        <f>'Enthalpy Data'!Y48</f>
        <v>2606.9434000000001</v>
      </c>
      <c r="R55" s="43">
        <f>'Enthalpy Data'!Z48</f>
        <v>2607.0880500000003</v>
      </c>
      <c r="S55" s="43">
        <f>'Enthalpy Data'!AA48</f>
        <v>2607.2327000000005</v>
      </c>
      <c r="T55" s="43">
        <f>'Enthalpy Data'!AB48</f>
        <v>2607.3773500000002</v>
      </c>
      <c r="U55" s="43">
        <f>'Enthalpy Data'!AC48</f>
        <v>2607.5220000000004</v>
      </c>
      <c r="V55" s="43">
        <f>'Enthalpy Data'!AD48</f>
        <v>2607.6666500000001</v>
      </c>
      <c r="W55" s="43">
        <f>'Enthalpy Data'!AE48</f>
        <v>2608.3899000000001</v>
      </c>
      <c r="X55" s="43">
        <f>'Enthalpy Data'!AF48</f>
        <v>2609.1131500000001</v>
      </c>
      <c r="Y55" s="43">
        <f>'Enthalpy Data'!AG48</f>
        <v>2609.8364000000001</v>
      </c>
      <c r="Z55" s="43">
        <f>'Enthalpy Data'!AH48</f>
        <v>2610.5596500000001</v>
      </c>
      <c r="AA55" s="43">
        <f>'Enthalpy Data'!AI48</f>
        <v>2611.2829000000002</v>
      </c>
      <c r="AB55" s="43">
        <f>'Enthalpy Data'!AJ48</f>
        <v>2612.0061500000002</v>
      </c>
      <c r="AC55" s="76">
        <f>'Enthalpy Data'!AK48</f>
        <v>2612.7294000000002</v>
      </c>
    </row>
    <row r="56" spans="1:29" x14ac:dyDescent="0.25">
      <c r="A56" s="131">
        <f>'Enthalpy Data'!X12</f>
        <v>2400</v>
      </c>
      <c r="B56" s="47">
        <f>'Enthalpy Data'!Y12</f>
        <v>5091.7419047619051</v>
      </c>
      <c r="C56" s="43">
        <f>'Enthalpy Data'!Z12</f>
        <v>5091.5171</v>
      </c>
      <c r="D56" s="43">
        <f>'Enthalpy Data'!AA12</f>
        <v>5091.5614000000005</v>
      </c>
      <c r="E56" s="43">
        <f>'Enthalpy Data'!AB12</f>
        <v>5091.6057000000001</v>
      </c>
      <c r="F56" s="43">
        <f>'Enthalpy Data'!AC12</f>
        <v>5091.6499999999996</v>
      </c>
      <c r="G56" s="43">
        <f>'Enthalpy Data'!AD12</f>
        <v>5091.694300000001</v>
      </c>
      <c r="H56" s="43">
        <f>'Enthalpy Data'!AE12</f>
        <v>5091.9157999999998</v>
      </c>
      <c r="I56" s="43">
        <f>'Enthalpy Data'!AF12</f>
        <v>5092.1373000000012</v>
      </c>
      <c r="J56" s="43">
        <f>'Enthalpy Data'!AG12</f>
        <v>5092.3588</v>
      </c>
      <c r="K56" s="43">
        <f>'Enthalpy Data'!AH12</f>
        <v>5092.5803000000005</v>
      </c>
      <c r="L56" s="43">
        <f>'Enthalpy Data'!AI12</f>
        <v>5092.8018000000011</v>
      </c>
      <c r="M56" s="43">
        <f>'Enthalpy Data'!AJ12</f>
        <v>5093.0232999999998</v>
      </c>
      <c r="N56" s="76">
        <f>'Enthalpy Data'!AK12</f>
        <v>5093.2448000000004</v>
      </c>
      <c r="P56" s="127">
        <f>'Enthalpy Data'!X49</f>
        <v>1500</v>
      </c>
      <c r="Q56" s="47">
        <f>'Enthalpy Data'!Y49</f>
        <v>2732.6279999999997</v>
      </c>
      <c r="R56" s="43">
        <f>'Enthalpy Data'!Z49</f>
        <v>2732.7673500000001</v>
      </c>
      <c r="S56" s="43">
        <f>'Enthalpy Data'!AA49</f>
        <v>2732.9067</v>
      </c>
      <c r="T56" s="43">
        <f>'Enthalpy Data'!AB49</f>
        <v>2733.0460499999999</v>
      </c>
      <c r="U56" s="43">
        <f>'Enthalpy Data'!AC49</f>
        <v>2733.1854000000003</v>
      </c>
      <c r="V56" s="43">
        <f>'Enthalpy Data'!AD49</f>
        <v>2733.3247500000002</v>
      </c>
      <c r="W56" s="43">
        <f>'Enthalpy Data'!AE49</f>
        <v>2734.0215000000003</v>
      </c>
      <c r="X56" s="43">
        <f>'Enthalpy Data'!AF49</f>
        <v>2734.7182499999999</v>
      </c>
      <c r="Y56" s="43">
        <f>'Enthalpy Data'!AG49</f>
        <v>2735.415</v>
      </c>
      <c r="Z56" s="43">
        <f>'Enthalpy Data'!AH49</f>
        <v>2736.11175</v>
      </c>
      <c r="AA56" s="43">
        <f>'Enthalpy Data'!AI49</f>
        <v>2736.8085000000001</v>
      </c>
      <c r="AB56" s="43">
        <f>'Enthalpy Data'!AJ49</f>
        <v>2737.5052500000002</v>
      </c>
      <c r="AC56" s="76">
        <f>'Enthalpy Data'!AK49</f>
        <v>2738.2019999999998</v>
      </c>
    </row>
    <row r="57" spans="1:29" x14ac:dyDescent="0.25">
      <c r="A57" s="131">
        <f>'Enthalpy Data'!X13</f>
        <v>2450</v>
      </c>
      <c r="B57" s="47">
        <f>'Enthalpy Data'!Y13</f>
        <v>5226.475476190476</v>
      </c>
      <c r="C57" s="43">
        <f>'Enthalpy Data'!Z13</f>
        <v>5226.2406000000001</v>
      </c>
      <c r="D57" s="43">
        <f>'Enthalpy Data'!AA13</f>
        <v>5226.2818000000007</v>
      </c>
      <c r="E57" s="43">
        <f>'Enthalpy Data'!AB13</f>
        <v>5226.3229999999994</v>
      </c>
      <c r="F57" s="43">
        <f>'Enthalpy Data'!AC13</f>
        <v>5226.3642</v>
      </c>
      <c r="G57" s="43">
        <f>'Enthalpy Data'!AD13</f>
        <v>5226.4053999999996</v>
      </c>
      <c r="H57" s="43">
        <f>'Enthalpy Data'!AE13</f>
        <v>5226.6113999999998</v>
      </c>
      <c r="I57" s="43">
        <f>'Enthalpy Data'!AF13</f>
        <v>5226.8173999999999</v>
      </c>
      <c r="J57" s="43">
        <f>'Enthalpy Data'!AG13</f>
        <v>5227.0234</v>
      </c>
      <c r="K57" s="43">
        <f>'Enthalpy Data'!AH13</f>
        <v>5227.2294000000002</v>
      </c>
      <c r="L57" s="43">
        <f>'Enthalpy Data'!AI13</f>
        <v>5227.4354000000003</v>
      </c>
      <c r="M57" s="43">
        <f>'Enthalpy Data'!AJ13</f>
        <v>5227.6414000000004</v>
      </c>
      <c r="N57" s="76">
        <f>'Enthalpy Data'!AK13</f>
        <v>5227.8474000000006</v>
      </c>
      <c r="P57" s="127">
        <f>'Enthalpy Data'!X50</f>
        <v>1550</v>
      </c>
      <c r="Q57" s="47">
        <f>'Enthalpy Data'!Y50</f>
        <v>2859.6030000000001</v>
      </c>
      <c r="R57" s="43">
        <f>'Enthalpy Data'!Z50</f>
        <v>2859.7374999999997</v>
      </c>
      <c r="S57" s="43">
        <f>'Enthalpy Data'!AA50</f>
        <v>2859.8719999999998</v>
      </c>
      <c r="T57" s="43">
        <f>'Enthalpy Data'!AB50</f>
        <v>2860.0065</v>
      </c>
      <c r="U57" s="43">
        <f>'Enthalpy Data'!AC50</f>
        <v>2860.1410000000001</v>
      </c>
      <c r="V57" s="43">
        <f>'Enthalpy Data'!AD50</f>
        <v>2860.2754999999997</v>
      </c>
      <c r="W57" s="43">
        <f>'Enthalpy Data'!AE50</f>
        <v>2860.9479999999999</v>
      </c>
      <c r="X57" s="43">
        <f>'Enthalpy Data'!AF50</f>
        <v>2861.6205</v>
      </c>
      <c r="Y57" s="43">
        <f>'Enthalpy Data'!AG50</f>
        <v>2862.2930000000001</v>
      </c>
      <c r="Z57" s="43">
        <f>'Enthalpy Data'!AH50</f>
        <v>2862.9655000000002</v>
      </c>
      <c r="AA57" s="43">
        <f>'Enthalpy Data'!AI50</f>
        <v>2863.6379999999999</v>
      </c>
      <c r="AB57" s="43">
        <f>'Enthalpy Data'!AJ50</f>
        <v>2864.3105</v>
      </c>
      <c r="AC57" s="76">
        <f>'Enthalpy Data'!AK50</f>
        <v>2864.9829999999997</v>
      </c>
    </row>
    <row r="58" spans="1:29" x14ac:dyDescent="0.25">
      <c r="A58" s="131">
        <f>'Enthalpy Data'!X14</f>
        <v>2500</v>
      </c>
      <c r="B58" s="47">
        <f>'Enthalpy Data'!Y14</f>
        <v>5361.3790476190479</v>
      </c>
      <c r="C58" s="43">
        <f>'Enthalpy Data'!Z14</f>
        <v>5361.1332999999995</v>
      </c>
      <c r="D58" s="43">
        <f>'Enthalpy Data'!AA14</f>
        <v>5361.1706000000004</v>
      </c>
      <c r="E58" s="43">
        <f>'Enthalpy Data'!AB14</f>
        <v>5361.2079000000003</v>
      </c>
      <c r="F58" s="43">
        <f>'Enthalpy Data'!AC14</f>
        <v>5361.2452000000003</v>
      </c>
      <c r="G58" s="43">
        <f>'Enthalpy Data'!AD14</f>
        <v>5361.2824999999993</v>
      </c>
      <c r="H58" s="43">
        <f>'Enthalpy Data'!AE14</f>
        <v>5361.4690000000001</v>
      </c>
      <c r="I58" s="43">
        <f>'Enthalpy Data'!AF14</f>
        <v>5361.6554999999998</v>
      </c>
      <c r="J58" s="43">
        <f>'Enthalpy Data'!AG14</f>
        <v>5361.8420000000006</v>
      </c>
      <c r="K58" s="43">
        <f>'Enthalpy Data'!AH14</f>
        <v>5362.0285000000003</v>
      </c>
      <c r="L58" s="43">
        <f>'Enthalpy Data'!AI14</f>
        <v>5362.2150000000001</v>
      </c>
      <c r="M58" s="43">
        <f>'Enthalpy Data'!AJ14</f>
        <v>5362.4015000000009</v>
      </c>
      <c r="N58" s="76">
        <f>'Enthalpy Data'!AK14</f>
        <v>5362.5880000000006</v>
      </c>
      <c r="P58" s="127">
        <f>'Enthalpy Data'!X51</f>
        <v>1600</v>
      </c>
      <c r="Q58" s="47">
        <f>'Enthalpy Data'!Y51</f>
        <v>2986.9180000000001</v>
      </c>
      <c r="R58" s="43">
        <f>'Enthalpy Data'!Z51</f>
        <v>2987.0460499999999</v>
      </c>
      <c r="S58" s="43">
        <f>'Enthalpy Data'!AA51</f>
        <v>2987.1741000000002</v>
      </c>
      <c r="T58" s="43">
        <f>'Enthalpy Data'!AB51</f>
        <v>2987.3021500000004</v>
      </c>
      <c r="U58" s="43">
        <f>'Enthalpy Data'!AC51</f>
        <v>2987.4302000000002</v>
      </c>
      <c r="V58" s="43">
        <f>'Enthalpy Data'!AD51</f>
        <v>2987.55825</v>
      </c>
      <c r="W58" s="43">
        <f>'Enthalpy Data'!AE51</f>
        <v>2988.1985000000004</v>
      </c>
      <c r="X58" s="43">
        <f>'Enthalpy Data'!AF51</f>
        <v>2988.8387499999999</v>
      </c>
      <c r="Y58" s="43">
        <f>'Enthalpy Data'!AG51</f>
        <v>2989.4790000000003</v>
      </c>
      <c r="Z58" s="43">
        <f>'Enthalpy Data'!AH51</f>
        <v>2990.1192500000002</v>
      </c>
      <c r="AA58" s="43">
        <f>'Enthalpy Data'!AI51</f>
        <v>2990.7595000000001</v>
      </c>
      <c r="AB58" s="43">
        <f>'Enthalpy Data'!AJ51</f>
        <v>2991.39975</v>
      </c>
      <c r="AC58" s="76">
        <f>'Enthalpy Data'!AK51</f>
        <v>2992.04</v>
      </c>
    </row>
    <row r="59" spans="1:29" x14ac:dyDescent="0.25">
      <c r="A59" s="131">
        <f>'Enthalpy Data'!X15</f>
        <v>2550</v>
      </c>
      <c r="B59" s="47">
        <f>'Enthalpy Data'!Y15</f>
        <v>5496.3726190476191</v>
      </c>
      <c r="C59" s="43">
        <f>'Enthalpy Data'!Z15</f>
        <v>5496.1172500000002</v>
      </c>
      <c r="D59" s="43">
        <f>'Enthalpy Data'!AA15</f>
        <v>5496.1518999999998</v>
      </c>
      <c r="E59" s="43">
        <f>'Enthalpy Data'!AB15</f>
        <v>5496.1865500000004</v>
      </c>
      <c r="F59" s="43">
        <f>'Enthalpy Data'!AC15</f>
        <v>5496.2212</v>
      </c>
      <c r="G59" s="43">
        <f>'Enthalpy Data'!AD15</f>
        <v>5496.2558499999996</v>
      </c>
      <c r="H59" s="43">
        <f>'Enthalpy Data'!AE15</f>
        <v>5496.4291000000003</v>
      </c>
      <c r="I59" s="43">
        <f>'Enthalpy Data'!AF15</f>
        <v>5496.6023500000001</v>
      </c>
      <c r="J59" s="43">
        <f>'Enthalpy Data'!AG15</f>
        <v>5496.7756000000008</v>
      </c>
      <c r="K59" s="43">
        <f>'Enthalpy Data'!AH15</f>
        <v>5496.9488499999998</v>
      </c>
      <c r="L59" s="43">
        <f>'Enthalpy Data'!AI15</f>
        <v>5497.1220999999996</v>
      </c>
      <c r="M59" s="43">
        <f>'Enthalpy Data'!AJ15</f>
        <v>5497.2953500000003</v>
      </c>
      <c r="N59" s="76">
        <f>'Enthalpy Data'!AK15</f>
        <v>5497.4685999999992</v>
      </c>
      <c r="P59" s="127">
        <f>'Enthalpy Data'!X52</f>
        <v>1650</v>
      </c>
      <c r="Q59" s="47">
        <f>'Enthalpy Data'!Y52</f>
        <v>3114.8832000000002</v>
      </c>
      <c r="R59" s="43">
        <f>'Enthalpy Data'!Z52</f>
        <v>3115.00605</v>
      </c>
      <c r="S59" s="43">
        <f>'Enthalpy Data'!AA52</f>
        <v>3115.1289000000002</v>
      </c>
      <c r="T59" s="43">
        <f>'Enthalpy Data'!AB52</f>
        <v>3115.2517499999999</v>
      </c>
      <c r="U59" s="43">
        <f>'Enthalpy Data'!AC52</f>
        <v>3115.3746000000001</v>
      </c>
      <c r="V59" s="43">
        <f>'Enthalpy Data'!AD52</f>
        <v>3115.4974500000003</v>
      </c>
      <c r="W59" s="43">
        <f>'Enthalpy Data'!AE52</f>
        <v>3116.1117000000004</v>
      </c>
      <c r="X59" s="43">
        <f>'Enthalpy Data'!AF52</f>
        <v>3116.72595</v>
      </c>
      <c r="Y59" s="43">
        <f>'Enthalpy Data'!AG52</f>
        <v>3117.3402000000001</v>
      </c>
      <c r="Z59" s="43">
        <f>'Enthalpy Data'!AH52</f>
        <v>3117.9544500000002</v>
      </c>
      <c r="AA59" s="43">
        <f>'Enthalpy Data'!AI52</f>
        <v>3118.5687000000003</v>
      </c>
      <c r="AB59" s="43">
        <f>'Enthalpy Data'!AJ52</f>
        <v>3119.1829500000003</v>
      </c>
      <c r="AC59" s="76">
        <f>'Enthalpy Data'!AK52</f>
        <v>3119.7972</v>
      </c>
    </row>
    <row r="60" spans="1:29" x14ac:dyDescent="0.25">
      <c r="A60" s="131">
        <f>'Enthalpy Data'!X16</f>
        <v>2600</v>
      </c>
      <c r="B60" s="47">
        <f>'Enthalpy Data'!Y16</f>
        <v>5631.9264285714289</v>
      </c>
      <c r="C60" s="43">
        <f>'Enthalpy Data'!Z16</f>
        <v>5631.6614</v>
      </c>
      <c r="D60" s="43">
        <f>'Enthalpy Data'!AA16</f>
        <v>5631.693400000001</v>
      </c>
      <c r="E60" s="43">
        <f>'Enthalpy Data'!AB16</f>
        <v>5631.7254000000003</v>
      </c>
      <c r="F60" s="43">
        <f>'Enthalpy Data'!AC16</f>
        <v>5631.7573999999995</v>
      </c>
      <c r="G60" s="43">
        <f>'Enthalpy Data'!AD16</f>
        <v>5631.7893999999997</v>
      </c>
      <c r="H60" s="43">
        <f>'Enthalpy Data'!AE16</f>
        <v>5631.9494000000004</v>
      </c>
      <c r="I60" s="43">
        <f>'Enthalpy Data'!AF16</f>
        <v>5632.1094000000003</v>
      </c>
      <c r="J60" s="43">
        <f>'Enthalpy Data'!AG16</f>
        <v>5632.269400000001</v>
      </c>
      <c r="K60" s="43">
        <f>'Enthalpy Data'!AH16</f>
        <v>5632.4294</v>
      </c>
      <c r="L60" s="43">
        <f>'Enthalpy Data'!AI16</f>
        <v>5632.5893999999998</v>
      </c>
      <c r="M60" s="43">
        <f>'Enthalpy Data'!AJ16</f>
        <v>5632.7494000000006</v>
      </c>
      <c r="N60" s="76">
        <f>'Enthalpy Data'!AK16</f>
        <v>5632.9093999999996</v>
      </c>
      <c r="P60" s="127">
        <f>'Enthalpy Data'!X53</f>
        <v>1700</v>
      </c>
      <c r="Q60" s="47">
        <f>'Enthalpy Data'!Y53</f>
        <v>3243.1884</v>
      </c>
      <c r="R60" s="43">
        <f>'Enthalpy Data'!Z53</f>
        <v>3243.3056999999999</v>
      </c>
      <c r="S60" s="43">
        <f>'Enthalpy Data'!AA53</f>
        <v>3243.4230000000002</v>
      </c>
      <c r="T60" s="43">
        <f>'Enthalpy Data'!AB53</f>
        <v>3243.5403000000001</v>
      </c>
      <c r="U60" s="43">
        <f>'Enthalpy Data'!AC53</f>
        <v>3243.6576</v>
      </c>
      <c r="V60" s="43">
        <f>'Enthalpy Data'!AD53</f>
        <v>3243.7748999999999</v>
      </c>
      <c r="W60" s="43">
        <f>'Enthalpy Data'!AE53</f>
        <v>3244.3614000000002</v>
      </c>
      <c r="X60" s="43">
        <f>'Enthalpy Data'!AF53</f>
        <v>3244.9479000000001</v>
      </c>
      <c r="Y60" s="43">
        <f>'Enthalpy Data'!AG53</f>
        <v>3245.5344</v>
      </c>
      <c r="Z60" s="43">
        <f>'Enthalpy Data'!AH53</f>
        <v>3246.1208999999999</v>
      </c>
      <c r="AA60" s="43">
        <f>'Enthalpy Data'!AI53</f>
        <v>3246.7073999999998</v>
      </c>
      <c r="AB60" s="43">
        <f>'Enthalpy Data'!AJ53</f>
        <v>3247.2939000000001</v>
      </c>
      <c r="AC60" s="76">
        <f>'Enthalpy Data'!AK53</f>
        <v>3247.8804</v>
      </c>
    </row>
    <row r="61" spans="1:29" x14ac:dyDescent="0.25">
      <c r="A61" s="131">
        <f>'Enthalpy Data'!X17</f>
        <v>2650</v>
      </c>
      <c r="B61" s="47">
        <f>'Enthalpy Data'!Y17</f>
        <v>5767.6502380952388</v>
      </c>
      <c r="C61" s="43">
        <f>'Enthalpy Data'!Z17</f>
        <v>5767.3760000000002</v>
      </c>
      <c r="D61" s="43">
        <f>'Enthalpy Data'!AA17</f>
        <v>5767.4058000000014</v>
      </c>
      <c r="E61" s="43">
        <f>'Enthalpy Data'!AB17</f>
        <v>5767.4355999999998</v>
      </c>
      <c r="F61" s="43">
        <f>'Enthalpy Data'!AC17</f>
        <v>5767.465400000001</v>
      </c>
      <c r="G61" s="43">
        <f>'Enthalpy Data'!AD17</f>
        <v>5767.4952000000003</v>
      </c>
      <c r="H61" s="43">
        <f>'Enthalpy Data'!AE17</f>
        <v>5767.6442000000006</v>
      </c>
      <c r="I61" s="43">
        <f>'Enthalpy Data'!AF17</f>
        <v>5767.7932000000001</v>
      </c>
      <c r="J61" s="43">
        <f>'Enthalpy Data'!AG17</f>
        <v>5767.9422000000004</v>
      </c>
      <c r="K61" s="43">
        <f>'Enthalpy Data'!AH17</f>
        <v>5768.0912000000008</v>
      </c>
      <c r="L61" s="43">
        <f>'Enthalpy Data'!AI17</f>
        <v>5768.2402000000002</v>
      </c>
      <c r="M61" s="43">
        <f>'Enthalpy Data'!AJ17</f>
        <v>5768.3892000000005</v>
      </c>
      <c r="N61" s="76">
        <f>'Enthalpy Data'!AK17</f>
        <v>5768.5382000000009</v>
      </c>
      <c r="P61" s="127">
        <f>'Enthalpy Data'!X54</f>
        <v>1750</v>
      </c>
      <c r="Q61" s="47">
        <f>'Enthalpy Data'!Y54</f>
        <v>3372.3137999999999</v>
      </c>
      <c r="R61" s="43">
        <f>'Enthalpy Data'!Z54</f>
        <v>3372.4259999999999</v>
      </c>
      <c r="S61" s="43">
        <f>'Enthalpy Data'!AA54</f>
        <v>3372.5381999999995</v>
      </c>
      <c r="T61" s="43">
        <f>'Enthalpy Data'!AB54</f>
        <v>3372.6504</v>
      </c>
      <c r="U61" s="43">
        <f>'Enthalpy Data'!AC54</f>
        <v>3372.7626</v>
      </c>
      <c r="V61" s="43">
        <f>'Enthalpy Data'!AD54</f>
        <v>3372.8747999999996</v>
      </c>
      <c r="W61" s="43">
        <f>'Enthalpy Data'!AE54</f>
        <v>3373.4357999999997</v>
      </c>
      <c r="X61" s="43">
        <f>'Enthalpy Data'!AF54</f>
        <v>3373.9967999999999</v>
      </c>
      <c r="Y61" s="43">
        <f>'Enthalpy Data'!AG54</f>
        <v>3374.5577999999996</v>
      </c>
      <c r="Z61" s="43">
        <f>'Enthalpy Data'!AH54</f>
        <v>3375.1187999999997</v>
      </c>
      <c r="AA61" s="43">
        <f>'Enthalpy Data'!AI54</f>
        <v>3375.6797999999999</v>
      </c>
      <c r="AB61" s="43">
        <f>'Enthalpy Data'!AJ54</f>
        <v>3376.2407999999996</v>
      </c>
      <c r="AC61" s="76">
        <f>'Enthalpy Data'!AK54</f>
        <v>3376.8017999999997</v>
      </c>
    </row>
    <row r="62" spans="1:29" x14ac:dyDescent="0.25">
      <c r="A62" s="131">
        <f>'Enthalpy Data'!X18</f>
        <v>2700</v>
      </c>
      <c r="B62" s="47">
        <f>'Enthalpy Data'!Y18</f>
        <v>5903.4640476190489</v>
      </c>
      <c r="C62" s="43">
        <f>'Enthalpy Data'!Z18</f>
        <v>5903.1806000000015</v>
      </c>
      <c r="D62" s="43">
        <f>'Enthalpy Data'!AA18</f>
        <v>5903.2082</v>
      </c>
      <c r="E62" s="43">
        <f>'Enthalpy Data'!AB18</f>
        <v>5903.2358000000013</v>
      </c>
      <c r="F62" s="43">
        <f>'Enthalpy Data'!AC18</f>
        <v>5903.2633999999998</v>
      </c>
      <c r="G62" s="43">
        <f>'Enthalpy Data'!AD18</f>
        <v>5903.2910000000011</v>
      </c>
      <c r="H62" s="43">
        <f>'Enthalpy Data'!AE18</f>
        <v>5903.4290000000001</v>
      </c>
      <c r="I62" s="43">
        <f>'Enthalpy Data'!AF18</f>
        <v>5903.567</v>
      </c>
      <c r="J62" s="43">
        <f>'Enthalpy Data'!AG18</f>
        <v>5903.7049999999999</v>
      </c>
      <c r="K62" s="43">
        <f>'Enthalpy Data'!AH18</f>
        <v>5903.8430000000008</v>
      </c>
      <c r="L62" s="43">
        <f>'Enthalpy Data'!AI18</f>
        <v>5903.9810000000007</v>
      </c>
      <c r="M62" s="43">
        <f>'Enthalpy Data'!AJ18</f>
        <v>5904.1190000000006</v>
      </c>
      <c r="N62" s="76">
        <f>'Enthalpy Data'!AK18</f>
        <v>5904.2570000000005</v>
      </c>
      <c r="P62" s="127">
        <f>'Enthalpy Data'!X55</f>
        <v>1800</v>
      </c>
      <c r="Q62" s="47">
        <f>'Enthalpy Data'!Y55</f>
        <v>3502.1594000000005</v>
      </c>
      <c r="R62" s="43">
        <f>'Enthalpy Data'!Z55</f>
        <v>3502.2649000000006</v>
      </c>
      <c r="S62" s="43">
        <f>'Enthalpy Data'!AA55</f>
        <v>3502.3704000000002</v>
      </c>
      <c r="T62" s="43">
        <f>'Enthalpy Data'!AB55</f>
        <v>3502.4759000000004</v>
      </c>
      <c r="U62" s="43">
        <f>'Enthalpy Data'!AC55</f>
        <v>3502.5814</v>
      </c>
      <c r="V62" s="43">
        <f>'Enthalpy Data'!AD55</f>
        <v>3502.6869000000002</v>
      </c>
      <c r="W62" s="43">
        <f>'Enthalpy Data'!AE55</f>
        <v>3503.2144000000003</v>
      </c>
      <c r="X62" s="43">
        <f>'Enthalpy Data'!AF55</f>
        <v>3503.7419000000004</v>
      </c>
      <c r="Y62" s="43">
        <f>'Enthalpy Data'!AG55</f>
        <v>3504.2694000000006</v>
      </c>
      <c r="Z62" s="43">
        <f>'Enthalpy Data'!AH55</f>
        <v>3504.7969000000003</v>
      </c>
      <c r="AA62" s="43">
        <f>'Enthalpy Data'!AI55</f>
        <v>3505.3244</v>
      </c>
      <c r="AB62" s="43">
        <f>'Enthalpy Data'!AJ55</f>
        <v>3505.8519000000001</v>
      </c>
      <c r="AC62" s="76">
        <f>'Enthalpy Data'!AK55</f>
        <v>3506.3794000000007</v>
      </c>
    </row>
    <row r="63" spans="1:29" ht="15.75" thickBot="1" x14ac:dyDescent="0.3">
      <c r="A63" s="131">
        <f>'Enthalpy Data'!X19</f>
        <v>2750</v>
      </c>
      <c r="B63" s="47">
        <f>'Enthalpy Data'!Y19</f>
        <v>6039.4578571428574</v>
      </c>
      <c r="C63" s="43">
        <f>'Enthalpy Data'!Z19</f>
        <v>6039.1664499999997</v>
      </c>
      <c r="D63" s="43">
        <f>'Enthalpy Data'!AA19</f>
        <v>6039.1930999999995</v>
      </c>
      <c r="E63" s="43">
        <f>'Enthalpy Data'!AB19</f>
        <v>6039.2197500000002</v>
      </c>
      <c r="F63" s="43">
        <f>'Enthalpy Data'!AC19</f>
        <v>6039.2463999999991</v>
      </c>
      <c r="G63" s="43">
        <f>'Enthalpy Data'!AD19</f>
        <v>6039.2730500000007</v>
      </c>
      <c r="H63" s="43">
        <f>'Enthalpy Data'!AE19</f>
        <v>6039.4063000000006</v>
      </c>
      <c r="I63" s="43">
        <f>'Enthalpy Data'!AF19</f>
        <v>6039.5395499999995</v>
      </c>
      <c r="J63" s="43">
        <f>'Enthalpy Data'!AG19</f>
        <v>6039.6727999999994</v>
      </c>
      <c r="K63" s="43">
        <f>'Enthalpy Data'!AH19</f>
        <v>6039.8060500000001</v>
      </c>
      <c r="L63" s="43">
        <f>'Enthalpy Data'!AI19</f>
        <v>6039.9393</v>
      </c>
      <c r="M63" s="43">
        <f>'Enthalpy Data'!AJ19</f>
        <v>6040.0725500000008</v>
      </c>
      <c r="N63" s="76">
        <f>'Enthalpy Data'!AK19</f>
        <v>6040.2057999999997</v>
      </c>
      <c r="P63" s="128">
        <f>'Enthalpy Data'!X56</f>
        <v>1850</v>
      </c>
      <c r="Q63" s="139">
        <f>'Enthalpy Data'!Y56</f>
        <v>3632.2750000000005</v>
      </c>
      <c r="R63" s="44">
        <f>'Enthalpy Data'!Z56</f>
        <v>3632.3750500000001</v>
      </c>
      <c r="S63" s="44">
        <f>'Enthalpy Data'!AA56</f>
        <v>3632.4751000000006</v>
      </c>
      <c r="T63" s="44">
        <f>'Enthalpy Data'!AB56</f>
        <v>3632.5751500000001</v>
      </c>
      <c r="U63" s="44">
        <f>'Enthalpy Data'!AC56</f>
        <v>3632.6752000000001</v>
      </c>
      <c r="V63" s="44">
        <f>'Enthalpy Data'!AD56</f>
        <v>3632.7752500000006</v>
      </c>
      <c r="W63" s="44">
        <f>'Enthalpy Data'!AE56</f>
        <v>3633.2755000000002</v>
      </c>
      <c r="X63" s="44">
        <f>'Enthalpy Data'!AF56</f>
        <v>3633.7757500000002</v>
      </c>
      <c r="Y63" s="44">
        <f>'Enthalpy Data'!AG56</f>
        <v>3634.2760000000003</v>
      </c>
      <c r="Z63" s="44">
        <f>'Enthalpy Data'!AH56</f>
        <v>3634.7762500000003</v>
      </c>
      <c r="AA63" s="44">
        <f>'Enthalpy Data'!AI56</f>
        <v>3635.2765000000004</v>
      </c>
      <c r="AB63" s="44">
        <f>'Enthalpy Data'!AJ56</f>
        <v>3635.7767500000004</v>
      </c>
      <c r="AC63" s="140">
        <f>'Enthalpy Data'!AK56</f>
        <v>3636.2770000000005</v>
      </c>
    </row>
    <row r="64" spans="1:29" x14ac:dyDescent="0.25">
      <c r="A64" s="131">
        <f>'Enthalpy Data'!X20</f>
        <v>2800</v>
      </c>
      <c r="B64" s="47">
        <f>'Enthalpy Data'!Y20</f>
        <v>6175.5316666666658</v>
      </c>
      <c r="C64" s="43">
        <f>'Enthalpy Data'!Z20</f>
        <v>6175.2315000000008</v>
      </c>
      <c r="D64" s="43">
        <f>'Enthalpy Data'!AA20</f>
        <v>6175.2564000000002</v>
      </c>
      <c r="E64" s="43">
        <f>'Enthalpy Data'!AB20</f>
        <v>6175.2813000000006</v>
      </c>
      <c r="F64" s="43">
        <f>'Enthalpy Data'!AC20</f>
        <v>6175.3062</v>
      </c>
      <c r="G64" s="43">
        <f>'Enthalpy Data'!AD20</f>
        <v>6175.3310999999994</v>
      </c>
      <c r="H64" s="43">
        <f>'Enthalpy Data'!AE20</f>
        <v>6175.4556000000002</v>
      </c>
      <c r="I64" s="43">
        <f>'Enthalpy Data'!AF20</f>
        <v>6175.5801000000001</v>
      </c>
      <c r="J64" s="43">
        <f>'Enthalpy Data'!AG20</f>
        <v>6175.7046</v>
      </c>
      <c r="K64" s="43">
        <f>'Enthalpy Data'!AH20</f>
        <v>6175.8290999999999</v>
      </c>
      <c r="L64" s="43">
        <f>'Enthalpy Data'!AI20</f>
        <v>6175.9536000000007</v>
      </c>
      <c r="M64" s="43">
        <f>'Enthalpy Data'!AJ20</f>
        <v>6176.0781000000006</v>
      </c>
      <c r="N64" s="76">
        <f>'Enthalpy Data'!AK20</f>
        <v>6176.2026000000005</v>
      </c>
    </row>
    <row r="65" spans="1:14" x14ac:dyDescent="0.25">
      <c r="A65" s="131">
        <f>'Enthalpy Data'!X21</f>
        <v>2850</v>
      </c>
      <c r="B65" s="47">
        <f>'Enthalpy Data'!Y21</f>
        <v>6312.1657142857148</v>
      </c>
      <c r="C65" s="43">
        <f>'Enthalpy Data'!Z21</f>
        <v>6311.8567500000008</v>
      </c>
      <c r="D65" s="43">
        <f>'Enthalpy Data'!AA21</f>
        <v>6311.8799000000008</v>
      </c>
      <c r="E65" s="43">
        <f>'Enthalpy Data'!AB21</f>
        <v>6311.9030500000008</v>
      </c>
      <c r="F65" s="43">
        <f>'Enthalpy Data'!AC21</f>
        <v>6311.9261999999999</v>
      </c>
      <c r="G65" s="43">
        <f>'Enthalpy Data'!AD21</f>
        <v>6311.9493499999999</v>
      </c>
      <c r="H65" s="43">
        <f>'Enthalpy Data'!AE21</f>
        <v>6312.0650999999998</v>
      </c>
      <c r="I65" s="43">
        <f>'Enthalpy Data'!AF21</f>
        <v>6312.1808500000006</v>
      </c>
      <c r="J65" s="43">
        <f>'Enthalpy Data'!AG21</f>
        <v>6312.2966000000006</v>
      </c>
      <c r="K65" s="43">
        <f>'Enthalpy Data'!AH21</f>
        <v>6312.4123500000005</v>
      </c>
      <c r="L65" s="43">
        <f>'Enthalpy Data'!AI21</f>
        <v>6312.5281000000004</v>
      </c>
      <c r="M65" s="43">
        <f>'Enthalpy Data'!AJ21</f>
        <v>6312.6438500000004</v>
      </c>
      <c r="N65" s="76">
        <f>'Enthalpy Data'!AK21</f>
        <v>6312.7596000000012</v>
      </c>
    </row>
    <row r="66" spans="1:14" x14ac:dyDescent="0.25">
      <c r="A66" s="131">
        <f>'Enthalpy Data'!X22</f>
        <v>2900</v>
      </c>
      <c r="B66" s="47">
        <f>'Enthalpy Data'!Y22</f>
        <v>6448.7997619047619</v>
      </c>
      <c r="C66" s="43">
        <f>'Enthalpy Data'!Z22</f>
        <v>6448.4844999999996</v>
      </c>
      <c r="D66" s="43">
        <f>'Enthalpy Data'!AA22</f>
        <v>6448.5083999999997</v>
      </c>
      <c r="E66" s="43">
        <f>'Enthalpy Data'!AB22</f>
        <v>6448.5322999999999</v>
      </c>
      <c r="F66" s="43">
        <f>'Enthalpy Data'!AC22</f>
        <v>6448.5561999999991</v>
      </c>
      <c r="G66" s="43">
        <f>'Enthalpy Data'!AD22</f>
        <v>6448.5801000000001</v>
      </c>
      <c r="H66" s="43">
        <f>'Enthalpy Data'!AE22</f>
        <v>6448.699599999999</v>
      </c>
      <c r="I66" s="43">
        <f>'Enthalpy Data'!AF22</f>
        <v>6448.8190999999997</v>
      </c>
      <c r="J66" s="43">
        <f>'Enthalpy Data'!AG22</f>
        <v>6448.9385999999995</v>
      </c>
      <c r="K66" s="43">
        <f>'Enthalpy Data'!AH22</f>
        <v>6449.0581000000002</v>
      </c>
      <c r="L66" s="43">
        <f>'Enthalpy Data'!AI22</f>
        <v>6449.1776</v>
      </c>
      <c r="M66" s="43">
        <f>'Enthalpy Data'!AJ22</f>
        <v>6449.2970999999998</v>
      </c>
      <c r="N66" s="76">
        <f>'Enthalpy Data'!AK22</f>
        <v>6449.4165999999996</v>
      </c>
    </row>
    <row r="67" spans="1:14" x14ac:dyDescent="0.25">
      <c r="A67" s="131">
        <f>'Enthalpy Data'!X23</f>
        <v>2950</v>
      </c>
      <c r="B67" s="47">
        <f>'Enthalpy Data'!Y23</f>
        <v>6585.6938095238093</v>
      </c>
      <c r="C67" s="43">
        <f>'Enthalpy Data'!Z23</f>
        <v>6585.3702000000003</v>
      </c>
      <c r="D67" s="43">
        <f>'Enthalpy Data'!AA23</f>
        <v>6585.3928000000005</v>
      </c>
      <c r="E67" s="43">
        <f>'Enthalpy Data'!AB23</f>
        <v>6585.4154000000008</v>
      </c>
      <c r="F67" s="43">
        <f>'Enthalpy Data'!AC23</f>
        <v>6585.4380000000001</v>
      </c>
      <c r="G67" s="43">
        <f>'Enthalpy Data'!AD23</f>
        <v>6585.4605999999994</v>
      </c>
      <c r="H67" s="43">
        <f>'Enthalpy Data'!AE23</f>
        <v>6585.5736000000006</v>
      </c>
      <c r="I67" s="43">
        <f>'Enthalpy Data'!AF23</f>
        <v>6585.6866</v>
      </c>
      <c r="J67" s="43">
        <f>'Enthalpy Data'!AG23</f>
        <v>6585.7996000000003</v>
      </c>
      <c r="K67" s="43">
        <f>'Enthalpy Data'!AH23</f>
        <v>6585.9125999999997</v>
      </c>
      <c r="L67" s="43">
        <f>'Enthalpy Data'!AI23</f>
        <v>6586.025599999999</v>
      </c>
      <c r="M67" s="43">
        <f>'Enthalpy Data'!AJ23</f>
        <v>6586.1386000000002</v>
      </c>
      <c r="N67" s="76">
        <f>'Enthalpy Data'!AK23</f>
        <v>6586.2515999999996</v>
      </c>
    </row>
    <row r="68" spans="1:14" x14ac:dyDescent="0.25">
      <c r="A68" s="131">
        <f>'Enthalpy Data'!X24</f>
        <v>3000</v>
      </c>
      <c r="B68" s="47">
        <f>'Enthalpy Data'!Y24</f>
        <v>6722.5978571428577</v>
      </c>
      <c r="C68" s="43">
        <f>'Enthalpy Data'!Z24</f>
        <v>6722.2679499999995</v>
      </c>
      <c r="D68" s="43">
        <f>'Enthalpy Data'!AA24</f>
        <v>6722.2912999999999</v>
      </c>
      <c r="E68" s="43">
        <f>'Enthalpy Data'!AB24</f>
        <v>6722.3146499999993</v>
      </c>
      <c r="F68" s="43">
        <f>'Enthalpy Data'!AC24</f>
        <v>6722.3380000000006</v>
      </c>
      <c r="G68" s="43">
        <f>'Enthalpy Data'!AD24</f>
        <v>6722.3613500000001</v>
      </c>
      <c r="H68" s="43">
        <f>'Enthalpy Data'!AE24</f>
        <v>6722.4781000000003</v>
      </c>
      <c r="I68" s="43">
        <f>'Enthalpy Data'!AF24</f>
        <v>6722.5948499999995</v>
      </c>
      <c r="J68" s="43">
        <f>'Enthalpy Data'!AG24</f>
        <v>6722.7115999999996</v>
      </c>
      <c r="K68" s="43">
        <f>'Enthalpy Data'!AH24</f>
        <v>6722.8283499999998</v>
      </c>
      <c r="L68" s="43">
        <f>'Enthalpy Data'!AI24</f>
        <v>6722.9450999999999</v>
      </c>
      <c r="M68" s="43">
        <f>'Enthalpy Data'!AJ24</f>
        <v>6723.06185</v>
      </c>
      <c r="N68" s="76">
        <f>'Enthalpy Data'!AK24</f>
        <v>6723.1785999999993</v>
      </c>
    </row>
    <row r="69" spans="1:14" x14ac:dyDescent="0.25">
      <c r="A69" s="131">
        <f>'Enthalpy Data'!X25</f>
        <v>3050</v>
      </c>
      <c r="B69" s="47">
        <f>'Enthalpy Data'!Y25</f>
        <v>6859.5819047619043</v>
      </c>
      <c r="C69" s="43">
        <f>'Enthalpy Data'!Z25</f>
        <v>6859.2461499999999</v>
      </c>
      <c r="D69" s="43">
        <f>'Enthalpy Data'!AA25</f>
        <v>6859.2707</v>
      </c>
      <c r="E69" s="43">
        <f>'Enthalpy Data'!AB25</f>
        <v>6859.2952499999992</v>
      </c>
      <c r="F69" s="43">
        <f>'Enthalpy Data'!AC25</f>
        <v>6859.3198000000002</v>
      </c>
      <c r="G69" s="43">
        <f>'Enthalpy Data'!AD25</f>
        <v>6859.3443500000003</v>
      </c>
      <c r="H69" s="43">
        <f>'Enthalpy Data'!AE25</f>
        <v>6859.4671000000008</v>
      </c>
      <c r="I69" s="43">
        <f>'Enthalpy Data'!AF25</f>
        <v>6859.5898499999994</v>
      </c>
      <c r="J69" s="43">
        <f>'Enthalpy Data'!AG25</f>
        <v>6859.7125999999998</v>
      </c>
      <c r="K69" s="43">
        <f>'Enthalpy Data'!AH25</f>
        <v>6859.8353500000003</v>
      </c>
      <c r="L69" s="43">
        <f>'Enthalpy Data'!AI25</f>
        <v>6859.9581000000007</v>
      </c>
      <c r="M69" s="43">
        <f>'Enthalpy Data'!AJ25</f>
        <v>6860.0808500000003</v>
      </c>
      <c r="N69" s="76">
        <f>'Enthalpy Data'!AK25</f>
        <v>6860.2035999999998</v>
      </c>
    </row>
    <row r="70" spans="1:14" x14ac:dyDescent="0.25">
      <c r="A70" s="131">
        <f>'Enthalpy Data'!X26</f>
        <v>3100</v>
      </c>
      <c r="B70" s="47">
        <f>'Enthalpy Data'!Y26</f>
        <v>6996.7359523809537</v>
      </c>
      <c r="C70" s="43">
        <f>'Enthalpy Data'!Z26</f>
        <v>6996.3923000000004</v>
      </c>
      <c r="D70" s="43">
        <f>'Enthalpy Data'!AA26</f>
        <v>6996.4160000000002</v>
      </c>
      <c r="E70" s="43">
        <f>'Enthalpy Data'!AB26</f>
        <v>6996.4396999999999</v>
      </c>
      <c r="F70" s="43">
        <f>'Enthalpy Data'!AC26</f>
        <v>6996.4634000000005</v>
      </c>
      <c r="G70" s="43">
        <f>'Enthalpy Data'!AD26</f>
        <v>6996.4871000000003</v>
      </c>
      <c r="H70" s="43">
        <f>'Enthalpy Data'!AE26</f>
        <v>6996.6055999999999</v>
      </c>
      <c r="I70" s="43">
        <f>'Enthalpy Data'!AF26</f>
        <v>6996.7241000000013</v>
      </c>
      <c r="J70" s="43">
        <f>'Enthalpy Data'!AG26</f>
        <v>6996.8426000000009</v>
      </c>
      <c r="K70" s="43">
        <f>'Enthalpy Data'!AH26</f>
        <v>6996.9611000000004</v>
      </c>
      <c r="L70" s="43">
        <f>'Enthalpy Data'!AI26</f>
        <v>6997.0796</v>
      </c>
      <c r="M70" s="43">
        <f>'Enthalpy Data'!AJ26</f>
        <v>6997.1980999999996</v>
      </c>
      <c r="N70" s="76">
        <f>'Enthalpy Data'!AK26</f>
        <v>6997.316600000001</v>
      </c>
    </row>
    <row r="71" spans="1:14" x14ac:dyDescent="0.25">
      <c r="A71" s="131">
        <f>'Enthalpy Data'!X27</f>
        <v>3150</v>
      </c>
      <c r="B71" s="47">
        <f>'Enthalpy Data'!Y27</f>
        <v>7134.3702380952382</v>
      </c>
      <c r="C71" s="43">
        <f>'Enthalpy Data'!Z27</f>
        <v>7134.0219500000012</v>
      </c>
      <c r="D71" s="43">
        <f>'Enthalpy Data'!AA27</f>
        <v>7134.0481000000009</v>
      </c>
      <c r="E71" s="43">
        <f>'Enthalpy Data'!AB27</f>
        <v>7134.0742500000006</v>
      </c>
      <c r="F71" s="43">
        <f>'Enthalpy Data'!AC27</f>
        <v>7134.1004000000012</v>
      </c>
      <c r="G71" s="43">
        <f>'Enthalpy Data'!AD27</f>
        <v>7134.1265500000009</v>
      </c>
      <c r="H71" s="43">
        <f>'Enthalpy Data'!AE27</f>
        <v>7134.2573000000011</v>
      </c>
      <c r="I71" s="43">
        <f>'Enthalpy Data'!AF27</f>
        <v>7134.3880500000005</v>
      </c>
      <c r="J71" s="43">
        <f>'Enthalpy Data'!AG27</f>
        <v>7134.5188000000007</v>
      </c>
      <c r="K71" s="43">
        <f>'Enthalpy Data'!AH27</f>
        <v>7134.649550000001</v>
      </c>
      <c r="L71" s="43">
        <f>'Enthalpy Data'!AI27</f>
        <v>7134.7803000000013</v>
      </c>
      <c r="M71" s="43">
        <f>'Enthalpy Data'!AJ27</f>
        <v>7134.9110500000015</v>
      </c>
      <c r="N71" s="76">
        <f>'Enthalpy Data'!AK27</f>
        <v>7135.0418000000009</v>
      </c>
    </row>
    <row r="72" spans="1:14" x14ac:dyDescent="0.25">
      <c r="A72" s="131">
        <f>'Enthalpy Data'!X28</f>
        <v>3200</v>
      </c>
      <c r="B72" s="47">
        <f>'Enthalpy Data'!Y28</f>
        <v>7271.6142857142859</v>
      </c>
      <c r="C72" s="43">
        <f>'Enthalpy Data'!Z28</f>
        <v>7271.2593500000003</v>
      </c>
      <c r="D72" s="43">
        <f>'Enthalpy Data'!AA28</f>
        <v>7271.2858999999999</v>
      </c>
      <c r="E72" s="43">
        <f>'Enthalpy Data'!AB28</f>
        <v>7271.3124499999994</v>
      </c>
      <c r="F72" s="43">
        <f>'Enthalpy Data'!AC28</f>
        <v>7271.3390000000009</v>
      </c>
      <c r="G72" s="43">
        <f>'Enthalpy Data'!AD28</f>
        <v>7271.3655500000004</v>
      </c>
      <c r="H72" s="43">
        <f>'Enthalpy Data'!AE28</f>
        <v>7271.4983000000011</v>
      </c>
      <c r="I72" s="43">
        <f>'Enthalpy Data'!AF28</f>
        <v>7271.63105</v>
      </c>
      <c r="J72" s="43">
        <f>'Enthalpy Data'!AG28</f>
        <v>7271.7637999999997</v>
      </c>
      <c r="K72" s="43">
        <f>'Enthalpy Data'!AH28</f>
        <v>7271.8965500000004</v>
      </c>
      <c r="L72" s="43">
        <f>'Enthalpy Data'!AI28</f>
        <v>7272.0293000000001</v>
      </c>
      <c r="M72" s="43">
        <f>'Enthalpy Data'!AJ28</f>
        <v>7272.1620500000008</v>
      </c>
      <c r="N72" s="76">
        <f>'Enthalpy Data'!AK28</f>
        <v>7272.2947999999997</v>
      </c>
    </row>
    <row r="73" spans="1:14" x14ac:dyDescent="0.25">
      <c r="A73" s="131">
        <f>'Enthalpy Data'!X29</f>
        <v>3250</v>
      </c>
      <c r="B73" s="47">
        <f>'Enthalpy Data'!Y29</f>
        <v>7409.4185714285713</v>
      </c>
      <c r="C73" s="43">
        <f>'Enthalpy Data'!Z29</f>
        <v>7409.0594500000007</v>
      </c>
      <c r="D73" s="43">
        <f>'Enthalpy Data'!AA29</f>
        <v>7409.0888999999997</v>
      </c>
      <c r="E73" s="43">
        <f>'Enthalpy Data'!AB29</f>
        <v>7409.1183499999997</v>
      </c>
      <c r="F73" s="43">
        <f>'Enthalpy Data'!AC29</f>
        <v>7409.1477999999997</v>
      </c>
      <c r="G73" s="43">
        <f>'Enthalpy Data'!AD29</f>
        <v>7409.1772499999997</v>
      </c>
      <c r="H73" s="43">
        <f>'Enthalpy Data'!AE29</f>
        <v>7409.3244999999997</v>
      </c>
      <c r="I73" s="43">
        <f>'Enthalpy Data'!AF29</f>
        <v>7409.4717499999997</v>
      </c>
      <c r="J73" s="43">
        <f>'Enthalpy Data'!AG29</f>
        <v>7409.6189999999997</v>
      </c>
      <c r="K73" s="43">
        <f>'Enthalpy Data'!AH29</f>
        <v>7409.7662499999997</v>
      </c>
      <c r="L73" s="43">
        <f>'Enthalpy Data'!AI29</f>
        <v>7409.9134999999997</v>
      </c>
      <c r="M73" s="43">
        <f>'Enthalpy Data'!AJ29</f>
        <v>7410.0607500000006</v>
      </c>
      <c r="N73" s="76">
        <f>'Enthalpy Data'!AK29</f>
        <v>7410.2080000000005</v>
      </c>
    </row>
    <row r="74" spans="1:14" x14ac:dyDescent="0.25">
      <c r="A74" s="131">
        <f>'Enthalpy Data'!X30</f>
        <v>3300</v>
      </c>
      <c r="B74" s="47">
        <f>'Enthalpy Data'!Y30</f>
        <v>7547.3928571428569</v>
      </c>
      <c r="C74" s="43">
        <f>'Enthalpy Data'!Z30</f>
        <v>7547.0275000000001</v>
      </c>
      <c r="D74" s="43">
        <f>'Enthalpy Data'!AA30</f>
        <v>7547.0578000000014</v>
      </c>
      <c r="E74" s="43">
        <f>'Enthalpy Data'!AB30</f>
        <v>7547.0881000000008</v>
      </c>
      <c r="F74" s="43">
        <f>'Enthalpy Data'!AC30</f>
        <v>7547.1184000000003</v>
      </c>
      <c r="G74" s="43">
        <f>'Enthalpy Data'!AD30</f>
        <v>7547.1487000000016</v>
      </c>
      <c r="H74" s="43">
        <f>'Enthalpy Data'!AE30</f>
        <v>7547.3002000000006</v>
      </c>
      <c r="I74" s="43">
        <f>'Enthalpy Data'!AF30</f>
        <v>7547.4517000000005</v>
      </c>
      <c r="J74" s="43">
        <f>'Enthalpy Data'!AG30</f>
        <v>7547.6032000000005</v>
      </c>
      <c r="K74" s="43">
        <f>'Enthalpy Data'!AH30</f>
        <v>7547.7547000000004</v>
      </c>
      <c r="L74" s="43">
        <f>'Enthalpy Data'!AI30</f>
        <v>7547.9062000000013</v>
      </c>
      <c r="M74" s="43">
        <f>'Enthalpy Data'!AJ30</f>
        <v>7548.0577000000003</v>
      </c>
      <c r="N74" s="76">
        <f>'Enthalpy Data'!AK30</f>
        <v>7548.2092000000002</v>
      </c>
    </row>
    <row r="75" spans="1:14" x14ac:dyDescent="0.25">
      <c r="A75" s="131">
        <f>'Enthalpy Data'!X31</f>
        <v>3350</v>
      </c>
      <c r="B75" s="47">
        <f>'Enthalpy Data'!Y31</f>
        <v>7685.3671428571433</v>
      </c>
      <c r="C75" s="43">
        <f>'Enthalpy Data'!Z31</f>
        <v>7684.9968000000008</v>
      </c>
      <c r="D75" s="43">
        <f>'Enthalpy Data'!AA31</f>
        <v>7685.0292000000009</v>
      </c>
      <c r="E75" s="43">
        <f>'Enthalpy Data'!AB31</f>
        <v>7685.0616</v>
      </c>
      <c r="F75" s="43">
        <f>'Enthalpy Data'!AC31</f>
        <v>7685.0940000000001</v>
      </c>
      <c r="G75" s="43">
        <f>'Enthalpy Data'!AD31</f>
        <v>7685.1264000000001</v>
      </c>
      <c r="H75" s="43">
        <f>'Enthalpy Data'!AE31</f>
        <v>7685.2884000000013</v>
      </c>
      <c r="I75" s="43">
        <f>'Enthalpy Data'!AF31</f>
        <v>7685.4503999999997</v>
      </c>
      <c r="J75" s="43">
        <f>'Enthalpy Data'!AG31</f>
        <v>7685.6124000000009</v>
      </c>
      <c r="K75" s="43">
        <f>'Enthalpy Data'!AH31</f>
        <v>7685.7744000000002</v>
      </c>
      <c r="L75" s="43">
        <f>'Enthalpy Data'!AI31</f>
        <v>7685.9364000000005</v>
      </c>
      <c r="M75" s="43">
        <f>'Enthalpy Data'!AJ31</f>
        <v>7686.0984000000008</v>
      </c>
      <c r="N75" s="76">
        <f>'Enthalpy Data'!AK31</f>
        <v>7686.2604000000001</v>
      </c>
    </row>
    <row r="76" spans="1:14" x14ac:dyDescent="0.25">
      <c r="A76" s="131">
        <f>'Enthalpy Data'!X32</f>
        <v>3400</v>
      </c>
      <c r="B76" s="47">
        <f>'Enthalpy Data'!Y32</f>
        <v>7823.3514285714282</v>
      </c>
      <c r="C76" s="43">
        <f>'Enthalpy Data'!Z32</f>
        <v>7822.9781500000008</v>
      </c>
      <c r="D76" s="43">
        <f>'Enthalpy Data'!AA32</f>
        <v>7823.0147000000006</v>
      </c>
      <c r="E76" s="43">
        <f>'Enthalpy Data'!AB32</f>
        <v>7823.0512500000004</v>
      </c>
      <c r="F76" s="43">
        <f>'Enthalpy Data'!AC32</f>
        <v>7823.0878000000002</v>
      </c>
      <c r="G76" s="43">
        <f>'Enthalpy Data'!AD32</f>
        <v>7823.124350000001</v>
      </c>
      <c r="H76" s="43">
        <f>'Enthalpy Data'!AE32</f>
        <v>7823.3071</v>
      </c>
      <c r="I76" s="43">
        <f>'Enthalpy Data'!AF32</f>
        <v>7823.4898500000008</v>
      </c>
      <c r="J76" s="43">
        <f>'Enthalpy Data'!AG32</f>
        <v>7823.6725999999999</v>
      </c>
      <c r="K76" s="43">
        <f>'Enthalpy Data'!AH32</f>
        <v>7823.8553499999998</v>
      </c>
      <c r="L76" s="43">
        <f>'Enthalpy Data'!AI32</f>
        <v>7824.0381000000007</v>
      </c>
      <c r="M76" s="43">
        <f>'Enthalpy Data'!AJ32</f>
        <v>7824.2208500000006</v>
      </c>
      <c r="N76" s="76">
        <f>'Enthalpy Data'!AK32</f>
        <v>7824.4036000000006</v>
      </c>
    </row>
    <row r="77" spans="1:14" x14ac:dyDescent="0.25">
      <c r="A77" s="131">
        <f>'Enthalpy Data'!X33</f>
        <v>3450</v>
      </c>
      <c r="B77" s="47">
        <f>'Enthalpy Data'!Y33</f>
        <v>7962.0559523809525</v>
      </c>
      <c r="C77" s="43">
        <f>'Enthalpy Data'!Z33</f>
        <v>7961.6768500000007</v>
      </c>
      <c r="D77" s="43">
        <f>'Enthalpy Data'!AA33</f>
        <v>7961.7147000000014</v>
      </c>
      <c r="E77" s="43">
        <f>'Enthalpy Data'!AB33</f>
        <v>7961.7525500000011</v>
      </c>
      <c r="F77" s="43">
        <f>'Enthalpy Data'!AC33</f>
        <v>7961.7904000000008</v>
      </c>
      <c r="G77" s="43">
        <f>'Enthalpy Data'!AD33</f>
        <v>7961.8282500000014</v>
      </c>
      <c r="H77" s="43">
        <f>'Enthalpy Data'!AE33</f>
        <v>7962.0175000000017</v>
      </c>
      <c r="I77" s="43">
        <f>'Enthalpy Data'!AF33</f>
        <v>7962.2067500000003</v>
      </c>
      <c r="J77" s="43">
        <f>'Enthalpy Data'!AG33</f>
        <v>7962.3960000000006</v>
      </c>
      <c r="K77" s="43">
        <f>'Enthalpy Data'!AH33</f>
        <v>7962.585250000001</v>
      </c>
      <c r="L77" s="43">
        <f>'Enthalpy Data'!AI33</f>
        <v>7962.7745000000004</v>
      </c>
      <c r="M77" s="43">
        <f>'Enthalpy Data'!AJ33</f>
        <v>7962.9637500000008</v>
      </c>
      <c r="N77" s="76">
        <f>'Enthalpy Data'!AK33</f>
        <v>7963.1530000000002</v>
      </c>
    </row>
    <row r="78" spans="1:14" ht="15.75" thickBot="1" x14ac:dyDescent="0.3">
      <c r="A78" s="132">
        <f>'Enthalpy Data'!X34</f>
        <v>3500</v>
      </c>
      <c r="B78" s="139">
        <f>'Enthalpy Data'!Y34</f>
        <v>8100.2102380952383</v>
      </c>
      <c r="C78" s="44">
        <f>'Enthalpy Data'!Z34</f>
        <v>8099.8286500000004</v>
      </c>
      <c r="D78" s="44">
        <f>'Enthalpy Data'!AA34</f>
        <v>8099.8711000000003</v>
      </c>
      <c r="E78" s="44">
        <f>'Enthalpy Data'!AB34</f>
        <v>8099.9135500000011</v>
      </c>
      <c r="F78" s="44">
        <f>'Enthalpy Data'!AC34</f>
        <v>8099.956000000001</v>
      </c>
      <c r="G78" s="44">
        <f>'Enthalpy Data'!AD34</f>
        <v>8099.99845</v>
      </c>
      <c r="H78" s="44">
        <f>'Enthalpy Data'!AE34</f>
        <v>8100.2107000000005</v>
      </c>
      <c r="I78" s="44">
        <f>'Enthalpy Data'!AF34</f>
        <v>8100.422950000001</v>
      </c>
      <c r="J78" s="44">
        <f>'Enthalpy Data'!AG34</f>
        <v>8100.6352000000006</v>
      </c>
      <c r="K78" s="44">
        <f>'Enthalpy Data'!AH34</f>
        <v>8100.8474500000011</v>
      </c>
      <c r="L78" s="44">
        <f>'Enthalpy Data'!AI34</f>
        <v>8101.0597000000007</v>
      </c>
      <c r="M78" s="44">
        <f>'Enthalpy Data'!AJ34</f>
        <v>8101.2719500000003</v>
      </c>
      <c r="N78" s="140">
        <f>'Enthalpy Data'!AK34</f>
        <v>8101.4842000000008</v>
      </c>
    </row>
  </sheetData>
  <mergeCells count="28">
    <mergeCell ref="S24:T24"/>
    <mergeCell ref="U24:V24"/>
    <mergeCell ref="S42:S43"/>
    <mergeCell ref="W24:X24"/>
    <mergeCell ref="A1:K3"/>
    <mergeCell ref="C24:D24"/>
    <mergeCell ref="E24:F24"/>
    <mergeCell ref="G24:H24"/>
    <mergeCell ref="I24:J24"/>
    <mergeCell ref="K24:L24"/>
    <mergeCell ref="F4:K8"/>
    <mergeCell ref="M42:M43"/>
    <mergeCell ref="O42:O43"/>
    <mergeCell ref="Q42:Q43"/>
    <mergeCell ref="M24:N24"/>
    <mergeCell ref="O24:P24"/>
    <mergeCell ref="Q24:R24"/>
    <mergeCell ref="C42:C43"/>
    <mergeCell ref="E42:E43"/>
    <mergeCell ref="G42:G43"/>
    <mergeCell ref="I42:I43"/>
    <mergeCell ref="K42:K43"/>
    <mergeCell ref="U42:U43"/>
    <mergeCell ref="W42:W43"/>
    <mergeCell ref="Y42:Y43"/>
    <mergeCell ref="AA42:AA43"/>
    <mergeCell ref="Y24:Z24"/>
    <mergeCell ref="AA24:AB24"/>
  </mergeCells>
  <conditionalFormatting sqref="C26:C41 E26:E41 G26:G41 I26:I41 K26:K41 M26:M41 O26:O41 Q26:Q41 S26:S41 U26:U41 W26:W41 Y26:Y41 AA26:AA41">
    <cfRule type="colorScale" priority="1">
      <colorScale>
        <cfvo type="min"/>
        <cfvo type="max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K56"/>
  <sheetViews>
    <sheetView topLeftCell="D16" zoomScale="85" zoomScaleNormal="85" workbookViewId="0">
      <selection activeCell="AC8" sqref="AC8"/>
    </sheetView>
  </sheetViews>
  <sheetFormatPr defaultRowHeight="15" x14ac:dyDescent="0.25"/>
  <sheetData>
    <row r="1" spans="1:37" ht="30.75" thickBot="1" x14ac:dyDescent="0.3">
      <c r="A1" s="264" t="s">
        <v>0</v>
      </c>
      <c r="B1" s="265"/>
      <c r="C1" s="265"/>
      <c r="D1" s="265"/>
      <c r="E1" s="266"/>
      <c r="G1" s="264" t="s">
        <v>1</v>
      </c>
      <c r="H1" s="265"/>
      <c r="I1" s="265"/>
      <c r="J1" s="265"/>
      <c r="K1" s="266"/>
      <c r="M1" s="264" t="s">
        <v>7</v>
      </c>
      <c r="N1" s="265"/>
      <c r="O1" s="265"/>
      <c r="P1" s="265"/>
      <c r="Q1" s="266"/>
      <c r="S1" s="264" t="s">
        <v>8</v>
      </c>
      <c r="T1" s="265"/>
      <c r="U1" s="265"/>
      <c r="V1" s="265"/>
      <c r="W1" s="266"/>
      <c r="X1" s="72" t="s">
        <v>24</v>
      </c>
      <c r="Y1" s="67" t="s">
        <v>22</v>
      </c>
      <c r="Z1" s="50">
        <v>0.99</v>
      </c>
      <c r="AA1" s="50">
        <v>0.98</v>
      </c>
      <c r="AB1" s="50">
        <v>0.97</v>
      </c>
      <c r="AC1" s="50">
        <v>0.96</v>
      </c>
      <c r="AD1" s="50">
        <v>0.95</v>
      </c>
      <c r="AE1" s="50">
        <v>0.9</v>
      </c>
      <c r="AF1" s="50">
        <v>0.85</v>
      </c>
      <c r="AG1" s="50">
        <v>0.8</v>
      </c>
      <c r="AH1" s="50">
        <v>0.75</v>
      </c>
      <c r="AI1" s="50">
        <v>0.7</v>
      </c>
      <c r="AJ1" s="50">
        <v>0.65</v>
      </c>
      <c r="AK1" s="68">
        <v>0.6</v>
      </c>
    </row>
    <row r="2" spans="1:37" x14ac:dyDescent="0.25">
      <c r="A2" s="60">
        <v>1900</v>
      </c>
      <c r="B2" s="61">
        <v>60.11</v>
      </c>
      <c r="C2" s="58">
        <v>85.39</v>
      </c>
      <c r="D2" s="58">
        <v>306.12</v>
      </c>
      <c r="E2" s="59">
        <v>56.33</v>
      </c>
      <c r="G2" s="57">
        <v>1900</v>
      </c>
      <c r="H2" s="58">
        <v>50.45</v>
      </c>
      <c r="I2" s="58">
        <v>67.72</v>
      </c>
      <c r="J2" s="58">
        <v>262.07</v>
      </c>
      <c r="K2" s="59">
        <v>42.54</v>
      </c>
      <c r="M2" s="57">
        <v>1900</v>
      </c>
      <c r="N2" s="58">
        <v>35.799999999999997</v>
      </c>
      <c r="O2" s="58">
        <v>52.54</v>
      </c>
      <c r="P2" s="58">
        <v>250.13</v>
      </c>
      <c r="Q2" s="59">
        <v>26.76</v>
      </c>
      <c r="S2" s="57">
        <v>1900</v>
      </c>
      <c r="T2" s="58">
        <v>37.54</v>
      </c>
      <c r="U2" s="58">
        <v>55.4</v>
      </c>
      <c r="V2" s="58">
        <v>266.70999999999998</v>
      </c>
      <c r="W2" s="73">
        <v>28.57</v>
      </c>
      <c r="X2" s="191">
        <v>1900</v>
      </c>
      <c r="Y2" s="20">
        <f>1*(8*C2)+(9*I2)+((79/21*12.5)*O2)+(0*U2)</f>
        <v>3763.2309523809522</v>
      </c>
      <c r="Z2" s="21">
        <f>0.99*(8*C2)+(9*I2)+(47.02*O2)+(0.125*U2)</f>
        <v>3763.1246000000001</v>
      </c>
      <c r="AA2" s="69">
        <f>0.98*(8*C2)+(9*I2)+(47.02*O2)+(0.25*U2)</f>
        <v>3763.2184000000002</v>
      </c>
      <c r="AB2" s="69">
        <f>0.97*(8*C2)+(9*I2)+(47.02*O2)+(0.375*U2)</f>
        <v>3763.3122000000003</v>
      </c>
      <c r="AC2" s="69">
        <f>0.96*(8*C2)+(9*I2)+(47.02*O2)+(0.5*U2)</f>
        <v>3763.4059999999999</v>
      </c>
      <c r="AD2" s="69">
        <f>0.95*(8*C2)+(9*I2)+(47.02*O2)+(0.625*U2)</f>
        <v>3763.4998000000001</v>
      </c>
      <c r="AE2" s="69">
        <f>0.9*(8*C2)+(9*I2)+(47.02*O2)+(1.25*U2)</f>
        <v>3763.9688000000001</v>
      </c>
      <c r="AF2" s="69">
        <f>0.85*(8*C2)+(9*I2)+(47.02*O2)+(1.875*U2)</f>
        <v>3764.4378000000002</v>
      </c>
      <c r="AG2" s="69">
        <f>0.8*(8*C2)+(9*I2)+(47.02*O2)+(2.5*U2)</f>
        <v>3764.9068000000002</v>
      </c>
      <c r="AH2" s="69">
        <f>0.75*(8*C2)+(9*I2)+(47.02*O2)+(3.125*U2)</f>
        <v>3765.3758000000003</v>
      </c>
      <c r="AI2" s="69">
        <f>0.7*(8*C2)+(9*I2)+(47.02*O2)+(3.75*U2)</f>
        <v>3765.8447999999999</v>
      </c>
      <c r="AJ2" s="69">
        <f>0.65*(8*C2)+(9*I2)+(47.02*O2)+(4.375*U2)</f>
        <v>3766.3137999999999</v>
      </c>
      <c r="AK2" s="70">
        <f>0.6*(8*C2)+(9*I2)+(47.02*O2)+(5*U2)</f>
        <v>3766.7828</v>
      </c>
    </row>
    <row r="3" spans="1:37" x14ac:dyDescent="0.25">
      <c r="A3" s="62">
        <v>1950</v>
      </c>
      <c r="B3" s="63">
        <v>60.27</v>
      </c>
      <c r="C3" s="24">
        <v>88.4</v>
      </c>
      <c r="D3" s="24">
        <v>307.68</v>
      </c>
      <c r="E3" s="25">
        <v>55.83</v>
      </c>
      <c r="G3" s="26">
        <v>1950</v>
      </c>
      <c r="H3" s="24">
        <v>50.8</v>
      </c>
      <c r="I3" s="24">
        <v>70.25</v>
      </c>
      <c r="J3" s="24">
        <v>263.38</v>
      </c>
      <c r="K3" s="25">
        <v>42.26</v>
      </c>
      <c r="M3" s="26">
        <v>1950</v>
      </c>
      <c r="N3" s="24">
        <v>35.9</v>
      </c>
      <c r="O3" s="24">
        <v>54.33</v>
      </c>
      <c r="P3" s="24">
        <v>251.06</v>
      </c>
      <c r="Q3" s="25">
        <v>26.85</v>
      </c>
      <c r="S3" s="26">
        <v>1950</v>
      </c>
      <c r="T3" s="24">
        <v>37.67</v>
      </c>
      <c r="U3" s="24">
        <v>57.28</v>
      </c>
      <c r="V3" s="24">
        <v>267.69</v>
      </c>
      <c r="W3" s="74">
        <v>28.66</v>
      </c>
      <c r="X3" s="121">
        <v>1950</v>
      </c>
      <c r="Y3" s="23">
        <f t="shared" ref="Y3:Y34" si="0">1*(8*C3)+(9*I3)+((79/21*12.5)*O3)+(0*U3)</f>
        <v>3894.2535714285714</v>
      </c>
      <c r="Z3" s="24">
        <f t="shared" ref="Z3:Z34" si="1">0.99*(8*C3)+(9*I3)+(47.02*O3)+(0.125*U3)</f>
        <v>3894.1346000000003</v>
      </c>
      <c r="AA3" s="4">
        <f t="shared" ref="AA3:AA34" si="2">0.98*(8*C3)+(9*I3)+(47.02*O3)+(0.25*U3)</f>
        <v>3894.2226000000005</v>
      </c>
      <c r="AB3" s="4">
        <f t="shared" ref="AB3:AB34" si="3">0.97*(8*C3)+(9*I3)+(47.02*O3)+(0.375*U3)</f>
        <v>3894.3106000000002</v>
      </c>
      <c r="AC3" s="4">
        <f t="shared" ref="AC3:AC34" si="4">0.96*(8*C3)+(9*I3)+(47.02*O3)+(0.5*U3)</f>
        <v>3894.3986</v>
      </c>
      <c r="AD3" s="4">
        <f t="shared" ref="AD3:AD34" si="5">0.95*(8*C3)+(9*I3)+(47.02*O3)+(0.625*U3)</f>
        <v>3894.4866000000006</v>
      </c>
      <c r="AE3" s="4">
        <f t="shared" ref="AE3:AE34" si="6">0.9*(8*C3)+(9*I3)+(47.02*O3)+(1.25*U3)</f>
        <v>3894.9266000000002</v>
      </c>
      <c r="AF3" s="4">
        <f t="shared" ref="AF3:AF34" si="7">0.85*(8*C3)+(9*I3)+(47.02*O3)+(1.875*U3)</f>
        <v>3895.3666000000003</v>
      </c>
      <c r="AG3" s="4">
        <f t="shared" ref="AG3:AG34" si="8">0.8*(8*C3)+(9*I3)+(47.02*O3)+(2.5*U3)</f>
        <v>3895.8066000000003</v>
      </c>
      <c r="AH3" s="4">
        <f t="shared" ref="AH3:AH34" si="9">0.75*(8*C3)+(9*I3)+(47.02*O3)+(3.125*U3)</f>
        <v>3896.2466000000004</v>
      </c>
      <c r="AI3" s="4">
        <f t="shared" ref="AI3:AI34" si="10">0.7*(8*C3)+(9*I3)+(47.02*O3)+(3.75*U3)</f>
        <v>3896.6866000000005</v>
      </c>
      <c r="AJ3" s="4">
        <f t="shared" ref="AJ3:AJ34" si="11">0.65*(8*C3)+(9*I3)+(47.02*O3)+(4.375*U3)</f>
        <v>3897.1266000000001</v>
      </c>
      <c r="AK3" s="5">
        <f t="shared" ref="AK3:AK34" si="12">0.6*(8*C3)+(9*I3)+(47.02*O3)+(5*U3)</f>
        <v>3897.5666000000006</v>
      </c>
    </row>
    <row r="4" spans="1:37" x14ac:dyDescent="0.25">
      <c r="A4" s="62">
        <v>2000</v>
      </c>
      <c r="B4" s="63">
        <v>60.43</v>
      </c>
      <c r="C4" s="24">
        <v>91.42</v>
      </c>
      <c r="D4" s="24">
        <v>309.20999999999998</v>
      </c>
      <c r="E4" s="25">
        <v>55.36</v>
      </c>
      <c r="G4" s="26">
        <v>2000</v>
      </c>
      <c r="H4" s="24">
        <v>51.14</v>
      </c>
      <c r="I4" s="24">
        <v>72.8</v>
      </c>
      <c r="J4" s="24">
        <v>264.67</v>
      </c>
      <c r="K4" s="25">
        <v>42</v>
      </c>
      <c r="M4" s="26">
        <v>2000</v>
      </c>
      <c r="N4" s="24">
        <v>35.99</v>
      </c>
      <c r="O4" s="24">
        <v>56.13</v>
      </c>
      <c r="P4" s="24">
        <v>251.97</v>
      </c>
      <c r="Q4" s="25">
        <v>26.93</v>
      </c>
      <c r="S4" s="26">
        <v>2000</v>
      </c>
      <c r="T4" s="24">
        <v>37.79</v>
      </c>
      <c r="U4" s="24">
        <v>59.17</v>
      </c>
      <c r="V4" s="24">
        <v>268.64</v>
      </c>
      <c r="W4" s="74">
        <v>28.75</v>
      </c>
      <c r="X4" s="121">
        <v>2000</v>
      </c>
      <c r="Y4" s="23">
        <f t="shared" si="0"/>
        <v>4026.0064285714288</v>
      </c>
      <c r="Z4" s="24">
        <f t="shared" si="1"/>
        <v>4025.8752500000001</v>
      </c>
      <c r="AA4" s="4">
        <f t="shared" si="2"/>
        <v>4025.9579000000003</v>
      </c>
      <c r="AB4" s="4">
        <f t="shared" si="3"/>
        <v>4026.0405500000002</v>
      </c>
      <c r="AC4" s="4">
        <f t="shared" si="4"/>
        <v>4026.1232</v>
      </c>
      <c r="AD4" s="4">
        <f t="shared" si="5"/>
        <v>4026.2058500000003</v>
      </c>
      <c r="AE4" s="4">
        <f t="shared" si="6"/>
        <v>4026.6191000000003</v>
      </c>
      <c r="AF4" s="4">
        <f t="shared" si="7"/>
        <v>4027.03235</v>
      </c>
      <c r="AG4" s="4">
        <f t="shared" si="8"/>
        <v>4027.4456000000005</v>
      </c>
      <c r="AH4" s="4">
        <f t="shared" si="9"/>
        <v>4027.8588500000001</v>
      </c>
      <c r="AI4" s="4">
        <f t="shared" si="10"/>
        <v>4028.2721000000001</v>
      </c>
      <c r="AJ4" s="4">
        <f t="shared" si="11"/>
        <v>4028.6853500000002</v>
      </c>
      <c r="AK4" s="5">
        <f t="shared" si="12"/>
        <v>4029.0985999999998</v>
      </c>
    </row>
    <row r="5" spans="1:37" x14ac:dyDescent="0.25">
      <c r="A5" s="62">
        <v>2050</v>
      </c>
      <c r="B5" s="63">
        <v>60.58</v>
      </c>
      <c r="C5" s="24">
        <v>94.44</v>
      </c>
      <c r="D5" s="24">
        <v>310.7</v>
      </c>
      <c r="E5" s="25">
        <v>54.92</v>
      </c>
      <c r="G5" s="26">
        <v>2050</v>
      </c>
      <c r="H5" s="24">
        <v>51.47</v>
      </c>
      <c r="I5" s="24">
        <v>75.37</v>
      </c>
      <c r="J5" s="24">
        <v>265.94</v>
      </c>
      <c r="K5" s="25">
        <v>41.75</v>
      </c>
      <c r="M5" s="26">
        <v>2050</v>
      </c>
      <c r="N5" s="24">
        <v>36.07</v>
      </c>
      <c r="O5" s="24">
        <v>57.93</v>
      </c>
      <c r="P5" s="24">
        <v>252.86</v>
      </c>
      <c r="Q5" s="25">
        <v>27.01</v>
      </c>
      <c r="S5" s="26">
        <v>2050</v>
      </c>
      <c r="T5" s="24">
        <v>37.9</v>
      </c>
      <c r="U5" s="24">
        <v>61.06</v>
      </c>
      <c r="V5" s="24">
        <v>269.58</v>
      </c>
      <c r="W5" s="74">
        <v>28.84</v>
      </c>
      <c r="X5" s="121">
        <v>2050</v>
      </c>
      <c r="Y5" s="23">
        <f t="shared" si="0"/>
        <v>4157.9392857142857</v>
      </c>
      <c r="Z5" s="24">
        <f t="shared" si="1"/>
        <v>4157.7959000000001</v>
      </c>
      <c r="AA5" s="4">
        <f t="shared" si="2"/>
        <v>4157.8732000000009</v>
      </c>
      <c r="AB5" s="4">
        <f t="shared" si="3"/>
        <v>4157.9504999999999</v>
      </c>
      <c r="AC5" s="4">
        <f t="shared" si="4"/>
        <v>4158.0277999999998</v>
      </c>
      <c r="AD5" s="4">
        <f t="shared" si="5"/>
        <v>4158.1051000000007</v>
      </c>
      <c r="AE5" s="4">
        <f t="shared" si="6"/>
        <v>4158.4916000000003</v>
      </c>
      <c r="AF5" s="4">
        <f t="shared" si="7"/>
        <v>4158.8780999999999</v>
      </c>
      <c r="AG5" s="4">
        <f t="shared" si="8"/>
        <v>4159.2646000000004</v>
      </c>
      <c r="AH5" s="4">
        <f t="shared" si="9"/>
        <v>4159.6511</v>
      </c>
      <c r="AI5" s="4">
        <f t="shared" si="10"/>
        <v>4160.0376000000006</v>
      </c>
      <c r="AJ5" s="4">
        <f t="shared" si="11"/>
        <v>4160.4241000000002</v>
      </c>
      <c r="AK5" s="5">
        <f t="shared" si="12"/>
        <v>4160.8106000000007</v>
      </c>
    </row>
    <row r="6" spans="1:37" x14ac:dyDescent="0.25">
      <c r="A6" s="62">
        <v>2100</v>
      </c>
      <c r="B6" s="63">
        <v>60.71</v>
      </c>
      <c r="C6" s="24">
        <v>97.47</v>
      </c>
      <c r="D6" s="24">
        <v>312.16000000000003</v>
      </c>
      <c r="E6" s="25">
        <v>54.5</v>
      </c>
      <c r="G6" s="26">
        <v>2100</v>
      </c>
      <c r="H6" s="24">
        <v>51.78</v>
      </c>
      <c r="I6" s="24">
        <v>77.95</v>
      </c>
      <c r="J6" s="24">
        <v>267.19</v>
      </c>
      <c r="K6" s="25">
        <v>41.52</v>
      </c>
      <c r="M6" s="26">
        <v>2100</v>
      </c>
      <c r="N6" s="24">
        <v>36.15</v>
      </c>
      <c r="O6" s="24">
        <v>59.73</v>
      </c>
      <c r="P6" s="24">
        <v>253.73</v>
      </c>
      <c r="Q6" s="25">
        <v>27.1</v>
      </c>
      <c r="S6" s="26">
        <v>2100</v>
      </c>
      <c r="T6" s="24">
        <v>38.020000000000003</v>
      </c>
      <c r="U6" s="24">
        <v>62.96</v>
      </c>
      <c r="V6" s="24">
        <v>270.49</v>
      </c>
      <c r="W6" s="74">
        <v>28.93</v>
      </c>
      <c r="X6" s="121">
        <v>2100</v>
      </c>
      <c r="Y6" s="23">
        <f t="shared" si="0"/>
        <v>4290.0421428571426</v>
      </c>
      <c r="Z6" s="24">
        <f t="shared" si="1"/>
        <v>4289.8869999999997</v>
      </c>
      <c r="AA6" s="4">
        <f t="shared" si="2"/>
        <v>4289.9593999999997</v>
      </c>
      <c r="AB6" s="4">
        <f t="shared" si="3"/>
        <v>4290.0317999999997</v>
      </c>
      <c r="AC6" s="4">
        <f t="shared" si="4"/>
        <v>4290.1041999999998</v>
      </c>
      <c r="AD6" s="4">
        <f t="shared" si="5"/>
        <v>4290.1766000000007</v>
      </c>
      <c r="AE6" s="4">
        <f t="shared" si="6"/>
        <v>4290.5385999999999</v>
      </c>
      <c r="AF6" s="4">
        <f t="shared" si="7"/>
        <v>4290.9005999999999</v>
      </c>
      <c r="AG6" s="4">
        <f t="shared" si="8"/>
        <v>4291.2626</v>
      </c>
      <c r="AH6" s="4">
        <f t="shared" si="9"/>
        <v>4291.6246000000001</v>
      </c>
      <c r="AI6" s="4">
        <f t="shared" si="10"/>
        <v>4291.9866000000002</v>
      </c>
      <c r="AJ6" s="4">
        <f t="shared" si="11"/>
        <v>4292.3486000000003</v>
      </c>
      <c r="AK6" s="5">
        <f t="shared" si="12"/>
        <v>4292.7106000000003</v>
      </c>
    </row>
    <row r="7" spans="1:37" x14ac:dyDescent="0.25">
      <c r="A7" s="62">
        <v>2150</v>
      </c>
      <c r="B7" s="63">
        <v>60.84</v>
      </c>
      <c r="C7" s="24">
        <v>100.51</v>
      </c>
      <c r="D7" s="24">
        <v>313.58999999999997</v>
      </c>
      <c r="E7" s="25">
        <v>54.11</v>
      </c>
      <c r="G7" s="26">
        <v>2150</v>
      </c>
      <c r="H7" s="24">
        <v>52.08</v>
      </c>
      <c r="I7" s="24">
        <v>80.540000000000006</v>
      </c>
      <c r="J7" s="24">
        <v>268.41000000000003</v>
      </c>
      <c r="K7" s="25">
        <v>41.31</v>
      </c>
      <c r="M7" s="26">
        <v>2150</v>
      </c>
      <c r="N7" s="24">
        <v>36.229999999999997</v>
      </c>
      <c r="O7" s="24">
        <v>61.54</v>
      </c>
      <c r="P7" s="24">
        <v>254.58</v>
      </c>
      <c r="Q7" s="25">
        <v>27.18</v>
      </c>
      <c r="S7" s="26">
        <v>2150</v>
      </c>
      <c r="T7" s="24">
        <v>38.14</v>
      </c>
      <c r="U7" s="24">
        <v>64.86</v>
      </c>
      <c r="V7" s="24">
        <v>271.39</v>
      </c>
      <c r="W7" s="74">
        <v>29.01</v>
      </c>
      <c r="X7" s="121">
        <v>2150</v>
      </c>
      <c r="Y7" s="23">
        <f t="shared" si="0"/>
        <v>4422.7852380952381</v>
      </c>
      <c r="Z7" s="24">
        <f t="shared" si="1"/>
        <v>4422.6175000000003</v>
      </c>
      <c r="AA7" s="4">
        <f t="shared" si="2"/>
        <v>4422.6841999999997</v>
      </c>
      <c r="AB7" s="4">
        <f t="shared" si="3"/>
        <v>4422.7509</v>
      </c>
      <c r="AC7" s="4">
        <f t="shared" si="4"/>
        <v>4422.8176000000003</v>
      </c>
      <c r="AD7" s="4">
        <f t="shared" si="5"/>
        <v>4422.8842999999997</v>
      </c>
      <c r="AE7" s="4">
        <f t="shared" si="6"/>
        <v>4423.2177999999994</v>
      </c>
      <c r="AF7" s="4">
        <f t="shared" si="7"/>
        <v>4423.5513000000001</v>
      </c>
      <c r="AG7" s="4">
        <f t="shared" si="8"/>
        <v>4423.8847999999998</v>
      </c>
      <c r="AH7" s="4">
        <f t="shared" si="9"/>
        <v>4424.2183000000005</v>
      </c>
      <c r="AI7" s="4">
        <f t="shared" si="10"/>
        <v>4424.5518000000002</v>
      </c>
      <c r="AJ7" s="4">
        <f t="shared" si="11"/>
        <v>4424.8852999999999</v>
      </c>
      <c r="AK7" s="5">
        <f t="shared" si="12"/>
        <v>4425.2187999999996</v>
      </c>
    </row>
    <row r="8" spans="1:37" x14ac:dyDescent="0.25">
      <c r="A8" s="62">
        <v>2200</v>
      </c>
      <c r="B8" s="63">
        <v>60.96</v>
      </c>
      <c r="C8" s="24">
        <v>103.56</v>
      </c>
      <c r="D8" s="24">
        <v>314.99</v>
      </c>
      <c r="E8" s="25">
        <v>53.74</v>
      </c>
      <c r="G8" s="26">
        <v>2200</v>
      </c>
      <c r="H8" s="24">
        <v>52.38</v>
      </c>
      <c r="I8" s="24">
        <v>83.16</v>
      </c>
      <c r="J8" s="24">
        <v>269.61</v>
      </c>
      <c r="K8" s="25">
        <v>41.1</v>
      </c>
      <c r="M8" s="26">
        <v>2200</v>
      </c>
      <c r="N8" s="24">
        <v>36.299999999999997</v>
      </c>
      <c r="O8" s="24">
        <v>63.36</v>
      </c>
      <c r="P8" s="24">
        <v>255.42</v>
      </c>
      <c r="Q8" s="25">
        <v>27.26</v>
      </c>
      <c r="S8" s="26">
        <v>2200</v>
      </c>
      <c r="T8" s="24">
        <v>38.25</v>
      </c>
      <c r="U8" s="24">
        <v>66.77</v>
      </c>
      <c r="V8" s="24">
        <v>272.27</v>
      </c>
      <c r="W8" s="74">
        <v>29.1</v>
      </c>
      <c r="X8" s="121">
        <v>2200</v>
      </c>
      <c r="Y8" s="23">
        <f t="shared" si="0"/>
        <v>4556.3485714285716</v>
      </c>
      <c r="Z8" s="24">
        <f t="shared" si="1"/>
        <v>4556.1686499999996</v>
      </c>
      <c r="AA8" s="4">
        <f t="shared" si="2"/>
        <v>4556.2300999999998</v>
      </c>
      <c r="AB8" s="4">
        <f t="shared" si="3"/>
        <v>4556.2915499999999</v>
      </c>
      <c r="AC8" s="4">
        <f t="shared" si="4"/>
        <v>4556.353000000001</v>
      </c>
      <c r="AD8" s="4">
        <f t="shared" si="5"/>
        <v>4556.4144500000002</v>
      </c>
      <c r="AE8" s="4">
        <f t="shared" si="6"/>
        <v>4556.7217000000001</v>
      </c>
      <c r="AF8" s="4">
        <f t="shared" si="7"/>
        <v>4557.0289500000008</v>
      </c>
      <c r="AG8" s="4">
        <f t="shared" si="8"/>
        <v>4557.3362000000006</v>
      </c>
      <c r="AH8" s="4">
        <f t="shared" si="9"/>
        <v>4557.6434500000005</v>
      </c>
      <c r="AI8" s="4">
        <f t="shared" si="10"/>
        <v>4557.9507000000003</v>
      </c>
      <c r="AJ8" s="4">
        <f t="shared" si="11"/>
        <v>4558.2579500000002</v>
      </c>
      <c r="AK8" s="5">
        <f t="shared" si="12"/>
        <v>4558.5652000000009</v>
      </c>
    </row>
    <row r="9" spans="1:37" x14ac:dyDescent="0.25">
      <c r="A9" s="62">
        <v>2250</v>
      </c>
      <c r="B9" s="63">
        <v>61.08</v>
      </c>
      <c r="C9" s="24">
        <v>106.61</v>
      </c>
      <c r="D9" s="24">
        <v>316.37</v>
      </c>
      <c r="E9" s="25">
        <v>53.39</v>
      </c>
      <c r="G9" s="26">
        <v>2250</v>
      </c>
      <c r="H9" s="24">
        <v>52.66</v>
      </c>
      <c r="I9" s="24">
        <v>85.78</v>
      </c>
      <c r="J9" s="24">
        <v>270.79000000000002</v>
      </c>
      <c r="K9" s="25">
        <v>40.909999999999997</v>
      </c>
      <c r="M9" s="26">
        <v>2250</v>
      </c>
      <c r="N9" s="24">
        <v>36.36</v>
      </c>
      <c r="O9" s="24">
        <v>65.17</v>
      </c>
      <c r="P9" s="24">
        <v>256.23</v>
      </c>
      <c r="Q9" s="25">
        <v>27.34</v>
      </c>
      <c r="S9" s="26">
        <v>2250</v>
      </c>
      <c r="T9" s="24">
        <v>38.36</v>
      </c>
      <c r="U9" s="24">
        <v>68.69</v>
      </c>
      <c r="V9" s="24">
        <v>273.13</v>
      </c>
      <c r="W9" s="74">
        <v>29.18</v>
      </c>
      <c r="X9" s="121">
        <v>2250</v>
      </c>
      <c r="Y9" s="23">
        <f t="shared" si="0"/>
        <v>4689.4416666666675</v>
      </c>
      <c r="Z9" s="24">
        <f t="shared" si="1"/>
        <v>4689.2508500000004</v>
      </c>
      <c r="AA9" s="4">
        <f t="shared" si="2"/>
        <v>4689.3082999999997</v>
      </c>
      <c r="AB9" s="4">
        <f t="shared" si="3"/>
        <v>4689.3657499999999</v>
      </c>
      <c r="AC9" s="4">
        <f t="shared" si="4"/>
        <v>4689.4232000000002</v>
      </c>
      <c r="AD9" s="4">
        <f t="shared" si="5"/>
        <v>4689.4806499999995</v>
      </c>
      <c r="AE9" s="4">
        <f t="shared" si="6"/>
        <v>4689.7679000000007</v>
      </c>
      <c r="AF9" s="4">
        <f t="shared" si="7"/>
        <v>4690.0551500000001</v>
      </c>
      <c r="AG9" s="4">
        <f t="shared" si="8"/>
        <v>4690.3424000000014</v>
      </c>
      <c r="AH9" s="4">
        <f t="shared" si="9"/>
        <v>4690.6296500000008</v>
      </c>
      <c r="AI9" s="4">
        <f t="shared" si="10"/>
        <v>4690.9169000000002</v>
      </c>
      <c r="AJ9" s="4">
        <f t="shared" si="11"/>
        <v>4691.2041500000005</v>
      </c>
      <c r="AK9" s="5">
        <f t="shared" si="12"/>
        <v>4691.4913999999999</v>
      </c>
    </row>
    <row r="10" spans="1:37" x14ac:dyDescent="0.25">
      <c r="A10" s="62">
        <v>2300</v>
      </c>
      <c r="B10" s="63">
        <v>61.18</v>
      </c>
      <c r="C10" s="24">
        <v>109.66</v>
      </c>
      <c r="D10" s="24">
        <v>317.70999999999998</v>
      </c>
      <c r="E10" s="25">
        <v>53.06</v>
      </c>
      <c r="G10" s="26">
        <v>2300</v>
      </c>
      <c r="H10" s="24">
        <v>52.92</v>
      </c>
      <c r="I10" s="24">
        <v>88.42</v>
      </c>
      <c r="J10" s="24">
        <v>271.95</v>
      </c>
      <c r="K10" s="25">
        <v>40.729999999999997</v>
      </c>
      <c r="M10" s="26">
        <v>2300</v>
      </c>
      <c r="N10" s="24">
        <v>36.43</v>
      </c>
      <c r="O10" s="24">
        <v>66.989999999999995</v>
      </c>
      <c r="P10" s="24">
        <v>257.02999999999997</v>
      </c>
      <c r="Q10" s="25">
        <v>27.41</v>
      </c>
      <c r="S10" s="26">
        <v>2300</v>
      </c>
      <c r="T10" s="24">
        <v>38.47</v>
      </c>
      <c r="U10" s="24">
        <v>70.61</v>
      </c>
      <c r="V10" s="24">
        <v>273.97000000000003</v>
      </c>
      <c r="W10" s="74">
        <v>29.26</v>
      </c>
      <c r="X10" s="121">
        <v>2300</v>
      </c>
      <c r="Y10" s="23">
        <f t="shared" si="0"/>
        <v>4823.1849999999995</v>
      </c>
      <c r="Z10" s="24">
        <f t="shared" si="1"/>
        <v>4822.9832500000002</v>
      </c>
      <c r="AA10" s="4">
        <f t="shared" si="2"/>
        <v>4823.0367000000006</v>
      </c>
      <c r="AB10" s="4">
        <f t="shared" si="3"/>
        <v>4823.09015</v>
      </c>
      <c r="AC10" s="4">
        <f t="shared" si="4"/>
        <v>4823.1436000000003</v>
      </c>
      <c r="AD10" s="4">
        <f t="shared" si="5"/>
        <v>4823.1970500000007</v>
      </c>
      <c r="AE10" s="4">
        <f t="shared" si="6"/>
        <v>4823.4642999999996</v>
      </c>
      <c r="AF10" s="4">
        <f t="shared" si="7"/>
        <v>4823.7315499999995</v>
      </c>
      <c r="AG10" s="4">
        <f t="shared" si="8"/>
        <v>4823.9987999999994</v>
      </c>
      <c r="AH10" s="4">
        <f t="shared" si="9"/>
        <v>4824.2660500000002</v>
      </c>
      <c r="AI10" s="4">
        <f t="shared" si="10"/>
        <v>4824.5333000000001</v>
      </c>
      <c r="AJ10" s="4">
        <f t="shared" si="11"/>
        <v>4824.8005499999999</v>
      </c>
      <c r="AK10" s="5">
        <f t="shared" si="12"/>
        <v>4825.0677999999998</v>
      </c>
    </row>
    <row r="11" spans="1:37" x14ac:dyDescent="0.25">
      <c r="A11" s="62">
        <v>2350</v>
      </c>
      <c r="B11" s="63">
        <v>61.28</v>
      </c>
      <c r="C11" s="24">
        <v>112.73</v>
      </c>
      <c r="D11" s="24">
        <v>319.02999999999997</v>
      </c>
      <c r="E11" s="25">
        <v>52.74</v>
      </c>
      <c r="G11" s="26">
        <v>2350</v>
      </c>
      <c r="H11" s="24">
        <v>53.18</v>
      </c>
      <c r="I11" s="24">
        <v>91.07</v>
      </c>
      <c r="J11" s="24">
        <v>273.08999999999997</v>
      </c>
      <c r="K11" s="25">
        <v>40.56</v>
      </c>
      <c r="M11" s="26">
        <v>2350</v>
      </c>
      <c r="N11" s="24">
        <v>36.49</v>
      </c>
      <c r="O11" s="24">
        <v>68.819999999999993</v>
      </c>
      <c r="P11" s="24">
        <v>257.82</v>
      </c>
      <c r="Q11" s="25">
        <v>27.49</v>
      </c>
      <c r="S11" s="26">
        <v>2350</v>
      </c>
      <c r="T11" s="24">
        <v>38.58</v>
      </c>
      <c r="U11" s="24">
        <v>72.53</v>
      </c>
      <c r="V11" s="24">
        <v>274.8</v>
      </c>
      <c r="W11" s="74">
        <v>29.34</v>
      </c>
      <c r="X11" s="121">
        <v>2350</v>
      </c>
      <c r="Y11" s="23">
        <f t="shared" si="0"/>
        <v>4957.6485714285709</v>
      </c>
      <c r="Z11" s="24">
        <f>0.99*(8*C11)+(9*I11)+(47.02*O11)+(0.125*U11)</f>
        <v>4957.4342500000002</v>
      </c>
      <c r="AA11" s="4">
        <f t="shared" si="2"/>
        <v>4957.4820999999993</v>
      </c>
      <c r="AB11" s="4">
        <f t="shared" si="3"/>
        <v>4957.5299500000001</v>
      </c>
      <c r="AC11" s="4">
        <f t="shared" si="4"/>
        <v>4957.5778</v>
      </c>
      <c r="AD11" s="4">
        <f t="shared" si="5"/>
        <v>4957.62565</v>
      </c>
      <c r="AE11" s="4">
        <f t="shared" si="6"/>
        <v>4957.8649000000005</v>
      </c>
      <c r="AF11" s="4">
        <f t="shared" si="7"/>
        <v>4958.1041499999992</v>
      </c>
      <c r="AG11" s="4">
        <f t="shared" si="8"/>
        <v>4958.3433999999997</v>
      </c>
      <c r="AH11" s="4">
        <f t="shared" si="9"/>
        <v>4958.5826500000003</v>
      </c>
      <c r="AI11" s="4">
        <f t="shared" si="10"/>
        <v>4958.8218999999999</v>
      </c>
      <c r="AJ11" s="4">
        <f t="shared" si="11"/>
        <v>4959.0611500000005</v>
      </c>
      <c r="AK11" s="5">
        <f t="shared" si="12"/>
        <v>4959.3004000000001</v>
      </c>
    </row>
    <row r="12" spans="1:37" x14ac:dyDescent="0.25">
      <c r="A12" s="62">
        <v>2400</v>
      </c>
      <c r="B12" s="63">
        <v>61.37</v>
      </c>
      <c r="C12" s="24">
        <v>115.79</v>
      </c>
      <c r="D12" s="24">
        <v>320.32</v>
      </c>
      <c r="E12" s="25">
        <v>52.45</v>
      </c>
      <c r="G12" s="26">
        <v>2400</v>
      </c>
      <c r="H12" s="24">
        <v>53.43</v>
      </c>
      <c r="I12" s="24">
        <v>93.74</v>
      </c>
      <c r="J12" s="24">
        <v>274.20999999999998</v>
      </c>
      <c r="K12" s="25">
        <v>40.4</v>
      </c>
      <c r="M12" s="26">
        <v>2400</v>
      </c>
      <c r="N12" s="24">
        <v>36.54</v>
      </c>
      <c r="O12" s="24">
        <v>70.64</v>
      </c>
      <c r="P12" s="24">
        <v>258.58999999999997</v>
      </c>
      <c r="Q12" s="25">
        <v>27.56</v>
      </c>
      <c r="S12" s="26">
        <v>2400</v>
      </c>
      <c r="T12" s="24">
        <v>38.68</v>
      </c>
      <c r="U12" s="24">
        <v>74.459999999999994</v>
      </c>
      <c r="V12" s="24">
        <v>275.61</v>
      </c>
      <c r="W12" s="74">
        <v>29.42</v>
      </c>
      <c r="X12" s="121">
        <v>2400</v>
      </c>
      <c r="Y12" s="23">
        <f t="shared" si="0"/>
        <v>5091.7419047619051</v>
      </c>
      <c r="Z12" s="24">
        <f t="shared" si="1"/>
        <v>5091.5171</v>
      </c>
      <c r="AA12" s="4">
        <f t="shared" si="2"/>
        <v>5091.5614000000005</v>
      </c>
      <c r="AB12" s="4">
        <f t="shared" si="3"/>
        <v>5091.6057000000001</v>
      </c>
      <c r="AC12" s="4">
        <f t="shared" si="4"/>
        <v>5091.6499999999996</v>
      </c>
      <c r="AD12" s="4">
        <f t="shared" si="5"/>
        <v>5091.694300000001</v>
      </c>
      <c r="AE12" s="4">
        <f t="shared" si="6"/>
        <v>5091.9157999999998</v>
      </c>
      <c r="AF12" s="4">
        <f t="shared" si="7"/>
        <v>5092.1373000000012</v>
      </c>
      <c r="AG12" s="4">
        <f t="shared" si="8"/>
        <v>5092.3588</v>
      </c>
      <c r="AH12" s="4">
        <f t="shared" si="9"/>
        <v>5092.5803000000005</v>
      </c>
      <c r="AI12" s="4">
        <f t="shared" si="10"/>
        <v>5092.8018000000011</v>
      </c>
      <c r="AJ12" s="4">
        <f t="shared" si="11"/>
        <v>5093.0232999999998</v>
      </c>
      <c r="AK12" s="5">
        <f t="shared" si="12"/>
        <v>5093.2448000000004</v>
      </c>
    </row>
    <row r="13" spans="1:37" x14ac:dyDescent="0.25">
      <c r="A13" s="62">
        <v>2450</v>
      </c>
      <c r="B13" s="63">
        <v>61.46</v>
      </c>
      <c r="C13" s="24">
        <v>118.86</v>
      </c>
      <c r="D13" s="24">
        <v>321.58</v>
      </c>
      <c r="E13" s="25">
        <v>52.16</v>
      </c>
      <c r="G13" s="26">
        <v>2450</v>
      </c>
      <c r="H13" s="24">
        <v>53.67</v>
      </c>
      <c r="I13" s="24">
        <v>96.42</v>
      </c>
      <c r="J13" s="24">
        <v>275.32</v>
      </c>
      <c r="K13" s="25">
        <v>40.25</v>
      </c>
      <c r="M13" s="26">
        <v>2450</v>
      </c>
      <c r="N13" s="24">
        <v>36.590000000000003</v>
      </c>
      <c r="O13" s="24">
        <v>72.47</v>
      </c>
      <c r="P13" s="24">
        <v>259.33999999999997</v>
      </c>
      <c r="Q13" s="25">
        <v>27.64</v>
      </c>
      <c r="S13" s="26">
        <v>2450</v>
      </c>
      <c r="T13" s="24">
        <v>38.79</v>
      </c>
      <c r="U13" s="24">
        <v>76.400000000000006</v>
      </c>
      <c r="V13" s="24">
        <v>276.41000000000003</v>
      </c>
      <c r="W13" s="74">
        <v>29.5</v>
      </c>
      <c r="X13" s="121">
        <v>2450</v>
      </c>
      <c r="Y13" s="23">
        <f t="shared" si="0"/>
        <v>5226.475476190476</v>
      </c>
      <c r="Z13" s="24">
        <f t="shared" si="1"/>
        <v>5226.2406000000001</v>
      </c>
      <c r="AA13" s="4">
        <f t="shared" si="2"/>
        <v>5226.2818000000007</v>
      </c>
      <c r="AB13" s="4">
        <f t="shared" si="3"/>
        <v>5226.3229999999994</v>
      </c>
      <c r="AC13" s="4">
        <f t="shared" si="4"/>
        <v>5226.3642</v>
      </c>
      <c r="AD13" s="4">
        <f t="shared" si="5"/>
        <v>5226.4053999999996</v>
      </c>
      <c r="AE13" s="4">
        <f t="shared" si="6"/>
        <v>5226.6113999999998</v>
      </c>
      <c r="AF13" s="4">
        <f t="shared" si="7"/>
        <v>5226.8173999999999</v>
      </c>
      <c r="AG13" s="4">
        <f t="shared" si="8"/>
        <v>5227.0234</v>
      </c>
      <c r="AH13" s="4">
        <f t="shared" si="9"/>
        <v>5227.2294000000002</v>
      </c>
      <c r="AI13" s="4">
        <f t="shared" si="10"/>
        <v>5227.4354000000003</v>
      </c>
      <c r="AJ13" s="4">
        <f t="shared" si="11"/>
        <v>5227.6414000000004</v>
      </c>
      <c r="AK13" s="5">
        <f t="shared" si="12"/>
        <v>5227.8474000000006</v>
      </c>
    </row>
    <row r="14" spans="1:37" x14ac:dyDescent="0.25">
      <c r="A14" s="62">
        <v>2500</v>
      </c>
      <c r="B14" s="63">
        <v>61.55</v>
      </c>
      <c r="C14" s="24">
        <v>121.94</v>
      </c>
      <c r="D14" s="24">
        <v>322.83</v>
      </c>
      <c r="E14" s="25">
        <v>51.9</v>
      </c>
      <c r="G14" s="26">
        <v>2500</v>
      </c>
      <c r="H14" s="24">
        <v>53.9</v>
      </c>
      <c r="I14" s="24">
        <v>99.11</v>
      </c>
      <c r="J14" s="24">
        <v>276.39999999999998</v>
      </c>
      <c r="K14" s="25">
        <v>40.11</v>
      </c>
      <c r="M14" s="26">
        <v>2500</v>
      </c>
      <c r="N14" s="24">
        <v>36.64</v>
      </c>
      <c r="O14" s="24">
        <v>74.3</v>
      </c>
      <c r="P14" s="24">
        <v>260.08</v>
      </c>
      <c r="Q14" s="25">
        <v>27.71</v>
      </c>
      <c r="S14" s="26">
        <v>2500</v>
      </c>
      <c r="T14" s="24">
        <v>38.89</v>
      </c>
      <c r="U14" s="24">
        <v>78.34</v>
      </c>
      <c r="V14" s="24">
        <v>277.2</v>
      </c>
      <c r="W14" s="74">
        <v>29.57</v>
      </c>
      <c r="X14" s="121">
        <v>2500</v>
      </c>
      <c r="Y14" s="23">
        <f t="shared" si="0"/>
        <v>5361.3790476190479</v>
      </c>
      <c r="Z14" s="24">
        <f t="shared" si="1"/>
        <v>5361.1332999999995</v>
      </c>
      <c r="AA14" s="4">
        <f t="shared" si="2"/>
        <v>5361.1706000000004</v>
      </c>
      <c r="AB14" s="4">
        <f t="shared" si="3"/>
        <v>5361.2079000000003</v>
      </c>
      <c r="AC14" s="4">
        <f t="shared" si="4"/>
        <v>5361.2452000000003</v>
      </c>
      <c r="AD14" s="4">
        <f t="shared" si="5"/>
        <v>5361.2824999999993</v>
      </c>
      <c r="AE14" s="4">
        <f t="shared" si="6"/>
        <v>5361.4690000000001</v>
      </c>
      <c r="AF14" s="4">
        <f t="shared" si="7"/>
        <v>5361.6554999999998</v>
      </c>
      <c r="AG14" s="4">
        <f t="shared" si="8"/>
        <v>5361.8420000000006</v>
      </c>
      <c r="AH14" s="4">
        <f t="shared" si="9"/>
        <v>5362.0285000000003</v>
      </c>
      <c r="AI14" s="4">
        <f t="shared" si="10"/>
        <v>5362.2150000000001</v>
      </c>
      <c r="AJ14" s="4">
        <f t="shared" si="11"/>
        <v>5362.4015000000009</v>
      </c>
      <c r="AK14" s="5">
        <f t="shared" si="12"/>
        <v>5362.5880000000006</v>
      </c>
    </row>
    <row r="15" spans="1:37" x14ac:dyDescent="0.25">
      <c r="A15" s="62">
        <v>2550</v>
      </c>
      <c r="B15" s="63">
        <v>61.62</v>
      </c>
      <c r="C15" s="24">
        <v>125.02</v>
      </c>
      <c r="D15" s="24">
        <v>324.05</v>
      </c>
      <c r="E15" s="25">
        <v>51.64</v>
      </c>
      <c r="G15" s="26">
        <v>2550</v>
      </c>
      <c r="H15" s="24">
        <v>54.12</v>
      </c>
      <c r="I15" s="24">
        <v>101.81</v>
      </c>
      <c r="J15" s="24">
        <v>277.47000000000003</v>
      </c>
      <c r="K15" s="25">
        <v>39.979999999999997</v>
      </c>
      <c r="M15" s="26">
        <v>2550</v>
      </c>
      <c r="N15" s="24">
        <v>36.69</v>
      </c>
      <c r="O15" s="24">
        <v>76.13</v>
      </c>
      <c r="P15" s="24">
        <v>260.81</v>
      </c>
      <c r="Q15" s="25">
        <v>27.78</v>
      </c>
      <c r="S15" s="26">
        <v>2550</v>
      </c>
      <c r="T15" s="24">
        <v>38.99</v>
      </c>
      <c r="U15" s="24">
        <v>80.290000000000006</v>
      </c>
      <c r="V15" s="24">
        <v>277.97000000000003</v>
      </c>
      <c r="W15" s="74">
        <v>29.65</v>
      </c>
      <c r="X15" s="121">
        <v>2550</v>
      </c>
      <c r="Y15" s="23">
        <f t="shared" si="0"/>
        <v>5496.3726190476191</v>
      </c>
      <c r="Z15" s="24">
        <f t="shared" si="1"/>
        <v>5496.1172500000002</v>
      </c>
      <c r="AA15" s="4">
        <f t="shared" si="2"/>
        <v>5496.1518999999998</v>
      </c>
      <c r="AB15" s="4">
        <f t="shared" si="3"/>
        <v>5496.1865500000004</v>
      </c>
      <c r="AC15" s="4">
        <f t="shared" si="4"/>
        <v>5496.2212</v>
      </c>
      <c r="AD15" s="4">
        <f t="shared" si="5"/>
        <v>5496.2558499999996</v>
      </c>
      <c r="AE15" s="4">
        <f t="shared" si="6"/>
        <v>5496.4291000000003</v>
      </c>
      <c r="AF15" s="4">
        <f t="shared" si="7"/>
        <v>5496.6023500000001</v>
      </c>
      <c r="AG15" s="4">
        <f t="shared" si="8"/>
        <v>5496.7756000000008</v>
      </c>
      <c r="AH15" s="4">
        <f t="shared" si="9"/>
        <v>5496.9488499999998</v>
      </c>
      <c r="AI15" s="4">
        <f t="shared" si="10"/>
        <v>5497.1220999999996</v>
      </c>
      <c r="AJ15" s="4">
        <f t="shared" si="11"/>
        <v>5497.2953500000003</v>
      </c>
      <c r="AK15" s="5">
        <f t="shared" si="12"/>
        <v>5497.4685999999992</v>
      </c>
    </row>
    <row r="16" spans="1:37" x14ac:dyDescent="0.25">
      <c r="A16" s="62">
        <v>2600</v>
      </c>
      <c r="B16" s="63">
        <v>61.7</v>
      </c>
      <c r="C16" s="24">
        <v>128.1</v>
      </c>
      <c r="D16" s="24">
        <v>325.24</v>
      </c>
      <c r="E16" s="25">
        <v>51.4</v>
      </c>
      <c r="G16" s="26">
        <v>2600</v>
      </c>
      <c r="H16" s="24">
        <v>54.34</v>
      </c>
      <c r="I16" s="24">
        <v>104.52</v>
      </c>
      <c r="J16" s="24">
        <v>278.52999999999997</v>
      </c>
      <c r="K16" s="25">
        <v>39.85</v>
      </c>
      <c r="M16" s="26">
        <v>2600</v>
      </c>
      <c r="N16" s="24">
        <v>36.74</v>
      </c>
      <c r="O16" s="24">
        <v>77.97</v>
      </c>
      <c r="P16" s="24">
        <v>261.52</v>
      </c>
      <c r="Q16" s="25">
        <v>27.85</v>
      </c>
      <c r="S16" s="26">
        <v>2600</v>
      </c>
      <c r="T16" s="24">
        <v>39.090000000000003</v>
      </c>
      <c r="U16" s="24">
        <v>82.24</v>
      </c>
      <c r="V16" s="24">
        <v>278.73</v>
      </c>
      <c r="W16" s="74">
        <v>29.72</v>
      </c>
      <c r="X16" s="121">
        <v>2600</v>
      </c>
      <c r="Y16" s="23">
        <f t="shared" si="0"/>
        <v>5631.9264285714289</v>
      </c>
      <c r="Z16" s="24">
        <f t="shared" si="1"/>
        <v>5631.6614</v>
      </c>
      <c r="AA16" s="4">
        <f t="shared" si="2"/>
        <v>5631.693400000001</v>
      </c>
      <c r="AB16" s="4">
        <f t="shared" si="3"/>
        <v>5631.7254000000003</v>
      </c>
      <c r="AC16" s="4">
        <f t="shared" si="4"/>
        <v>5631.7573999999995</v>
      </c>
      <c r="AD16" s="4">
        <f t="shared" si="5"/>
        <v>5631.7893999999997</v>
      </c>
      <c r="AE16" s="4">
        <f t="shared" si="6"/>
        <v>5631.9494000000004</v>
      </c>
      <c r="AF16" s="4">
        <f t="shared" si="7"/>
        <v>5632.1094000000003</v>
      </c>
      <c r="AG16" s="4">
        <f t="shared" si="8"/>
        <v>5632.269400000001</v>
      </c>
      <c r="AH16" s="4">
        <f t="shared" si="9"/>
        <v>5632.4294</v>
      </c>
      <c r="AI16" s="4">
        <f t="shared" si="10"/>
        <v>5632.5893999999998</v>
      </c>
      <c r="AJ16" s="4">
        <f t="shared" si="11"/>
        <v>5632.7494000000006</v>
      </c>
      <c r="AK16" s="5">
        <f t="shared" si="12"/>
        <v>5632.9093999999996</v>
      </c>
    </row>
    <row r="17" spans="1:37" x14ac:dyDescent="0.25">
      <c r="A17" s="62">
        <v>2650</v>
      </c>
      <c r="B17" s="63">
        <v>61.77</v>
      </c>
      <c r="C17" s="24">
        <v>131.19</v>
      </c>
      <c r="D17" s="24">
        <v>326.42</v>
      </c>
      <c r="E17" s="25">
        <v>51.17</v>
      </c>
      <c r="G17" s="26">
        <v>2650</v>
      </c>
      <c r="H17" s="24">
        <v>54.54</v>
      </c>
      <c r="I17" s="24">
        <v>107.24</v>
      </c>
      <c r="J17" s="24">
        <v>279.56</v>
      </c>
      <c r="K17" s="25">
        <v>39.729999999999997</v>
      </c>
      <c r="M17" s="26">
        <v>2650</v>
      </c>
      <c r="N17" s="24">
        <v>36.78</v>
      </c>
      <c r="O17" s="24">
        <v>79.81</v>
      </c>
      <c r="P17" s="24">
        <v>262.22000000000003</v>
      </c>
      <c r="Q17" s="25">
        <v>27.92</v>
      </c>
      <c r="S17" s="26">
        <v>2650</v>
      </c>
      <c r="T17" s="24">
        <v>39.19</v>
      </c>
      <c r="U17" s="24">
        <v>84.2</v>
      </c>
      <c r="V17" s="24">
        <v>279.47000000000003</v>
      </c>
      <c r="W17" s="74">
        <v>29.79</v>
      </c>
      <c r="X17" s="121">
        <v>2650</v>
      </c>
      <c r="Y17" s="23">
        <f t="shared" si="0"/>
        <v>5767.6502380952388</v>
      </c>
      <c r="Z17" s="24">
        <f t="shared" si="1"/>
        <v>5767.3760000000002</v>
      </c>
      <c r="AA17" s="4">
        <f t="shared" si="2"/>
        <v>5767.4058000000014</v>
      </c>
      <c r="AB17" s="4">
        <f t="shared" si="3"/>
        <v>5767.4355999999998</v>
      </c>
      <c r="AC17" s="4">
        <f t="shared" si="4"/>
        <v>5767.465400000001</v>
      </c>
      <c r="AD17" s="4">
        <f t="shared" si="5"/>
        <v>5767.4952000000003</v>
      </c>
      <c r="AE17" s="4">
        <f t="shared" si="6"/>
        <v>5767.6442000000006</v>
      </c>
      <c r="AF17" s="4">
        <f t="shared" si="7"/>
        <v>5767.7932000000001</v>
      </c>
      <c r="AG17" s="4">
        <f t="shared" si="8"/>
        <v>5767.9422000000004</v>
      </c>
      <c r="AH17" s="4">
        <f t="shared" si="9"/>
        <v>5768.0912000000008</v>
      </c>
      <c r="AI17" s="4">
        <f t="shared" si="10"/>
        <v>5768.2402000000002</v>
      </c>
      <c r="AJ17" s="4">
        <f t="shared" si="11"/>
        <v>5768.3892000000005</v>
      </c>
      <c r="AK17" s="5">
        <f t="shared" si="12"/>
        <v>5768.5382000000009</v>
      </c>
    </row>
    <row r="18" spans="1:37" x14ac:dyDescent="0.25">
      <c r="A18" s="62">
        <v>2700</v>
      </c>
      <c r="B18" s="63">
        <v>61.84</v>
      </c>
      <c r="C18" s="24">
        <v>134.28</v>
      </c>
      <c r="D18" s="24">
        <v>327.57</v>
      </c>
      <c r="E18" s="25">
        <v>50.95</v>
      </c>
      <c r="G18" s="26">
        <v>2700</v>
      </c>
      <c r="H18" s="24">
        <v>54.74</v>
      </c>
      <c r="I18" s="24">
        <v>109.97</v>
      </c>
      <c r="J18" s="24">
        <v>280.58</v>
      </c>
      <c r="K18" s="25">
        <v>39.619999999999997</v>
      </c>
      <c r="M18" s="26">
        <v>2700</v>
      </c>
      <c r="N18" s="24">
        <v>36.82</v>
      </c>
      <c r="O18" s="24">
        <v>81.650000000000006</v>
      </c>
      <c r="P18" s="24">
        <v>262.91000000000003</v>
      </c>
      <c r="Q18" s="25">
        <v>27.98</v>
      </c>
      <c r="S18" s="26">
        <v>2700</v>
      </c>
      <c r="T18" s="24">
        <v>39.29</v>
      </c>
      <c r="U18" s="24">
        <v>86.16</v>
      </c>
      <c r="V18" s="24">
        <v>280.2</v>
      </c>
      <c r="W18" s="74">
        <v>29.86</v>
      </c>
      <c r="X18" s="121">
        <v>2700</v>
      </c>
      <c r="Y18" s="23">
        <f t="shared" si="0"/>
        <v>5903.4640476190489</v>
      </c>
      <c r="Z18" s="24">
        <f t="shared" si="1"/>
        <v>5903.1806000000015</v>
      </c>
      <c r="AA18" s="4">
        <f t="shared" si="2"/>
        <v>5903.2082</v>
      </c>
      <c r="AB18" s="4">
        <f t="shared" si="3"/>
        <v>5903.2358000000013</v>
      </c>
      <c r="AC18" s="4">
        <f t="shared" si="4"/>
        <v>5903.2633999999998</v>
      </c>
      <c r="AD18" s="4">
        <f t="shared" si="5"/>
        <v>5903.2910000000011</v>
      </c>
      <c r="AE18" s="4">
        <f t="shared" si="6"/>
        <v>5903.4290000000001</v>
      </c>
      <c r="AF18" s="4">
        <f t="shared" si="7"/>
        <v>5903.567</v>
      </c>
      <c r="AG18" s="4">
        <f t="shared" si="8"/>
        <v>5903.7049999999999</v>
      </c>
      <c r="AH18" s="4">
        <f t="shared" si="9"/>
        <v>5903.8430000000008</v>
      </c>
      <c r="AI18" s="4">
        <f t="shared" si="10"/>
        <v>5903.9810000000007</v>
      </c>
      <c r="AJ18" s="4">
        <f t="shared" si="11"/>
        <v>5904.1190000000006</v>
      </c>
      <c r="AK18" s="5">
        <f t="shared" si="12"/>
        <v>5904.2570000000005</v>
      </c>
    </row>
    <row r="19" spans="1:37" x14ac:dyDescent="0.25">
      <c r="A19" s="62">
        <v>2750</v>
      </c>
      <c r="B19" s="63">
        <v>61.9</v>
      </c>
      <c r="C19" s="24">
        <v>137.37</v>
      </c>
      <c r="D19" s="24">
        <v>328.71</v>
      </c>
      <c r="E19" s="25">
        <v>50.74</v>
      </c>
      <c r="G19" s="26">
        <v>2750</v>
      </c>
      <c r="H19" s="24">
        <v>54.93</v>
      </c>
      <c r="I19" s="24">
        <v>112.72</v>
      </c>
      <c r="J19" s="24">
        <v>281.58999999999997</v>
      </c>
      <c r="K19" s="25">
        <v>39.520000000000003</v>
      </c>
      <c r="M19" s="26">
        <v>2750</v>
      </c>
      <c r="N19" s="24">
        <v>36.86</v>
      </c>
      <c r="O19" s="24">
        <v>83.49</v>
      </c>
      <c r="P19" s="24">
        <v>263.58</v>
      </c>
      <c r="Q19" s="25">
        <v>28.05</v>
      </c>
      <c r="S19" s="26">
        <v>2750</v>
      </c>
      <c r="T19" s="24">
        <v>39.380000000000003</v>
      </c>
      <c r="U19" s="24">
        <v>88.13</v>
      </c>
      <c r="V19" s="24">
        <v>280.93</v>
      </c>
      <c r="W19" s="74">
        <v>29.94</v>
      </c>
      <c r="X19" s="121">
        <v>2750</v>
      </c>
      <c r="Y19" s="23">
        <f t="shared" si="0"/>
        <v>6039.4578571428574</v>
      </c>
      <c r="Z19" s="24">
        <f t="shared" si="1"/>
        <v>6039.1664499999997</v>
      </c>
      <c r="AA19" s="4">
        <f t="shared" si="2"/>
        <v>6039.1930999999995</v>
      </c>
      <c r="AB19" s="4">
        <f t="shared" si="3"/>
        <v>6039.2197500000002</v>
      </c>
      <c r="AC19" s="4">
        <f t="shared" si="4"/>
        <v>6039.2463999999991</v>
      </c>
      <c r="AD19" s="4">
        <f t="shared" si="5"/>
        <v>6039.2730500000007</v>
      </c>
      <c r="AE19" s="4">
        <f t="shared" si="6"/>
        <v>6039.4063000000006</v>
      </c>
      <c r="AF19" s="4">
        <f t="shared" si="7"/>
        <v>6039.5395499999995</v>
      </c>
      <c r="AG19" s="4">
        <f t="shared" si="8"/>
        <v>6039.6727999999994</v>
      </c>
      <c r="AH19" s="4">
        <f t="shared" si="9"/>
        <v>6039.8060500000001</v>
      </c>
      <c r="AI19" s="4">
        <f t="shared" si="10"/>
        <v>6039.9393</v>
      </c>
      <c r="AJ19" s="4">
        <f t="shared" si="11"/>
        <v>6040.0725500000008</v>
      </c>
      <c r="AK19" s="5">
        <f t="shared" si="12"/>
        <v>6040.2057999999997</v>
      </c>
    </row>
    <row r="20" spans="1:37" x14ac:dyDescent="0.25">
      <c r="A20" s="62">
        <v>2800</v>
      </c>
      <c r="B20" s="63">
        <v>61.96</v>
      </c>
      <c r="C20" s="24">
        <v>140.47</v>
      </c>
      <c r="D20" s="24">
        <v>329.83</v>
      </c>
      <c r="E20" s="25">
        <v>50.54</v>
      </c>
      <c r="G20" s="26">
        <v>2800</v>
      </c>
      <c r="H20" s="24">
        <v>55.11</v>
      </c>
      <c r="I20" s="24">
        <v>115.47</v>
      </c>
      <c r="J20" s="24">
        <v>282.58</v>
      </c>
      <c r="K20" s="25">
        <v>39.42</v>
      </c>
      <c r="M20" s="26">
        <v>2800</v>
      </c>
      <c r="N20" s="24">
        <v>36.89</v>
      </c>
      <c r="O20" s="24">
        <v>85.33</v>
      </c>
      <c r="P20" s="24">
        <v>264.25</v>
      </c>
      <c r="Q20" s="25">
        <v>28.12</v>
      </c>
      <c r="S20" s="26">
        <v>2800</v>
      </c>
      <c r="T20" s="24">
        <v>39.479999999999997</v>
      </c>
      <c r="U20" s="24">
        <v>90.1</v>
      </c>
      <c r="V20" s="24">
        <v>281.64</v>
      </c>
      <c r="W20" s="74">
        <v>30</v>
      </c>
      <c r="X20" s="121">
        <v>2800</v>
      </c>
      <c r="Y20" s="23">
        <f t="shared" si="0"/>
        <v>6175.5316666666658</v>
      </c>
      <c r="Z20" s="24">
        <f t="shared" si="1"/>
        <v>6175.2315000000008</v>
      </c>
      <c r="AA20" s="4">
        <f t="shared" si="2"/>
        <v>6175.2564000000002</v>
      </c>
      <c r="AB20" s="4">
        <f t="shared" si="3"/>
        <v>6175.2813000000006</v>
      </c>
      <c r="AC20" s="4">
        <f t="shared" si="4"/>
        <v>6175.3062</v>
      </c>
      <c r="AD20" s="4">
        <f t="shared" si="5"/>
        <v>6175.3310999999994</v>
      </c>
      <c r="AE20" s="4">
        <f t="shared" si="6"/>
        <v>6175.4556000000002</v>
      </c>
      <c r="AF20" s="4">
        <f t="shared" si="7"/>
        <v>6175.5801000000001</v>
      </c>
      <c r="AG20" s="4">
        <f t="shared" si="8"/>
        <v>6175.7046</v>
      </c>
      <c r="AH20" s="4">
        <f t="shared" si="9"/>
        <v>6175.8290999999999</v>
      </c>
      <c r="AI20" s="4">
        <f t="shared" si="10"/>
        <v>6175.9536000000007</v>
      </c>
      <c r="AJ20" s="4">
        <f t="shared" si="11"/>
        <v>6176.0781000000006</v>
      </c>
      <c r="AK20" s="5">
        <f t="shared" si="12"/>
        <v>6176.2026000000005</v>
      </c>
    </row>
    <row r="21" spans="1:37" x14ac:dyDescent="0.25">
      <c r="A21" s="62">
        <v>2850</v>
      </c>
      <c r="B21" s="63">
        <v>62.02</v>
      </c>
      <c r="C21" s="24">
        <v>143.57</v>
      </c>
      <c r="D21" s="24">
        <v>330.92</v>
      </c>
      <c r="E21" s="25">
        <v>50.35</v>
      </c>
      <c r="G21" s="26">
        <v>2850</v>
      </c>
      <c r="H21" s="24">
        <v>55.29</v>
      </c>
      <c r="I21" s="24">
        <v>118.23</v>
      </c>
      <c r="J21" s="24">
        <v>283.56</v>
      </c>
      <c r="K21" s="25">
        <v>39.32</v>
      </c>
      <c r="M21" s="26">
        <v>2850</v>
      </c>
      <c r="N21" s="24">
        <v>36.93</v>
      </c>
      <c r="O21" s="24">
        <v>87.18</v>
      </c>
      <c r="P21" s="24">
        <v>264.89999999999998</v>
      </c>
      <c r="Q21" s="25">
        <v>28.18</v>
      </c>
      <c r="S21" s="26">
        <v>2850</v>
      </c>
      <c r="T21" s="24">
        <v>39.57</v>
      </c>
      <c r="U21" s="24">
        <v>92.07</v>
      </c>
      <c r="V21" s="24">
        <v>282.33999999999997</v>
      </c>
      <c r="W21" s="74">
        <v>30.07</v>
      </c>
      <c r="X21" s="121">
        <v>2850</v>
      </c>
      <c r="Y21" s="23">
        <f t="shared" si="0"/>
        <v>6312.1657142857148</v>
      </c>
      <c r="Z21" s="24">
        <f t="shared" si="1"/>
        <v>6311.8567500000008</v>
      </c>
      <c r="AA21" s="4">
        <f t="shared" si="2"/>
        <v>6311.8799000000008</v>
      </c>
      <c r="AB21" s="4">
        <f t="shared" si="3"/>
        <v>6311.9030500000008</v>
      </c>
      <c r="AC21" s="4">
        <f t="shared" si="4"/>
        <v>6311.9261999999999</v>
      </c>
      <c r="AD21" s="4">
        <f t="shared" si="5"/>
        <v>6311.9493499999999</v>
      </c>
      <c r="AE21" s="4">
        <f t="shared" si="6"/>
        <v>6312.0650999999998</v>
      </c>
      <c r="AF21" s="4">
        <f t="shared" si="7"/>
        <v>6312.1808500000006</v>
      </c>
      <c r="AG21" s="4">
        <f t="shared" si="8"/>
        <v>6312.2966000000006</v>
      </c>
      <c r="AH21" s="4">
        <f t="shared" si="9"/>
        <v>6312.4123500000005</v>
      </c>
      <c r="AI21" s="4">
        <f t="shared" si="10"/>
        <v>6312.5281000000004</v>
      </c>
      <c r="AJ21" s="4">
        <f t="shared" si="11"/>
        <v>6312.6438500000004</v>
      </c>
      <c r="AK21" s="5">
        <f t="shared" si="12"/>
        <v>6312.7596000000012</v>
      </c>
    </row>
    <row r="22" spans="1:37" x14ac:dyDescent="0.25">
      <c r="A22" s="62">
        <v>2900</v>
      </c>
      <c r="B22" s="63">
        <v>62.08</v>
      </c>
      <c r="C22" s="24">
        <v>146.66999999999999</v>
      </c>
      <c r="D22" s="24">
        <v>332</v>
      </c>
      <c r="E22" s="25">
        <v>50.17</v>
      </c>
      <c r="G22" s="26">
        <v>2900</v>
      </c>
      <c r="H22" s="24">
        <v>55.46</v>
      </c>
      <c r="I22" s="24">
        <v>120.99</v>
      </c>
      <c r="J22" s="24">
        <v>284.52</v>
      </c>
      <c r="K22" s="25">
        <v>39.229999999999997</v>
      </c>
      <c r="M22" s="26">
        <v>2900</v>
      </c>
      <c r="N22" s="24">
        <v>36.96</v>
      </c>
      <c r="O22" s="24">
        <v>89.03</v>
      </c>
      <c r="P22" s="24">
        <v>265.54000000000002</v>
      </c>
      <c r="Q22" s="25">
        <v>28.25</v>
      </c>
      <c r="S22" s="26">
        <v>2900</v>
      </c>
      <c r="T22" s="24">
        <v>39.659999999999997</v>
      </c>
      <c r="U22" s="24">
        <v>94.06</v>
      </c>
      <c r="V22" s="24">
        <v>283.02999999999997</v>
      </c>
      <c r="W22" s="74">
        <v>30.14</v>
      </c>
      <c r="X22" s="121">
        <v>2900</v>
      </c>
      <c r="Y22" s="23">
        <f t="shared" si="0"/>
        <v>6448.7997619047619</v>
      </c>
      <c r="Z22" s="24">
        <f t="shared" si="1"/>
        <v>6448.4844999999996</v>
      </c>
      <c r="AA22" s="4">
        <f t="shared" si="2"/>
        <v>6448.5083999999997</v>
      </c>
      <c r="AB22" s="4">
        <f t="shared" si="3"/>
        <v>6448.5322999999999</v>
      </c>
      <c r="AC22" s="4">
        <f t="shared" si="4"/>
        <v>6448.5561999999991</v>
      </c>
      <c r="AD22" s="4">
        <f t="shared" si="5"/>
        <v>6448.5801000000001</v>
      </c>
      <c r="AE22" s="4">
        <f t="shared" si="6"/>
        <v>6448.699599999999</v>
      </c>
      <c r="AF22" s="4">
        <f t="shared" si="7"/>
        <v>6448.8190999999997</v>
      </c>
      <c r="AG22" s="4">
        <f t="shared" si="8"/>
        <v>6448.9385999999995</v>
      </c>
      <c r="AH22" s="4">
        <f t="shared" si="9"/>
        <v>6449.0581000000002</v>
      </c>
      <c r="AI22" s="4">
        <f t="shared" si="10"/>
        <v>6449.1776</v>
      </c>
      <c r="AJ22" s="4">
        <f t="shared" si="11"/>
        <v>6449.2970999999998</v>
      </c>
      <c r="AK22" s="5">
        <f t="shared" si="12"/>
        <v>6449.4165999999996</v>
      </c>
    </row>
    <row r="23" spans="1:37" x14ac:dyDescent="0.25">
      <c r="A23" s="62">
        <v>2950</v>
      </c>
      <c r="B23" s="63">
        <v>62.14</v>
      </c>
      <c r="C23" s="24">
        <v>149.78</v>
      </c>
      <c r="D23" s="24">
        <v>333.06</v>
      </c>
      <c r="E23" s="25">
        <v>50</v>
      </c>
      <c r="G23" s="26">
        <v>2950</v>
      </c>
      <c r="H23" s="24">
        <v>55.62</v>
      </c>
      <c r="I23" s="24">
        <v>123.77</v>
      </c>
      <c r="J23" s="24">
        <v>285.47000000000003</v>
      </c>
      <c r="K23" s="25">
        <v>39.15</v>
      </c>
      <c r="M23" s="26">
        <v>2950</v>
      </c>
      <c r="N23" s="24">
        <v>36.99</v>
      </c>
      <c r="O23" s="24">
        <v>90.88</v>
      </c>
      <c r="P23" s="24">
        <v>266.17</v>
      </c>
      <c r="Q23" s="25">
        <v>28.31</v>
      </c>
      <c r="S23" s="26">
        <v>2950</v>
      </c>
      <c r="T23" s="24">
        <v>39.75</v>
      </c>
      <c r="U23" s="24">
        <v>96.04</v>
      </c>
      <c r="V23" s="24">
        <v>283.7</v>
      </c>
      <c r="W23" s="74">
        <v>30.21</v>
      </c>
      <c r="X23" s="121">
        <v>2950</v>
      </c>
      <c r="Y23" s="23">
        <f t="shared" si="0"/>
        <v>6585.6938095238093</v>
      </c>
      <c r="Z23" s="24">
        <f t="shared" si="1"/>
        <v>6585.3702000000003</v>
      </c>
      <c r="AA23" s="4">
        <f t="shared" si="2"/>
        <v>6585.3928000000005</v>
      </c>
      <c r="AB23" s="4">
        <f t="shared" si="3"/>
        <v>6585.4154000000008</v>
      </c>
      <c r="AC23" s="4">
        <f t="shared" si="4"/>
        <v>6585.4380000000001</v>
      </c>
      <c r="AD23" s="4">
        <f t="shared" si="5"/>
        <v>6585.4605999999994</v>
      </c>
      <c r="AE23" s="4">
        <f t="shared" si="6"/>
        <v>6585.5736000000006</v>
      </c>
      <c r="AF23" s="4">
        <f t="shared" si="7"/>
        <v>6585.6866</v>
      </c>
      <c r="AG23" s="4">
        <f t="shared" si="8"/>
        <v>6585.7996000000003</v>
      </c>
      <c r="AH23" s="4">
        <f t="shared" si="9"/>
        <v>6585.9125999999997</v>
      </c>
      <c r="AI23" s="4">
        <f t="shared" si="10"/>
        <v>6586.025599999999</v>
      </c>
      <c r="AJ23" s="4">
        <f t="shared" si="11"/>
        <v>6586.1386000000002</v>
      </c>
      <c r="AK23" s="5">
        <f t="shared" si="12"/>
        <v>6586.2515999999996</v>
      </c>
    </row>
    <row r="24" spans="1:37" x14ac:dyDescent="0.25">
      <c r="A24" s="62">
        <v>3000</v>
      </c>
      <c r="B24" s="63">
        <v>62.19</v>
      </c>
      <c r="C24" s="24">
        <v>152.88</v>
      </c>
      <c r="D24" s="24">
        <v>334.11</v>
      </c>
      <c r="E24" s="25">
        <v>49.83</v>
      </c>
      <c r="G24" s="26">
        <v>3000</v>
      </c>
      <c r="H24" s="24">
        <v>55.78</v>
      </c>
      <c r="I24" s="24">
        <v>126.56</v>
      </c>
      <c r="J24" s="24">
        <v>286.41000000000003</v>
      </c>
      <c r="K24" s="25">
        <v>39.07</v>
      </c>
      <c r="M24" s="26">
        <v>3000</v>
      </c>
      <c r="N24" s="24">
        <v>37.03</v>
      </c>
      <c r="O24" s="24">
        <v>92.73</v>
      </c>
      <c r="P24" s="24">
        <v>266.8</v>
      </c>
      <c r="Q24" s="25">
        <v>28.37</v>
      </c>
      <c r="S24" s="26">
        <v>3000</v>
      </c>
      <c r="T24" s="24">
        <v>39.840000000000003</v>
      </c>
      <c r="U24" s="24">
        <v>98.03</v>
      </c>
      <c r="V24" s="24">
        <v>284.37</v>
      </c>
      <c r="W24" s="74">
        <v>30.27</v>
      </c>
      <c r="X24" s="121">
        <v>3000</v>
      </c>
      <c r="Y24" s="23">
        <f t="shared" si="0"/>
        <v>6722.5978571428577</v>
      </c>
      <c r="Z24" s="24">
        <f t="shared" si="1"/>
        <v>6722.2679499999995</v>
      </c>
      <c r="AA24" s="4">
        <f t="shared" si="2"/>
        <v>6722.2912999999999</v>
      </c>
      <c r="AB24" s="4">
        <f t="shared" si="3"/>
        <v>6722.3146499999993</v>
      </c>
      <c r="AC24" s="4">
        <f t="shared" si="4"/>
        <v>6722.3380000000006</v>
      </c>
      <c r="AD24" s="4">
        <f t="shared" si="5"/>
        <v>6722.3613500000001</v>
      </c>
      <c r="AE24" s="4">
        <f t="shared" si="6"/>
        <v>6722.4781000000003</v>
      </c>
      <c r="AF24" s="4">
        <f t="shared" si="7"/>
        <v>6722.5948499999995</v>
      </c>
      <c r="AG24" s="4">
        <f t="shared" si="8"/>
        <v>6722.7115999999996</v>
      </c>
      <c r="AH24" s="4">
        <f t="shared" si="9"/>
        <v>6722.8283499999998</v>
      </c>
      <c r="AI24" s="4">
        <f t="shared" si="10"/>
        <v>6722.9450999999999</v>
      </c>
      <c r="AJ24" s="4">
        <f t="shared" si="11"/>
        <v>6723.06185</v>
      </c>
      <c r="AK24" s="5">
        <f t="shared" si="12"/>
        <v>6723.1785999999993</v>
      </c>
    </row>
    <row r="25" spans="1:37" x14ac:dyDescent="0.25">
      <c r="A25" s="62">
        <v>3050</v>
      </c>
      <c r="B25" s="63">
        <v>62.25</v>
      </c>
      <c r="C25" s="24">
        <v>155.99</v>
      </c>
      <c r="D25" s="24">
        <v>335.14</v>
      </c>
      <c r="E25" s="25">
        <v>49.68</v>
      </c>
      <c r="G25" s="26">
        <v>3050</v>
      </c>
      <c r="H25" s="24">
        <v>55.93</v>
      </c>
      <c r="I25" s="24">
        <v>129.35</v>
      </c>
      <c r="J25" s="24">
        <v>287.33</v>
      </c>
      <c r="K25" s="25">
        <v>39</v>
      </c>
      <c r="M25" s="26">
        <v>3050</v>
      </c>
      <c r="N25" s="24">
        <v>37.06</v>
      </c>
      <c r="O25" s="24">
        <v>94.58</v>
      </c>
      <c r="P25" s="24">
        <v>267.41000000000003</v>
      </c>
      <c r="Q25" s="25">
        <v>28.43</v>
      </c>
      <c r="S25" s="26">
        <v>3050</v>
      </c>
      <c r="T25" s="24">
        <v>39.93</v>
      </c>
      <c r="U25" s="24">
        <v>100.03</v>
      </c>
      <c r="V25" s="24">
        <v>285.02999999999997</v>
      </c>
      <c r="W25" s="74">
        <v>30.34</v>
      </c>
      <c r="X25" s="121">
        <v>3050</v>
      </c>
      <c r="Y25" s="23">
        <f t="shared" si="0"/>
        <v>6859.5819047619043</v>
      </c>
      <c r="Z25" s="24">
        <f t="shared" si="1"/>
        <v>6859.2461499999999</v>
      </c>
      <c r="AA25" s="4">
        <f t="shared" si="2"/>
        <v>6859.2707</v>
      </c>
      <c r="AB25" s="4">
        <f t="shared" si="3"/>
        <v>6859.2952499999992</v>
      </c>
      <c r="AC25" s="4">
        <f t="shared" si="4"/>
        <v>6859.3198000000002</v>
      </c>
      <c r="AD25" s="4">
        <f t="shared" si="5"/>
        <v>6859.3443500000003</v>
      </c>
      <c r="AE25" s="4">
        <f t="shared" si="6"/>
        <v>6859.4671000000008</v>
      </c>
      <c r="AF25" s="4">
        <f t="shared" si="7"/>
        <v>6859.5898499999994</v>
      </c>
      <c r="AG25" s="4">
        <f t="shared" si="8"/>
        <v>6859.7125999999998</v>
      </c>
      <c r="AH25" s="4">
        <f t="shared" si="9"/>
        <v>6859.8353500000003</v>
      </c>
      <c r="AI25" s="4">
        <f t="shared" si="10"/>
        <v>6859.9581000000007</v>
      </c>
      <c r="AJ25" s="4">
        <f t="shared" si="11"/>
        <v>6860.0808500000003</v>
      </c>
      <c r="AK25" s="5">
        <f t="shared" si="12"/>
        <v>6860.2035999999998</v>
      </c>
    </row>
    <row r="26" spans="1:37" x14ac:dyDescent="0.25">
      <c r="A26" s="62">
        <v>3100</v>
      </c>
      <c r="B26" s="63">
        <v>62.3</v>
      </c>
      <c r="C26" s="24">
        <v>159.11000000000001</v>
      </c>
      <c r="D26" s="24">
        <v>336.15</v>
      </c>
      <c r="E26" s="25">
        <v>49.53</v>
      </c>
      <c r="G26" s="26">
        <v>3100</v>
      </c>
      <c r="H26" s="24">
        <v>56.07</v>
      </c>
      <c r="I26" s="24">
        <v>132.15</v>
      </c>
      <c r="J26" s="24">
        <v>288.24</v>
      </c>
      <c r="K26" s="25">
        <v>38.92</v>
      </c>
      <c r="M26" s="26">
        <v>3100</v>
      </c>
      <c r="N26" s="24">
        <v>37.090000000000003</v>
      </c>
      <c r="O26" s="24">
        <v>96.43</v>
      </c>
      <c r="P26" s="24">
        <v>268.01</v>
      </c>
      <c r="Q26" s="25">
        <v>28.49</v>
      </c>
      <c r="S26" s="26">
        <v>3100</v>
      </c>
      <c r="T26" s="24">
        <v>40.020000000000003</v>
      </c>
      <c r="U26" s="24">
        <v>102.02</v>
      </c>
      <c r="V26" s="24">
        <v>285.68</v>
      </c>
      <c r="W26" s="74">
        <v>30.4</v>
      </c>
      <c r="X26" s="121">
        <v>3100</v>
      </c>
      <c r="Y26" s="23">
        <f t="shared" si="0"/>
        <v>6996.7359523809537</v>
      </c>
      <c r="Z26" s="24">
        <f t="shared" si="1"/>
        <v>6996.3923000000004</v>
      </c>
      <c r="AA26" s="4">
        <f t="shared" si="2"/>
        <v>6996.4160000000002</v>
      </c>
      <c r="AB26" s="4">
        <f t="shared" si="3"/>
        <v>6996.4396999999999</v>
      </c>
      <c r="AC26" s="4">
        <f t="shared" si="4"/>
        <v>6996.4634000000005</v>
      </c>
      <c r="AD26" s="4">
        <f t="shared" si="5"/>
        <v>6996.4871000000003</v>
      </c>
      <c r="AE26" s="4">
        <f t="shared" si="6"/>
        <v>6996.6055999999999</v>
      </c>
      <c r="AF26" s="4">
        <f t="shared" si="7"/>
        <v>6996.7241000000013</v>
      </c>
      <c r="AG26" s="4">
        <f t="shared" si="8"/>
        <v>6996.8426000000009</v>
      </c>
      <c r="AH26" s="4">
        <f t="shared" si="9"/>
        <v>6996.9611000000004</v>
      </c>
      <c r="AI26" s="4">
        <f t="shared" si="10"/>
        <v>6997.0796</v>
      </c>
      <c r="AJ26" s="4">
        <f t="shared" si="11"/>
        <v>6997.1980999999996</v>
      </c>
      <c r="AK26" s="5">
        <f t="shared" si="12"/>
        <v>6997.316600000001</v>
      </c>
    </row>
    <row r="27" spans="1:37" x14ac:dyDescent="0.25">
      <c r="A27" s="62">
        <v>3150</v>
      </c>
      <c r="B27" s="63">
        <v>62.35</v>
      </c>
      <c r="C27" s="24">
        <v>162.22</v>
      </c>
      <c r="D27" s="24">
        <v>337.15</v>
      </c>
      <c r="E27" s="25">
        <v>49.38</v>
      </c>
      <c r="G27" s="26">
        <v>3150</v>
      </c>
      <c r="H27" s="24">
        <v>56.21</v>
      </c>
      <c r="I27" s="24">
        <v>134.96</v>
      </c>
      <c r="J27" s="24">
        <v>289.14</v>
      </c>
      <c r="K27" s="25">
        <v>38.86</v>
      </c>
      <c r="M27" s="26">
        <v>3150</v>
      </c>
      <c r="N27" s="24">
        <v>37.11</v>
      </c>
      <c r="O27" s="24">
        <v>98.29</v>
      </c>
      <c r="P27" s="24">
        <v>268.61</v>
      </c>
      <c r="Q27" s="25">
        <v>28.55</v>
      </c>
      <c r="S27" s="26">
        <v>3150</v>
      </c>
      <c r="T27" s="24">
        <v>40.11</v>
      </c>
      <c r="U27" s="24">
        <v>104.03</v>
      </c>
      <c r="V27" s="24">
        <v>286.32</v>
      </c>
      <c r="W27" s="74">
        <v>30.47</v>
      </c>
      <c r="X27" s="121">
        <v>3150</v>
      </c>
      <c r="Y27" s="23">
        <f t="shared" si="0"/>
        <v>7134.3702380952382</v>
      </c>
      <c r="Z27" s="24">
        <f t="shared" si="1"/>
        <v>7134.0219500000012</v>
      </c>
      <c r="AA27" s="4">
        <f t="shared" si="2"/>
        <v>7134.0481000000009</v>
      </c>
      <c r="AB27" s="4">
        <f t="shared" si="3"/>
        <v>7134.0742500000006</v>
      </c>
      <c r="AC27" s="4">
        <f t="shared" si="4"/>
        <v>7134.1004000000012</v>
      </c>
      <c r="AD27" s="4">
        <f t="shared" si="5"/>
        <v>7134.1265500000009</v>
      </c>
      <c r="AE27" s="4">
        <f t="shared" si="6"/>
        <v>7134.2573000000011</v>
      </c>
      <c r="AF27" s="4">
        <f t="shared" si="7"/>
        <v>7134.3880500000005</v>
      </c>
      <c r="AG27" s="4">
        <f t="shared" si="8"/>
        <v>7134.5188000000007</v>
      </c>
      <c r="AH27" s="4">
        <f t="shared" si="9"/>
        <v>7134.649550000001</v>
      </c>
      <c r="AI27" s="4">
        <f t="shared" si="10"/>
        <v>7134.7803000000013</v>
      </c>
      <c r="AJ27" s="4">
        <f t="shared" si="11"/>
        <v>7134.9110500000015</v>
      </c>
      <c r="AK27" s="5">
        <f t="shared" si="12"/>
        <v>7135.0418000000009</v>
      </c>
    </row>
    <row r="28" spans="1:37" x14ac:dyDescent="0.25">
      <c r="A28" s="62">
        <v>3200</v>
      </c>
      <c r="B28" s="63">
        <v>62.4</v>
      </c>
      <c r="C28" s="24">
        <v>165.34</v>
      </c>
      <c r="D28" s="24">
        <v>338.13</v>
      </c>
      <c r="E28" s="25">
        <v>49.25</v>
      </c>
      <c r="G28" s="26">
        <v>3200</v>
      </c>
      <c r="H28" s="24">
        <v>56.35</v>
      </c>
      <c r="I28" s="24">
        <v>137.77000000000001</v>
      </c>
      <c r="J28" s="24">
        <v>290.02999999999997</v>
      </c>
      <c r="K28" s="25">
        <v>38.799999999999997</v>
      </c>
      <c r="M28" s="26">
        <v>3200</v>
      </c>
      <c r="N28" s="24">
        <v>37.14</v>
      </c>
      <c r="O28" s="24">
        <v>100.14</v>
      </c>
      <c r="P28" s="24">
        <v>269.19</v>
      </c>
      <c r="Q28" s="25">
        <v>28.61</v>
      </c>
      <c r="S28" s="26">
        <v>3200</v>
      </c>
      <c r="T28" s="24">
        <v>40.19</v>
      </c>
      <c r="U28" s="24">
        <v>106.03</v>
      </c>
      <c r="V28" s="24">
        <v>286.95999999999998</v>
      </c>
      <c r="W28" s="74">
        <v>30.53</v>
      </c>
      <c r="X28" s="121">
        <v>3200</v>
      </c>
      <c r="Y28" s="23">
        <f t="shared" si="0"/>
        <v>7271.6142857142859</v>
      </c>
      <c r="Z28" s="24">
        <f t="shared" si="1"/>
        <v>7271.2593500000003</v>
      </c>
      <c r="AA28" s="4">
        <f t="shared" si="2"/>
        <v>7271.2858999999999</v>
      </c>
      <c r="AB28" s="4">
        <f t="shared" si="3"/>
        <v>7271.3124499999994</v>
      </c>
      <c r="AC28" s="4">
        <f t="shared" si="4"/>
        <v>7271.3390000000009</v>
      </c>
      <c r="AD28" s="4">
        <f t="shared" si="5"/>
        <v>7271.3655500000004</v>
      </c>
      <c r="AE28" s="4">
        <f t="shared" si="6"/>
        <v>7271.4983000000011</v>
      </c>
      <c r="AF28" s="4">
        <f t="shared" si="7"/>
        <v>7271.63105</v>
      </c>
      <c r="AG28" s="4">
        <f t="shared" si="8"/>
        <v>7271.7637999999997</v>
      </c>
      <c r="AH28" s="4">
        <f t="shared" si="9"/>
        <v>7271.8965500000004</v>
      </c>
      <c r="AI28" s="4">
        <f t="shared" si="10"/>
        <v>7272.0293000000001</v>
      </c>
      <c r="AJ28" s="4">
        <f t="shared" si="11"/>
        <v>7272.1620500000008</v>
      </c>
      <c r="AK28" s="5">
        <f t="shared" si="12"/>
        <v>7272.2947999999997</v>
      </c>
    </row>
    <row r="29" spans="1:37" x14ac:dyDescent="0.25">
      <c r="A29" s="62">
        <v>3250</v>
      </c>
      <c r="B29" s="63">
        <v>62.45</v>
      </c>
      <c r="C29" s="24">
        <v>168.46</v>
      </c>
      <c r="D29" s="24">
        <v>339.1</v>
      </c>
      <c r="E29" s="25">
        <v>49.12</v>
      </c>
      <c r="G29" s="26">
        <v>3250</v>
      </c>
      <c r="H29" s="24">
        <v>56.48</v>
      </c>
      <c r="I29" s="24">
        <v>140.59</v>
      </c>
      <c r="J29" s="24">
        <v>290.89999999999998</v>
      </c>
      <c r="K29" s="25">
        <v>38.74</v>
      </c>
      <c r="M29" s="26">
        <v>3250</v>
      </c>
      <c r="N29" s="24">
        <v>37.17</v>
      </c>
      <c r="O29" s="24">
        <v>102</v>
      </c>
      <c r="P29" s="24">
        <v>269.77</v>
      </c>
      <c r="Q29" s="25">
        <v>28.67</v>
      </c>
      <c r="S29" s="26">
        <v>3250</v>
      </c>
      <c r="T29" s="24">
        <v>40.28</v>
      </c>
      <c r="U29" s="24">
        <v>108.05</v>
      </c>
      <c r="V29" s="24">
        <v>287.58</v>
      </c>
      <c r="W29" s="74">
        <v>30.59</v>
      </c>
      <c r="X29" s="121">
        <v>3250</v>
      </c>
      <c r="Y29" s="23">
        <f t="shared" si="0"/>
        <v>7409.4185714285713</v>
      </c>
      <c r="Z29" s="24">
        <f t="shared" si="1"/>
        <v>7409.0594500000007</v>
      </c>
      <c r="AA29" s="4">
        <f t="shared" si="2"/>
        <v>7409.0888999999997</v>
      </c>
      <c r="AB29" s="4">
        <f t="shared" si="3"/>
        <v>7409.1183499999997</v>
      </c>
      <c r="AC29" s="4">
        <f t="shared" si="4"/>
        <v>7409.1477999999997</v>
      </c>
      <c r="AD29" s="4">
        <f t="shared" si="5"/>
        <v>7409.1772499999997</v>
      </c>
      <c r="AE29" s="4">
        <f t="shared" si="6"/>
        <v>7409.3244999999997</v>
      </c>
      <c r="AF29" s="4">
        <f t="shared" si="7"/>
        <v>7409.4717499999997</v>
      </c>
      <c r="AG29" s="4">
        <f t="shared" si="8"/>
        <v>7409.6189999999997</v>
      </c>
      <c r="AH29" s="4">
        <f t="shared" si="9"/>
        <v>7409.7662499999997</v>
      </c>
      <c r="AI29" s="4">
        <f t="shared" si="10"/>
        <v>7409.9134999999997</v>
      </c>
      <c r="AJ29" s="4">
        <f t="shared" si="11"/>
        <v>7410.0607500000006</v>
      </c>
      <c r="AK29" s="5">
        <f t="shared" si="12"/>
        <v>7410.2080000000005</v>
      </c>
    </row>
    <row r="30" spans="1:37" x14ac:dyDescent="0.25">
      <c r="A30" s="62">
        <v>3300</v>
      </c>
      <c r="B30" s="63">
        <v>62.51</v>
      </c>
      <c r="C30" s="24">
        <v>171.59</v>
      </c>
      <c r="D30" s="24">
        <v>340.05</v>
      </c>
      <c r="E30" s="25">
        <v>48.99</v>
      </c>
      <c r="G30" s="26">
        <v>3300</v>
      </c>
      <c r="H30" s="24">
        <v>56.61</v>
      </c>
      <c r="I30" s="24">
        <v>143.41999999999999</v>
      </c>
      <c r="J30" s="24">
        <v>291.76</v>
      </c>
      <c r="K30" s="25">
        <v>38.68</v>
      </c>
      <c r="M30" s="26">
        <v>3300</v>
      </c>
      <c r="N30" s="24">
        <v>37.200000000000003</v>
      </c>
      <c r="O30" s="24">
        <v>103.86</v>
      </c>
      <c r="P30" s="24">
        <v>270.33</v>
      </c>
      <c r="Q30" s="25">
        <v>28.73</v>
      </c>
      <c r="S30" s="26">
        <v>3300</v>
      </c>
      <c r="T30" s="24">
        <v>40.36</v>
      </c>
      <c r="U30" s="24">
        <v>110.06</v>
      </c>
      <c r="V30" s="24">
        <v>288.2</v>
      </c>
      <c r="W30" s="74">
        <v>30.65</v>
      </c>
      <c r="X30" s="121">
        <v>3300</v>
      </c>
      <c r="Y30" s="23">
        <f t="shared" si="0"/>
        <v>7547.3928571428569</v>
      </c>
      <c r="Z30" s="24">
        <f t="shared" si="1"/>
        <v>7547.0275000000001</v>
      </c>
      <c r="AA30" s="4">
        <f t="shared" si="2"/>
        <v>7547.0578000000014</v>
      </c>
      <c r="AB30" s="4">
        <f t="shared" si="3"/>
        <v>7547.0881000000008</v>
      </c>
      <c r="AC30" s="4">
        <f t="shared" si="4"/>
        <v>7547.1184000000003</v>
      </c>
      <c r="AD30" s="4">
        <f t="shared" si="5"/>
        <v>7547.1487000000016</v>
      </c>
      <c r="AE30" s="4">
        <f t="shared" si="6"/>
        <v>7547.3002000000006</v>
      </c>
      <c r="AF30" s="4">
        <f t="shared" si="7"/>
        <v>7547.4517000000005</v>
      </c>
      <c r="AG30" s="4">
        <f t="shared" si="8"/>
        <v>7547.6032000000005</v>
      </c>
      <c r="AH30" s="4">
        <f t="shared" si="9"/>
        <v>7547.7547000000004</v>
      </c>
      <c r="AI30" s="4">
        <f t="shared" si="10"/>
        <v>7547.9062000000013</v>
      </c>
      <c r="AJ30" s="4">
        <f t="shared" si="11"/>
        <v>7548.0577000000003</v>
      </c>
      <c r="AK30" s="5">
        <f t="shared" si="12"/>
        <v>7548.2092000000002</v>
      </c>
    </row>
    <row r="31" spans="1:37" x14ac:dyDescent="0.25">
      <c r="A31" s="62">
        <v>3350</v>
      </c>
      <c r="B31" s="63">
        <v>62.56</v>
      </c>
      <c r="C31" s="24">
        <v>174.72</v>
      </c>
      <c r="D31" s="24">
        <v>340.99</v>
      </c>
      <c r="E31" s="25">
        <v>48.87</v>
      </c>
      <c r="G31" s="26">
        <v>3350</v>
      </c>
      <c r="H31" s="24">
        <v>56.73</v>
      </c>
      <c r="I31" s="24">
        <v>146.25</v>
      </c>
      <c r="J31" s="24">
        <v>292.62</v>
      </c>
      <c r="K31" s="25">
        <v>38.630000000000003</v>
      </c>
      <c r="M31" s="26">
        <v>3350</v>
      </c>
      <c r="N31" s="24">
        <v>37.22</v>
      </c>
      <c r="O31" s="24">
        <v>105.72</v>
      </c>
      <c r="P31" s="24">
        <v>270.89</v>
      </c>
      <c r="Q31" s="25">
        <v>28.79</v>
      </c>
      <c r="S31" s="26">
        <v>3350</v>
      </c>
      <c r="T31" s="24">
        <v>40.44</v>
      </c>
      <c r="U31" s="24">
        <v>112.08</v>
      </c>
      <c r="V31" s="24">
        <v>288.8</v>
      </c>
      <c r="W31" s="74">
        <v>30.71</v>
      </c>
      <c r="X31" s="121">
        <v>3350</v>
      </c>
      <c r="Y31" s="23">
        <f t="shared" si="0"/>
        <v>7685.3671428571433</v>
      </c>
      <c r="Z31" s="24">
        <f t="shared" si="1"/>
        <v>7684.9968000000008</v>
      </c>
      <c r="AA31" s="4">
        <f t="shared" si="2"/>
        <v>7685.0292000000009</v>
      </c>
      <c r="AB31" s="4">
        <f t="shared" si="3"/>
        <v>7685.0616</v>
      </c>
      <c r="AC31" s="4">
        <f t="shared" si="4"/>
        <v>7685.0940000000001</v>
      </c>
      <c r="AD31" s="4">
        <f t="shared" si="5"/>
        <v>7685.1264000000001</v>
      </c>
      <c r="AE31" s="4">
        <f t="shared" si="6"/>
        <v>7685.2884000000013</v>
      </c>
      <c r="AF31" s="4">
        <f t="shared" si="7"/>
        <v>7685.4503999999997</v>
      </c>
      <c r="AG31" s="4">
        <f t="shared" si="8"/>
        <v>7685.6124000000009</v>
      </c>
      <c r="AH31" s="4">
        <f t="shared" si="9"/>
        <v>7685.7744000000002</v>
      </c>
      <c r="AI31" s="4">
        <f t="shared" si="10"/>
        <v>7685.9364000000005</v>
      </c>
      <c r="AJ31" s="4">
        <f t="shared" si="11"/>
        <v>7686.0984000000008</v>
      </c>
      <c r="AK31" s="5">
        <f t="shared" si="12"/>
        <v>7686.2604000000001</v>
      </c>
    </row>
    <row r="32" spans="1:37" x14ac:dyDescent="0.25">
      <c r="A32" s="62">
        <v>3400</v>
      </c>
      <c r="B32" s="63">
        <v>62.61</v>
      </c>
      <c r="C32" s="24">
        <v>177.84</v>
      </c>
      <c r="D32" s="24">
        <v>341.92</v>
      </c>
      <c r="E32" s="25">
        <v>48.76</v>
      </c>
      <c r="G32" s="26">
        <v>3400</v>
      </c>
      <c r="H32" s="24">
        <v>56.85</v>
      </c>
      <c r="I32" s="24">
        <v>149.09</v>
      </c>
      <c r="J32" s="24">
        <v>293.45999999999998</v>
      </c>
      <c r="K32" s="25">
        <v>38.58</v>
      </c>
      <c r="M32" s="26">
        <v>3400</v>
      </c>
      <c r="N32" s="24">
        <v>37.25</v>
      </c>
      <c r="O32" s="24">
        <v>107.58</v>
      </c>
      <c r="P32" s="24">
        <v>271.45</v>
      </c>
      <c r="Q32" s="25">
        <v>28.84</v>
      </c>
      <c r="S32" s="26">
        <v>3400</v>
      </c>
      <c r="T32" s="24">
        <v>40.520000000000003</v>
      </c>
      <c r="U32" s="24">
        <v>114.11</v>
      </c>
      <c r="V32" s="24">
        <v>289.39999999999998</v>
      </c>
      <c r="W32" s="74">
        <v>30.77</v>
      </c>
      <c r="X32" s="121">
        <v>3400</v>
      </c>
      <c r="Y32" s="23">
        <f t="shared" si="0"/>
        <v>7823.3514285714282</v>
      </c>
      <c r="Z32" s="24">
        <f t="shared" si="1"/>
        <v>7822.9781500000008</v>
      </c>
      <c r="AA32" s="4">
        <f t="shared" si="2"/>
        <v>7823.0147000000006</v>
      </c>
      <c r="AB32" s="4">
        <f t="shared" si="3"/>
        <v>7823.0512500000004</v>
      </c>
      <c r="AC32" s="4">
        <f t="shared" si="4"/>
        <v>7823.0878000000002</v>
      </c>
      <c r="AD32" s="4">
        <f t="shared" si="5"/>
        <v>7823.124350000001</v>
      </c>
      <c r="AE32" s="4">
        <f t="shared" si="6"/>
        <v>7823.3071</v>
      </c>
      <c r="AF32" s="4">
        <f t="shared" si="7"/>
        <v>7823.4898500000008</v>
      </c>
      <c r="AG32" s="4">
        <f t="shared" si="8"/>
        <v>7823.6725999999999</v>
      </c>
      <c r="AH32" s="4">
        <f t="shared" si="9"/>
        <v>7823.8553499999998</v>
      </c>
      <c r="AI32" s="4">
        <f t="shared" si="10"/>
        <v>7824.0381000000007</v>
      </c>
      <c r="AJ32" s="4">
        <f t="shared" si="11"/>
        <v>7824.2208500000006</v>
      </c>
      <c r="AK32" s="5">
        <f t="shared" si="12"/>
        <v>7824.4036000000006</v>
      </c>
    </row>
    <row r="33" spans="1:37" x14ac:dyDescent="0.25">
      <c r="A33" s="62">
        <v>3450</v>
      </c>
      <c r="B33" s="63">
        <v>62.66</v>
      </c>
      <c r="C33" s="24">
        <v>180.98</v>
      </c>
      <c r="D33" s="24">
        <v>342.83</v>
      </c>
      <c r="E33" s="25">
        <v>48.65</v>
      </c>
      <c r="G33" s="26">
        <v>3450</v>
      </c>
      <c r="H33" s="24">
        <v>56.96</v>
      </c>
      <c r="I33" s="24">
        <v>151.94</v>
      </c>
      <c r="J33" s="24">
        <v>294.29000000000002</v>
      </c>
      <c r="K33" s="25">
        <v>38.53</v>
      </c>
      <c r="M33" s="26">
        <v>3450</v>
      </c>
      <c r="N33" s="24">
        <v>37.270000000000003</v>
      </c>
      <c r="O33" s="24">
        <v>109.45</v>
      </c>
      <c r="P33" s="24">
        <v>271.99</v>
      </c>
      <c r="Q33" s="25">
        <v>28.9</v>
      </c>
      <c r="S33" s="26">
        <v>3450</v>
      </c>
      <c r="T33" s="24">
        <v>40.6</v>
      </c>
      <c r="U33" s="24">
        <v>116.13</v>
      </c>
      <c r="V33" s="24">
        <v>290</v>
      </c>
      <c r="W33" s="74">
        <v>30.83</v>
      </c>
      <c r="X33" s="121">
        <v>3450</v>
      </c>
      <c r="Y33" s="23">
        <f t="shared" si="0"/>
        <v>7962.0559523809525</v>
      </c>
      <c r="Z33" s="24">
        <f t="shared" si="1"/>
        <v>7961.6768500000007</v>
      </c>
      <c r="AA33" s="4">
        <f t="shared" si="2"/>
        <v>7961.7147000000014</v>
      </c>
      <c r="AB33" s="4">
        <f t="shared" si="3"/>
        <v>7961.7525500000011</v>
      </c>
      <c r="AC33" s="4">
        <f t="shared" si="4"/>
        <v>7961.7904000000008</v>
      </c>
      <c r="AD33" s="4">
        <f t="shared" si="5"/>
        <v>7961.8282500000014</v>
      </c>
      <c r="AE33" s="4">
        <f t="shared" si="6"/>
        <v>7962.0175000000017</v>
      </c>
      <c r="AF33" s="4">
        <f t="shared" si="7"/>
        <v>7962.2067500000003</v>
      </c>
      <c r="AG33" s="4">
        <f t="shared" si="8"/>
        <v>7962.3960000000006</v>
      </c>
      <c r="AH33" s="4">
        <f t="shared" si="9"/>
        <v>7962.585250000001</v>
      </c>
      <c r="AI33" s="4">
        <f t="shared" si="10"/>
        <v>7962.7745000000004</v>
      </c>
      <c r="AJ33" s="4">
        <f t="shared" si="11"/>
        <v>7962.9637500000008</v>
      </c>
      <c r="AK33" s="5">
        <f t="shared" si="12"/>
        <v>7963.1530000000002</v>
      </c>
    </row>
    <row r="34" spans="1:37" ht="15.75" thickBot="1" x14ac:dyDescent="0.3">
      <c r="A34" s="64">
        <v>3500</v>
      </c>
      <c r="B34" s="65">
        <v>62.72</v>
      </c>
      <c r="C34" s="28">
        <v>184.11</v>
      </c>
      <c r="D34" s="28">
        <v>343.73</v>
      </c>
      <c r="E34" s="29">
        <v>48.54</v>
      </c>
      <c r="G34" s="27">
        <v>3500</v>
      </c>
      <c r="H34" s="28">
        <v>57.07</v>
      </c>
      <c r="I34" s="28">
        <v>154.79</v>
      </c>
      <c r="J34" s="28">
        <v>295.11</v>
      </c>
      <c r="K34" s="29">
        <v>38.49</v>
      </c>
      <c r="M34" s="27">
        <v>3500</v>
      </c>
      <c r="N34" s="28">
        <v>37.299999999999997</v>
      </c>
      <c r="O34" s="28">
        <v>111.31</v>
      </c>
      <c r="P34" s="28">
        <v>272.52999999999997</v>
      </c>
      <c r="Q34" s="29">
        <v>28.95</v>
      </c>
      <c r="S34" s="27">
        <v>3500</v>
      </c>
      <c r="T34" s="28">
        <v>40.68</v>
      </c>
      <c r="U34" s="28">
        <v>118.17</v>
      </c>
      <c r="V34" s="28">
        <v>290.58</v>
      </c>
      <c r="W34" s="75">
        <v>30.89</v>
      </c>
      <c r="X34" s="122">
        <v>3500</v>
      </c>
      <c r="Y34" s="125">
        <f t="shared" si="0"/>
        <v>8100.2102380952383</v>
      </c>
      <c r="Z34" s="28">
        <f t="shared" si="1"/>
        <v>8099.8286500000004</v>
      </c>
      <c r="AA34" s="6">
        <f t="shared" si="2"/>
        <v>8099.8711000000003</v>
      </c>
      <c r="AB34" s="6">
        <f t="shared" si="3"/>
        <v>8099.9135500000011</v>
      </c>
      <c r="AC34" s="6">
        <f t="shared" si="4"/>
        <v>8099.956000000001</v>
      </c>
      <c r="AD34" s="6">
        <f t="shared" si="5"/>
        <v>8099.99845</v>
      </c>
      <c r="AE34" s="6">
        <f t="shared" si="6"/>
        <v>8100.2107000000005</v>
      </c>
      <c r="AF34" s="6">
        <f t="shared" si="7"/>
        <v>8100.422950000001</v>
      </c>
      <c r="AG34" s="6">
        <f t="shared" si="8"/>
        <v>8100.6352000000006</v>
      </c>
      <c r="AH34" s="6">
        <f t="shared" si="9"/>
        <v>8100.8474500000011</v>
      </c>
      <c r="AI34" s="6">
        <f t="shared" si="10"/>
        <v>8101.0597000000007</v>
      </c>
      <c r="AJ34" s="6">
        <f t="shared" si="11"/>
        <v>8101.2719500000003</v>
      </c>
      <c r="AK34" s="7">
        <f t="shared" si="12"/>
        <v>8101.4842000000008</v>
      </c>
    </row>
    <row r="37" spans="1:37" ht="15.75" thickBot="1" x14ac:dyDescent="0.3">
      <c r="A37">
        <f>FORECAST(5145.25,X12:X13,Y12:Y13)</f>
        <v>2419.8570017371139</v>
      </c>
    </row>
    <row r="38" spans="1:37" ht="30.75" thickBot="1" x14ac:dyDescent="0.3">
      <c r="A38" s="264" t="s">
        <v>0</v>
      </c>
      <c r="B38" s="265"/>
      <c r="C38" s="265"/>
      <c r="D38" s="265"/>
      <c r="E38" s="266"/>
      <c r="G38" s="264" t="s">
        <v>1</v>
      </c>
      <c r="H38" s="265"/>
      <c r="I38" s="265"/>
      <c r="J38" s="265"/>
      <c r="K38" s="266"/>
      <c r="M38" s="264" t="s">
        <v>7</v>
      </c>
      <c r="N38" s="265"/>
      <c r="O38" s="265"/>
      <c r="P38" s="265"/>
      <c r="Q38" s="266"/>
      <c r="S38" s="264" t="s">
        <v>8</v>
      </c>
      <c r="T38" s="265"/>
      <c r="U38" s="265"/>
      <c r="V38" s="265"/>
      <c r="W38" s="266"/>
      <c r="X38" s="194" t="s">
        <v>24</v>
      </c>
      <c r="Y38" s="192" t="s">
        <v>22</v>
      </c>
      <c r="Z38" s="123">
        <v>0.99</v>
      </c>
      <c r="AA38" s="123">
        <v>0.98</v>
      </c>
      <c r="AB38" s="123">
        <v>0.97</v>
      </c>
      <c r="AC38" s="123">
        <v>0.96</v>
      </c>
      <c r="AD38" s="123">
        <v>0.95</v>
      </c>
      <c r="AE38" s="123">
        <v>0.9</v>
      </c>
      <c r="AF38" s="123">
        <v>0.85</v>
      </c>
      <c r="AG38" s="123">
        <v>0.8</v>
      </c>
      <c r="AH38" s="123">
        <v>0.75</v>
      </c>
      <c r="AI38" s="123">
        <v>0.7</v>
      </c>
      <c r="AJ38" s="123">
        <v>0.65</v>
      </c>
      <c r="AK38" s="124">
        <v>0.6</v>
      </c>
    </row>
    <row r="39" spans="1:37" x14ac:dyDescent="0.25">
      <c r="A39" s="18">
        <v>1000</v>
      </c>
      <c r="B39" s="14">
        <v>54.36</v>
      </c>
      <c r="C39" s="4">
        <v>33.42</v>
      </c>
      <c r="D39" s="4">
        <v>269.25</v>
      </c>
      <c r="E39" s="5">
        <v>75.7</v>
      </c>
      <c r="G39" s="26">
        <v>1000</v>
      </c>
      <c r="H39" s="24">
        <v>41.31</v>
      </c>
      <c r="I39" s="24">
        <v>25.99</v>
      </c>
      <c r="J39" s="24">
        <v>232.62</v>
      </c>
      <c r="K39" s="25">
        <v>53.94</v>
      </c>
      <c r="M39" s="26">
        <v>1000</v>
      </c>
      <c r="N39" s="24">
        <v>32.76</v>
      </c>
      <c r="O39" s="24">
        <v>21.47</v>
      </c>
      <c r="P39" s="24">
        <v>228.08</v>
      </c>
      <c r="Q39" s="25">
        <v>24.85</v>
      </c>
      <c r="S39" s="26">
        <v>1000</v>
      </c>
      <c r="T39" s="24">
        <v>34.93</v>
      </c>
      <c r="U39" s="24">
        <v>22.72</v>
      </c>
      <c r="V39" s="24">
        <v>243.49</v>
      </c>
      <c r="W39" s="74">
        <v>26.55</v>
      </c>
      <c r="X39" s="193">
        <v>1000</v>
      </c>
      <c r="Y39" s="20">
        <f>1*(8*C39)+(9*I39)+(47.02*O39)+(0*U39)</f>
        <v>1510.7894000000001</v>
      </c>
      <c r="Z39" s="21">
        <f>0.99*(8*C39)+(9*I39)+(47.02*O39)+(0.125*U39)</f>
        <v>1510.9558</v>
      </c>
      <c r="AA39" s="21">
        <f>0.98*(8*C39)+(9*I39)+(47.02*O39)+(0.25*U39)</f>
        <v>1511.1222</v>
      </c>
      <c r="AB39" s="21">
        <f>0.97*(8*C39)+(9*I39)+(47.02*O39)+(0.375*U39)</f>
        <v>1511.2885999999999</v>
      </c>
      <c r="AC39" s="21">
        <f>0.96*(8*C39)+(9*I39)+(47.02*O39)+(0.5*U39)</f>
        <v>1511.4549999999999</v>
      </c>
      <c r="AD39" s="21">
        <f>0.95*(8*C39)+(9*I39)+(47.02*O39)+(0.625*U39)</f>
        <v>1511.6214</v>
      </c>
      <c r="AE39" s="21">
        <f>0.9*(8*C39)+(9*I39)+(47.02*O39)+(1.25*U39)</f>
        <v>1512.4534000000001</v>
      </c>
      <c r="AF39" s="21">
        <f>0.85*(8*C39)+(9*I39)+(47.02*O39)+(1.875*U39)</f>
        <v>1513.2854</v>
      </c>
      <c r="AG39" s="21">
        <f>0.8*(8*C39)+(9*I39)+(47.02*O39)+(2.5*U39)</f>
        <v>1514.1173999999999</v>
      </c>
      <c r="AH39" s="21">
        <f>0.75*(8*C39)+(9*I39)+(47.02*O39)+(3.125*U39)</f>
        <v>1514.9494</v>
      </c>
      <c r="AI39" s="21">
        <f>0.7*(8*C39)+(9*I39)+(47.02*O39)+(3.75*U39)</f>
        <v>1515.7814000000001</v>
      </c>
      <c r="AJ39" s="21">
        <f>0.65*(8*C39)+(9*I39)+(47.02*O39)+(4.375*U39)</f>
        <v>1516.6134000000002</v>
      </c>
      <c r="AK39" s="22">
        <f>0.6*(8*C39)+(9*I39)+(47.02*O39)+(5*U39)</f>
        <v>1517.4454000000001</v>
      </c>
    </row>
    <row r="40" spans="1:37" x14ac:dyDescent="0.25">
      <c r="A40" s="18">
        <v>1050</v>
      </c>
      <c r="B40" s="14">
        <v>54.86</v>
      </c>
      <c r="C40" s="4">
        <v>36.15</v>
      </c>
      <c r="D40" s="4">
        <v>271.92</v>
      </c>
      <c r="E40" s="5">
        <v>73.64</v>
      </c>
      <c r="G40" s="26">
        <v>1050</v>
      </c>
      <c r="H40" s="24">
        <v>41.99</v>
      </c>
      <c r="I40" s="24">
        <v>28.07</v>
      </c>
      <c r="J40" s="24">
        <v>234.65</v>
      </c>
      <c r="K40" s="25">
        <v>52.71</v>
      </c>
      <c r="M40" s="26">
        <v>1050</v>
      </c>
      <c r="N40" s="24">
        <v>33.01</v>
      </c>
      <c r="O40" s="24">
        <v>23.11</v>
      </c>
      <c r="P40" s="24">
        <v>229.68</v>
      </c>
      <c r="Q40" s="25">
        <v>24.98</v>
      </c>
      <c r="S40" s="26">
        <v>1050</v>
      </c>
      <c r="T40" s="24">
        <v>35.1</v>
      </c>
      <c r="U40" s="24">
        <v>24.47</v>
      </c>
      <c r="V40" s="24">
        <v>245.2</v>
      </c>
      <c r="W40" s="74">
        <v>26.69</v>
      </c>
      <c r="X40" s="121">
        <v>1050</v>
      </c>
      <c r="Y40" s="23">
        <f t="shared" ref="Y40:Y56" si="13">1*(8*C40)+(9*I40)+(47.02*O40)+(0*U40)</f>
        <v>1628.4621999999999</v>
      </c>
      <c r="Z40" s="24">
        <f t="shared" ref="Z40:Z56" si="14">0.99*(8*C40)+(9*I40)+(47.02*O40)+(0.125*U40)</f>
        <v>1628.62895</v>
      </c>
      <c r="AA40" s="24">
        <f t="shared" ref="AA40:AA56" si="15">0.98*(8*C40)+(9*I40)+(47.02*O40)+(0.25*U40)</f>
        <v>1628.7957000000001</v>
      </c>
      <c r="AB40" s="24">
        <f t="shared" ref="AB40:AB56" si="16">0.97*(8*C40)+(9*I40)+(47.02*O40)+(0.375*U40)</f>
        <v>1628.96245</v>
      </c>
      <c r="AC40" s="24">
        <f t="shared" ref="AC40:AC56" si="17">0.96*(8*C40)+(9*I40)+(47.02*O40)+(0.5*U40)</f>
        <v>1629.1291999999999</v>
      </c>
      <c r="AD40" s="24">
        <f t="shared" ref="AD40:AD56" si="18">0.95*(8*C40)+(9*I40)+(47.02*O40)+(0.625*U40)</f>
        <v>1629.2959499999999</v>
      </c>
      <c r="AE40" s="24">
        <f t="shared" ref="AE40:AE56" si="19">0.9*(8*C40)+(9*I40)+(47.02*O40)+(1.25*U40)</f>
        <v>1630.1297</v>
      </c>
      <c r="AF40" s="24">
        <f t="shared" ref="AF40:AF56" si="20">0.85*(8*C40)+(9*I40)+(47.02*O40)+(1.875*U40)</f>
        <v>1630.96345</v>
      </c>
      <c r="AG40" s="24">
        <f t="shared" ref="AG40:AG56" si="21">0.8*(8*C40)+(9*I40)+(47.02*O40)+(2.5*U40)</f>
        <v>1631.7972</v>
      </c>
      <c r="AH40" s="24">
        <f t="shared" ref="AH40:AH56" si="22">0.75*(8*C40)+(9*I40)+(47.02*O40)+(3.125*U40)</f>
        <v>1632.63095</v>
      </c>
      <c r="AI40" s="24">
        <f t="shared" ref="AI40:AI56" si="23">0.7*(8*C40)+(9*I40)+(47.02*O40)+(3.75*U40)</f>
        <v>1633.4647</v>
      </c>
      <c r="AJ40" s="24">
        <f t="shared" ref="AJ40:AJ56" si="24">0.65*(8*C40)+(9*I40)+(47.02*O40)+(4.375*U40)</f>
        <v>1634.2984500000002</v>
      </c>
      <c r="AK40" s="25">
        <f t="shared" ref="AK40:AK56" si="25">0.6*(8*C40)+(9*I40)+(47.02*O40)+(5*U40)</f>
        <v>1635.1322</v>
      </c>
    </row>
    <row r="41" spans="1:37" x14ac:dyDescent="0.25">
      <c r="A41" s="18">
        <v>1100</v>
      </c>
      <c r="B41" s="14">
        <v>55.33</v>
      </c>
      <c r="C41" s="4">
        <v>38.909999999999997</v>
      </c>
      <c r="D41" s="4">
        <v>274.48</v>
      </c>
      <c r="E41" s="5">
        <v>71.790000000000006</v>
      </c>
      <c r="G41" s="26">
        <v>1100</v>
      </c>
      <c r="H41" s="24">
        <v>42.64</v>
      </c>
      <c r="I41" s="24">
        <v>30.19</v>
      </c>
      <c r="J41" s="24">
        <v>236.62</v>
      </c>
      <c r="K41" s="25">
        <v>51.6</v>
      </c>
      <c r="M41" s="26">
        <v>1100</v>
      </c>
      <c r="N41" s="24">
        <v>33.26</v>
      </c>
      <c r="O41" s="24">
        <v>24.77</v>
      </c>
      <c r="P41" s="24">
        <v>231.22</v>
      </c>
      <c r="Q41" s="25">
        <v>25.1</v>
      </c>
      <c r="S41" s="26">
        <v>1100</v>
      </c>
      <c r="T41" s="24">
        <v>35.270000000000003</v>
      </c>
      <c r="U41" s="24">
        <v>26.23</v>
      </c>
      <c r="V41" s="24">
        <v>246.84</v>
      </c>
      <c r="W41" s="74">
        <v>26.82</v>
      </c>
      <c r="X41" s="121">
        <v>1100</v>
      </c>
      <c r="Y41" s="23">
        <f t="shared" si="13"/>
        <v>1747.6754000000001</v>
      </c>
      <c r="Z41" s="24">
        <f t="shared" si="14"/>
        <v>1747.8413500000001</v>
      </c>
      <c r="AA41" s="24">
        <f t="shared" si="15"/>
        <v>1748.0073</v>
      </c>
      <c r="AB41" s="24">
        <f t="shared" si="16"/>
        <v>1748.1732500000001</v>
      </c>
      <c r="AC41" s="24">
        <f t="shared" si="17"/>
        <v>1748.3392000000001</v>
      </c>
      <c r="AD41" s="24">
        <f t="shared" si="18"/>
        <v>1748.50515</v>
      </c>
      <c r="AE41" s="24">
        <f t="shared" si="19"/>
        <v>1749.3349000000001</v>
      </c>
      <c r="AF41" s="24">
        <f t="shared" si="20"/>
        <v>1750.1646500000002</v>
      </c>
      <c r="AG41" s="24">
        <f t="shared" si="21"/>
        <v>1750.9944000000003</v>
      </c>
      <c r="AH41" s="24">
        <f t="shared" si="22"/>
        <v>1751.8241500000001</v>
      </c>
      <c r="AI41" s="24">
        <f t="shared" si="23"/>
        <v>1752.6539</v>
      </c>
      <c r="AJ41" s="24">
        <f t="shared" si="24"/>
        <v>1753.4836500000001</v>
      </c>
      <c r="AK41" s="25">
        <f t="shared" si="25"/>
        <v>1754.3134000000002</v>
      </c>
    </row>
    <row r="42" spans="1:37" x14ac:dyDescent="0.25">
      <c r="A42" s="18">
        <v>1150</v>
      </c>
      <c r="B42" s="14">
        <v>55.78</v>
      </c>
      <c r="C42" s="4">
        <v>41.69</v>
      </c>
      <c r="D42" s="4">
        <v>276.95</v>
      </c>
      <c r="E42" s="5">
        <v>70.11</v>
      </c>
      <c r="G42" s="26">
        <v>1150</v>
      </c>
      <c r="H42" s="24">
        <v>43.26</v>
      </c>
      <c r="I42" s="24">
        <v>32.340000000000003</v>
      </c>
      <c r="J42" s="24">
        <v>238.53</v>
      </c>
      <c r="K42" s="25">
        <v>50.6</v>
      </c>
      <c r="M42" s="26">
        <v>1150</v>
      </c>
      <c r="N42" s="24">
        <v>33.49</v>
      </c>
      <c r="O42" s="24">
        <v>26.44</v>
      </c>
      <c r="P42" s="24">
        <v>232.71</v>
      </c>
      <c r="Q42" s="25">
        <v>25.22</v>
      </c>
      <c r="S42" s="26">
        <v>1150</v>
      </c>
      <c r="T42" s="24">
        <v>35.43</v>
      </c>
      <c r="U42" s="24">
        <v>28</v>
      </c>
      <c r="V42" s="24">
        <v>248.41</v>
      </c>
      <c r="W42" s="74">
        <v>26.95</v>
      </c>
      <c r="X42" s="121">
        <v>1150</v>
      </c>
      <c r="Y42" s="23">
        <f t="shared" si="13"/>
        <v>1867.7888000000003</v>
      </c>
      <c r="Z42" s="24">
        <f t="shared" si="14"/>
        <v>1867.9536000000003</v>
      </c>
      <c r="AA42" s="24">
        <f t="shared" si="15"/>
        <v>1868.1184000000001</v>
      </c>
      <c r="AB42" s="24">
        <f t="shared" si="16"/>
        <v>1868.2832000000001</v>
      </c>
      <c r="AC42" s="24">
        <f t="shared" si="17"/>
        <v>1868.4480000000001</v>
      </c>
      <c r="AD42" s="24">
        <f t="shared" si="18"/>
        <v>1868.6128000000001</v>
      </c>
      <c r="AE42" s="24">
        <f t="shared" si="19"/>
        <v>1869.4368000000002</v>
      </c>
      <c r="AF42" s="24">
        <f t="shared" si="20"/>
        <v>1870.2608</v>
      </c>
      <c r="AG42" s="24">
        <f t="shared" si="21"/>
        <v>1871.0848000000001</v>
      </c>
      <c r="AH42" s="24">
        <f t="shared" si="22"/>
        <v>1871.9088000000002</v>
      </c>
      <c r="AI42" s="24">
        <f t="shared" si="23"/>
        <v>1872.7328000000002</v>
      </c>
      <c r="AJ42" s="24">
        <f t="shared" si="24"/>
        <v>1873.5568000000003</v>
      </c>
      <c r="AK42" s="25">
        <f t="shared" si="25"/>
        <v>1874.3808000000001</v>
      </c>
    </row>
    <row r="43" spans="1:37" x14ac:dyDescent="0.25">
      <c r="A43" s="18">
        <v>1200</v>
      </c>
      <c r="B43" s="14">
        <v>56.2</v>
      </c>
      <c r="C43" s="4">
        <v>44.49</v>
      </c>
      <c r="D43" s="4">
        <v>279.33</v>
      </c>
      <c r="E43" s="5">
        <v>68.58</v>
      </c>
      <c r="G43" s="26">
        <v>1200</v>
      </c>
      <c r="H43" s="24">
        <v>43.87</v>
      </c>
      <c r="I43" s="24">
        <v>34.520000000000003</v>
      </c>
      <c r="J43" s="24">
        <v>240.39</v>
      </c>
      <c r="K43" s="25">
        <v>49.69</v>
      </c>
      <c r="M43" s="26">
        <v>1200</v>
      </c>
      <c r="N43" s="24">
        <v>33.71</v>
      </c>
      <c r="O43" s="24">
        <v>28.12</v>
      </c>
      <c r="P43" s="24">
        <v>234.14</v>
      </c>
      <c r="Q43" s="25">
        <v>25.34</v>
      </c>
      <c r="S43" s="26">
        <v>1200</v>
      </c>
      <c r="T43" s="24">
        <v>35.590000000000003</v>
      </c>
      <c r="U43" s="24">
        <v>29.77</v>
      </c>
      <c r="V43" s="24">
        <v>249.92</v>
      </c>
      <c r="W43" s="74">
        <v>27.08</v>
      </c>
      <c r="X43" s="121">
        <v>1200</v>
      </c>
      <c r="Y43" s="23">
        <f t="shared" si="13"/>
        <v>1988.8024</v>
      </c>
      <c r="Z43" s="24">
        <f t="shared" si="14"/>
        <v>1988.9644500000002</v>
      </c>
      <c r="AA43" s="24">
        <f t="shared" si="15"/>
        <v>1989.1265000000003</v>
      </c>
      <c r="AB43" s="24">
        <f t="shared" si="16"/>
        <v>1989.28855</v>
      </c>
      <c r="AC43" s="24">
        <f t="shared" si="17"/>
        <v>1989.4506000000001</v>
      </c>
      <c r="AD43" s="24">
        <f t="shared" si="18"/>
        <v>1989.6126500000003</v>
      </c>
      <c r="AE43" s="24">
        <f t="shared" si="19"/>
        <v>1990.4229000000003</v>
      </c>
      <c r="AF43" s="24">
        <f t="shared" si="20"/>
        <v>1991.23315</v>
      </c>
      <c r="AG43" s="24">
        <f t="shared" si="21"/>
        <v>1992.0434000000002</v>
      </c>
      <c r="AH43" s="24">
        <f t="shared" si="22"/>
        <v>1992.85365</v>
      </c>
      <c r="AI43" s="24">
        <f t="shared" si="23"/>
        <v>1993.6639000000002</v>
      </c>
      <c r="AJ43" s="24">
        <f t="shared" si="24"/>
        <v>1994.4741500000002</v>
      </c>
      <c r="AK43" s="25">
        <f t="shared" si="25"/>
        <v>1995.2844</v>
      </c>
    </row>
    <row r="44" spans="1:37" x14ac:dyDescent="0.25">
      <c r="A44" s="18">
        <v>1250</v>
      </c>
      <c r="B44" s="14">
        <v>56.6</v>
      </c>
      <c r="C44" s="4">
        <v>47.31</v>
      </c>
      <c r="D44" s="4">
        <v>281.64</v>
      </c>
      <c r="E44" s="5">
        <v>67.19</v>
      </c>
      <c r="G44" s="26">
        <v>1250</v>
      </c>
      <c r="H44" s="24">
        <v>44.46</v>
      </c>
      <c r="I44" s="24">
        <v>36.72</v>
      </c>
      <c r="J44" s="24">
        <v>242.19</v>
      </c>
      <c r="K44" s="25">
        <v>48.87</v>
      </c>
      <c r="M44" s="26">
        <v>1250</v>
      </c>
      <c r="N44" s="24">
        <v>33.909999999999997</v>
      </c>
      <c r="O44" s="24">
        <v>29.81</v>
      </c>
      <c r="P44" s="24">
        <v>235.52</v>
      </c>
      <c r="Q44" s="25">
        <v>25.46</v>
      </c>
      <c r="S44" s="26">
        <v>1250</v>
      </c>
      <c r="T44" s="24">
        <v>35.75</v>
      </c>
      <c r="U44" s="24">
        <v>31.56</v>
      </c>
      <c r="V44" s="24">
        <v>251.38</v>
      </c>
      <c r="W44" s="74">
        <v>27.2</v>
      </c>
      <c r="X44" s="121">
        <v>1250</v>
      </c>
      <c r="Y44" s="23">
        <f t="shared" si="13"/>
        <v>2110.6262000000002</v>
      </c>
      <c r="Z44" s="24">
        <f t="shared" si="14"/>
        <v>2110.7864000000004</v>
      </c>
      <c r="AA44" s="24">
        <f t="shared" si="15"/>
        <v>2110.9465999999998</v>
      </c>
      <c r="AB44" s="24">
        <f t="shared" si="16"/>
        <v>2111.1068000000005</v>
      </c>
      <c r="AC44" s="24">
        <f t="shared" si="17"/>
        <v>2111.2670000000003</v>
      </c>
      <c r="AD44" s="24">
        <f t="shared" si="18"/>
        <v>2111.4272000000001</v>
      </c>
      <c r="AE44" s="24">
        <f t="shared" si="19"/>
        <v>2112.2282</v>
      </c>
      <c r="AF44" s="24">
        <f t="shared" si="20"/>
        <v>2113.0292000000004</v>
      </c>
      <c r="AG44" s="24">
        <f t="shared" si="21"/>
        <v>2113.8302000000003</v>
      </c>
      <c r="AH44" s="24">
        <f t="shared" si="22"/>
        <v>2114.6312000000003</v>
      </c>
      <c r="AI44" s="24">
        <f t="shared" si="23"/>
        <v>2115.4322000000002</v>
      </c>
      <c r="AJ44" s="24">
        <f t="shared" si="24"/>
        <v>2116.2332000000001</v>
      </c>
      <c r="AK44" s="25">
        <f t="shared" si="25"/>
        <v>2117.0342000000001</v>
      </c>
    </row>
    <row r="45" spans="1:37" x14ac:dyDescent="0.25">
      <c r="A45" s="18">
        <v>1300</v>
      </c>
      <c r="B45" s="14">
        <v>56.98</v>
      </c>
      <c r="C45" s="4">
        <v>50.15</v>
      </c>
      <c r="D45" s="4">
        <v>283.86</v>
      </c>
      <c r="E45" s="5">
        <v>65.91</v>
      </c>
      <c r="G45" s="26">
        <v>1300</v>
      </c>
      <c r="H45" s="24">
        <v>45.02</v>
      </c>
      <c r="I45" s="24">
        <v>38.96</v>
      </c>
      <c r="J45" s="24">
        <v>243.94</v>
      </c>
      <c r="K45" s="25">
        <v>48.11</v>
      </c>
      <c r="M45" s="26">
        <v>1300</v>
      </c>
      <c r="N45" s="24">
        <v>34.11</v>
      </c>
      <c r="O45" s="24">
        <v>31.51</v>
      </c>
      <c r="P45" s="24">
        <v>236.85</v>
      </c>
      <c r="Q45" s="25">
        <v>25.57</v>
      </c>
      <c r="S45" s="26">
        <v>1300</v>
      </c>
      <c r="T45" s="24">
        <v>35.9</v>
      </c>
      <c r="U45" s="24">
        <v>33.35</v>
      </c>
      <c r="V45" s="24">
        <v>252.78</v>
      </c>
      <c r="W45" s="74">
        <v>27.32</v>
      </c>
      <c r="X45" s="121">
        <v>1300</v>
      </c>
      <c r="Y45" s="23">
        <f t="shared" si="13"/>
        <v>2233.4402</v>
      </c>
      <c r="Z45" s="24">
        <f t="shared" si="14"/>
        <v>2233.5969500000001</v>
      </c>
      <c r="AA45" s="24">
        <f t="shared" si="15"/>
        <v>2233.7537000000002</v>
      </c>
      <c r="AB45" s="24">
        <f t="shared" si="16"/>
        <v>2233.9104499999999</v>
      </c>
      <c r="AC45" s="24">
        <f t="shared" si="17"/>
        <v>2234.0672000000004</v>
      </c>
      <c r="AD45" s="24">
        <f t="shared" si="18"/>
        <v>2234.2239500000001</v>
      </c>
      <c r="AE45" s="24">
        <f t="shared" si="19"/>
        <v>2235.0077000000001</v>
      </c>
      <c r="AF45" s="24">
        <f t="shared" si="20"/>
        <v>2235.7914500000002</v>
      </c>
      <c r="AG45" s="24">
        <f t="shared" si="21"/>
        <v>2236.5752000000002</v>
      </c>
      <c r="AH45" s="24">
        <f t="shared" si="22"/>
        <v>2237.3589499999998</v>
      </c>
      <c r="AI45" s="24">
        <f t="shared" si="23"/>
        <v>2238.1427000000003</v>
      </c>
      <c r="AJ45" s="24">
        <f t="shared" si="24"/>
        <v>2238.9264499999999</v>
      </c>
      <c r="AK45" s="25">
        <f t="shared" si="25"/>
        <v>2239.7102</v>
      </c>
    </row>
    <row r="46" spans="1:37" x14ac:dyDescent="0.25">
      <c r="A46" s="18">
        <v>1350</v>
      </c>
      <c r="B46" s="14">
        <v>57.34</v>
      </c>
      <c r="C46" s="4">
        <v>53</v>
      </c>
      <c r="D46" s="4">
        <v>286.02</v>
      </c>
      <c r="E46" s="5">
        <v>64.739999999999995</v>
      </c>
      <c r="G46" s="26">
        <v>1350</v>
      </c>
      <c r="H46" s="24">
        <v>45.57</v>
      </c>
      <c r="I46" s="24">
        <v>41.23</v>
      </c>
      <c r="J46" s="24">
        <v>245.65</v>
      </c>
      <c r="K46" s="25">
        <v>47.42</v>
      </c>
      <c r="M46" s="26">
        <v>1350</v>
      </c>
      <c r="N46" s="24">
        <v>34.299999999999997</v>
      </c>
      <c r="O46" s="24">
        <v>33.22</v>
      </c>
      <c r="P46" s="24">
        <v>238.14</v>
      </c>
      <c r="Q46" s="25">
        <v>25.68</v>
      </c>
      <c r="S46" s="26">
        <v>1350</v>
      </c>
      <c r="T46" s="24">
        <v>36.049999999999997</v>
      </c>
      <c r="U46" s="24">
        <v>35.15</v>
      </c>
      <c r="V46" s="24">
        <v>254.14</v>
      </c>
      <c r="W46" s="74">
        <v>27.44</v>
      </c>
      <c r="X46" s="121">
        <v>1350</v>
      </c>
      <c r="Y46" s="23">
        <f t="shared" si="13"/>
        <v>2357.0744</v>
      </c>
      <c r="Z46" s="24">
        <f t="shared" si="14"/>
        <v>2357.2281499999999</v>
      </c>
      <c r="AA46" s="24">
        <f t="shared" si="15"/>
        <v>2357.3818999999999</v>
      </c>
      <c r="AB46" s="24">
        <f t="shared" si="16"/>
        <v>2357.5356500000003</v>
      </c>
      <c r="AC46" s="24">
        <f t="shared" si="17"/>
        <v>2357.6893999999998</v>
      </c>
      <c r="AD46" s="24">
        <f t="shared" si="18"/>
        <v>2357.8431499999997</v>
      </c>
      <c r="AE46" s="24">
        <f t="shared" si="19"/>
        <v>2358.6118999999999</v>
      </c>
      <c r="AF46" s="24">
        <f t="shared" si="20"/>
        <v>2359.3806500000001</v>
      </c>
      <c r="AG46" s="24">
        <f t="shared" si="21"/>
        <v>2360.1494000000002</v>
      </c>
      <c r="AH46" s="24">
        <f t="shared" si="22"/>
        <v>2360.91815</v>
      </c>
      <c r="AI46" s="24">
        <f t="shared" si="23"/>
        <v>2361.6868999999997</v>
      </c>
      <c r="AJ46" s="24">
        <f t="shared" si="24"/>
        <v>2362.4556499999999</v>
      </c>
      <c r="AK46" s="25">
        <f t="shared" si="25"/>
        <v>2363.2244000000001</v>
      </c>
    </row>
    <row r="47" spans="1:37" x14ac:dyDescent="0.25">
      <c r="A47" s="18">
        <v>1400</v>
      </c>
      <c r="B47" s="14">
        <v>57.67</v>
      </c>
      <c r="C47" s="4">
        <v>55.88</v>
      </c>
      <c r="D47" s="4">
        <v>288.11</v>
      </c>
      <c r="E47" s="5">
        <v>63.66</v>
      </c>
      <c r="G47" s="26">
        <v>1400</v>
      </c>
      <c r="H47" s="24">
        <v>46.1</v>
      </c>
      <c r="I47" s="24">
        <v>43.52</v>
      </c>
      <c r="J47" s="24">
        <v>247.32</v>
      </c>
      <c r="K47" s="25">
        <v>46.79</v>
      </c>
      <c r="M47" s="26">
        <v>1400</v>
      </c>
      <c r="N47" s="24">
        <v>34.479999999999997</v>
      </c>
      <c r="O47" s="24">
        <v>34.94</v>
      </c>
      <c r="P47" s="24">
        <v>239.39</v>
      </c>
      <c r="Q47" s="25">
        <v>25.79</v>
      </c>
      <c r="S47" s="26">
        <v>1400</v>
      </c>
      <c r="T47" s="24">
        <v>36.200000000000003</v>
      </c>
      <c r="U47" s="24">
        <v>36.950000000000003</v>
      </c>
      <c r="V47" s="24">
        <v>255.46</v>
      </c>
      <c r="W47" s="74">
        <v>27.55</v>
      </c>
      <c r="X47" s="121">
        <v>1400</v>
      </c>
      <c r="Y47" s="23">
        <f t="shared" si="13"/>
        <v>2481.5987999999998</v>
      </c>
      <c r="Z47" s="24">
        <f t="shared" si="14"/>
        <v>2481.7471500000001</v>
      </c>
      <c r="AA47" s="24">
        <f t="shared" si="15"/>
        <v>2481.8955000000001</v>
      </c>
      <c r="AB47" s="24">
        <f t="shared" si="16"/>
        <v>2482.04385</v>
      </c>
      <c r="AC47" s="24">
        <f t="shared" si="17"/>
        <v>2482.1922</v>
      </c>
      <c r="AD47" s="24">
        <f t="shared" si="18"/>
        <v>2482.3405499999999</v>
      </c>
      <c r="AE47" s="24">
        <f t="shared" si="19"/>
        <v>2483.0823</v>
      </c>
      <c r="AF47" s="24">
        <f t="shared" si="20"/>
        <v>2483.8240500000002</v>
      </c>
      <c r="AG47" s="24">
        <f t="shared" si="21"/>
        <v>2484.5658000000003</v>
      </c>
      <c r="AH47" s="24">
        <f t="shared" si="22"/>
        <v>2485.30755</v>
      </c>
      <c r="AI47" s="24">
        <f t="shared" si="23"/>
        <v>2486.0492999999997</v>
      </c>
      <c r="AJ47" s="24">
        <f t="shared" si="24"/>
        <v>2486.7910499999998</v>
      </c>
      <c r="AK47" s="25">
        <f t="shared" si="25"/>
        <v>2487.5328</v>
      </c>
    </row>
    <row r="48" spans="1:37" x14ac:dyDescent="0.25">
      <c r="A48" s="18">
        <v>1450</v>
      </c>
      <c r="B48" s="14">
        <v>57.99</v>
      </c>
      <c r="C48" s="4">
        <v>58.77</v>
      </c>
      <c r="D48" s="4">
        <v>290.14</v>
      </c>
      <c r="E48" s="5">
        <v>62.67</v>
      </c>
      <c r="G48" s="26">
        <v>1450</v>
      </c>
      <c r="H48" s="24">
        <v>46.61</v>
      </c>
      <c r="I48" s="24">
        <v>45.84</v>
      </c>
      <c r="J48" s="24">
        <v>248.95</v>
      </c>
      <c r="K48" s="25">
        <v>46.2</v>
      </c>
      <c r="M48" s="26">
        <v>1450</v>
      </c>
      <c r="N48" s="24">
        <v>34.64</v>
      </c>
      <c r="O48" s="24">
        <v>36.67</v>
      </c>
      <c r="P48" s="24">
        <v>240.6</v>
      </c>
      <c r="Q48" s="25">
        <v>25.9</v>
      </c>
      <c r="S48" s="26">
        <v>1450</v>
      </c>
      <c r="T48" s="24">
        <v>36.35</v>
      </c>
      <c r="U48" s="24">
        <v>38.770000000000003</v>
      </c>
      <c r="V48" s="24">
        <v>256.73</v>
      </c>
      <c r="W48" s="74">
        <v>27.66</v>
      </c>
      <c r="X48" s="121">
        <v>1450</v>
      </c>
      <c r="Y48" s="23">
        <f t="shared" si="13"/>
        <v>2606.9434000000001</v>
      </c>
      <c r="Z48" s="24">
        <f t="shared" si="14"/>
        <v>2607.0880500000003</v>
      </c>
      <c r="AA48" s="24">
        <f t="shared" si="15"/>
        <v>2607.2327000000005</v>
      </c>
      <c r="AB48" s="24">
        <f t="shared" si="16"/>
        <v>2607.3773500000002</v>
      </c>
      <c r="AC48" s="24">
        <f t="shared" si="17"/>
        <v>2607.5220000000004</v>
      </c>
      <c r="AD48" s="24">
        <f t="shared" si="18"/>
        <v>2607.6666500000001</v>
      </c>
      <c r="AE48" s="24">
        <f t="shared" si="19"/>
        <v>2608.3899000000001</v>
      </c>
      <c r="AF48" s="24">
        <f t="shared" si="20"/>
        <v>2609.1131500000001</v>
      </c>
      <c r="AG48" s="24">
        <f t="shared" si="21"/>
        <v>2609.8364000000001</v>
      </c>
      <c r="AH48" s="24">
        <f t="shared" si="22"/>
        <v>2610.5596500000001</v>
      </c>
      <c r="AI48" s="24">
        <f t="shared" si="23"/>
        <v>2611.2829000000002</v>
      </c>
      <c r="AJ48" s="24">
        <f t="shared" si="24"/>
        <v>2612.0061500000002</v>
      </c>
      <c r="AK48" s="25">
        <f t="shared" si="25"/>
        <v>2612.7294000000002</v>
      </c>
    </row>
    <row r="49" spans="1:37" x14ac:dyDescent="0.25">
      <c r="A49" s="18">
        <v>1500</v>
      </c>
      <c r="B49" s="14">
        <v>58.29</v>
      </c>
      <c r="C49" s="4">
        <v>61.68</v>
      </c>
      <c r="D49" s="4">
        <v>292.11</v>
      </c>
      <c r="E49" s="5">
        <v>61.74</v>
      </c>
      <c r="G49" s="26">
        <v>1500</v>
      </c>
      <c r="H49" s="24">
        <v>47.1</v>
      </c>
      <c r="I49" s="24">
        <v>48.18</v>
      </c>
      <c r="J49" s="24">
        <v>250.53</v>
      </c>
      <c r="K49" s="25">
        <v>45.66</v>
      </c>
      <c r="M49" s="26">
        <v>1500</v>
      </c>
      <c r="N49" s="24">
        <v>34.799999999999997</v>
      </c>
      <c r="O49" s="24">
        <v>38.4</v>
      </c>
      <c r="P49" s="24">
        <v>241.78</v>
      </c>
      <c r="Q49" s="25">
        <v>26</v>
      </c>
      <c r="S49" s="26">
        <v>1500</v>
      </c>
      <c r="T49" s="24">
        <v>36.49</v>
      </c>
      <c r="U49" s="24">
        <v>40.590000000000003</v>
      </c>
      <c r="V49" s="24">
        <v>257.95999999999998</v>
      </c>
      <c r="W49" s="74">
        <v>27.77</v>
      </c>
      <c r="X49" s="121">
        <v>1500</v>
      </c>
      <c r="Y49" s="23">
        <f t="shared" si="13"/>
        <v>2732.6279999999997</v>
      </c>
      <c r="Z49" s="24">
        <f t="shared" si="14"/>
        <v>2732.7673500000001</v>
      </c>
      <c r="AA49" s="24">
        <f t="shared" si="15"/>
        <v>2732.9067</v>
      </c>
      <c r="AB49" s="24">
        <f t="shared" si="16"/>
        <v>2733.0460499999999</v>
      </c>
      <c r="AC49" s="24">
        <f t="shared" si="17"/>
        <v>2733.1854000000003</v>
      </c>
      <c r="AD49" s="24">
        <f t="shared" si="18"/>
        <v>2733.3247500000002</v>
      </c>
      <c r="AE49" s="24">
        <f t="shared" si="19"/>
        <v>2734.0215000000003</v>
      </c>
      <c r="AF49" s="24">
        <f t="shared" si="20"/>
        <v>2734.7182499999999</v>
      </c>
      <c r="AG49" s="24">
        <f t="shared" si="21"/>
        <v>2735.415</v>
      </c>
      <c r="AH49" s="24">
        <f t="shared" si="22"/>
        <v>2736.11175</v>
      </c>
      <c r="AI49" s="24">
        <f t="shared" si="23"/>
        <v>2736.8085000000001</v>
      </c>
      <c r="AJ49" s="24">
        <f t="shared" si="24"/>
        <v>2737.5052500000002</v>
      </c>
      <c r="AK49" s="25">
        <f t="shared" si="25"/>
        <v>2738.2019999999998</v>
      </c>
    </row>
    <row r="50" spans="1:37" x14ac:dyDescent="0.25">
      <c r="A50" s="18">
        <v>1550</v>
      </c>
      <c r="B50" s="14">
        <v>58.57</v>
      </c>
      <c r="C50" s="4">
        <v>64.599999999999994</v>
      </c>
      <c r="D50" s="4">
        <v>294.02999999999997</v>
      </c>
      <c r="E50" s="5">
        <v>60.89</v>
      </c>
      <c r="G50" s="26">
        <v>1550</v>
      </c>
      <c r="H50" s="24">
        <v>47.58</v>
      </c>
      <c r="I50" s="24">
        <v>50.55</v>
      </c>
      <c r="J50" s="24">
        <v>252.09</v>
      </c>
      <c r="K50" s="25">
        <v>45.16</v>
      </c>
      <c r="M50" s="26">
        <v>1550</v>
      </c>
      <c r="N50" s="24">
        <v>34.950000000000003</v>
      </c>
      <c r="O50" s="24">
        <v>40.15</v>
      </c>
      <c r="P50" s="24">
        <v>242.92</v>
      </c>
      <c r="Q50" s="25">
        <v>26.1</v>
      </c>
      <c r="S50" s="26">
        <v>1550</v>
      </c>
      <c r="T50" s="24">
        <v>36.630000000000003</v>
      </c>
      <c r="U50" s="24">
        <v>42.42</v>
      </c>
      <c r="V50" s="24">
        <v>259.16000000000003</v>
      </c>
      <c r="W50" s="74">
        <v>27.88</v>
      </c>
      <c r="X50" s="121">
        <v>1550</v>
      </c>
      <c r="Y50" s="23">
        <f t="shared" si="13"/>
        <v>2859.6030000000001</v>
      </c>
      <c r="Z50" s="24">
        <f t="shared" si="14"/>
        <v>2859.7374999999997</v>
      </c>
      <c r="AA50" s="24">
        <f t="shared" si="15"/>
        <v>2859.8719999999998</v>
      </c>
      <c r="AB50" s="24">
        <f t="shared" si="16"/>
        <v>2860.0065</v>
      </c>
      <c r="AC50" s="24">
        <f t="shared" si="17"/>
        <v>2860.1410000000001</v>
      </c>
      <c r="AD50" s="24">
        <f t="shared" si="18"/>
        <v>2860.2754999999997</v>
      </c>
      <c r="AE50" s="24">
        <f t="shared" si="19"/>
        <v>2860.9479999999999</v>
      </c>
      <c r="AF50" s="24">
        <f t="shared" si="20"/>
        <v>2861.6205</v>
      </c>
      <c r="AG50" s="24">
        <f t="shared" si="21"/>
        <v>2862.2930000000001</v>
      </c>
      <c r="AH50" s="24">
        <f t="shared" si="22"/>
        <v>2862.9655000000002</v>
      </c>
      <c r="AI50" s="24">
        <f t="shared" si="23"/>
        <v>2863.6379999999999</v>
      </c>
      <c r="AJ50" s="24">
        <f t="shared" si="24"/>
        <v>2864.3105</v>
      </c>
      <c r="AK50" s="25">
        <f t="shared" si="25"/>
        <v>2864.9829999999997</v>
      </c>
    </row>
    <row r="51" spans="1:37" x14ac:dyDescent="0.25">
      <c r="A51" s="18">
        <v>1600</v>
      </c>
      <c r="B51" s="14">
        <v>58.83</v>
      </c>
      <c r="C51" s="4">
        <v>67.540000000000006</v>
      </c>
      <c r="D51" s="4">
        <v>295.89</v>
      </c>
      <c r="E51" s="5">
        <v>60.1</v>
      </c>
      <c r="G51" s="26">
        <v>1600</v>
      </c>
      <c r="H51" s="24">
        <v>48.03</v>
      </c>
      <c r="I51" s="24">
        <v>52.94</v>
      </c>
      <c r="J51" s="24">
        <v>253.6</v>
      </c>
      <c r="K51" s="25">
        <v>44.7</v>
      </c>
      <c r="M51" s="26">
        <v>1600</v>
      </c>
      <c r="N51" s="24">
        <v>35.1</v>
      </c>
      <c r="O51" s="24">
        <v>41.9</v>
      </c>
      <c r="P51" s="24">
        <v>244.04</v>
      </c>
      <c r="Q51" s="25">
        <v>26.2</v>
      </c>
      <c r="S51" s="26">
        <v>1600</v>
      </c>
      <c r="T51" s="24">
        <v>36.770000000000003</v>
      </c>
      <c r="U51" s="24">
        <v>44.25</v>
      </c>
      <c r="V51" s="24">
        <v>260.33</v>
      </c>
      <c r="W51" s="74">
        <v>27.99</v>
      </c>
      <c r="X51" s="121">
        <v>1600</v>
      </c>
      <c r="Y51" s="23">
        <f t="shared" si="13"/>
        <v>2986.9180000000001</v>
      </c>
      <c r="Z51" s="24">
        <f t="shared" si="14"/>
        <v>2987.0460499999999</v>
      </c>
      <c r="AA51" s="24">
        <f t="shared" si="15"/>
        <v>2987.1741000000002</v>
      </c>
      <c r="AB51" s="24">
        <f t="shared" si="16"/>
        <v>2987.3021500000004</v>
      </c>
      <c r="AC51" s="24">
        <f t="shared" si="17"/>
        <v>2987.4302000000002</v>
      </c>
      <c r="AD51" s="24">
        <f t="shared" si="18"/>
        <v>2987.55825</v>
      </c>
      <c r="AE51" s="24">
        <f t="shared" si="19"/>
        <v>2988.1985000000004</v>
      </c>
      <c r="AF51" s="24">
        <f t="shared" si="20"/>
        <v>2988.8387499999999</v>
      </c>
      <c r="AG51" s="24">
        <f t="shared" si="21"/>
        <v>2989.4790000000003</v>
      </c>
      <c r="AH51" s="24">
        <f t="shared" si="22"/>
        <v>2990.1192500000002</v>
      </c>
      <c r="AI51" s="24">
        <f t="shared" si="23"/>
        <v>2990.7595000000001</v>
      </c>
      <c r="AJ51" s="24">
        <f t="shared" si="24"/>
        <v>2991.39975</v>
      </c>
      <c r="AK51" s="25">
        <f t="shared" si="25"/>
        <v>2992.04</v>
      </c>
    </row>
    <row r="52" spans="1:37" x14ac:dyDescent="0.25">
      <c r="A52" s="18">
        <v>1650</v>
      </c>
      <c r="B52" s="14">
        <v>59.08</v>
      </c>
      <c r="C52" s="4">
        <v>70.48</v>
      </c>
      <c r="D52" s="4">
        <v>297.70999999999998</v>
      </c>
      <c r="E52" s="5">
        <v>59.36</v>
      </c>
      <c r="G52" s="26">
        <v>1650</v>
      </c>
      <c r="H52" s="24">
        <v>48.47</v>
      </c>
      <c r="I52" s="24">
        <v>55.35</v>
      </c>
      <c r="J52" s="24">
        <v>255.09</v>
      </c>
      <c r="K52" s="25">
        <v>44.28</v>
      </c>
      <c r="M52" s="26">
        <v>1650</v>
      </c>
      <c r="N52" s="24">
        <v>35.229999999999997</v>
      </c>
      <c r="O52" s="24">
        <v>43.66</v>
      </c>
      <c r="P52" s="24">
        <v>245.12</v>
      </c>
      <c r="Q52" s="25">
        <v>26.3</v>
      </c>
      <c r="S52" s="26">
        <v>1650</v>
      </c>
      <c r="T52" s="24">
        <v>36.9</v>
      </c>
      <c r="U52" s="24">
        <v>46.09</v>
      </c>
      <c r="V52" s="24">
        <v>261.45999999999998</v>
      </c>
      <c r="W52" s="74">
        <v>28.09</v>
      </c>
      <c r="X52" s="121">
        <v>1650</v>
      </c>
      <c r="Y52" s="23">
        <f t="shared" si="13"/>
        <v>3114.8832000000002</v>
      </c>
      <c r="Z52" s="24">
        <f t="shared" si="14"/>
        <v>3115.00605</v>
      </c>
      <c r="AA52" s="24">
        <f t="shared" si="15"/>
        <v>3115.1289000000002</v>
      </c>
      <c r="AB52" s="24">
        <f t="shared" si="16"/>
        <v>3115.2517499999999</v>
      </c>
      <c r="AC52" s="24">
        <f t="shared" si="17"/>
        <v>3115.3746000000001</v>
      </c>
      <c r="AD52" s="24">
        <f t="shared" si="18"/>
        <v>3115.4974500000003</v>
      </c>
      <c r="AE52" s="24">
        <f t="shared" si="19"/>
        <v>3116.1117000000004</v>
      </c>
      <c r="AF52" s="24">
        <f t="shared" si="20"/>
        <v>3116.72595</v>
      </c>
      <c r="AG52" s="24">
        <f t="shared" si="21"/>
        <v>3117.3402000000001</v>
      </c>
      <c r="AH52" s="24">
        <f t="shared" si="22"/>
        <v>3117.9544500000002</v>
      </c>
      <c r="AI52" s="24">
        <f t="shared" si="23"/>
        <v>3118.5687000000003</v>
      </c>
      <c r="AJ52" s="24">
        <f t="shared" si="24"/>
        <v>3119.1829500000003</v>
      </c>
      <c r="AK52" s="25">
        <f t="shared" si="25"/>
        <v>3119.7972</v>
      </c>
    </row>
    <row r="53" spans="1:37" x14ac:dyDescent="0.25">
      <c r="A53" s="18">
        <v>1700</v>
      </c>
      <c r="B53" s="14">
        <v>59.31</v>
      </c>
      <c r="C53" s="4">
        <v>73.44</v>
      </c>
      <c r="D53" s="4">
        <v>299.47000000000003</v>
      </c>
      <c r="E53" s="5">
        <v>58.67</v>
      </c>
      <c r="G53" s="26">
        <v>1700</v>
      </c>
      <c r="H53" s="24">
        <v>48.9</v>
      </c>
      <c r="I53" s="24">
        <v>57.78</v>
      </c>
      <c r="J53" s="24">
        <v>256.54000000000002</v>
      </c>
      <c r="K53" s="25">
        <v>43.88</v>
      </c>
      <c r="M53" s="26">
        <v>1700</v>
      </c>
      <c r="N53" s="24">
        <v>35.36</v>
      </c>
      <c r="O53" s="24">
        <v>45.42</v>
      </c>
      <c r="P53" s="24">
        <v>246.17</v>
      </c>
      <c r="Q53" s="25">
        <v>26.4</v>
      </c>
      <c r="S53" s="26">
        <v>1700</v>
      </c>
      <c r="T53" s="24">
        <v>37.03</v>
      </c>
      <c r="U53" s="24">
        <v>47.94</v>
      </c>
      <c r="V53" s="24">
        <v>262.56</v>
      </c>
      <c r="W53" s="74">
        <v>28.19</v>
      </c>
      <c r="X53" s="121">
        <v>1700</v>
      </c>
      <c r="Y53" s="23">
        <f t="shared" si="13"/>
        <v>3243.1884</v>
      </c>
      <c r="Z53" s="24">
        <f t="shared" si="14"/>
        <v>3243.3056999999999</v>
      </c>
      <c r="AA53" s="24">
        <f t="shared" si="15"/>
        <v>3243.4230000000002</v>
      </c>
      <c r="AB53" s="24">
        <f t="shared" si="16"/>
        <v>3243.5403000000001</v>
      </c>
      <c r="AC53" s="24">
        <f t="shared" si="17"/>
        <v>3243.6576</v>
      </c>
      <c r="AD53" s="24">
        <f t="shared" si="18"/>
        <v>3243.7748999999999</v>
      </c>
      <c r="AE53" s="24">
        <f t="shared" si="19"/>
        <v>3244.3614000000002</v>
      </c>
      <c r="AF53" s="24">
        <f t="shared" si="20"/>
        <v>3244.9479000000001</v>
      </c>
      <c r="AG53" s="24">
        <f t="shared" si="21"/>
        <v>3245.5344</v>
      </c>
      <c r="AH53" s="24">
        <f t="shared" si="22"/>
        <v>3246.1208999999999</v>
      </c>
      <c r="AI53" s="24">
        <f t="shared" si="23"/>
        <v>3246.7073999999998</v>
      </c>
      <c r="AJ53" s="24">
        <f t="shared" si="24"/>
        <v>3247.2939000000001</v>
      </c>
      <c r="AK53" s="25">
        <f t="shared" si="25"/>
        <v>3247.8804</v>
      </c>
    </row>
    <row r="54" spans="1:37" x14ac:dyDescent="0.25">
      <c r="A54" s="18">
        <v>1750</v>
      </c>
      <c r="B54" s="14">
        <v>59.53</v>
      </c>
      <c r="C54" s="4">
        <v>76.41</v>
      </c>
      <c r="D54" s="4">
        <v>301.2</v>
      </c>
      <c r="E54" s="5">
        <v>58.02</v>
      </c>
      <c r="G54" s="26">
        <v>1750</v>
      </c>
      <c r="H54" s="24">
        <v>49.31</v>
      </c>
      <c r="I54" s="24">
        <v>60.24</v>
      </c>
      <c r="J54" s="24">
        <v>257.97000000000003</v>
      </c>
      <c r="K54" s="25">
        <v>43.51</v>
      </c>
      <c r="M54" s="26">
        <v>1750</v>
      </c>
      <c r="N54" s="24">
        <v>35.479999999999997</v>
      </c>
      <c r="O54" s="24">
        <v>47.19</v>
      </c>
      <c r="P54" s="24">
        <v>247.2</v>
      </c>
      <c r="Q54" s="25">
        <v>26.49</v>
      </c>
      <c r="S54" s="26">
        <v>1750</v>
      </c>
      <c r="T54" s="24">
        <v>37.17</v>
      </c>
      <c r="U54" s="24">
        <v>49.8</v>
      </c>
      <c r="V54" s="24">
        <v>263.64</v>
      </c>
      <c r="W54" s="74">
        <v>28.29</v>
      </c>
      <c r="X54" s="121">
        <v>1750</v>
      </c>
      <c r="Y54" s="23">
        <f t="shared" si="13"/>
        <v>3372.3137999999999</v>
      </c>
      <c r="Z54" s="24">
        <f t="shared" si="14"/>
        <v>3372.4259999999999</v>
      </c>
      <c r="AA54" s="24">
        <f t="shared" si="15"/>
        <v>3372.5381999999995</v>
      </c>
      <c r="AB54" s="24">
        <f t="shared" si="16"/>
        <v>3372.6504</v>
      </c>
      <c r="AC54" s="24">
        <f t="shared" si="17"/>
        <v>3372.7626</v>
      </c>
      <c r="AD54" s="24">
        <f t="shared" si="18"/>
        <v>3372.8747999999996</v>
      </c>
      <c r="AE54" s="24">
        <f t="shared" si="19"/>
        <v>3373.4357999999997</v>
      </c>
      <c r="AF54" s="24">
        <f t="shared" si="20"/>
        <v>3373.9967999999999</v>
      </c>
      <c r="AG54" s="24">
        <f t="shared" si="21"/>
        <v>3374.5577999999996</v>
      </c>
      <c r="AH54" s="24">
        <f t="shared" si="22"/>
        <v>3375.1187999999997</v>
      </c>
      <c r="AI54" s="24">
        <f t="shared" si="23"/>
        <v>3375.6797999999999</v>
      </c>
      <c r="AJ54" s="24">
        <f t="shared" si="24"/>
        <v>3376.2407999999996</v>
      </c>
      <c r="AK54" s="25">
        <f t="shared" si="25"/>
        <v>3376.8017999999997</v>
      </c>
    </row>
    <row r="55" spans="1:37" x14ac:dyDescent="0.25">
      <c r="A55" s="18">
        <v>1800</v>
      </c>
      <c r="B55" s="14">
        <v>59.73</v>
      </c>
      <c r="C55" s="4">
        <v>79.400000000000006</v>
      </c>
      <c r="D55" s="4">
        <v>302.88</v>
      </c>
      <c r="E55" s="5">
        <v>57.42</v>
      </c>
      <c r="G55" s="26">
        <v>1800</v>
      </c>
      <c r="H55" s="24">
        <v>49.7</v>
      </c>
      <c r="I55" s="24">
        <v>62.71</v>
      </c>
      <c r="J55" s="24">
        <v>259.36</v>
      </c>
      <c r="K55" s="25">
        <v>43.16</v>
      </c>
      <c r="M55" s="26">
        <v>1800</v>
      </c>
      <c r="N55" s="24">
        <v>35.590000000000003</v>
      </c>
      <c r="O55" s="24">
        <v>48.97</v>
      </c>
      <c r="P55" s="24">
        <v>248.2</v>
      </c>
      <c r="Q55" s="25">
        <v>26.58</v>
      </c>
      <c r="S55" s="26">
        <v>1800</v>
      </c>
      <c r="T55" s="24">
        <v>37.29</v>
      </c>
      <c r="U55" s="24">
        <v>51.66</v>
      </c>
      <c r="V55" s="24">
        <v>264.69</v>
      </c>
      <c r="W55" s="74">
        <v>28.38</v>
      </c>
      <c r="X55" s="121">
        <v>1800</v>
      </c>
      <c r="Y55" s="23">
        <f t="shared" si="13"/>
        <v>3502.1594000000005</v>
      </c>
      <c r="Z55" s="24">
        <f t="shared" si="14"/>
        <v>3502.2649000000006</v>
      </c>
      <c r="AA55" s="24">
        <f t="shared" si="15"/>
        <v>3502.3704000000002</v>
      </c>
      <c r="AB55" s="24">
        <f t="shared" si="16"/>
        <v>3502.4759000000004</v>
      </c>
      <c r="AC55" s="24">
        <f t="shared" si="17"/>
        <v>3502.5814</v>
      </c>
      <c r="AD55" s="24">
        <f t="shared" si="18"/>
        <v>3502.6869000000002</v>
      </c>
      <c r="AE55" s="24">
        <f t="shared" si="19"/>
        <v>3503.2144000000003</v>
      </c>
      <c r="AF55" s="24">
        <f t="shared" si="20"/>
        <v>3503.7419000000004</v>
      </c>
      <c r="AG55" s="24">
        <f t="shared" si="21"/>
        <v>3504.2694000000006</v>
      </c>
      <c r="AH55" s="24">
        <f t="shared" si="22"/>
        <v>3504.7969000000003</v>
      </c>
      <c r="AI55" s="24">
        <f t="shared" si="23"/>
        <v>3505.3244</v>
      </c>
      <c r="AJ55" s="24">
        <f t="shared" si="24"/>
        <v>3505.8519000000001</v>
      </c>
      <c r="AK55" s="25">
        <f t="shared" si="25"/>
        <v>3506.3794000000007</v>
      </c>
    </row>
    <row r="56" spans="1:37" ht="15.75" thickBot="1" x14ac:dyDescent="0.3">
      <c r="A56" s="18">
        <v>1850</v>
      </c>
      <c r="B56" s="14">
        <v>59.93</v>
      </c>
      <c r="C56" s="4">
        <v>82.39</v>
      </c>
      <c r="D56" s="4">
        <v>304.52</v>
      </c>
      <c r="E56" s="5">
        <v>56.86</v>
      </c>
      <c r="G56" s="26">
        <v>1850</v>
      </c>
      <c r="H56" s="24">
        <v>50.08</v>
      </c>
      <c r="I56" s="24">
        <v>65.209999999999994</v>
      </c>
      <c r="J56" s="24">
        <v>260.73</v>
      </c>
      <c r="K56" s="25">
        <v>42.84</v>
      </c>
      <c r="M56" s="26">
        <v>1850</v>
      </c>
      <c r="N56" s="24">
        <v>35.700000000000003</v>
      </c>
      <c r="O56" s="24">
        <v>50.75</v>
      </c>
      <c r="P56" s="24">
        <v>249.18</v>
      </c>
      <c r="Q56" s="25">
        <v>26.67</v>
      </c>
      <c r="S56" s="26">
        <v>1850</v>
      </c>
      <c r="T56" s="24">
        <v>37.42</v>
      </c>
      <c r="U56" s="24">
        <v>53.53</v>
      </c>
      <c r="V56" s="24">
        <v>265.70999999999998</v>
      </c>
      <c r="W56" s="74">
        <v>28.48</v>
      </c>
      <c r="X56" s="122">
        <v>1850</v>
      </c>
      <c r="Y56" s="125">
        <f t="shared" si="13"/>
        <v>3632.2750000000005</v>
      </c>
      <c r="Z56" s="28">
        <f t="shared" si="14"/>
        <v>3632.3750500000001</v>
      </c>
      <c r="AA56" s="28">
        <f t="shared" si="15"/>
        <v>3632.4751000000006</v>
      </c>
      <c r="AB56" s="28">
        <f t="shared" si="16"/>
        <v>3632.5751500000001</v>
      </c>
      <c r="AC56" s="28">
        <f t="shared" si="17"/>
        <v>3632.6752000000001</v>
      </c>
      <c r="AD56" s="28">
        <f t="shared" si="18"/>
        <v>3632.7752500000006</v>
      </c>
      <c r="AE56" s="28">
        <f t="shared" si="19"/>
        <v>3633.2755000000002</v>
      </c>
      <c r="AF56" s="28">
        <f t="shared" si="20"/>
        <v>3633.7757500000002</v>
      </c>
      <c r="AG56" s="28">
        <f t="shared" si="21"/>
        <v>3634.2760000000003</v>
      </c>
      <c r="AH56" s="28">
        <f t="shared" si="22"/>
        <v>3634.7762500000003</v>
      </c>
      <c r="AI56" s="28">
        <f t="shared" si="23"/>
        <v>3635.2765000000004</v>
      </c>
      <c r="AJ56" s="28">
        <f t="shared" si="24"/>
        <v>3635.7767500000004</v>
      </c>
      <c r="AK56" s="29">
        <f t="shared" si="25"/>
        <v>3636.2770000000005</v>
      </c>
    </row>
  </sheetData>
  <mergeCells count="8">
    <mergeCell ref="A1:E1"/>
    <mergeCell ref="G1:K1"/>
    <mergeCell ref="M1:Q1"/>
    <mergeCell ref="S1:W1"/>
    <mergeCell ref="S38:W38"/>
    <mergeCell ref="M38:Q38"/>
    <mergeCell ref="G38:K38"/>
    <mergeCell ref="A38:E38"/>
  </mergeCells>
  <pageMargins left="0.7" right="0.7" top="0.75" bottom="0.75" header="0.3" footer="0.3"/>
  <pageSetup orientation="portrait" horizontalDpi="4294967293" verticalDpi="0" r:id="rId1"/>
  <ignoredErrors>
    <ignoredError sqref="A37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"/>
  <sheetViews>
    <sheetView zoomScale="115" zoomScaleNormal="115" zoomScalePageLayoutView="115" workbookViewId="0">
      <selection activeCell="R16" sqref="R16"/>
    </sheetView>
  </sheetViews>
  <sheetFormatPr defaultColWidth="8.85546875" defaultRowHeight="15" x14ac:dyDescent="0.25"/>
  <cols>
    <col min="2" max="2" width="10.42578125" customWidth="1"/>
    <col min="3" max="3" width="8.42578125" customWidth="1"/>
    <col min="4" max="4" width="10.140625" customWidth="1"/>
  </cols>
  <sheetData>
    <row r="1" spans="1:5" ht="15.75" thickBot="1" x14ac:dyDescent="0.3">
      <c r="A1" s="203" t="s">
        <v>0</v>
      </c>
      <c r="B1" s="204"/>
      <c r="C1" s="204"/>
      <c r="D1" s="204"/>
      <c r="E1" s="205"/>
    </row>
    <row r="2" spans="1:5" ht="45.75" thickBot="1" x14ac:dyDescent="0.3">
      <c r="A2" s="10" t="s">
        <v>2</v>
      </c>
      <c r="B2" s="11" t="s">
        <v>3</v>
      </c>
      <c r="C2" s="11" t="s">
        <v>4</v>
      </c>
      <c r="D2" s="11" t="s">
        <v>5</v>
      </c>
      <c r="E2" s="12" t="s">
        <v>6</v>
      </c>
    </row>
    <row r="3" spans="1:5" x14ac:dyDescent="0.25">
      <c r="A3" s="16">
        <v>200</v>
      </c>
      <c r="B3" s="13">
        <v>32.39</v>
      </c>
      <c r="C3" s="8">
        <v>3.42</v>
      </c>
      <c r="D3" s="8">
        <v>199.87</v>
      </c>
      <c r="E3" s="9">
        <v>262.76</v>
      </c>
    </row>
    <row r="4" spans="1:5" x14ac:dyDescent="0.25">
      <c r="A4" s="17">
        <v>250</v>
      </c>
      <c r="B4" s="14">
        <v>34.96</v>
      </c>
      <c r="C4" s="4">
        <v>1.74</v>
      </c>
      <c r="D4" s="4">
        <v>207.37</v>
      </c>
      <c r="E4" s="5">
        <v>215.11</v>
      </c>
    </row>
    <row r="5" spans="1:5" x14ac:dyDescent="0.25">
      <c r="A5" s="17">
        <v>298</v>
      </c>
      <c r="B5" s="14">
        <v>37.200000000000003</v>
      </c>
      <c r="C5" s="4">
        <v>0</v>
      </c>
      <c r="D5" s="4">
        <v>213.73</v>
      </c>
      <c r="E5" s="5">
        <v>184.46</v>
      </c>
    </row>
    <row r="6" spans="1:5" x14ac:dyDescent="0.25">
      <c r="A6" s="17">
        <v>300</v>
      </c>
      <c r="B6" s="14">
        <v>37.28</v>
      </c>
      <c r="C6" s="4">
        <v>7.0000000000000007E-2</v>
      </c>
      <c r="D6" s="4">
        <v>213.96</v>
      </c>
      <c r="E6" s="5">
        <v>183.48</v>
      </c>
    </row>
    <row r="7" spans="1:5" x14ac:dyDescent="0.25">
      <c r="A7" s="17">
        <v>350</v>
      </c>
      <c r="B7" s="14">
        <v>39.369999999999997</v>
      </c>
      <c r="C7" s="4">
        <v>1.99</v>
      </c>
      <c r="D7" s="4">
        <v>219.86</v>
      </c>
      <c r="E7" s="5">
        <v>161</v>
      </c>
    </row>
    <row r="8" spans="1:5" x14ac:dyDescent="0.25">
      <c r="A8" s="17">
        <v>400</v>
      </c>
      <c r="B8" s="14">
        <v>41.27</v>
      </c>
      <c r="C8" s="4">
        <v>4</v>
      </c>
      <c r="D8" s="4">
        <v>225.25</v>
      </c>
      <c r="E8" s="5">
        <v>144.22</v>
      </c>
    </row>
    <row r="9" spans="1:5" x14ac:dyDescent="0.25">
      <c r="A9" s="17">
        <v>450</v>
      </c>
      <c r="B9" s="14">
        <v>43</v>
      </c>
      <c r="C9" s="4">
        <v>6.11</v>
      </c>
      <c r="D9" s="4">
        <v>230.21</v>
      </c>
      <c r="E9" s="5">
        <v>131.24</v>
      </c>
    </row>
    <row r="10" spans="1:5" x14ac:dyDescent="0.25">
      <c r="A10" s="17">
        <v>500</v>
      </c>
      <c r="B10" s="14">
        <v>44.57</v>
      </c>
      <c r="C10" s="4">
        <v>8.3000000000000007</v>
      </c>
      <c r="D10" s="4">
        <v>234.82</v>
      </c>
      <c r="E10" s="5">
        <v>120.91</v>
      </c>
    </row>
    <row r="11" spans="1:5" x14ac:dyDescent="0.25">
      <c r="A11" s="17">
        <v>550</v>
      </c>
      <c r="B11" s="14">
        <v>46</v>
      </c>
      <c r="C11" s="4">
        <v>10.56</v>
      </c>
      <c r="D11" s="4">
        <v>239.14</v>
      </c>
      <c r="E11" s="5">
        <v>112.51</v>
      </c>
    </row>
    <row r="12" spans="1:5" x14ac:dyDescent="0.25">
      <c r="A12" s="17">
        <v>600</v>
      </c>
      <c r="B12" s="14">
        <v>47.31</v>
      </c>
      <c r="C12" s="4">
        <v>12.9</v>
      </c>
      <c r="D12" s="4">
        <v>243.2</v>
      </c>
      <c r="E12" s="5">
        <v>105.55</v>
      </c>
    </row>
    <row r="13" spans="1:5" x14ac:dyDescent="0.25">
      <c r="A13" s="17">
        <v>650</v>
      </c>
      <c r="B13" s="14">
        <v>48.51</v>
      </c>
      <c r="C13" s="4">
        <v>15.29</v>
      </c>
      <c r="D13" s="4">
        <v>247.03</v>
      </c>
      <c r="E13" s="5">
        <v>99.7</v>
      </c>
    </row>
    <row r="14" spans="1:5" x14ac:dyDescent="0.25">
      <c r="A14" s="17">
        <v>700</v>
      </c>
      <c r="B14" s="14">
        <v>49.61</v>
      </c>
      <c r="C14" s="4">
        <v>17.75</v>
      </c>
      <c r="D14" s="4">
        <v>250.67</v>
      </c>
      <c r="E14" s="5">
        <v>94.72</v>
      </c>
    </row>
    <row r="15" spans="1:5" x14ac:dyDescent="0.25">
      <c r="A15" s="17">
        <v>750</v>
      </c>
      <c r="B15" s="14">
        <v>50.62</v>
      </c>
      <c r="C15" s="4">
        <v>20.25</v>
      </c>
      <c r="D15" s="4">
        <v>254.13</v>
      </c>
      <c r="E15" s="5">
        <v>90.43</v>
      </c>
    </row>
    <row r="16" spans="1:5" x14ac:dyDescent="0.25">
      <c r="A16" s="17">
        <v>800</v>
      </c>
      <c r="B16" s="14">
        <v>51.55</v>
      </c>
      <c r="C16" s="4">
        <v>22.81</v>
      </c>
      <c r="D16" s="4">
        <v>257.42</v>
      </c>
      <c r="E16" s="5">
        <v>86.7</v>
      </c>
    </row>
    <row r="17" spans="1:5" x14ac:dyDescent="0.25">
      <c r="A17" s="17">
        <v>850</v>
      </c>
      <c r="B17" s="14">
        <v>52.38</v>
      </c>
      <c r="C17" s="4">
        <v>25.41</v>
      </c>
      <c r="D17" s="4">
        <v>260.57</v>
      </c>
      <c r="E17" s="5">
        <v>83.43</v>
      </c>
    </row>
    <row r="18" spans="1:5" x14ac:dyDescent="0.25">
      <c r="A18" s="17">
        <v>900</v>
      </c>
      <c r="B18" s="14">
        <v>53.13</v>
      </c>
      <c r="C18" s="4">
        <v>28.05</v>
      </c>
      <c r="D18" s="4">
        <v>263.58999999999997</v>
      </c>
      <c r="E18" s="5">
        <v>80.55</v>
      </c>
    </row>
    <row r="19" spans="1:5" x14ac:dyDescent="0.25">
      <c r="A19" s="17">
        <v>950</v>
      </c>
      <c r="B19" s="14">
        <v>53.79</v>
      </c>
      <c r="C19" s="4">
        <v>30.72</v>
      </c>
      <c r="D19" s="4">
        <v>266.48</v>
      </c>
      <c r="E19" s="5">
        <v>77.989999999999995</v>
      </c>
    </row>
    <row r="20" spans="1:5" x14ac:dyDescent="0.25">
      <c r="A20" s="18">
        <v>1000</v>
      </c>
      <c r="B20" s="14">
        <v>54.36</v>
      </c>
      <c r="C20" s="4">
        <v>33.42</v>
      </c>
      <c r="D20" s="4">
        <v>269.25</v>
      </c>
      <c r="E20" s="5">
        <v>75.7</v>
      </c>
    </row>
    <row r="21" spans="1:5" x14ac:dyDescent="0.25">
      <c r="A21" s="18">
        <v>1050</v>
      </c>
      <c r="B21" s="14">
        <v>54.86</v>
      </c>
      <c r="C21" s="4">
        <v>36.15</v>
      </c>
      <c r="D21" s="4">
        <v>271.92</v>
      </c>
      <c r="E21" s="5">
        <v>73.64</v>
      </c>
    </row>
    <row r="22" spans="1:5" x14ac:dyDescent="0.25">
      <c r="A22" s="18">
        <v>1100</v>
      </c>
      <c r="B22" s="14">
        <v>55.33</v>
      </c>
      <c r="C22" s="4">
        <v>38.909999999999997</v>
      </c>
      <c r="D22" s="4">
        <v>274.48</v>
      </c>
      <c r="E22" s="5">
        <v>71.790000000000006</v>
      </c>
    </row>
    <row r="23" spans="1:5" x14ac:dyDescent="0.25">
      <c r="A23" s="18">
        <v>1150</v>
      </c>
      <c r="B23" s="14">
        <v>55.78</v>
      </c>
      <c r="C23" s="4">
        <v>41.69</v>
      </c>
      <c r="D23" s="4">
        <v>276.95</v>
      </c>
      <c r="E23" s="5">
        <v>70.11</v>
      </c>
    </row>
    <row r="24" spans="1:5" x14ac:dyDescent="0.25">
      <c r="A24" s="18">
        <v>1200</v>
      </c>
      <c r="B24" s="14">
        <v>56.2</v>
      </c>
      <c r="C24" s="4">
        <v>44.49</v>
      </c>
      <c r="D24" s="4">
        <v>279.33</v>
      </c>
      <c r="E24" s="5">
        <v>68.58</v>
      </c>
    </row>
    <row r="25" spans="1:5" x14ac:dyDescent="0.25">
      <c r="A25" s="18">
        <v>1250</v>
      </c>
      <c r="B25" s="14">
        <v>56.6</v>
      </c>
      <c r="C25" s="4">
        <v>47.31</v>
      </c>
      <c r="D25" s="4">
        <v>281.64</v>
      </c>
      <c r="E25" s="5">
        <v>67.19</v>
      </c>
    </row>
    <row r="26" spans="1:5" x14ac:dyDescent="0.25">
      <c r="A26" s="18">
        <v>1300</v>
      </c>
      <c r="B26" s="14">
        <v>56.98</v>
      </c>
      <c r="C26" s="4">
        <v>50.15</v>
      </c>
      <c r="D26" s="4">
        <v>283.86</v>
      </c>
      <c r="E26" s="5">
        <v>65.91</v>
      </c>
    </row>
    <row r="27" spans="1:5" x14ac:dyDescent="0.25">
      <c r="A27" s="18">
        <v>1350</v>
      </c>
      <c r="B27" s="14">
        <v>57.34</v>
      </c>
      <c r="C27" s="4">
        <v>53</v>
      </c>
      <c r="D27" s="4">
        <v>286.02</v>
      </c>
      <c r="E27" s="5">
        <v>64.739999999999995</v>
      </c>
    </row>
    <row r="28" spans="1:5" x14ac:dyDescent="0.25">
      <c r="A28" s="18">
        <v>1400</v>
      </c>
      <c r="B28" s="14">
        <v>57.67</v>
      </c>
      <c r="C28" s="4">
        <v>55.88</v>
      </c>
      <c r="D28" s="4">
        <v>288.11</v>
      </c>
      <c r="E28" s="5">
        <v>63.66</v>
      </c>
    </row>
    <row r="29" spans="1:5" x14ac:dyDescent="0.25">
      <c r="A29" s="18">
        <v>1450</v>
      </c>
      <c r="B29" s="14">
        <v>57.99</v>
      </c>
      <c r="C29" s="4">
        <v>58.77</v>
      </c>
      <c r="D29" s="4">
        <v>290.14</v>
      </c>
      <c r="E29" s="5">
        <v>62.67</v>
      </c>
    </row>
    <row r="30" spans="1:5" x14ac:dyDescent="0.25">
      <c r="A30" s="18">
        <v>1500</v>
      </c>
      <c r="B30" s="14">
        <v>58.29</v>
      </c>
      <c r="C30" s="4">
        <v>61.68</v>
      </c>
      <c r="D30" s="4">
        <v>292.11</v>
      </c>
      <c r="E30" s="5">
        <v>61.74</v>
      </c>
    </row>
    <row r="31" spans="1:5" x14ac:dyDescent="0.25">
      <c r="A31" s="18">
        <v>1550</v>
      </c>
      <c r="B31" s="14">
        <v>58.57</v>
      </c>
      <c r="C31" s="4">
        <v>64.599999999999994</v>
      </c>
      <c r="D31" s="4">
        <v>294.02999999999997</v>
      </c>
      <c r="E31" s="5">
        <v>60.89</v>
      </c>
    </row>
    <row r="32" spans="1:5" x14ac:dyDescent="0.25">
      <c r="A32" s="18">
        <v>1600</v>
      </c>
      <c r="B32" s="14">
        <v>58.83</v>
      </c>
      <c r="C32" s="4">
        <v>67.540000000000006</v>
      </c>
      <c r="D32" s="4">
        <v>295.89</v>
      </c>
      <c r="E32" s="5">
        <v>60.1</v>
      </c>
    </row>
    <row r="33" spans="1:7" x14ac:dyDescent="0.25">
      <c r="A33" s="18">
        <v>1650</v>
      </c>
      <c r="B33" s="14">
        <v>59.08</v>
      </c>
      <c r="C33" s="4">
        <v>70.48</v>
      </c>
      <c r="D33" s="4">
        <v>297.70999999999998</v>
      </c>
      <c r="E33" s="5">
        <v>59.36</v>
      </c>
    </row>
    <row r="34" spans="1:7" x14ac:dyDescent="0.25">
      <c r="A34" s="18">
        <v>1700</v>
      </c>
      <c r="B34" s="14">
        <v>59.31</v>
      </c>
      <c r="C34" s="4">
        <v>73.44</v>
      </c>
      <c r="D34" s="4">
        <v>299.47000000000003</v>
      </c>
      <c r="E34" s="5">
        <v>58.67</v>
      </c>
    </row>
    <row r="35" spans="1:7" x14ac:dyDescent="0.25">
      <c r="A35" s="18">
        <v>1750</v>
      </c>
      <c r="B35" s="14">
        <v>59.53</v>
      </c>
      <c r="C35" s="4">
        <v>76.41</v>
      </c>
      <c r="D35" s="4">
        <v>301.2</v>
      </c>
      <c r="E35" s="5">
        <v>58.02</v>
      </c>
    </row>
    <row r="36" spans="1:7" x14ac:dyDescent="0.25">
      <c r="A36" s="18">
        <v>1800</v>
      </c>
      <c r="B36" s="14">
        <v>59.73</v>
      </c>
      <c r="C36" s="4">
        <v>79.400000000000006</v>
      </c>
      <c r="D36" s="4">
        <v>302.88</v>
      </c>
      <c r="E36" s="5">
        <v>57.42</v>
      </c>
    </row>
    <row r="37" spans="1:7" x14ac:dyDescent="0.25">
      <c r="A37" s="18">
        <v>1850</v>
      </c>
      <c r="B37" s="14">
        <v>59.93</v>
      </c>
      <c r="C37" s="4">
        <v>82.39</v>
      </c>
      <c r="D37" s="4">
        <v>304.52</v>
      </c>
      <c r="E37" s="5">
        <v>56.86</v>
      </c>
    </row>
    <row r="38" spans="1:7" x14ac:dyDescent="0.25">
      <c r="A38" s="18">
        <v>1900</v>
      </c>
      <c r="B38" s="14">
        <v>60.11</v>
      </c>
      <c r="C38" s="4">
        <v>85.39</v>
      </c>
      <c r="D38" s="4">
        <v>306.12</v>
      </c>
      <c r="E38" s="5">
        <v>56.33</v>
      </c>
    </row>
    <row r="39" spans="1:7" x14ac:dyDescent="0.25">
      <c r="A39" s="18">
        <v>1950</v>
      </c>
      <c r="B39" s="14">
        <v>60.27</v>
      </c>
      <c r="C39" s="4">
        <v>88.4</v>
      </c>
      <c r="D39" s="4">
        <v>307.68</v>
      </c>
      <c r="E39" s="5">
        <v>55.83</v>
      </c>
    </row>
    <row r="40" spans="1:7" x14ac:dyDescent="0.25">
      <c r="A40" s="18">
        <v>2000</v>
      </c>
      <c r="B40" s="14">
        <v>60.43</v>
      </c>
      <c r="C40" s="4">
        <v>91.42</v>
      </c>
      <c r="D40" s="4">
        <v>309.20999999999998</v>
      </c>
      <c r="E40" s="5">
        <v>55.36</v>
      </c>
    </row>
    <row r="41" spans="1:7" x14ac:dyDescent="0.25">
      <c r="A41" s="18">
        <v>2050</v>
      </c>
      <c r="B41" s="14">
        <v>60.58</v>
      </c>
      <c r="C41" s="4">
        <v>94.44</v>
      </c>
      <c r="D41" s="4">
        <v>310.7</v>
      </c>
      <c r="E41" s="5">
        <v>54.92</v>
      </c>
    </row>
    <row r="42" spans="1:7" x14ac:dyDescent="0.25">
      <c r="A42" s="18">
        <v>2100</v>
      </c>
      <c r="B42" s="14">
        <v>60.71</v>
      </c>
      <c r="C42" s="4">
        <v>97.47</v>
      </c>
      <c r="D42" s="4">
        <v>312.16000000000003</v>
      </c>
      <c r="E42" s="5">
        <v>54.5</v>
      </c>
    </row>
    <row r="43" spans="1:7" x14ac:dyDescent="0.25">
      <c r="A43" s="18">
        <v>2150</v>
      </c>
      <c r="B43" s="14">
        <v>60.84</v>
      </c>
      <c r="C43" s="4">
        <v>100.51</v>
      </c>
      <c r="D43" s="4">
        <v>313.58999999999997</v>
      </c>
      <c r="E43" s="5">
        <v>54.11</v>
      </c>
    </row>
    <row r="44" spans="1:7" x14ac:dyDescent="0.25">
      <c r="A44" s="18">
        <v>2200</v>
      </c>
      <c r="B44" s="14">
        <v>60.96</v>
      </c>
      <c r="C44" s="4">
        <v>103.56</v>
      </c>
      <c r="D44" s="4">
        <v>314.99</v>
      </c>
      <c r="E44" s="5">
        <v>53.74</v>
      </c>
      <c r="G44">
        <f>FORECAST(2390.13,'CO2'!C47:C48,'CO2'!A47:A48)</f>
        <v>115.18595600000002</v>
      </c>
    </row>
    <row r="45" spans="1:7" x14ac:dyDescent="0.25">
      <c r="A45" s="18">
        <v>2250</v>
      </c>
      <c r="B45" s="14">
        <v>61.08</v>
      </c>
      <c r="C45" s="4">
        <v>106.61</v>
      </c>
      <c r="D45" s="4">
        <v>316.37</v>
      </c>
      <c r="E45" s="5">
        <v>53.39</v>
      </c>
    </row>
    <row r="46" spans="1:7" x14ac:dyDescent="0.25">
      <c r="A46" s="18">
        <v>2300</v>
      </c>
      <c r="B46" s="14">
        <v>61.18</v>
      </c>
      <c r="C46" s="4">
        <v>109.66</v>
      </c>
      <c r="D46" s="4">
        <v>317.70999999999998</v>
      </c>
      <c r="E46" s="5">
        <v>53.06</v>
      </c>
    </row>
    <row r="47" spans="1:7" x14ac:dyDescent="0.25">
      <c r="A47" s="18">
        <v>2350</v>
      </c>
      <c r="B47" s="14">
        <v>61.28</v>
      </c>
      <c r="C47" s="4">
        <v>112.73</v>
      </c>
      <c r="D47" s="4">
        <v>319.02999999999997</v>
      </c>
      <c r="E47" s="5">
        <v>52.74</v>
      </c>
    </row>
    <row r="48" spans="1:7" x14ac:dyDescent="0.25">
      <c r="A48" s="18">
        <v>2400</v>
      </c>
      <c r="B48" s="14">
        <v>61.37</v>
      </c>
      <c r="C48" s="4">
        <v>115.79</v>
      </c>
      <c r="D48" s="4">
        <v>320.32</v>
      </c>
      <c r="E48" s="5">
        <v>52.45</v>
      </c>
    </row>
    <row r="49" spans="1:5" x14ac:dyDescent="0.25">
      <c r="A49" s="18">
        <v>2450</v>
      </c>
      <c r="B49" s="14">
        <v>61.46</v>
      </c>
      <c r="C49" s="4">
        <v>118.86</v>
      </c>
      <c r="D49" s="4">
        <v>321.58</v>
      </c>
      <c r="E49" s="5">
        <v>52.16</v>
      </c>
    </row>
    <row r="50" spans="1:5" x14ac:dyDescent="0.25">
      <c r="A50" s="18">
        <v>2500</v>
      </c>
      <c r="B50" s="14">
        <v>61.55</v>
      </c>
      <c r="C50" s="4">
        <v>121.94</v>
      </c>
      <c r="D50" s="4">
        <v>322.83</v>
      </c>
      <c r="E50" s="5">
        <v>51.9</v>
      </c>
    </row>
    <row r="51" spans="1:5" x14ac:dyDescent="0.25">
      <c r="A51" s="18">
        <v>2550</v>
      </c>
      <c r="B51" s="14">
        <v>61.62</v>
      </c>
      <c r="C51" s="4">
        <v>125.02</v>
      </c>
      <c r="D51" s="4">
        <v>324.05</v>
      </c>
      <c r="E51" s="5">
        <v>51.64</v>
      </c>
    </row>
    <row r="52" spans="1:5" x14ac:dyDescent="0.25">
      <c r="A52" s="18">
        <v>2600</v>
      </c>
      <c r="B52" s="14">
        <v>61.7</v>
      </c>
      <c r="C52" s="4">
        <v>128.1</v>
      </c>
      <c r="D52" s="4">
        <v>325.24</v>
      </c>
      <c r="E52" s="5">
        <v>51.4</v>
      </c>
    </row>
    <row r="53" spans="1:5" x14ac:dyDescent="0.25">
      <c r="A53" s="18">
        <v>2650</v>
      </c>
      <c r="B53" s="14">
        <v>61.77</v>
      </c>
      <c r="C53" s="4">
        <v>131.19</v>
      </c>
      <c r="D53" s="4">
        <v>326.42</v>
      </c>
      <c r="E53" s="5">
        <v>51.17</v>
      </c>
    </row>
    <row r="54" spans="1:5" x14ac:dyDescent="0.25">
      <c r="A54" s="18">
        <v>2700</v>
      </c>
      <c r="B54" s="14">
        <v>61.84</v>
      </c>
      <c r="C54" s="4">
        <v>134.28</v>
      </c>
      <c r="D54" s="4">
        <v>327.57</v>
      </c>
      <c r="E54" s="5">
        <v>50.95</v>
      </c>
    </row>
    <row r="55" spans="1:5" x14ac:dyDescent="0.25">
      <c r="A55" s="18">
        <v>2750</v>
      </c>
      <c r="B55" s="14">
        <v>61.9</v>
      </c>
      <c r="C55" s="4">
        <v>137.37</v>
      </c>
      <c r="D55" s="4">
        <v>328.71</v>
      </c>
      <c r="E55" s="5">
        <v>50.74</v>
      </c>
    </row>
    <row r="56" spans="1:5" x14ac:dyDescent="0.25">
      <c r="A56" s="18">
        <v>2800</v>
      </c>
      <c r="B56" s="14">
        <v>61.96</v>
      </c>
      <c r="C56" s="4">
        <v>140.47</v>
      </c>
      <c r="D56" s="4">
        <v>329.83</v>
      </c>
      <c r="E56" s="5">
        <v>50.54</v>
      </c>
    </row>
    <row r="57" spans="1:5" x14ac:dyDescent="0.25">
      <c r="A57" s="18">
        <v>2850</v>
      </c>
      <c r="B57" s="14">
        <v>62.02</v>
      </c>
      <c r="C57" s="4">
        <v>143.57</v>
      </c>
      <c r="D57" s="4">
        <v>330.92</v>
      </c>
      <c r="E57" s="5">
        <v>50.35</v>
      </c>
    </row>
    <row r="58" spans="1:5" x14ac:dyDescent="0.25">
      <c r="A58" s="18">
        <v>2900</v>
      </c>
      <c r="B58" s="14">
        <v>62.08</v>
      </c>
      <c r="C58" s="4">
        <v>146.66999999999999</v>
      </c>
      <c r="D58" s="4">
        <v>332</v>
      </c>
      <c r="E58" s="5">
        <v>50.17</v>
      </c>
    </row>
    <row r="59" spans="1:5" x14ac:dyDescent="0.25">
      <c r="A59" s="18">
        <v>2950</v>
      </c>
      <c r="B59" s="14">
        <v>62.14</v>
      </c>
      <c r="C59" s="4">
        <v>149.78</v>
      </c>
      <c r="D59" s="4">
        <v>333.06</v>
      </c>
      <c r="E59" s="5">
        <v>50</v>
      </c>
    </row>
    <row r="60" spans="1:5" x14ac:dyDescent="0.25">
      <c r="A60" s="18">
        <v>3000</v>
      </c>
      <c r="B60" s="14">
        <v>62.19</v>
      </c>
      <c r="C60" s="4">
        <v>152.88</v>
      </c>
      <c r="D60" s="4">
        <v>334.11</v>
      </c>
      <c r="E60" s="5">
        <v>49.83</v>
      </c>
    </row>
    <row r="61" spans="1:5" x14ac:dyDescent="0.25">
      <c r="A61" s="18">
        <v>3050</v>
      </c>
      <c r="B61" s="14">
        <v>62.25</v>
      </c>
      <c r="C61" s="4">
        <v>155.99</v>
      </c>
      <c r="D61" s="4">
        <v>335.14</v>
      </c>
      <c r="E61" s="5">
        <v>49.68</v>
      </c>
    </row>
    <row r="62" spans="1:5" x14ac:dyDescent="0.25">
      <c r="A62" s="18">
        <v>3100</v>
      </c>
      <c r="B62" s="14">
        <v>62.3</v>
      </c>
      <c r="C62" s="4">
        <v>159.11000000000001</v>
      </c>
      <c r="D62" s="4">
        <v>336.15</v>
      </c>
      <c r="E62" s="5">
        <v>49.53</v>
      </c>
    </row>
    <row r="63" spans="1:5" x14ac:dyDescent="0.25">
      <c r="A63" s="18">
        <v>3150</v>
      </c>
      <c r="B63" s="14">
        <v>62.35</v>
      </c>
      <c r="C63" s="4">
        <v>162.22</v>
      </c>
      <c r="D63" s="4">
        <v>337.15</v>
      </c>
      <c r="E63" s="5">
        <v>49.38</v>
      </c>
    </row>
    <row r="64" spans="1:5" x14ac:dyDescent="0.25">
      <c r="A64" s="18">
        <v>3200</v>
      </c>
      <c r="B64" s="14">
        <v>62.4</v>
      </c>
      <c r="C64" s="4">
        <v>165.34</v>
      </c>
      <c r="D64" s="4">
        <v>338.13</v>
      </c>
      <c r="E64" s="5">
        <v>49.25</v>
      </c>
    </row>
    <row r="65" spans="1:5" x14ac:dyDescent="0.25">
      <c r="A65" s="18">
        <v>3250</v>
      </c>
      <c r="B65" s="14">
        <v>62.45</v>
      </c>
      <c r="C65" s="4">
        <v>168.46</v>
      </c>
      <c r="D65" s="4">
        <v>339.1</v>
      </c>
      <c r="E65" s="5">
        <v>49.12</v>
      </c>
    </row>
    <row r="66" spans="1:5" x14ac:dyDescent="0.25">
      <c r="A66" s="18">
        <v>3300</v>
      </c>
      <c r="B66" s="14">
        <v>62.51</v>
      </c>
      <c r="C66" s="4">
        <v>171.59</v>
      </c>
      <c r="D66" s="4">
        <v>340.05</v>
      </c>
      <c r="E66" s="5">
        <v>48.99</v>
      </c>
    </row>
    <row r="67" spans="1:5" x14ac:dyDescent="0.25">
      <c r="A67" s="18">
        <v>3350</v>
      </c>
      <c r="B67" s="14">
        <v>62.56</v>
      </c>
      <c r="C67" s="4">
        <v>174.72</v>
      </c>
      <c r="D67" s="4">
        <v>340.99</v>
      </c>
      <c r="E67" s="5">
        <v>48.87</v>
      </c>
    </row>
    <row r="68" spans="1:5" x14ac:dyDescent="0.25">
      <c r="A68" s="18">
        <v>3400</v>
      </c>
      <c r="B68" s="14">
        <v>62.61</v>
      </c>
      <c r="C68" s="4">
        <v>177.84</v>
      </c>
      <c r="D68" s="4">
        <v>341.92</v>
      </c>
      <c r="E68" s="5">
        <v>48.76</v>
      </c>
    </row>
    <row r="69" spans="1:5" x14ac:dyDescent="0.25">
      <c r="A69" s="18">
        <v>3450</v>
      </c>
      <c r="B69" s="14">
        <v>62.66</v>
      </c>
      <c r="C69" s="4">
        <v>180.98</v>
      </c>
      <c r="D69" s="4">
        <v>342.83</v>
      </c>
      <c r="E69" s="5">
        <v>48.65</v>
      </c>
    </row>
    <row r="70" spans="1:5" ht="15.75" thickBot="1" x14ac:dyDescent="0.3">
      <c r="A70" s="19">
        <v>3500</v>
      </c>
      <c r="B70" s="15">
        <v>62.72</v>
      </c>
      <c r="C70" s="6">
        <v>184.11</v>
      </c>
      <c r="D70" s="6">
        <v>343.73</v>
      </c>
      <c r="E70" s="7">
        <v>48.54</v>
      </c>
    </row>
  </sheetData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0"/>
  <sheetViews>
    <sheetView workbookViewId="0">
      <selection activeCell="Q2" sqref="Q2"/>
    </sheetView>
  </sheetViews>
  <sheetFormatPr defaultColWidth="8.85546875" defaultRowHeight="15" x14ac:dyDescent="0.25"/>
  <cols>
    <col min="2" max="2" width="11.140625" customWidth="1"/>
    <col min="3" max="3" width="9.85546875" customWidth="1"/>
    <col min="4" max="4" width="11.42578125" customWidth="1"/>
    <col min="5" max="5" width="9.42578125" customWidth="1"/>
  </cols>
  <sheetData>
    <row r="1" spans="1:5" ht="15.75" thickBot="1" x14ac:dyDescent="0.3">
      <c r="A1" s="206" t="s">
        <v>1</v>
      </c>
      <c r="B1" s="207"/>
      <c r="C1" s="207"/>
      <c r="D1" s="207"/>
      <c r="E1" s="208"/>
    </row>
    <row r="2" spans="1:5" ht="45.75" thickBot="1" x14ac:dyDescent="0.3">
      <c r="A2" s="1" t="s">
        <v>2</v>
      </c>
      <c r="B2" s="2" t="s">
        <v>12</v>
      </c>
      <c r="C2" s="2" t="s">
        <v>11</v>
      </c>
      <c r="D2" s="2" t="s">
        <v>13</v>
      </c>
      <c r="E2" s="3" t="s">
        <v>6</v>
      </c>
    </row>
    <row r="3" spans="1:5" x14ac:dyDescent="0.25">
      <c r="A3" s="20">
        <v>200</v>
      </c>
      <c r="B3" s="21">
        <v>32.25</v>
      </c>
      <c r="C3" s="21">
        <v>3.23</v>
      </c>
      <c r="D3" s="21">
        <v>175.59</v>
      </c>
      <c r="E3" s="22">
        <v>168.5</v>
      </c>
    </row>
    <row r="4" spans="1:5" x14ac:dyDescent="0.25">
      <c r="A4" s="23">
        <v>250</v>
      </c>
      <c r="B4" s="24">
        <v>32.9</v>
      </c>
      <c r="C4" s="24">
        <v>1.6</v>
      </c>
      <c r="D4" s="24">
        <v>182.86</v>
      </c>
      <c r="E4" s="25">
        <v>139.11000000000001</v>
      </c>
    </row>
    <row r="5" spans="1:5" x14ac:dyDescent="0.25">
      <c r="A5" s="23">
        <v>298</v>
      </c>
      <c r="B5" s="24">
        <v>33.450000000000003</v>
      </c>
      <c r="C5" s="24">
        <v>0</v>
      </c>
      <c r="D5" s="24">
        <v>188.71</v>
      </c>
      <c r="E5" s="25">
        <v>120.26</v>
      </c>
    </row>
    <row r="6" spans="1:5" x14ac:dyDescent="0.25">
      <c r="A6" s="23">
        <v>300</v>
      </c>
      <c r="B6" s="24">
        <v>33.47</v>
      </c>
      <c r="C6" s="24">
        <v>0.06</v>
      </c>
      <c r="D6" s="24">
        <v>188.91</v>
      </c>
      <c r="E6" s="25">
        <v>119.66</v>
      </c>
    </row>
    <row r="7" spans="1:5" x14ac:dyDescent="0.25">
      <c r="A7" s="23">
        <v>350</v>
      </c>
      <c r="B7" s="24">
        <v>33.97</v>
      </c>
      <c r="C7" s="24">
        <v>1.75</v>
      </c>
      <c r="D7" s="24">
        <v>194.11</v>
      </c>
      <c r="E7" s="25">
        <v>105.85</v>
      </c>
    </row>
    <row r="8" spans="1:5" x14ac:dyDescent="0.25">
      <c r="A8" s="23">
        <v>400</v>
      </c>
      <c r="B8" s="24">
        <v>34.44</v>
      </c>
      <c r="C8" s="24">
        <v>3.46</v>
      </c>
      <c r="D8" s="24">
        <v>198.68</v>
      </c>
      <c r="E8" s="25">
        <v>95.58</v>
      </c>
    </row>
    <row r="9" spans="1:5" x14ac:dyDescent="0.25">
      <c r="A9" s="23">
        <v>450</v>
      </c>
      <c r="B9" s="24">
        <v>34.89</v>
      </c>
      <c r="C9" s="24">
        <v>5.19</v>
      </c>
      <c r="D9" s="24">
        <v>202.76</v>
      </c>
      <c r="E9" s="25">
        <v>87.64</v>
      </c>
    </row>
    <row r="10" spans="1:5" x14ac:dyDescent="0.25">
      <c r="A10" s="23">
        <v>500</v>
      </c>
      <c r="B10" s="24">
        <v>35.340000000000003</v>
      </c>
      <c r="C10" s="24">
        <v>6.95</v>
      </c>
      <c r="D10" s="24">
        <v>206.46</v>
      </c>
      <c r="E10" s="25">
        <v>81.34</v>
      </c>
    </row>
    <row r="11" spans="1:5" x14ac:dyDescent="0.25">
      <c r="A11" s="23">
        <v>550</v>
      </c>
      <c r="B11" s="24">
        <v>35.799999999999997</v>
      </c>
      <c r="C11" s="24">
        <v>8.73</v>
      </c>
      <c r="D11" s="24">
        <v>209.85</v>
      </c>
      <c r="E11" s="25">
        <v>76.22</v>
      </c>
    </row>
    <row r="12" spans="1:5" x14ac:dyDescent="0.25">
      <c r="A12" s="23">
        <v>600</v>
      </c>
      <c r="B12" s="24">
        <v>36.29</v>
      </c>
      <c r="C12" s="24">
        <v>10.53</v>
      </c>
      <c r="D12" s="24">
        <v>212.98</v>
      </c>
      <c r="E12" s="25">
        <v>71.989999999999995</v>
      </c>
    </row>
    <row r="13" spans="1:5" x14ac:dyDescent="0.25">
      <c r="A13" s="23">
        <v>650</v>
      </c>
      <c r="B13" s="24">
        <v>36.81</v>
      </c>
      <c r="C13" s="24">
        <v>12.35</v>
      </c>
      <c r="D13" s="24">
        <v>215.91</v>
      </c>
      <c r="E13" s="25">
        <v>68.430000000000007</v>
      </c>
    </row>
    <row r="14" spans="1:5" x14ac:dyDescent="0.25">
      <c r="A14" s="23">
        <v>700</v>
      </c>
      <c r="B14" s="24">
        <v>37.36</v>
      </c>
      <c r="C14" s="24">
        <v>14.21</v>
      </c>
      <c r="D14" s="24">
        <v>218.65</v>
      </c>
      <c r="E14" s="25">
        <v>65.41</v>
      </c>
    </row>
    <row r="15" spans="1:5" x14ac:dyDescent="0.25">
      <c r="A15" s="23">
        <v>750</v>
      </c>
      <c r="B15" s="24">
        <v>37.96</v>
      </c>
      <c r="C15" s="24">
        <v>16.09</v>
      </c>
      <c r="D15" s="24">
        <v>221.25</v>
      </c>
      <c r="E15" s="25">
        <v>62.81</v>
      </c>
    </row>
    <row r="16" spans="1:5" x14ac:dyDescent="0.25">
      <c r="A16" s="23">
        <v>800</v>
      </c>
      <c r="B16" s="24">
        <v>38.590000000000003</v>
      </c>
      <c r="C16" s="24">
        <v>18</v>
      </c>
      <c r="D16" s="24">
        <v>223.72</v>
      </c>
      <c r="E16" s="25">
        <v>60.56</v>
      </c>
    </row>
    <row r="17" spans="1:5" x14ac:dyDescent="0.25">
      <c r="A17" s="23">
        <v>850</v>
      </c>
      <c r="B17" s="24">
        <v>39.25</v>
      </c>
      <c r="C17" s="24">
        <v>19.95</v>
      </c>
      <c r="D17" s="24">
        <v>226.08</v>
      </c>
      <c r="E17" s="25">
        <v>58.59</v>
      </c>
    </row>
    <row r="18" spans="1:5" x14ac:dyDescent="0.25">
      <c r="A18" s="23">
        <v>900</v>
      </c>
      <c r="B18" s="24">
        <v>39.93</v>
      </c>
      <c r="C18" s="24">
        <v>21.93</v>
      </c>
      <c r="D18" s="24">
        <v>228.34</v>
      </c>
      <c r="E18" s="25">
        <v>56.85</v>
      </c>
    </row>
    <row r="19" spans="1:5" x14ac:dyDescent="0.25">
      <c r="A19" s="23">
        <v>950</v>
      </c>
      <c r="B19" s="24">
        <v>40.619999999999997</v>
      </c>
      <c r="C19" s="24">
        <v>23.94</v>
      </c>
      <c r="D19" s="24">
        <v>230.52</v>
      </c>
      <c r="E19" s="25">
        <v>55.31</v>
      </c>
    </row>
    <row r="20" spans="1:5" x14ac:dyDescent="0.25">
      <c r="A20" s="26">
        <v>1000</v>
      </c>
      <c r="B20" s="24">
        <v>41.31</v>
      </c>
      <c r="C20" s="24">
        <v>25.99</v>
      </c>
      <c r="D20" s="24">
        <v>232.62</v>
      </c>
      <c r="E20" s="25">
        <v>53.94</v>
      </c>
    </row>
    <row r="21" spans="1:5" x14ac:dyDescent="0.25">
      <c r="A21" s="26">
        <v>1050</v>
      </c>
      <c r="B21" s="24">
        <v>41.99</v>
      </c>
      <c r="C21" s="24">
        <v>28.07</v>
      </c>
      <c r="D21" s="24">
        <v>234.65</v>
      </c>
      <c r="E21" s="25">
        <v>52.71</v>
      </c>
    </row>
    <row r="22" spans="1:5" x14ac:dyDescent="0.25">
      <c r="A22" s="26">
        <v>1100</v>
      </c>
      <c r="B22" s="24">
        <v>42.64</v>
      </c>
      <c r="C22" s="24">
        <v>30.19</v>
      </c>
      <c r="D22" s="24">
        <v>236.62</v>
      </c>
      <c r="E22" s="25">
        <v>51.6</v>
      </c>
    </row>
    <row r="23" spans="1:5" x14ac:dyDescent="0.25">
      <c r="A23" s="26">
        <v>1150</v>
      </c>
      <c r="B23" s="24">
        <v>43.26</v>
      </c>
      <c r="C23" s="24">
        <v>32.340000000000003</v>
      </c>
      <c r="D23" s="24">
        <v>238.53</v>
      </c>
      <c r="E23" s="25">
        <v>50.6</v>
      </c>
    </row>
    <row r="24" spans="1:5" x14ac:dyDescent="0.25">
      <c r="A24" s="26">
        <v>1200</v>
      </c>
      <c r="B24" s="24">
        <v>43.87</v>
      </c>
      <c r="C24" s="24">
        <v>34.520000000000003</v>
      </c>
      <c r="D24" s="24">
        <v>240.39</v>
      </c>
      <c r="E24" s="25">
        <v>49.69</v>
      </c>
    </row>
    <row r="25" spans="1:5" x14ac:dyDescent="0.25">
      <c r="A25" s="26">
        <v>1250</v>
      </c>
      <c r="B25" s="24">
        <v>44.46</v>
      </c>
      <c r="C25" s="24">
        <v>36.72</v>
      </c>
      <c r="D25" s="24">
        <v>242.19</v>
      </c>
      <c r="E25" s="25">
        <v>48.87</v>
      </c>
    </row>
    <row r="26" spans="1:5" x14ac:dyDescent="0.25">
      <c r="A26" s="26">
        <v>1300</v>
      </c>
      <c r="B26" s="24">
        <v>45.02</v>
      </c>
      <c r="C26" s="24">
        <v>38.96</v>
      </c>
      <c r="D26" s="24">
        <v>243.94</v>
      </c>
      <c r="E26" s="25">
        <v>48.11</v>
      </c>
    </row>
    <row r="27" spans="1:5" x14ac:dyDescent="0.25">
      <c r="A27" s="26">
        <v>1350</v>
      </c>
      <c r="B27" s="24">
        <v>45.57</v>
      </c>
      <c r="C27" s="24">
        <v>41.23</v>
      </c>
      <c r="D27" s="24">
        <v>245.65</v>
      </c>
      <c r="E27" s="25">
        <v>47.42</v>
      </c>
    </row>
    <row r="28" spans="1:5" x14ac:dyDescent="0.25">
      <c r="A28" s="26">
        <v>1400</v>
      </c>
      <c r="B28" s="24">
        <v>46.1</v>
      </c>
      <c r="C28" s="24">
        <v>43.52</v>
      </c>
      <c r="D28" s="24">
        <v>247.32</v>
      </c>
      <c r="E28" s="25">
        <v>46.79</v>
      </c>
    </row>
    <row r="29" spans="1:5" x14ac:dyDescent="0.25">
      <c r="A29" s="26">
        <v>1450</v>
      </c>
      <c r="B29" s="24">
        <v>46.61</v>
      </c>
      <c r="C29" s="24">
        <v>45.84</v>
      </c>
      <c r="D29" s="24">
        <v>248.95</v>
      </c>
      <c r="E29" s="25">
        <v>46.2</v>
      </c>
    </row>
    <row r="30" spans="1:5" x14ac:dyDescent="0.25">
      <c r="A30" s="26">
        <v>1500</v>
      </c>
      <c r="B30" s="24">
        <v>47.1</v>
      </c>
      <c r="C30" s="24">
        <v>48.18</v>
      </c>
      <c r="D30" s="24">
        <v>250.53</v>
      </c>
      <c r="E30" s="25">
        <v>45.66</v>
      </c>
    </row>
    <row r="31" spans="1:5" x14ac:dyDescent="0.25">
      <c r="A31" s="26">
        <v>1550</v>
      </c>
      <c r="B31" s="24">
        <v>47.58</v>
      </c>
      <c r="C31" s="24">
        <v>50.55</v>
      </c>
      <c r="D31" s="24">
        <v>252.09</v>
      </c>
      <c r="E31" s="25">
        <v>45.16</v>
      </c>
    </row>
    <row r="32" spans="1:5" x14ac:dyDescent="0.25">
      <c r="A32" s="26">
        <v>1600</v>
      </c>
      <c r="B32" s="24">
        <v>48.03</v>
      </c>
      <c r="C32" s="24">
        <v>52.94</v>
      </c>
      <c r="D32" s="24">
        <v>253.6</v>
      </c>
      <c r="E32" s="25">
        <v>44.7</v>
      </c>
    </row>
    <row r="33" spans="1:5" x14ac:dyDescent="0.25">
      <c r="A33" s="26">
        <v>1650</v>
      </c>
      <c r="B33" s="24">
        <v>48.47</v>
      </c>
      <c r="C33" s="24">
        <v>55.35</v>
      </c>
      <c r="D33" s="24">
        <v>255.09</v>
      </c>
      <c r="E33" s="25">
        <v>44.28</v>
      </c>
    </row>
    <row r="34" spans="1:5" x14ac:dyDescent="0.25">
      <c r="A34" s="26">
        <v>1700</v>
      </c>
      <c r="B34" s="24">
        <v>48.9</v>
      </c>
      <c r="C34" s="24">
        <v>57.78</v>
      </c>
      <c r="D34" s="24">
        <v>256.54000000000002</v>
      </c>
      <c r="E34" s="25">
        <v>43.88</v>
      </c>
    </row>
    <row r="35" spans="1:5" x14ac:dyDescent="0.25">
      <c r="A35" s="26">
        <v>1750</v>
      </c>
      <c r="B35" s="24">
        <v>49.31</v>
      </c>
      <c r="C35" s="24">
        <v>60.24</v>
      </c>
      <c r="D35" s="24">
        <v>257.97000000000003</v>
      </c>
      <c r="E35" s="25">
        <v>43.51</v>
      </c>
    </row>
    <row r="36" spans="1:5" x14ac:dyDescent="0.25">
      <c r="A36" s="26">
        <v>1800</v>
      </c>
      <c r="B36" s="24">
        <v>49.7</v>
      </c>
      <c r="C36" s="24">
        <v>62.71</v>
      </c>
      <c r="D36" s="24">
        <v>259.36</v>
      </c>
      <c r="E36" s="25">
        <v>43.16</v>
      </c>
    </row>
    <row r="37" spans="1:5" x14ac:dyDescent="0.25">
      <c r="A37" s="26">
        <v>1850</v>
      </c>
      <c r="B37" s="24">
        <v>50.08</v>
      </c>
      <c r="C37" s="24">
        <v>65.209999999999994</v>
      </c>
      <c r="D37" s="24">
        <v>260.73</v>
      </c>
      <c r="E37" s="25">
        <v>42.84</v>
      </c>
    </row>
    <row r="38" spans="1:5" x14ac:dyDescent="0.25">
      <c r="A38" s="26">
        <v>1900</v>
      </c>
      <c r="B38" s="24">
        <v>50.45</v>
      </c>
      <c r="C38" s="24">
        <v>67.72</v>
      </c>
      <c r="D38" s="24">
        <v>262.07</v>
      </c>
      <c r="E38" s="25">
        <v>42.54</v>
      </c>
    </row>
    <row r="39" spans="1:5" x14ac:dyDescent="0.25">
      <c r="A39" s="26">
        <v>1950</v>
      </c>
      <c r="B39" s="24">
        <v>50.8</v>
      </c>
      <c r="C39" s="24">
        <v>70.25</v>
      </c>
      <c r="D39" s="24">
        <v>263.38</v>
      </c>
      <c r="E39" s="25">
        <v>42.26</v>
      </c>
    </row>
    <row r="40" spans="1:5" x14ac:dyDescent="0.25">
      <c r="A40" s="26">
        <v>2000</v>
      </c>
      <c r="B40" s="24">
        <v>51.14</v>
      </c>
      <c r="C40" s="24">
        <v>72.8</v>
      </c>
      <c r="D40" s="24">
        <v>264.67</v>
      </c>
      <c r="E40" s="25">
        <v>42</v>
      </c>
    </row>
    <row r="41" spans="1:5" x14ac:dyDescent="0.25">
      <c r="A41" s="26">
        <v>2050</v>
      </c>
      <c r="B41" s="24">
        <v>51.47</v>
      </c>
      <c r="C41" s="24">
        <v>75.37</v>
      </c>
      <c r="D41" s="24">
        <v>265.94</v>
      </c>
      <c r="E41" s="25">
        <v>41.75</v>
      </c>
    </row>
    <row r="42" spans="1:5" x14ac:dyDescent="0.25">
      <c r="A42" s="26">
        <v>2100</v>
      </c>
      <c r="B42" s="24">
        <v>51.78</v>
      </c>
      <c r="C42" s="24">
        <v>77.95</v>
      </c>
      <c r="D42" s="24">
        <v>267.19</v>
      </c>
      <c r="E42" s="25">
        <v>41.52</v>
      </c>
    </row>
    <row r="43" spans="1:5" x14ac:dyDescent="0.25">
      <c r="A43" s="26">
        <v>2150</v>
      </c>
      <c r="B43" s="24">
        <v>52.08</v>
      </c>
      <c r="C43" s="24">
        <v>80.540000000000006</v>
      </c>
      <c r="D43" s="24">
        <v>268.41000000000003</v>
      </c>
      <c r="E43" s="25">
        <v>41.31</v>
      </c>
    </row>
    <row r="44" spans="1:5" x14ac:dyDescent="0.25">
      <c r="A44" s="26">
        <v>2200</v>
      </c>
      <c r="B44" s="24">
        <v>52.38</v>
      </c>
      <c r="C44" s="24">
        <v>83.16</v>
      </c>
      <c r="D44" s="24">
        <v>269.61</v>
      </c>
      <c r="E44" s="25">
        <v>41.1</v>
      </c>
    </row>
    <row r="45" spans="1:5" x14ac:dyDescent="0.25">
      <c r="A45" s="26">
        <v>2250</v>
      </c>
      <c r="B45" s="24">
        <v>52.66</v>
      </c>
      <c r="C45" s="24">
        <v>85.78</v>
      </c>
      <c r="D45" s="24">
        <v>270.79000000000002</v>
      </c>
      <c r="E45" s="25">
        <v>40.909999999999997</v>
      </c>
    </row>
    <row r="46" spans="1:5" x14ac:dyDescent="0.25">
      <c r="A46" s="26">
        <v>2300</v>
      </c>
      <c r="B46" s="24">
        <v>52.92</v>
      </c>
      <c r="C46" s="24">
        <v>88.42</v>
      </c>
      <c r="D46" s="24">
        <v>271.95</v>
      </c>
      <c r="E46" s="25">
        <v>40.729999999999997</v>
      </c>
    </row>
    <row r="47" spans="1:5" x14ac:dyDescent="0.25">
      <c r="A47" s="26">
        <v>2350</v>
      </c>
      <c r="B47" s="24">
        <v>53.18</v>
      </c>
      <c r="C47" s="24">
        <v>91.07</v>
      </c>
      <c r="D47" s="24">
        <v>273.08999999999997</v>
      </c>
      <c r="E47" s="25">
        <v>40.56</v>
      </c>
    </row>
    <row r="48" spans="1:5" x14ac:dyDescent="0.25">
      <c r="A48" s="26">
        <v>2400</v>
      </c>
      <c r="B48" s="24">
        <v>53.43</v>
      </c>
      <c r="C48" s="24">
        <v>93.74</v>
      </c>
      <c r="D48" s="24">
        <v>274.20999999999998</v>
      </c>
      <c r="E48" s="25">
        <v>40.4</v>
      </c>
    </row>
    <row r="49" spans="1:5" x14ac:dyDescent="0.25">
      <c r="A49" s="26">
        <v>2450</v>
      </c>
      <c r="B49" s="24">
        <v>53.67</v>
      </c>
      <c r="C49" s="24">
        <v>96.42</v>
      </c>
      <c r="D49" s="24">
        <v>275.32</v>
      </c>
      <c r="E49" s="25">
        <v>40.25</v>
      </c>
    </row>
    <row r="50" spans="1:5" x14ac:dyDescent="0.25">
      <c r="A50" s="26">
        <v>2500</v>
      </c>
      <c r="B50" s="24">
        <v>53.9</v>
      </c>
      <c r="C50" s="24">
        <v>99.11</v>
      </c>
      <c r="D50" s="24">
        <v>276.39999999999998</v>
      </c>
      <c r="E50" s="25">
        <v>40.11</v>
      </c>
    </row>
    <row r="51" spans="1:5" x14ac:dyDescent="0.25">
      <c r="A51" s="26">
        <v>2550</v>
      </c>
      <c r="B51" s="24">
        <v>54.12</v>
      </c>
      <c r="C51" s="24">
        <v>101.81</v>
      </c>
      <c r="D51" s="24">
        <v>277.47000000000003</v>
      </c>
      <c r="E51" s="25">
        <v>39.979999999999997</v>
      </c>
    </row>
    <row r="52" spans="1:5" x14ac:dyDescent="0.25">
      <c r="A52" s="26">
        <v>2600</v>
      </c>
      <c r="B52" s="24">
        <v>54.34</v>
      </c>
      <c r="C52" s="24">
        <v>104.52</v>
      </c>
      <c r="D52" s="24">
        <v>278.52999999999997</v>
      </c>
      <c r="E52" s="25">
        <v>39.85</v>
      </c>
    </row>
    <row r="53" spans="1:5" x14ac:dyDescent="0.25">
      <c r="A53" s="26">
        <v>2650</v>
      </c>
      <c r="B53" s="24">
        <v>54.54</v>
      </c>
      <c r="C53" s="24">
        <v>107.24</v>
      </c>
      <c r="D53" s="24">
        <v>279.56</v>
      </c>
      <c r="E53" s="25">
        <v>39.729999999999997</v>
      </c>
    </row>
    <row r="54" spans="1:5" x14ac:dyDescent="0.25">
      <c r="A54" s="26">
        <v>2700</v>
      </c>
      <c r="B54" s="24">
        <v>54.74</v>
      </c>
      <c r="C54" s="24">
        <v>109.97</v>
      </c>
      <c r="D54" s="24">
        <v>280.58</v>
      </c>
      <c r="E54" s="25">
        <v>39.619999999999997</v>
      </c>
    </row>
    <row r="55" spans="1:5" x14ac:dyDescent="0.25">
      <c r="A55" s="26">
        <v>2750</v>
      </c>
      <c r="B55" s="24">
        <v>54.93</v>
      </c>
      <c r="C55" s="24">
        <v>112.72</v>
      </c>
      <c r="D55" s="24">
        <v>281.58999999999997</v>
      </c>
      <c r="E55" s="25">
        <v>39.520000000000003</v>
      </c>
    </row>
    <row r="56" spans="1:5" x14ac:dyDescent="0.25">
      <c r="A56" s="26">
        <v>2800</v>
      </c>
      <c r="B56" s="24">
        <v>55.11</v>
      </c>
      <c r="C56" s="24">
        <v>115.47</v>
      </c>
      <c r="D56" s="24">
        <v>282.58</v>
      </c>
      <c r="E56" s="25">
        <v>39.42</v>
      </c>
    </row>
    <row r="57" spans="1:5" x14ac:dyDescent="0.25">
      <c r="A57" s="26">
        <v>2850</v>
      </c>
      <c r="B57" s="24">
        <v>55.29</v>
      </c>
      <c r="C57" s="24">
        <v>118.23</v>
      </c>
      <c r="D57" s="24">
        <v>283.56</v>
      </c>
      <c r="E57" s="25">
        <v>39.32</v>
      </c>
    </row>
    <row r="58" spans="1:5" x14ac:dyDescent="0.25">
      <c r="A58" s="26">
        <v>2900</v>
      </c>
      <c r="B58" s="24">
        <v>55.46</v>
      </c>
      <c r="C58" s="24">
        <v>120.99</v>
      </c>
      <c r="D58" s="24">
        <v>284.52</v>
      </c>
      <c r="E58" s="25">
        <v>39.229999999999997</v>
      </c>
    </row>
    <row r="59" spans="1:5" x14ac:dyDescent="0.25">
      <c r="A59" s="26">
        <v>2950</v>
      </c>
      <c r="B59" s="24">
        <v>55.62</v>
      </c>
      <c r="C59" s="24">
        <v>123.77</v>
      </c>
      <c r="D59" s="24">
        <v>285.47000000000003</v>
      </c>
      <c r="E59" s="25">
        <v>39.15</v>
      </c>
    </row>
    <row r="60" spans="1:5" x14ac:dyDescent="0.25">
      <c r="A60" s="26">
        <v>3000</v>
      </c>
      <c r="B60" s="24">
        <v>55.78</v>
      </c>
      <c r="C60" s="24">
        <v>126.56</v>
      </c>
      <c r="D60" s="24">
        <v>286.41000000000003</v>
      </c>
      <c r="E60" s="25">
        <v>39.07</v>
      </c>
    </row>
    <row r="61" spans="1:5" x14ac:dyDescent="0.25">
      <c r="A61" s="26">
        <v>3050</v>
      </c>
      <c r="B61" s="24">
        <v>55.93</v>
      </c>
      <c r="C61" s="24">
        <v>129.35</v>
      </c>
      <c r="D61" s="24">
        <v>287.33</v>
      </c>
      <c r="E61" s="25">
        <v>39</v>
      </c>
    </row>
    <row r="62" spans="1:5" x14ac:dyDescent="0.25">
      <c r="A62" s="26">
        <v>3100</v>
      </c>
      <c r="B62" s="24">
        <v>56.07</v>
      </c>
      <c r="C62" s="24">
        <v>132.15</v>
      </c>
      <c r="D62" s="24">
        <v>288.24</v>
      </c>
      <c r="E62" s="25">
        <v>38.92</v>
      </c>
    </row>
    <row r="63" spans="1:5" x14ac:dyDescent="0.25">
      <c r="A63" s="26">
        <v>3150</v>
      </c>
      <c r="B63" s="24">
        <v>56.21</v>
      </c>
      <c r="C63" s="24">
        <v>134.96</v>
      </c>
      <c r="D63" s="24">
        <v>289.14</v>
      </c>
      <c r="E63" s="25">
        <v>38.86</v>
      </c>
    </row>
    <row r="64" spans="1:5" x14ac:dyDescent="0.25">
      <c r="A64" s="26">
        <v>3200</v>
      </c>
      <c r="B64" s="24">
        <v>56.35</v>
      </c>
      <c r="C64" s="24">
        <v>137.77000000000001</v>
      </c>
      <c r="D64" s="24">
        <v>290.02999999999997</v>
      </c>
      <c r="E64" s="25">
        <v>38.799999999999997</v>
      </c>
    </row>
    <row r="65" spans="1:5" x14ac:dyDescent="0.25">
      <c r="A65" s="26">
        <v>3250</v>
      </c>
      <c r="B65" s="24">
        <v>56.48</v>
      </c>
      <c r="C65" s="24">
        <v>140.59</v>
      </c>
      <c r="D65" s="24">
        <v>290.89999999999998</v>
      </c>
      <c r="E65" s="25">
        <v>38.74</v>
      </c>
    </row>
    <row r="66" spans="1:5" x14ac:dyDescent="0.25">
      <c r="A66" s="26">
        <v>3300</v>
      </c>
      <c r="B66" s="24">
        <v>56.61</v>
      </c>
      <c r="C66" s="24">
        <v>143.41999999999999</v>
      </c>
      <c r="D66" s="24">
        <v>291.76</v>
      </c>
      <c r="E66" s="25">
        <v>38.68</v>
      </c>
    </row>
    <row r="67" spans="1:5" x14ac:dyDescent="0.25">
      <c r="A67" s="26">
        <v>3350</v>
      </c>
      <c r="B67" s="24">
        <v>56.73</v>
      </c>
      <c r="C67" s="24">
        <v>146.25</v>
      </c>
      <c r="D67" s="24">
        <v>292.62</v>
      </c>
      <c r="E67" s="25">
        <v>38.630000000000003</v>
      </c>
    </row>
    <row r="68" spans="1:5" x14ac:dyDescent="0.25">
      <c r="A68" s="26">
        <v>3400</v>
      </c>
      <c r="B68" s="24">
        <v>56.85</v>
      </c>
      <c r="C68" s="24">
        <v>149.09</v>
      </c>
      <c r="D68" s="24">
        <v>293.45999999999998</v>
      </c>
      <c r="E68" s="25">
        <v>38.58</v>
      </c>
    </row>
    <row r="69" spans="1:5" x14ac:dyDescent="0.25">
      <c r="A69" s="26">
        <v>3450</v>
      </c>
      <c r="B69" s="24">
        <v>56.96</v>
      </c>
      <c r="C69" s="24">
        <v>151.94</v>
      </c>
      <c r="D69" s="24">
        <v>294.29000000000002</v>
      </c>
      <c r="E69" s="25">
        <v>38.53</v>
      </c>
    </row>
    <row r="70" spans="1:5" ht="15.75" thickBot="1" x14ac:dyDescent="0.3">
      <c r="A70" s="27">
        <v>3500</v>
      </c>
      <c r="B70" s="28">
        <v>57.07</v>
      </c>
      <c r="C70" s="28">
        <v>154.79</v>
      </c>
      <c r="D70" s="28">
        <v>295.11</v>
      </c>
      <c r="E70" s="29">
        <v>38.49</v>
      </c>
    </row>
  </sheetData>
  <mergeCells count="1">
    <mergeCell ref="A1:E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0"/>
  <sheetViews>
    <sheetView workbookViewId="0">
      <selection activeCell="K21" sqref="K21"/>
    </sheetView>
  </sheetViews>
  <sheetFormatPr defaultColWidth="8.85546875" defaultRowHeight="15" x14ac:dyDescent="0.25"/>
  <sheetData>
    <row r="1" spans="1:5" ht="15.75" thickBot="1" x14ac:dyDescent="0.3">
      <c r="A1" s="209" t="s">
        <v>8</v>
      </c>
      <c r="B1" s="210"/>
      <c r="C1" s="210"/>
      <c r="D1" s="210"/>
      <c r="E1" s="211"/>
    </row>
    <row r="2" spans="1:5" ht="30.75" thickBot="1" x14ac:dyDescent="0.3">
      <c r="A2" s="1" t="s">
        <v>2</v>
      </c>
      <c r="B2" s="2" t="s">
        <v>3</v>
      </c>
      <c r="C2" s="2" t="s">
        <v>4</v>
      </c>
      <c r="D2" s="2" t="s">
        <v>5</v>
      </c>
      <c r="E2" s="3" t="s">
        <v>6</v>
      </c>
    </row>
    <row r="3" spans="1:5" x14ac:dyDescent="0.25">
      <c r="A3" s="20">
        <v>200</v>
      </c>
      <c r="B3" s="21">
        <v>28.47</v>
      </c>
      <c r="C3" s="21">
        <v>2.84</v>
      </c>
      <c r="D3" s="21">
        <v>193.51</v>
      </c>
      <c r="E3" s="22">
        <v>24.98</v>
      </c>
    </row>
    <row r="4" spans="1:5" x14ac:dyDescent="0.25">
      <c r="A4" s="23">
        <v>250</v>
      </c>
      <c r="B4" s="24">
        <v>28.9</v>
      </c>
      <c r="C4" s="24">
        <v>1.4</v>
      </c>
      <c r="D4" s="24">
        <v>199.91</v>
      </c>
      <c r="E4" s="25">
        <v>24.72</v>
      </c>
    </row>
    <row r="5" spans="1:5" x14ac:dyDescent="0.25">
      <c r="A5" s="23">
        <v>298</v>
      </c>
      <c r="B5" s="24">
        <v>29.31</v>
      </c>
      <c r="C5" s="24">
        <v>0</v>
      </c>
      <c r="D5" s="24">
        <v>205.03</v>
      </c>
      <c r="E5" s="25">
        <v>24.66</v>
      </c>
    </row>
    <row r="6" spans="1:5" x14ac:dyDescent="0.25">
      <c r="A6" s="23">
        <v>300</v>
      </c>
      <c r="B6" s="24">
        <v>29.33</v>
      </c>
      <c r="C6" s="24">
        <v>0.05</v>
      </c>
      <c r="D6" s="24">
        <v>205.21</v>
      </c>
      <c r="E6" s="25">
        <v>24.66</v>
      </c>
    </row>
    <row r="7" spans="1:5" x14ac:dyDescent="0.25">
      <c r="A7" s="23">
        <v>350</v>
      </c>
      <c r="B7" s="24">
        <v>29.77</v>
      </c>
      <c r="C7" s="24">
        <v>1.53</v>
      </c>
      <c r="D7" s="24">
        <v>209.77</v>
      </c>
      <c r="E7" s="25">
        <v>24.7</v>
      </c>
    </row>
    <row r="8" spans="1:5" x14ac:dyDescent="0.25">
      <c r="A8" s="23">
        <v>400</v>
      </c>
      <c r="B8" s="24">
        <v>30.21</v>
      </c>
      <c r="C8" s="24">
        <v>3.03</v>
      </c>
      <c r="D8" s="24">
        <v>213.77</v>
      </c>
      <c r="E8" s="25">
        <v>24.8</v>
      </c>
    </row>
    <row r="9" spans="1:5" x14ac:dyDescent="0.25">
      <c r="A9" s="23">
        <v>450</v>
      </c>
      <c r="B9" s="24">
        <v>30.66</v>
      </c>
      <c r="C9" s="24">
        <v>4.55</v>
      </c>
      <c r="D9" s="24">
        <v>217.36</v>
      </c>
      <c r="E9" s="25">
        <v>24.93</v>
      </c>
    </row>
    <row r="10" spans="1:5" x14ac:dyDescent="0.25">
      <c r="A10" s="23">
        <v>500</v>
      </c>
      <c r="B10" s="24">
        <v>31.11</v>
      </c>
      <c r="C10" s="24">
        <v>6.1</v>
      </c>
      <c r="D10" s="24">
        <v>220.61</v>
      </c>
      <c r="E10" s="25">
        <v>25.07</v>
      </c>
    </row>
    <row r="11" spans="1:5" x14ac:dyDescent="0.25">
      <c r="A11" s="23">
        <v>550</v>
      </c>
      <c r="B11" s="24">
        <v>31.57</v>
      </c>
      <c r="C11" s="24">
        <v>7.66</v>
      </c>
      <c r="D11" s="24">
        <v>223.6</v>
      </c>
      <c r="E11" s="25">
        <v>25.22</v>
      </c>
    </row>
    <row r="12" spans="1:5" x14ac:dyDescent="0.25">
      <c r="A12" s="23">
        <v>600</v>
      </c>
      <c r="B12" s="24">
        <v>32.03</v>
      </c>
      <c r="C12" s="24">
        <v>9.25</v>
      </c>
      <c r="D12" s="24">
        <v>226.36</v>
      </c>
      <c r="E12" s="25">
        <v>25.37</v>
      </c>
    </row>
    <row r="13" spans="1:5" x14ac:dyDescent="0.25">
      <c r="A13" s="23">
        <v>650</v>
      </c>
      <c r="B13" s="24">
        <v>32.479999999999997</v>
      </c>
      <c r="C13" s="24">
        <v>10.87</v>
      </c>
      <c r="D13" s="24">
        <v>228.94</v>
      </c>
      <c r="E13" s="25">
        <v>25.53</v>
      </c>
    </row>
    <row r="14" spans="1:5" x14ac:dyDescent="0.25">
      <c r="A14" s="23">
        <v>700</v>
      </c>
      <c r="B14" s="24">
        <v>32.93</v>
      </c>
      <c r="C14" s="24">
        <v>12.5</v>
      </c>
      <c r="D14" s="24">
        <v>231.37</v>
      </c>
      <c r="E14" s="25">
        <v>25.68</v>
      </c>
    </row>
    <row r="15" spans="1:5" x14ac:dyDescent="0.25">
      <c r="A15" s="23">
        <v>750</v>
      </c>
      <c r="B15" s="24">
        <v>33.35</v>
      </c>
      <c r="C15" s="24">
        <v>14.16</v>
      </c>
      <c r="D15" s="24">
        <v>233.65</v>
      </c>
      <c r="E15" s="25">
        <v>25.83</v>
      </c>
    </row>
    <row r="16" spans="1:5" x14ac:dyDescent="0.25">
      <c r="A16" s="23">
        <v>800</v>
      </c>
      <c r="B16" s="24">
        <v>33.76</v>
      </c>
      <c r="C16" s="24">
        <v>15.84</v>
      </c>
      <c r="D16" s="24">
        <v>235.82</v>
      </c>
      <c r="E16" s="25">
        <v>25.98</v>
      </c>
    </row>
    <row r="17" spans="1:5" x14ac:dyDescent="0.25">
      <c r="A17" s="23">
        <v>850</v>
      </c>
      <c r="B17" s="24">
        <v>34.130000000000003</v>
      </c>
      <c r="C17" s="24">
        <v>17.53</v>
      </c>
      <c r="D17" s="24">
        <v>237.88</v>
      </c>
      <c r="E17" s="25">
        <v>26.13</v>
      </c>
    </row>
    <row r="18" spans="1:5" x14ac:dyDescent="0.25">
      <c r="A18" s="23">
        <v>900</v>
      </c>
      <c r="B18" s="24">
        <v>34.450000000000003</v>
      </c>
      <c r="C18" s="24">
        <v>19.25</v>
      </c>
      <c r="D18" s="24">
        <v>239.84</v>
      </c>
      <c r="E18" s="25">
        <v>26.28</v>
      </c>
    </row>
    <row r="19" spans="1:5" x14ac:dyDescent="0.25">
      <c r="A19" s="23">
        <v>950</v>
      </c>
      <c r="B19" s="24">
        <v>34.729999999999997</v>
      </c>
      <c r="C19" s="24">
        <v>20.98</v>
      </c>
      <c r="D19" s="24">
        <v>241.71</v>
      </c>
      <c r="E19" s="25">
        <v>26.42</v>
      </c>
    </row>
    <row r="20" spans="1:5" x14ac:dyDescent="0.25">
      <c r="A20" s="26">
        <v>1000</v>
      </c>
      <c r="B20" s="24">
        <v>34.93</v>
      </c>
      <c r="C20" s="24">
        <v>22.72</v>
      </c>
      <c r="D20" s="24">
        <v>243.49</v>
      </c>
      <c r="E20" s="25">
        <v>26.55</v>
      </c>
    </row>
    <row r="21" spans="1:5" x14ac:dyDescent="0.25">
      <c r="A21" s="26">
        <v>1050</v>
      </c>
      <c r="B21" s="24">
        <v>35.1</v>
      </c>
      <c r="C21" s="24">
        <v>24.47</v>
      </c>
      <c r="D21" s="24">
        <v>245.2</v>
      </c>
      <c r="E21" s="25">
        <v>26.69</v>
      </c>
    </row>
    <row r="22" spans="1:5" x14ac:dyDescent="0.25">
      <c r="A22" s="26">
        <v>1100</v>
      </c>
      <c r="B22" s="24">
        <v>35.270000000000003</v>
      </c>
      <c r="C22" s="24">
        <v>26.23</v>
      </c>
      <c r="D22" s="24">
        <v>246.84</v>
      </c>
      <c r="E22" s="25">
        <v>26.82</v>
      </c>
    </row>
    <row r="23" spans="1:5" x14ac:dyDescent="0.25">
      <c r="A23" s="26">
        <v>1150</v>
      </c>
      <c r="B23" s="24">
        <v>35.43</v>
      </c>
      <c r="C23" s="24">
        <v>28</v>
      </c>
      <c r="D23" s="24">
        <v>248.41</v>
      </c>
      <c r="E23" s="25">
        <v>26.95</v>
      </c>
    </row>
    <row r="24" spans="1:5" x14ac:dyDescent="0.25">
      <c r="A24" s="26">
        <v>1200</v>
      </c>
      <c r="B24" s="24">
        <v>35.590000000000003</v>
      </c>
      <c r="C24" s="24">
        <v>29.77</v>
      </c>
      <c r="D24" s="24">
        <v>249.92</v>
      </c>
      <c r="E24" s="25">
        <v>27.08</v>
      </c>
    </row>
    <row r="25" spans="1:5" x14ac:dyDescent="0.25">
      <c r="A25" s="26">
        <v>1250</v>
      </c>
      <c r="B25" s="24">
        <v>35.75</v>
      </c>
      <c r="C25" s="24">
        <v>31.56</v>
      </c>
      <c r="D25" s="24">
        <v>251.38</v>
      </c>
      <c r="E25" s="25">
        <v>27.2</v>
      </c>
    </row>
    <row r="26" spans="1:5" x14ac:dyDescent="0.25">
      <c r="A26" s="26">
        <v>1300</v>
      </c>
      <c r="B26" s="24">
        <v>35.9</v>
      </c>
      <c r="C26" s="24">
        <v>33.35</v>
      </c>
      <c r="D26" s="24">
        <v>252.78</v>
      </c>
      <c r="E26" s="25">
        <v>27.32</v>
      </c>
    </row>
    <row r="27" spans="1:5" x14ac:dyDescent="0.25">
      <c r="A27" s="26">
        <v>1350</v>
      </c>
      <c r="B27" s="24">
        <v>36.049999999999997</v>
      </c>
      <c r="C27" s="24">
        <v>35.15</v>
      </c>
      <c r="D27" s="24">
        <v>254.14</v>
      </c>
      <c r="E27" s="25">
        <v>27.44</v>
      </c>
    </row>
    <row r="28" spans="1:5" x14ac:dyDescent="0.25">
      <c r="A28" s="26">
        <v>1400</v>
      </c>
      <c r="B28" s="24">
        <v>36.200000000000003</v>
      </c>
      <c r="C28" s="24">
        <v>36.950000000000003</v>
      </c>
      <c r="D28" s="24">
        <v>255.46</v>
      </c>
      <c r="E28" s="25">
        <v>27.55</v>
      </c>
    </row>
    <row r="29" spans="1:5" x14ac:dyDescent="0.25">
      <c r="A29" s="26">
        <v>1450</v>
      </c>
      <c r="B29" s="24">
        <v>36.35</v>
      </c>
      <c r="C29" s="24">
        <v>38.770000000000003</v>
      </c>
      <c r="D29" s="24">
        <v>256.73</v>
      </c>
      <c r="E29" s="25">
        <v>27.66</v>
      </c>
    </row>
    <row r="30" spans="1:5" x14ac:dyDescent="0.25">
      <c r="A30" s="26">
        <v>1500</v>
      </c>
      <c r="B30" s="24">
        <v>36.49</v>
      </c>
      <c r="C30" s="24">
        <v>40.590000000000003</v>
      </c>
      <c r="D30" s="24">
        <v>257.95999999999998</v>
      </c>
      <c r="E30" s="25">
        <v>27.77</v>
      </c>
    </row>
    <row r="31" spans="1:5" x14ac:dyDescent="0.25">
      <c r="A31" s="26">
        <v>1550</v>
      </c>
      <c r="B31" s="24">
        <v>36.630000000000003</v>
      </c>
      <c r="C31" s="24">
        <v>42.42</v>
      </c>
      <c r="D31" s="24">
        <v>259.16000000000003</v>
      </c>
      <c r="E31" s="25">
        <v>27.88</v>
      </c>
    </row>
    <row r="32" spans="1:5" x14ac:dyDescent="0.25">
      <c r="A32" s="26">
        <v>1600</v>
      </c>
      <c r="B32" s="24">
        <v>36.770000000000003</v>
      </c>
      <c r="C32" s="24">
        <v>44.25</v>
      </c>
      <c r="D32" s="24">
        <v>260.33</v>
      </c>
      <c r="E32" s="25">
        <v>27.99</v>
      </c>
    </row>
    <row r="33" spans="1:5" x14ac:dyDescent="0.25">
      <c r="A33" s="26">
        <v>1650</v>
      </c>
      <c r="B33" s="24">
        <v>36.9</v>
      </c>
      <c r="C33" s="24">
        <v>46.09</v>
      </c>
      <c r="D33" s="24">
        <v>261.45999999999998</v>
      </c>
      <c r="E33" s="25">
        <v>28.09</v>
      </c>
    </row>
    <row r="34" spans="1:5" x14ac:dyDescent="0.25">
      <c r="A34" s="26">
        <v>1700</v>
      </c>
      <c r="B34" s="24">
        <v>37.03</v>
      </c>
      <c r="C34" s="24">
        <v>47.94</v>
      </c>
      <c r="D34" s="24">
        <v>262.56</v>
      </c>
      <c r="E34" s="25">
        <v>28.19</v>
      </c>
    </row>
    <row r="35" spans="1:5" x14ac:dyDescent="0.25">
      <c r="A35" s="26">
        <v>1750</v>
      </c>
      <c r="B35" s="24">
        <v>37.17</v>
      </c>
      <c r="C35" s="24">
        <v>49.8</v>
      </c>
      <c r="D35" s="24">
        <v>263.64</v>
      </c>
      <c r="E35" s="25">
        <v>28.29</v>
      </c>
    </row>
    <row r="36" spans="1:5" x14ac:dyDescent="0.25">
      <c r="A36" s="26">
        <v>1800</v>
      </c>
      <c r="B36" s="24">
        <v>37.29</v>
      </c>
      <c r="C36" s="24">
        <v>51.66</v>
      </c>
      <c r="D36" s="24">
        <v>264.69</v>
      </c>
      <c r="E36" s="25">
        <v>28.38</v>
      </c>
    </row>
    <row r="37" spans="1:5" x14ac:dyDescent="0.25">
      <c r="A37" s="26">
        <v>1850</v>
      </c>
      <c r="B37" s="24">
        <v>37.42</v>
      </c>
      <c r="C37" s="24">
        <v>53.53</v>
      </c>
      <c r="D37" s="24">
        <v>265.70999999999998</v>
      </c>
      <c r="E37" s="25">
        <v>28.48</v>
      </c>
    </row>
    <row r="38" spans="1:5" x14ac:dyDescent="0.25">
      <c r="A38" s="26">
        <v>1900</v>
      </c>
      <c r="B38" s="24">
        <v>37.54</v>
      </c>
      <c r="C38" s="24">
        <v>55.4</v>
      </c>
      <c r="D38" s="24">
        <v>266.70999999999998</v>
      </c>
      <c r="E38" s="25">
        <v>28.57</v>
      </c>
    </row>
    <row r="39" spans="1:5" x14ac:dyDescent="0.25">
      <c r="A39" s="26">
        <v>1950</v>
      </c>
      <c r="B39" s="24">
        <v>37.67</v>
      </c>
      <c r="C39" s="24">
        <v>57.28</v>
      </c>
      <c r="D39" s="24">
        <v>267.69</v>
      </c>
      <c r="E39" s="25">
        <v>28.66</v>
      </c>
    </row>
    <row r="40" spans="1:5" x14ac:dyDescent="0.25">
      <c r="A40" s="26">
        <v>2000</v>
      </c>
      <c r="B40" s="24">
        <v>37.79</v>
      </c>
      <c r="C40" s="24">
        <v>59.17</v>
      </c>
      <c r="D40" s="24">
        <v>268.64</v>
      </c>
      <c r="E40" s="25">
        <v>28.75</v>
      </c>
    </row>
    <row r="41" spans="1:5" x14ac:dyDescent="0.25">
      <c r="A41" s="26">
        <v>2050</v>
      </c>
      <c r="B41" s="24">
        <v>37.9</v>
      </c>
      <c r="C41" s="24">
        <v>61.06</v>
      </c>
      <c r="D41" s="24">
        <v>269.58</v>
      </c>
      <c r="E41" s="25">
        <v>28.84</v>
      </c>
    </row>
    <row r="42" spans="1:5" x14ac:dyDescent="0.25">
      <c r="A42" s="26">
        <v>2100</v>
      </c>
      <c r="B42" s="24">
        <v>38.020000000000003</v>
      </c>
      <c r="C42" s="24">
        <v>62.96</v>
      </c>
      <c r="D42" s="24">
        <v>270.49</v>
      </c>
      <c r="E42" s="25">
        <v>28.93</v>
      </c>
    </row>
    <row r="43" spans="1:5" x14ac:dyDescent="0.25">
      <c r="A43" s="26">
        <v>2150</v>
      </c>
      <c r="B43" s="24">
        <v>38.14</v>
      </c>
      <c r="C43" s="24">
        <v>64.86</v>
      </c>
      <c r="D43" s="24">
        <v>271.39</v>
      </c>
      <c r="E43" s="25">
        <v>29.01</v>
      </c>
    </row>
    <row r="44" spans="1:5" x14ac:dyDescent="0.25">
      <c r="A44" s="26">
        <v>2200</v>
      </c>
      <c r="B44" s="24">
        <v>38.25</v>
      </c>
      <c r="C44" s="24">
        <v>66.77</v>
      </c>
      <c r="D44" s="24">
        <v>272.27</v>
      </c>
      <c r="E44" s="25">
        <v>29.1</v>
      </c>
    </row>
    <row r="45" spans="1:5" x14ac:dyDescent="0.25">
      <c r="A45" s="26">
        <v>2250</v>
      </c>
      <c r="B45" s="24">
        <v>38.36</v>
      </c>
      <c r="C45" s="24">
        <v>68.69</v>
      </c>
      <c r="D45" s="24">
        <v>273.13</v>
      </c>
      <c r="E45" s="25">
        <v>29.18</v>
      </c>
    </row>
    <row r="46" spans="1:5" x14ac:dyDescent="0.25">
      <c r="A46" s="26">
        <v>2300</v>
      </c>
      <c r="B46" s="24">
        <v>38.47</v>
      </c>
      <c r="C46" s="24">
        <v>70.61</v>
      </c>
      <c r="D46" s="24">
        <v>273.97000000000003</v>
      </c>
      <c r="E46" s="25">
        <v>29.26</v>
      </c>
    </row>
    <row r="47" spans="1:5" x14ac:dyDescent="0.25">
      <c r="A47" s="26">
        <v>2350</v>
      </c>
      <c r="B47" s="24">
        <v>38.58</v>
      </c>
      <c r="C47" s="24">
        <v>72.53</v>
      </c>
      <c r="D47" s="24">
        <v>274.8</v>
      </c>
      <c r="E47" s="25">
        <v>29.34</v>
      </c>
    </row>
    <row r="48" spans="1:5" x14ac:dyDescent="0.25">
      <c r="A48" s="26">
        <v>2400</v>
      </c>
      <c r="B48" s="24">
        <v>38.68</v>
      </c>
      <c r="C48" s="24">
        <v>74.459999999999994</v>
      </c>
      <c r="D48" s="24">
        <v>275.61</v>
      </c>
      <c r="E48" s="25">
        <v>29.42</v>
      </c>
    </row>
    <row r="49" spans="1:5" x14ac:dyDescent="0.25">
      <c r="A49" s="26">
        <v>2450</v>
      </c>
      <c r="B49" s="24">
        <v>38.79</v>
      </c>
      <c r="C49" s="24">
        <v>76.400000000000006</v>
      </c>
      <c r="D49" s="24">
        <v>276.41000000000003</v>
      </c>
      <c r="E49" s="25">
        <v>29.5</v>
      </c>
    </row>
    <row r="50" spans="1:5" x14ac:dyDescent="0.25">
      <c r="A50" s="26">
        <v>2500</v>
      </c>
      <c r="B50" s="24">
        <v>38.89</v>
      </c>
      <c r="C50" s="24">
        <v>78.34</v>
      </c>
      <c r="D50" s="24">
        <v>277.2</v>
      </c>
      <c r="E50" s="25">
        <v>29.57</v>
      </c>
    </row>
    <row r="51" spans="1:5" x14ac:dyDescent="0.25">
      <c r="A51" s="26">
        <v>2550</v>
      </c>
      <c r="B51" s="24">
        <v>38.99</v>
      </c>
      <c r="C51" s="24">
        <v>80.290000000000006</v>
      </c>
      <c r="D51" s="24">
        <v>277.97000000000003</v>
      </c>
      <c r="E51" s="25">
        <v>29.65</v>
      </c>
    </row>
    <row r="52" spans="1:5" x14ac:dyDescent="0.25">
      <c r="A52" s="26">
        <v>2600</v>
      </c>
      <c r="B52" s="24">
        <v>39.090000000000003</v>
      </c>
      <c r="C52" s="24">
        <v>82.24</v>
      </c>
      <c r="D52" s="24">
        <v>278.73</v>
      </c>
      <c r="E52" s="25">
        <v>29.72</v>
      </c>
    </row>
    <row r="53" spans="1:5" x14ac:dyDescent="0.25">
      <c r="A53" s="26">
        <v>2650</v>
      </c>
      <c r="B53" s="24">
        <v>39.19</v>
      </c>
      <c r="C53" s="24">
        <v>84.2</v>
      </c>
      <c r="D53" s="24">
        <v>279.47000000000003</v>
      </c>
      <c r="E53" s="25">
        <v>29.79</v>
      </c>
    </row>
    <row r="54" spans="1:5" x14ac:dyDescent="0.25">
      <c r="A54" s="26">
        <v>2700</v>
      </c>
      <c r="B54" s="24">
        <v>39.29</v>
      </c>
      <c r="C54" s="24">
        <v>86.16</v>
      </c>
      <c r="D54" s="24">
        <v>280.2</v>
      </c>
      <c r="E54" s="25">
        <v>29.86</v>
      </c>
    </row>
    <row r="55" spans="1:5" x14ac:dyDescent="0.25">
      <c r="A55" s="26">
        <v>2750</v>
      </c>
      <c r="B55" s="24">
        <v>39.380000000000003</v>
      </c>
      <c r="C55" s="24">
        <v>88.13</v>
      </c>
      <c r="D55" s="24">
        <v>280.93</v>
      </c>
      <c r="E55" s="25">
        <v>29.94</v>
      </c>
    </row>
    <row r="56" spans="1:5" x14ac:dyDescent="0.25">
      <c r="A56" s="26">
        <v>2800</v>
      </c>
      <c r="B56" s="24">
        <v>39.479999999999997</v>
      </c>
      <c r="C56" s="24">
        <v>90.1</v>
      </c>
      <c r="D56" s="24">
        <v>281.64</v>
      </c>
      <c r="E56" s="25">
        <v>30</v>
      </c>
    </row>
    <row r="57" spans="1:5" x14ac:dyDescent="0.25">
      <c r="A57" s="26">
        <v>2850</v>
      </c>
      <c r="B57" s="24">
        <v>39.57</v>
      </c>
      <c r="C57" s="24">
        <v>92.07</v>
      </c>
      <c r="D57" s="24">
        <v>282.33999999999997</v>
      </c>
      <c r="E57" s="25">
        <v>30.07</v>
      </c>
    </row>
    <row r="58" spans="1:5" x14ac:dyDescent="0.25">
      <c r="A58" s="26">
        <v>2900</v>
      </c>
      <c r="B58" s="24">
        <v>39.659999999999997</v>
      </c>
      <c r="C58" s="24">
        <v>94.06</v>
      </c>
      <c r="D58" s="24">
        <v>283.02999999999997</v>
      </c>
      <c r="E58" s="25">
        <v>30.14</v>
      </c>
    </row>
    <row r="59" spans="1:5" x14ac:dyDescent="0.25">
      <c r="A59" s="26">
        <v>2950</v>
      </c>
      <c r="B59" s="24">
        <v>39.75</v>
      </c>
      <c r="C59" s="24">
        <v>96.04</v>
      </c>
      <c r="D59" s="24">
        <v>283.7</v>
      </c>
      <c r="E59" s="25">
        <v>30.21</v>
      </c>
    </row>
    <row r="60" spans="1:5" x14ac:dyDescent="0.25">
      <c r="A60" s="26">
        <v>3000</v>
      </c>
      <c r="B60" s="24">
        <v>39.840000000000003</v>
      </c>
      <c r="C60" s="24">
        <v>98.03</v>
      </c>
      <c r="D60" s="24">
        <v>284.37</v>
      </c>
      <c r="E60" s="25">
        <v>30.27</v>
      </c>
    </row>
    <row r="61" spans="1:5" x14ac:dyDescent="0.25">
      <c r="A61" s="26">
        <v>3050</v>
      </c>
      <c r="B61" s="24">
        <v>39.93</v>
      </c>
      <c r="C61" s="24">
        <v>100.03</v>
      </c>
      <c r="D61" s="24">
        <v>285.02999999999997</v>
      </c>
      <c r="E61" s="25">
        <v>30.34</v>
      </c>
    </row>
    <row r="62" spans="1:5" x14ac:dyDescent="0.25">
      <c r="A62" s="26">
        <v>3100</v>
      </c>
      <c r="B62" s="24">
        <v>40.020000000000003</v>
      </c>
      <c r="C62" s="24">
        <v>102.02</v>
      </c>
      <c r="D62" s="24">
        <v>285.68</v>
      </c>
      <c r="E62" s="25">
        <v>30.4</v>
      </c>
    </row>
    <row r="63" spans="1:5" x14ac:dyDescent="0.25">
      <c r="A63" s="26">
        <v>3150</v>
      </c>
      <c r="B63" s="24">
        <v>40.11</v>
      </c>
      <c r="C63" s="24">
        <v>104.03</v>
      </c>
      <c r="D63" s="24">
        <v>286.32</v>
      </c>
      <c r="E63" s="25">
        <v>30.47</v>
      </c>
    </row>
    <row r="64" spans="1:5" x14ac:dyDescent="0.25">
      <c r="A64" s="26">
        <v>3200</v>
      </c>
      <c r="B64" s="24">
        <v>40.19</v>
      </c>
      <c r="C64" s="24">
        <v>106.03</v>
      </c>
      <c r="D64" s="24">
        <v>286.95999999999998</v>
      </c>
      <c r="E64" s="25">
        <v>30.53</v>
      </c>
    </row>
    <row r="65" spans="1:5" x14ac:dyDescent="0.25">
      <c r="A65" s="26">
        <v>3250</v>
      </c>
      <c r="B65" s="24">
        <v>40.28</v>
      </c>
      <c r="C65" s="24">
        <v>108.05</v>
      </c>
      <c r="D65" s="24">
        <v>287.58</v>
      </c>
      <c r="E65" s="25">
        <v>30.59</v>
      </c>
    </row>
    <row r="66" spans="1:5" x14ac:dyDescent="0.25">
      <c r="A66" s="26">
        <v>3300</v>
      </c>
      <c r="B66" s="24">
        <v>40.36</v>
      </c>
      <c r="C66" s="24">
        <v>110.06</v>
      </c>
      <c r="D66" s="24">
        <v>288.2</v>
      </c>
      <c r="E66" s="25">
        <v>30.65</v>
      </c>
    </row>
    <row r="67" spans="1:5" x14ac:dyDescent="0.25">
      <c r="A67" s="26">
        <v>3350</v>
      </c>
      <c r="B67" s="24">
        <v>40.44</v>
      </c>
      <c r="C67" s="24">
        <v>112.08</v>
      </c>
      <c r="D67" s="24">
        <v>288.8</v>
      </c>
      <c r="E67" s="25">
        <v>30.71</v>
      </c>
    </row>
    <row r="68" spans="1:5" x14ac:dyDescent="0.25">
      <c r="A68" s="26">
        <v>3400</v>
      </c>
      <c r="B68" s="24">
        <v>40.520000000000003</v>
      </c>
      <c r="C68" s="24">
        <v>114.11</v>
      </c>
      <c r="D68" s="24">
        <v>289.39999999999998</v>
      </c>
      <c r="E68" s="25">
        <v>30.77</v>
      </c>
    </row>
    <row r="69" spans="1:5" x14ac:dyDescent="0.25">
      <c r="A69" s="26">
        <v>3450</v>
      </c>
      <c r="B69" s="24">
        <v>40.6</v>
      </c>
      <c r="C69" s="24">
        <v>116.13</v>
      </c>
      <c r="D69" s="24">
        <v>290</v>
      </c>
      <c r="E69" s="25">
        <v>30.83</v>
      </c>
    </row>
    <row r="70" spans="1:5" ht="15.75" thickBot="1" x14ac:dyDescent="0.3">
      <c r="A70" s="27">
        <v>3500</v>
      </c>
      <c r="B70" s="28">
        <v>40.68</v>
      </c>
      <c r="C70" s="28">
        <v>118.17</v>
      </c>
      <c r="D70" s="28">
        <v>290.58</v>
      </c>
      <c r="E70" s="29">
        <v>30.89</v>
      </c>
    </row>
  </sheetData>
  <mergeCells count="1">
    <mergeCell ref="A1:E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0"/>
  <sheetViews>
    <sheetView workbookViewId="0">
      <selection activeCell="S19" sqref="S19"/>
    </sheetView>
  </sheetViews>
  <sheetFormatPr defaultColWidth="8.85546875" defaultRowHeight="15" x14ac:dyDescent="0.25"/>
  <sheetData>
    <row r="1" spans="1:5" ht="15.75" thickBot="1" x14ac:dyDescent="0.3">
      <c r="A1" s="206" t="s">
        <v>7</v>
      </c>
      <c r="B1" s="207"/>
      <c r="C1" s="207"/>
      <c r="D1" s="207"/>
      <c r="E1" s="208"/>
    </row>
    <row r="2" spans="1:5" ht="45.75" thickBot="1" x14ac:dyDescent="0.3">
      <c r="A2" s="1" t="s">
        <v>2</v>
      </c>
      <c r="B2" s="2" t="s">
        <v>12</v>
      </c>
      <c r="C2" s="2" t="s">
        <v>11</v>
      </c>
      <c r="D2" s="2" t="s">
        <v>5</v>
      </c>
      <c r="E2" s="3" t="s">
        <v>6</v>
      </c>
    </row>
    <row r="3" spans="1:5" x14ac:dyDescent="0.25">
      <c r="A3" s="20">
        <v>200</v>
      </c>
      <c r="B3" s="21">
        <v>28.79</v>
      </c>
      <c r="C3" s="21">
        <v>2.84</v>
      </c>
      <c r="D3" s="21">
        <v>179.95</v>
      </c>
      <c r="E3" s="22">
        <v>23.35</v>
      </c>
    </row>
    <row r="4" spans="1:5" x14ac:dyDescent="0.25">
      <c r="A4" s="23">
        <v>250</v>
      </c>
      <c r="B4" s="24">
        <v>28.95</v>
      </c>
      <c r="C4" s="24">
        <v>1.4</v>
      </c>
      <c r="D4" s="24">
        <v>186.39</v>
      </c>
      <c r="E4" s="25">
        <v>23.09</v>
      </c>
    </row>
    <row r="5" spans="1:5" x14ac:dyDescent="0.25">
      <c r="A5" s="23">
        <v>298</v>
      </c>
      <c r="B5" s="24">
        <v>29.07</v>
      </c>
      <c r="C5" s="24">
        <v>0</v>
      </c>
      <c r="D5" s="24">
        <v>191.5</v>
      </c>
      <c r="E5" s="25">
        <v>23.03</v>
      </c>
    </row>
    <row r="6" spans="1:5" x14ac:dyDescent="0.25">
      <c r="A6" s="23">
        <v>300</v>
      </c>
      <c r="B6" s="24">
        <v>29.07</v>
      </c>
      <c r="C6" s="24">
        <v>0.05</v>
      </c>
      <c r="D6" s="24">
        <v>191.68</v>
      </c>
      <c r="E6" s="25">
        <v>23.03</v>
      </c>
    </row>
    <row r="7" spans="1:5" x14ac:dyDescent="0.25">
      <c r="A7" s="23">
        <v>350</v>
      </c>
      <c r="B7" s="24">
        <v>29.19</v>
      </c>
      <c r="C7" s="24">
        <v>1.51</v>
      </c>
      <c r="D7" s="24">
        <v>196.17</v>
      </c>
      <c r="E7" s="25">
        <v>23.08</v>
      </c>
    </row>
    <row r="8" spans="1:5" x14ac:dyDescent="0.25">
      <c r="A8" s="23">
        <v>400</v>
      </c>
      <c r="B8" s="24">
        <v>29.32</v>
      </c>
      <c r="C8" s="24">
        <v>2.97</v>
      </c>
      <c r="D8" s="24">
        <v>200.08</v>
      </c>
      <c r="E8" s="25">
        <v>23.17</v>
      </c>
    </row>
    <row r="9" spans="1:5" x14ac:dyDescent="0.25">
      <c r="A9" s="23">
        <v>450</v>
      </c>
      <c r="B9" s="24">
        <v>29.46</v>
      </c>
      <c r="C9" s="24">
        <v>4.4400000000000004</v>
      </c>
      <c r="D9" s="24">
        <v>203.54</v>
      </c>
      <c r="E9" s="25">
        <v>23.29</v>
      </c>
    </row>
    <row r="10" spans="1:5" x14ac:dyDescent="0.25">
      <c r="A10" s="23">
        <v>500</v>
      </c>
      <c r="B10" s="24">
        <v>29.63</v>
      </c>
      <c r="C10" s="24">
        <v>5.92</v>
      </c>
      <c r="D10" s="24">
        <v>206.65</v>
      </c>
      <c r="E10" s="25">
        <v>23.43</v>
      </c>
    </row>
    <row r="11" spans="1:5" x14ac:dyDescent="0.25">
      <c r="A11" s="23">
        <v>550</v>
      </c>
      <c r="B11" s="24">
        <v>29.84</v>
      </c>
      <c r="C11" s="24">
        <v>7.41</v>
      </c>
      <c r="D11" s="24">
        <v>209.49</v>
      </c>
      <c r="E11" s="25">
        <v>23.58</v>
      </c>
    </row>
    <row r="12" spans="1:5" x14ac:dyDescent="0.25">
      <c r="A12" s="23">
        <v>600</v>
      </c>
      <c r="B12" s="24">
        <v>30.08</v>
      </c>
      <c r="C12" s="24">
        <v>8.9</v>
      </c>
      <c r="D12" s="24">
        <v>212.09</v>
      </c>
      <c r="E12" s="25">
        <v>23.72</v>
      </c>
    </row>
    <row r="13" spans="1:5" x14ac:dyDescent="0.25">
      <c r="A13" s="23">
        <v>650</v>
      </c>
      <c r="B13" s="24">
        <v>30.37</v>
      </c>
      <c r="C13" s="24">
        <v>10.42</v>
      </c>
      <c r="D13" s="24">
        <v>214.51</v>
      </c>
      <c r="E13" s="25">
        <v>23.87</v>
      </c>
    </row>
    <row r="14" spans="1:5" x14ac:dyDescent="0.25">
      <c r="A14" s="23">
        <v>700</v>
      </c>
      <c r="B14" s="24">
        <v>30.68</v>
      </c>
      <c r="C14" s="24">
        <v>11.94</v>
      </c>
      <c r="D14" s="24">
        <v>216.77</v>
      </c>
      <c r="E14" s="25">
        <v>24.02</v>
      </c>
    </row>
    <row r="15" spans="1:5" x14ac:dyDescent="0.25">
      <c r="A15" s="23">
        <v>750</v>
      </c>
      <c r="B15" s="24">
        <v>31.03</v>
      </c>
      <c r="C15" s="24">
        <v>13.48</v>
      </c>
      <c r="D15" s="24">
        <v>218.9</v>
      </c>
      <c r="E15" s="25">
        <v>24.17</v>
      </c>
    </row>
    <row r="16" spans="1:5" x14ac:dyDescent="0.25">
      <c r="A16" s="23">
        <v>800</v>
      </c>
      <c r="B16" s="24">
        <v>31.39</v>
      </c>
      <c r="C16" s="24">
        <v>15.04</v>
      </c>
      <c r="D16" s="24">
        <v>220.92</v>
      </c>
      <c r="E16" s="25">
        <v>24.31</v>
      </c>
    </row>
    <row r="17" spans="1:5" x14ac:dyDescent="0.25">
      <c r="A17" s="23">
        <v>850</v>
      </c>
      <c r="B17" s="24">
        <v>31.76</v>
      </c>
      <c r="C17" s="24">
        <v>16.62</v>
      </c>
      <c r="D17" s="24">
        <v>222.83</v>
      </c>
      <c r="E17" s="25">
        <v>24.45</v>
      </c>
    </row>
    <row r="18" spans="1:5" x14ac:dyDescent="0.25">
      <c r="A18" s="23">
        <v>900</v>
      </c>
      <c r="B18" s="24">
        <v>32.130000000000003</v>
      </c>
      <c r="C18" s="24">
        <v>18.22</v>
      </c>
      <c r="D18" s="24">
        <v>224.66</v>
      </c>
      <c r="E18" s="25">
        <v>24.59</v>
      </c>
    </row>
    <row r="19" spans="1:5" x14ac:dyDescent="0.25">
      <c r="A19" s="23">
        <v>950</v>
      </c>
      <c r="B19" s="24">
        <v>32.47</v>
      </c>
      <c r="C19" s="24">
        <v>19.84</v>
      </c>
      <c r="D19" s="24">
        <v>226.4</v>
      </c>
      <c r="E19" s="25">
        <v>24.72</v>
      </c>
    </row>
    <row r="20" spans="1:5" x14ac:dyDescent="0.25">
      <c r="A20" s="26">
        <v>1000</v>
      </c>
      <c r="B20" s="24">
        <v>32.76</v>
      </c>
      <c r="C20" s="24">
        <v>21.47</v>
      </c>
      <c r="D20" s="24">
        <v>228.08</v>
      </c>
      <c r="E20" s="25">
        <v>24.85</v>
      </c>
    </row>
    <row r="21" spans="1:5" x14ac:dyDescent="0.25">
      <c r="A21" s="26">
        <v>1050</v>
      </c>
      <c r="B21" s="24">
        <v>33.01</v>
      </c>
      <c r="C21" s="24">
        <v>23.11</v>
      </c>
      <c r="D21" s="24">
        <v>229.68</v>
      </c>
      <c r="E21" s="25">
        <v>24.98</v>
      </c>
    </row>
    <row r="22" spans="1:5" x14ac:dyDescent="0.25">
      <c r="A22" s="26">
        <v>1100</v>
      </c>
      <c r="B22" s="24">
        <v>33.26</v>
      </c>
      <c r="C22" s="24">
        <v>24.77</v>
      </c>
      <c r="D22" s="24">
        <v>231.22</v>
      </c>
      <c r="E22" s="25">
        <v>25.1</v>
      </c>
    </row>
    <row r="23" spans="1:5" x14ac:dyDescent="0.25">
      <c r="A23" s="26">
        <v>1150</v>
      </c>
      <c r="B23" s="24">
        <v>33.49</v>
      </c>
      <c r="C23" s="24">
        <v>26.44</v>
      </c>
      <c r="D23" s="24">
        <v>232.71</v>
      </c>
      <c r="E23" s="25">
        <v>25.22</v>
      </c>
    </row>
    <row r="24" spans="1:5" x14ac:dyDescent="0.25">
      <c r="A24" s="26">
        <v>1200</v>
      </c>
      <c r="B24" s="24">
        <v>33.71</v>
      </c>
      <c r="C24" s="24">
        <v>28.12</v>
      </c>
      <c r="D24" s="24">
        <v>234.14</v>
      </c>
      <c r="E24" s="25">
        <v>25.34</v>
      </c>
    </row>
    <row r="25" spans="1:5" x14ac:dyDescent="0.25">
      <c r="A25" s="26">
        <v>1250</v>
      </c>
      <c r="B25" s="24">
        <v>33.909999999999997</v>
      </c>
      <c r="C25" s="24">
        <v>29.81</v>
      </c>
      <c r="D25" s="24">
        <v>235.52</v>
      </c>
      <c r="E25" s="25">
        <v>25.46</v>
      </c>
    </row>
    <row r="26" spans="1:5" x14ac:dyDescent="0.25">
      <c r="A26" s="26">
        <v>1300</v>
      </c>
      <c r="B26" s="24">
        <v>34.11</v>
      </c>
      <c r="C26" s="24">
        <v>31.51</v>
      </c>
      <c r="D26" s="24">
        <v>236.85</v>
      </c>
      <c r="E26" s="25">
        <v>25.57</v>
      </c>
    </row>
    <row r="27" spans="1:5" x14ac:dyDescent="0.25">
      <c r="A27" s="26">
        <v>1350</v>
      </c>
      <c r="B27" s="24">
        <v>34.299999999999997</v>
      </c>
      <c r="C27" s="24">
        <v>33.22</v>
      </c>
      <c r="D27" s="24">
        <v>238.14</v>
      </c>
      <c r="E27" s="25">
        <v>25.68</v>
      </c>
    </row>
    <row r="28" spans="1:5" x14ac:dyDescent="0.25">
      <c r="A28" s="26">
        <v>1400</v>
      </c>
      <c r="B28" s="24">
        <v>34.479999999999997</v>
      </c>
      <c r="C28" s="24">
        <v>34.94</v>
      </c>
      <c r="D28" s="24">
        <v>239.39</v>
      </c>
      <c r="E28" s="25">
        <v>25.79</v>
      </c>
    </row>
    <row r="29" spans="1:5" x14ac:dyDescent="0.25">
      <c r="A29" s="26">
        <v>1450</v>
      </c>
      <c r="B29" s="24">
        <v>34.64</v>
      </c>
      <c r="C29" s="24">
        <v>36.67</v>
      </c>
      <c r="D29" s="24">
        <v>240.6</v>
      </c>
      <c r="E29" s="25">
        <v>25.9</v>
      </c>
    </row>
    <row r="30" spans="1:5" x14ac:dyDescent="0.25">
      <c r="A30" s="26">
        <v>1500</v>
      </c>
      <c r="B30" s="24">
        <v>34.799999999999997</v>
      </c>
      <c r="C30" s="24">
        <v>38.4</v>
      </c>
      <c r="D30" s="24">
        <v>241.78</v>
      </c>
      <c r="E30" s="25">
        <v>26</v>
      </c>
    </row>
    <row r="31" spans="1:5" x14ac:dyDescent="0.25">
      <c r="A31" s="26">
        <v>1550</v>
      </c>
      <c r="B31" s="24">
        <v>34.950000000000003</v>
      </c>
      <c r="C31" s="24">
        <v>40.15</v>
      </c>
      <c r="D31" s="24">
        <v>242.92</v>
      </c>
      <c r="E31" s="25">
        <v>26.1</v>
      </c>
    </row>
    <row r="32" spans="1:5" x14ac:dyDescent="0.25">
      <c r="A32" s="26">
        <v>1600</v>
      </c>
      <c r="B32" s="24">
        <v>35.1</v>
      </c>
      <c r="C32" s="24">
        <v>41.9</v>
      </c>
      <c r="D32" s="24">
        <v>244.04</v>
      </c>
      <c r="E32" s="25">
        <v>26.2</v>
      </c>
    </row>
    <row r="33" spans="1:5" x14ac:dyDescent="0.25">
      <c r="A33" s="26">
        <v>1650</v>
      </c>
      <c r="B33" s="24">
        <v>35.229999999999997</v>
      </c>
      <c r="C33" s="24">
        <v>43.66</v>
      </c>
      <c r="D33" s="24">
        <v>245.12</v>
      </c>
      <c r="E33" s="25">
        <v>26.3</v>
      </c>
    </row>
    <row r="34" spans="1:5" x14ac:dyDescent="0.25">
      <c r="A34" s="26">
        <v>1700</v>
      </c>
      <c r="B34" s="24">
        <v>35.36</v>
      </c>
      <c r="C34" s="24">
        <v>45.42</v>
      </c>
      <c r="D34" s="24">
        <v>246.17</v>
      </c>
      <c r="E34" s="25">
        <v>26.4</v>
      </c>
    </row>
    <row r="35" spans="1:5" x14ac:dyDescent="0.25">
      <c r="A35" s="26">
        <v>1750</v>
      </c>
      <c r="B35" s="24">
        <v>35.479999999999997</v>
      </c>
      <c r="C35" s="24">
        <v>47.19</v>
      </c>
      <c r="D35" s="24">
        <v>247.2</v>
      </c>
      <c r="E35" s="25">
        <v>26.49</v>
      </c>
    </row>
    <row r="36" spans="1:5" x14ac:dyDescent="0.25">
      <c r="A36" s="26">
        <v>1800</v>
      </c>
      <c r="B36" s="24">
        <v>35.590000000000003</v>
      </c>
      <c r="C36" s="24">
        <v>48.97</v>
      </c>
      <c r="D36" s="24">
        <v>248.2</v>
      </c>
      <c r="E36" s="25">
        <v>26.58</v>
      </c>
    </row>
    <row r="37" spans="1:5" x14ac:dyDescent="0.25">
      <c r="A37" s="26">
        <v>1850</v>
      </c>
      <c r="B37" s="24">
        <v>35.700000000000003</v>
      </c>
      <c r="C37" s="24">
        <v>50.75</v>
      </c>
      <c r="D37" s="24">
        <v>249.18</v>
      </c>
      <c r="E37" s="25">
        <v>26.67</v>
      </c>
    </row>
    <row r="38" spans="1:5" x14ac:dyDescent="0.25">
      <c r="A38" s="26">
        <v>1900</v>
      </c>
      <c r="B38" s="24">
        <v>35.799999999999997</v>
      </c>
      <c r="C38" s="24">
        <v>52.54</v>
      </c>
      <c r="D38" s="24">
        <v>250.13</v>
      </c>
      <c r="E38" s="25">
        <v>26.76</v>
      </c>
    </row>
    <row r="39" spans="1:5" x14ac:dyDescent="0.25">
      <c r="A39" s="26">
        <v>1950</v>
      </c>
      <c r="B39" s="24">
        <v>35.9</v>
      </c>
      <c r="C39" s="24">
        <v>54.33</v>
      </c>
      <c r="D39" s="24">
        <v>251.06</v>
      </c>
      <c r="E39" s="25">
        <v>26.85</v>
      </c>
    </row>
    <row r="40" spans="1:5" x14ac:dyDescent="0.25">
      <c r="A40" s="26">
        <v>2000</v>
      </c>
      <c r="B40" s="24">
        <v>35.99</v>
      </c>
      <c r="C40" s="24">
        <v>56.13</v>
      </c>
      <c r="D40" s="24">
        <v>251.97</v>
      </c>
      <c r="E40" s="25">
        <v>26.93</v>
      </c>
    </row>
    <row r="41" spans="1:5" x14ac:dyDescent="0.25">
      <c r="A41" s="26">
        <v>2050</v>
      </c>
      <c r="B41" s="24">
        <v>36.07</v>
      </c>
      <c r="C41" s="24">
        <v>57.93</v>
      </c>
      <c r="D41" s="24">
        <v>252.86</v>
      </c>
      <c r="E41" s="25">
        <v>27.01</v>
      </c>
    </row>
    <row r="42" spans="1:5" x14ac:dyDescent="0.25">
      <c r="A42" s="26">
        <v>2100</v>
      </c>
      <c r="B42" s="24">
        <v>36.15</v>
      </c>
      <c r="C42" s="24">
        <v>59.73</v>
      </c>
      <c r="D42" s="24">
        <v>253.73</v>
      </c>
      <c r="E42" s="25">
        <v>27.1</v>
      </c>
    </row>
    <row r="43" spans="1:5" x14ac:dyDescent="0.25">
      <c r="A43" s="26">
        <v>2150</v>
      </c>
      <c r="B43" s="24">
        <v>36.229999999999997</v>
      </c>
      <c r="C43" s="24">
        <v>61.54</v>
      </c>
      <c r="D43" s="24">
        <v>254.58</v>
      </c>
      <c r="E43" s="25">
        <v>27.18</v>
      </c>
    </row>
    <row r="44" spans="1:5" x14ac:dyDescent="0.25">
      <c r="A44" s="26">
        <v>2200</v>
      </c>
      <c r="B44" s="24">
        <v>36.299999999999997</v>
      </c>
      <c r="C44" s="24">
        <v>63.36</v>
      </c>
      <c r="D44" s="24">
        <v>255.42</v>
      </c>
      <c r="E44" s="25">
        <v>27.26</v>
      </c>
    </row>
    <row r="45" spans="1:5" x14ac:dyDescent="0.25">
      <c r="A45" s="26">
        <v>2250</v>
      </c>
      <c r="B45" s="24">
        <v>36.36</v>
      </c>
      <c r="C45" s="24">
        <v>65.17</v>
      </c>
      <c r="D45" s="24">
        <v>256.23</v>
      </c>
      <c r="E45" s="25">
        <v>27.34</v>
      </c>
    </row>
    <row r="46" spans="1:5" x14ac:dyDescent="0.25">
      <c r="A46" s="26">
        <v>2300</v>
      </c>
      <c r="B46" s="24">
        <v>36.43</v>
      </c>
      <c r="C46" s="24">
        <v>66.989999999999995</v>
      </c>
      <c r="D46" s="24">
        <v>257.02999999999997</v>
      </c>
      <c r="E46" s="25">
        <v>27.41</v>
      </c>
    </row>
    <row r="47" spans="1:5" x14ac:dyDescent="0.25">
      <c r="A47" s="26">
        <v>2350</v>
      </c>
      <c r="B47" s="24">
        <v>36.49</v>
      </c>
      <c r="C47" s="24">
        <v>68.819999999999993</v>
      </c>
      <c r="D47" s="24">
        <v>257.82</v>
      </c>
      <c r="E47" s="25">
        <v>27.49</v>
      </c>
    </row>
    <row r="48" spans="1:5" x14ac:dyDescent="0.25">
      <c r="A48" s="26">
        <v>2400</v>
      </c>
      <c r="B48" s="24">
        <v>36.54</v>
      </c>
      <c r="C48" s="24">
        <v>70.64</v>
      </c>
      <c r="D48" s="24">
        <v>258.58999999999997</v>
      </c>
      <c r="E48" s="25">
        <v>27.56</v>
      </c>
    </row>
    <row r="49" spans="1:5" x14ac:dyDescent="0.25">
      <c r="A49" s="26">
        <v>2450</v>
      </c>
      <c r="B49" s="24">
        <v>36.590000000000003</v>
      </c>
      <c r="C49" s="24">
        <v>72.47</v>
      </c>
      <c r="D49" s="24">
        <v>259.33999999999997</v>
      </c>
      <c r="E49" s="25">
        <v>27.64</v>
      </c>
    </row>
    <row r="50" spans="1:5" x14ac:dyDescent="0.25">
      <c r="A50" s="26">
        <v>2500</v>
      </c>
      <c r="B50" s="24">
        <v>36.64</v>
      </c>
      <c r="C50" s="24">
        <v>74.3</v>
      </c>
      <c r="D50" s="24">
        <v>260.08</v>
      </c>
      <c r="E50" s="25">
        <v>27.71</v>
      </c>
    </row>
    <row r="51" spans="1:5" x14ac:dyDescent="0.25">
      <c r="A51" s="26">
        <v>2550</v>
      </c>
      <c r="B51" s="24">
        <v>36.69</v>
      </c>
      <c r="C51" s="24">
        <v>76.13</v>
      </c>
      <c r="D51" s="24">
        <v>260.81</v>
      </c>
      <c r="E51" s="25">
        <v>27.78</v>
      </c>
    </row>
    <row r="52" spans="1:5" x14ac:dyDescent="0.25">
      <c r="A52" s="26">
        <v>2600</v>
      </c>
      <c r="B52" s="24">
        <v>36.74</v>
      </c>
      <c r="C52" s="24">
        <v>77.97</v>
      </c>
      <c r="D52" s="24">
        <v>261.52</v>
      </c>
      <c r="E52" s="25">
        <v>27.85</v>
      </c>
    </row>
    <row r="53" spans="1:5" x14ac:dyDescent="0.25">
      <c r="A53" s="26">
        <v>2650</v>
      </c>
      <c r="B53" s="24">
        <v>36.78</v>
      </c>
      <c r="C53" s="24">
        <v>79.81</v>
      </c>
      <c r="D53" s="24">
        <v>262.22000000000003</v>
      </c>
      <c r="E53" s="25">
        <v>27.92</v>
      </c>
    </row>
    <row r="54" spans="1:5" x14ac:dyDescent="0.25">
      <c r="A54" s="26">
        <v>2700</v>
      </c>
      <c r="B54" s="24">
        <v>36.82</v>
      </c>
      <c r="C54" s="24">
        <v>81.650000000000006</v>
      </c>
      <c r="D54" s="24">
        <v>262.91000000000003</v>
      </c>
      <c r="E54" s="25">
        <v>27.98</v>
      </c>
    </row>
    <row r="55" spans="1:5" x14ac:dyDescent="0.25">
      <c r="A55" s="26">
        <v>2750</v>
      </c>
      <c r="B55" s="24">
        <v>36.86</v>
      </c>
      <c r="C55" s="24">
        <v>83.49</v>
      </c>
      <c r="D55" s="24">
        <v>263.58</v>
      </c>
      <c r="E55" s="25">
        <v>28.05</v>
      </c>
    </row>
    <row r="56" spans="1:5" x14ac:dyDescent="0.25">
      <c r="A56" s="26">
        <v>2800</v>
      </c>
      <c r="B56" s="24">
        <v>36.89</v>
      </c>
      <c r="C56" s="24">
        <v>85.33</v>
      </c>
      <c r="D56" s="24">
        <v>264.25</v>
      </c>
      <c r="E56" s="25">
        <v>28.12</v>
      </c>
    </row>
    <row r="57" spans="1:5" x14ac:dyDescent="0.25">
      <c r="A57" s="26">
        <v>2850</v>
      </c>
      <c r="B57" s="24">
        <v>36.93</v>
      </c>
      <c r="C57" s="24">
        <v>87.18</v>
      </c>
      <c r="D57" s="24">
        <v>264.89999999999998</v>
      </c>
      <c r="E57" s="25">
        <v>28.18</v>
      </c>
    </row>
    <row r="58" spans="1:5" x14ac:dyDescent="0.25">
      <c r="A58" s="26">
        <v>2900</v>
      </c>
      <c r="B58" s="24">
        <v>36.96</v>
      </c>
      <c r="C58" s="24">
        <v>89.03</v>
      </c>
      <c r="D58" s="24">
        <v>265.54000000000002</v>
      </c>
      <c r="E58" s="25">
        <v>28.25</v>
      </c>
    </row>
    <row r="59" spans="1:5" x14ac:dyDescent="0.25">
      <c r="A59" s="26">
        <v>2950</v>
      </c>
      <c r="B59" s="24">
        <v>36.99</v>
      </c>
      <c r="C59" s="24">
        <v>90.88</v>
      </c>
      <c r="D59" s="24">
        <v>266.17</v>
      </c>
      <c r="E59" s="25">
        <v>28.31</v>
      </c>
    </row>
    <row r="60" spans="1:5" x14ac:dyDescent="0.25">
      <c r="A60" s="26">
        <v>3000</v>
      </c>
      <c r="B60" s="24">
        <v>37.03</v>
      </c>
      <c r="C60" s="24">
        <v>92.73</v>
      </c>
      <c r="D60" s="24">
        <v>266.8</v>
      </c>
      <c r="E60" s="25">
        <v>28.37</v>
      </c>
    </row>
    <row r="61" spans="1:5" x14ac:dyDescent="0.25">
      <c r="A61" s="26">
        <v>3050</v>
      </c>
      <c r="B61" s="24">
        <v>37.06</v>
      </c>
      <c r="C61" s="24">
        <v>94.58</v>
      </c>
      <c r="D61" s="24">
        <v>267.41000000000003</v>
      </c>
      <c r="E61" s="25">
        <v>28.43</v>
      </c>
    </row>
    <row r="62" spans="1:5" x14ac:dyDescent="0.25">
      <c r="A62" s="26">
        <v>3100</v>
      </c>
      <c r="B62" s="24">
        <v>37.090000000000003</v>
      </c>
      <c r="C62" s="24">
        <v>96.43</v>
      </c>
      <c r="D62" s="24">
        <v>268.01</v>
      </c>
      <c r="E62" s="25">
        <v>28.49</v>
      </c>
    </row>
    <row r="63" spans="1:5" x14ac:dyDescent="0.25">
      <c r="A63" s="26">
        <v>3150</v>
      </c>
      <c r="B63" s="24">
        <v>37.11</v>
      </c>
      <c r="C63" s="24">
        <v>98.29</v>
      </c>
      <c r="D63" s="24">
        <v>268.61</v>
      </c>
      <c r="E63" s="25">
        <v>28.55</v>
      </c>
    </row>
    <row r="64" spans="1:5" x14ac:dyDescent="0.25">
      <c r="A64" s="26">
        <v>3200</v>
      </c>
      <c r="B64" s="24">
        <v>37.14</v>
      </c>
      <c r="C64" s="24">
        <v>100.14</v>
      </c>
      <c r="D64" s="24">
        <v>269.19</v>
      </c>
      <c r="E64" s="25">
        <v>28.61</v>
      </c>
    </row>
    <row r="65" spans="1:5" x14ac:dyDescent="0.25">
      <c r="A65" s="26">
        <v>3250</v>
      </c>
      <c r="B65" s="24">
        <v>37.17</v>
      </c>
      <c r="C65" s="24">
        <v>102</v>
      </c>
      <c r="D65" s="24">
        <v>269.77</v>
      </c>
      <c r="E65" s="25">
        <v>28.67</v>
      </c>
    </row>
    <row r="66" spans="1:5" x14ac:dyDescent="0.25">
      <c r="A66" s="26">
        <v>3300</v>
      </c>
      <c r="B66" s="24">
        <v>37.200000000000003</v>
      </c>
      <c r="C66" s="24">
        <v>103.86</v>
      </c>
      <c r="D66" s="24">
        <v>270.33</v>
      </c>
      <c r="E66" s="25">
        <v>28.73</v>
      </c>
    </row>
    <row r="67" spans="1:5" x14ac:dyDescent="0.25">
      <c r="A67" s="26">
        <v>3350</v>
      </c>
      <c r="B67" s="24">
        <v>37.22</v>
      </c>
      <c r="C67" s="24">
        <v>105.72</v>
      </c>
      <c r="D67" s="24">
        <v>270.89</v>
      </c>
      <c r="E67" s="25">
        <v>28.79</v>
      </c>
    </row>
    <row r="68" spans="1:5" x14ac:dyDescent="0.25">
      <c r="A68" s="26">
        <v>3400</v>
      </c>
      <c r="B68" s="24">
        <v>37.25</v>
      </c>
      <c r="C68" s="24">
        <v>107.58</v>
      </c>
      <c r="D68" s="24">
        <v>271.45</v>
      </c>
      <c r="E68" s="25">
        <v>28.84</v>
      </c>
    </row>
    <row r="69" spans="1:5" x14ac:dyDescent="0.25">
      <c r="A69" s="26">
        <v>3450</v>
      </c>
      <c r="B69" s="24">
        <v>37.270000000000003</v>
      </c>
      <c r="C69" s="24">
        <v>109.45</v>
      </c>
      <c r="D69" s="24">
        <v>271.99</v>
      </c>
      <c r="E69" s="25">
        <v>28.9</v>
      </c>
    </row>
    <row r="70" spans="1:5" ht="15.75" thickBot="1" x14ac:dyDescent="0.3">
      <c r="A70" s="27">
        <v>3500</v>
      </c>
      <c r="B70" s="28">
        <v>37.299999999999997</v>
      </c>
      <c r="C70" s="28">
        <v>111.31</v>
      </c>
      <c r="D70" s="28">
        <v>272.52999999999997</v>
      </c>
      <c r="E70" s="29">
        <v>28.95</v>
      </c>
    </row>
  </sheetData>
  <mergeCells count="1">
    <mergeCell ref="A1:E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70"/>
  <sheetViews>
    <sheetView workbookViewId="0">
      <selection activeCell="Q17" sqref="Q17"/>
    </sheetView>
  </sheetViews>
  <sheetFormatPr defaultColWidth="8.85546875" defaultRowHeight="15" x14ac:dyDescent="0.25"/>
  <sheetData>
    <row r="1" spans="1:17" ht="15.75" thickBot="1" x14ac:dyDescent="0.3">
      <c r="A1" s="212" t="s">
        <v>9</v>
      </c>
      <c r="B1" s="213"/>
      <c r="C1" s="213"/>
      <c r="D1" s="213"/>
      <c r="E1" s="214"/>
    </row>
    <row r="2" spans="1:17" ht="30.75" thickBot="1" x14ac:dyDescent="0.3">
      <c r="A2" s="30" t="s">
        <v>2</v>
      </c>
      <c r="B2" s="31" t="s">
        <v>3</v>
      </c>
      <c r="C2" s="31" t="s">
        <v>4</v>
      </c>
      <c r="D2" s="31" t="s">
        <v>10</v>
      </c>
      <c r="E2" s="32" t="s">
        <v>6</v>
      </c>
      <c r="P2" s="40" t="s">
        <v>15</v>
      </c>
      <c r="Q2" s="33">
        <f>(6.2E-19*(Q6^6))-(7.37924E-15*(Q6^5))+(3.433696101E-11*(Q6^4))-(7.913008089753E-08*(Q6^3))+(0.0000954484832612456*(Q6^2))-(0.0258243046589209*(Q6))+2.63824432252605</f>
        <v>60.281067334025487</v>
      </c>
    </row>
    <row r="3" spans="1:17" x14ac:dyDescent="0.25">
      <c r="A3" s="20">
        <v>200</v>
      </c>
      <c r="B3" s="21">
        <v>28.52</v>
      </c>
      <c r="C3" s="21">
        <v>2.82</v>
      </c>
      <c r="D3" s="21">
        <v>119.13</v>
      </c>
      <c r="E3" s="22">
        <v>16.02</v>
      </c>
      <c r="P3" s="34"/>
      <c r="Q3" s="35"/>
    </row>
    <row r="4" spans="1:17" x14ac:dyDescent="0.25">
      <c r="A4" s="23">
        <v>250</v>
      </c>
      <c r="B4" s="24">
        <v>28.71</v>
      </c>
      <c r="C4" s="24">
        <v>1.39</v>
      </c>
      <c r="D4" s="24">
        <v>125.52</v>
      </c>
      <c r="E4" s="25">
        <v>15.76</v>
      </c>
      <c r="P4" s="36"/>
      <c r="Q4" s="37"/>
    </row>
    <row r="5" spans="1:17" ht="15.75" thickBot="1" x14ac:dyDescent="0.3">
      <c r="A5" s="23">
        <v>298</v>
      </c>
      <c r="B5" s="24">
        <v>28.87</v>
      </c>
      <c r="C5" s="24">
        <v>0</v>
      </c>
      <c r="D5" s="24">
        <v>130.59</v>
      </c>
      <c r="E5" s="25">
        <v>15.71</v>
      </c>
      <c r="P5" s="38"/>
      <c r="Q5" s="39"/>
    </row>
    <row r="6" spans="1:17" ht="15.75" thickBot="1" x14ac:dyDescent="0.3">
      <c r="A6" s="23">
        <v>300</v>
      </c>
      <c r="B6" s="24">
        <v>28.88</v>
      </c>
      <c r="C6" s="24">
        <v>0.05</v>
      </c>
      <c r="D6" s="24">
        <v>130.77000000000001</v>
      </c>
      <c r="E6" s="25">
        <v>15.71</v>
      </c>
      <c r="P6" s="41" t="s">
        <v>14</v>
      </c>
      <c r="Q6" s="42">
        <v>2220</v>
      </c>
    </row>
    <row r="7" spans="1:17" x14ac:dyDescent="0.25">
      <c r="A7" s="23">
        <v>350</v>
      </c>
      <c r="B7" s="24">
        <v>29.01</v>
      </c>
      <c r="C7" s="24">
        <v>1.5</v>
      </c>
      <c r="D7" s="24">
        <v>135.22999999999999</v>
      </c>
      <c r="E7" s="25">
        <v>15.75</v>
      </c>
    </row>
    <row r="8" spans="1:17" x14ac:dyDescent="0.25">
      <c r="A8" s="23">
        <v>400</v>
      </c>
      <c r="B8" s="24">
        <v>29.12</v>
      </c>
      <c r="C8" s="24">
        <v>2.95</v>
      </c>
      <c r="D8" s="24">
        <v>139.11000000000001</v>
      </c>
      <c r="E8" s="25">
        <v>15.84</v>
      </c>
    </row>
    <row r="9" spans="1:17" x14ac:dyDescent="0.25">
      <c r="A9" s="23">
        <v>450</v>
      </c>
      <c r="B9" s="24">
        <v>29.21</v>
      </c>
      <c r="C9" s="24">
        <v>4.41</v>
      </c>
      <c r="D9" s="24">
        <v>142.54</v>
      </c>
      <c r="E9" s="25">
        <v>15.97</v>
      </c>
    </row>
    <row r="10" spans="1:17" x14ac:dyDescent="0.25">
      <c r="A10" s="23">
        <v>500</v>
      </c>
      <c r="B10" s="24">
        <v>29.27</v>
      </c>
      <c r="C10" s="24">
        <v>5.87</v>
      </c>
      <c r="D10" s="24">
        <v>145.63</v>
      </c>
      <c r="E10" s="25">
        <v>16.100000000000001</v>
      </c>
    </row>
    <row r="11" spans="1:17" x14ac:dyDescent="0.25">
      <c r="A11" s="23">
        <v>550</v>
      </c>
      <c r="B11" s="24">
        <v>29.33</v>
      </c>
      <c r="C11" s="24">
        <v>7.34</v>
      </c>
      <c r="D11" s="24">
        <v>148.41999999999999</v>
      </c>
      <c r="E11" s="25">
        <v>16.25</v>
      </c>
    </row>
    <row r="12" spans="1:17" x14ac:dyDescent="0.25">
      <c r="A12" s="23">
        <v>600</v>
      </c>
      <c r="B12" s="24">
        <v>29.37</v>
      </c>
      <c r="C12" s="24">
        <v>8.81</v>
      </c>
      <c r="D12" s="24">
        <v>150.97</v>
      </c>
      <c r="E12" s="25">
        <v>16.39</v>
      </c>
    </row>
    <row r="13" spans="1:17" x14ac:dyDescent="0.25">
      <c r="A13" s="23">
        <v>650</v>
      </c>
      <c r="B13" s="24">
        <v>29.42</v>
      </c>
      <c r="C13" s="24">
        <v>10.28</v>
      </c>
      <c r="D13" s="24">
        <v>153.32</v>
      </c>
      <c r="E13" s="25">
        <v>16.54</v>
      </c>
    </row>
    <row r="14" spans="1:17" x14ac:dyDescent="0.25">
      <c r="A14" s="23">
        <v>700</v>
      </c>
      <c r="B14" s="24">
        <v>29.46</v>
      </c>
      <c r="C14" s="24">
        <v>11.75</v>
      </c>
      <c r="D14" s="24">
        <v>155.51</v>
      </c>
      <c r="E14" s="25">
        <v>16.690000000000001</v>
      </c>
    </row>
    <row r="15" spans="1:17" x14ac:dyDescent="0.25">
      <c r="A15" s="23">
        <v>750</v>
      </c>
      <c r="B15" s="24">
        <v>29.51</v>
      </c>
      <c r="C15" s="24">
        <v>13.22</v>
      </c>
      <c r="D15" s="24">
        <v>157.54</v>
      </c>
      <c r="E15" s="25">
        <v>16.829999999999998</v>
      </c>
    </row>
    <row r="16" spans="1:17" x14ac:dyDescent="0.25">
      <c r="A16" s="23">
        <v>800</v>
      </c>
      <c r="B16" s="24">
        <v>29.58</v>
      </c>
      <c r="C16" s="24">
        <v>14.7</v>
      </c>
      <c r="D16" s="24">
        <v>159.44999999999999</v>
      </c>
      <c r="E16" s="25">
        <v>16.97</v>
      </c>
    </row>
    <row r="17" spans="1:5" x14ac:dyDescent="0.25">
      <c r="A17" s="23">
        <v>850</v>
      </c>
      <c r="B17" s="24">
        <v>29.67</v>
      </c>
      <c r="C17" s="24">
        <v>16.18</v>
      </c>
      <c r="D17" s="24">
        <v>161.24</v>
      </c>
      <c r="E17" s="25">
        <v>17.100000000000001</v>
      </c>
    </row>
    <row r="18" spans="1:5" x14ac:dyDescent="0.25">
      <c r="A18" s="23">
        <v>900</v>
      </c>
      <c r="B18" s="24">
        <v>29.79</v>
      </c>
      <c r="C18" s="24">
        <v>17.670000000000002</v>
      </c>
      <c r="D18" s="24">
        <v>162.94</v>
      </c>
      <c r="E18" s="25">
        <v>17.239999999999998</v>
      </c>
    </row>
    <row r="19" spans="1:5" x14ac:dyDescent="0.25">
      <c r="A19" s="23">
        <v>950</v>
      </c>
      <c r="B19" s="24">
        <v>29.95</v>
      </c>
      <c r="C19" s="24">
        <v>19.16</v>
      </c>
      <c r="D19" s="24">
        <v>164.56</v>
      </c>
      <c r="E19" s="25">
        <v>17.37</v>
      </c>
    </row>
    <row r="20" spans="1:5" x14ac:dyDescent="0.25">
      <c r="A20" s="26">
        <v>1000</v>
      </c>
      <c r="B20" s="24">
        <v>30.16</v>
      </c>
      <c r="C20" s="24">
        <v>20.66</v>
      </c>
      <c r="D20" s="24">
        <v>166.1</v>
      </c>
      <c r="E20" s="25">
        <v>17.489999999999998</v>
      </c>
    </row>
    <row r="21" spans="1:5" x14ac:dyDescent="0.25">
      <c r="A21" s="26">
        <v>1050</v>
      </c>
      <c r="B21" s="24">
        <v>30.39</v>
      </c>
      <c r="C21" s="24">
        <v>22.18</v>
      </c>
      <c r="D21" s="24">
        <v>167.58</v>
      </c>
      <c r="E21" s="25">
        <v>17.62</v>
      </c>
    </row>
    <row r="22" spans="1:5" x14ac:dyDescent="0.25">
      <c r="A22" s="26">
        <v>1100</v>
      </c>
      <c r="B22" s="24">
        <v>30.62</v>
      </c>
      <c r="C22" s="24">
        <v>23.7</v>
      </c>
      <c r="D22" s="24">
        <v>168.99</v>
      </c>
      <c r="E22" s="25">
        <v>17.73</v>
      </c>
    </row>
    <row r="23" spans="1:5" x14ac:dyDescent="0.25">
      <c r="A23" s="26">
        <v>1150</v>
      </c>
      <c r="B23" s="24">
        <v>30.85</v>
      </c>
      <c r="C23" s="24">
        <v>25.24</v>
      </c>
      <c r="D23" s="24">
        <v>170.36</v>
      </c>
      <c r="E23" s="25">
        <v>17.850000000000001</v>
      </c>
    </row>
    <row r="24" spans="1:5" x14ac:dyDescent="0.25">
      <c r="A24" s="26">
        <v>1200</v>
      </c>
      <c r="B24" s="24">
        <v>31.08</v>
      </c>
      <c r="C24" s="24">
        <v>26.79</v>
      </c>
      <c r="D24" s="24">
        <v>171.68</v>
      </c>
      <c r="E24" s="25">
        <v>17.96</v>
      </c>
    </row>
    <row r="25" spans="1:5" x14ac:dyDescent="0.25">
      <c r="A25" s="26">
        <v>1250</v>
      </c>
      <c r="B25" s="24">
        <v>31.3</v>
      </c>
      <c r="C25" s="24">
        <v>28.35</v>
      </c>
      <c r="D25" s="24">
        <v>172.95</v>
      </c>
      <c r="E25" s="25">
        <v>18.07</v>
      </c>
    </row>
    <row r="26" spans="1:5" x14ac:dyDescent="0.25">
      <c r="A26" s="26">
        <v>1300</v>
      </c>
      <c r="B26" s="24">
        <v>31.51</v>
      </c>
      <c r="C26" s="24">
        <v>29.92</v>
      </c>
      <c r="D26" s="24">
        <v>174.18</v>
      </c>
      <c r="E26" s="25">
        <v>18.18</v>
      </c>
    </row>
    <row r="27" spans="1:5" x14ac:dyDescent="0.25">
      <c r="A27" s="26">
        <v>1350</v>
      </c>
      <c r="B27" s="24">
        <v>31.73</v>
      </c>
      <c r="C27" s="24">
        <v>31.5</v>
      </c>
      <c r="D27" s="24">
        <v>175.38</v>
      </c>
      <c r="E27" s="25">
        <v>18.29</v>
      </c>
    </row>
    <row r="28" spans="1:5" x14ac:dyDescent="0.25">
      <c r="A28" s="26">
        <v>1400</v>
      </c>
      <c r="B28" s="24">
        <v>31.94</v>
      </c>
      <c r="C28" s="24">
        <v>33.090000000000003</v>
      </c>
      <c r="D28" s="24">
        <v>176.53</v>
      </c>
      <c r="E28" s="25">
        <v>18.39</v>
      </c>
    </row>
    <row r="29" spans="1:5" x14ac:dyDescent="0.25">
      <c r="A29" s="26">
        <v>1450</v>
      </c>
      <c r="B29" s="24">
        <v>32.15</v>
      </c>
      <c r="C29" s="24">
        <v>34.69</v>
      </c>
      <c r="D29" s="24">
        <v>177.66</v>
      </c>
      <c r="E29" s="25">
        <v>18.489999999999998</v>
      </c>
    </row>
    <row r="30" spans="1:5" x14ac:dyDescent="0.25">
      <c r="A30" s="26">
        <v>1500</v>
      </c>
      <c r="B30" s="24">
        <v>32.35</v>
      </c>
      <c r="C30" s="24">
        <v>36.299999999999997</v>
      </c>
      <c r="D30" s="24">
        <v>178.75</v>
      </c>
      <c r="E30" s="25">
        <v>18.59</v>
      </c>
    </row>
    <row r="31" spans="1:5" x14ac:dyDescent="0.25">
      <c r="A31" s="26">
        <v>1550</v>
      </c>
      <c r="B31" s="24">
        <v>32.56</v>
      </c>
      <c r="C31" s="24">
        <v>37.93</v>
      </c>
      <c r="D31" s="24">
        <v>179.82</v>
      </c>
      <c r="E31" s="25">
        <v>18.68</v>
      </c>
    </row>
    <row r="32" spans="1:5" x14ac:dyDescent="0.25">
      <c r="A32" s="26">
        <v>1600</v>
      </c>
      <c r="B32" s="24">
        <v>32.76</v>
      </c>
      <c r="C32" s="24">
        <v>39.56</v>
      </c>
      <c r="D32" s="24">
        <v>180.85</v>
      </c>
      <c r="E32" s="25">
        <v>18.78</v>
      </c>
    </row>
    <row r="33" spans="1:5" x14ac:dyDescent="0.25">
      <c r="A33" s="26">
        <v>1650</v>
      </c>
      <c r="B33" s="24">
        <v>32.950000000000003</v>
      </c>
      <c r="C33" s="24">
        <v>41.2</v>
      </c>
      <c r="D33" s="24">
        <v>181.86</v>
      </c>
      <c r="E33" s="25">
        <v>18.87</v>
      </c>
    </row>
    <row r="34" spans="1:5" x14ac:dyDescent="0.25">
      <c r="A34" s="26">
        <v>1700</v>
      </c>
      <c r="B34" s="24">
        <v>33.14</v>
      </c>
      <c r="C34" s="24">
        <v>42.86</v>
      </c>
      <c r="D34" s="24">
        <v>182.85</v>
      </c>
      <c r="E34" s="25">
        <v>18.96</v>
      </c>
    </row>
    <row r="35" spans="1:5" x14ac:dyDescent="0.25">
      <c r="A35" s="26">
        <v>1750</v>
      </c>
      <c r="B35" s="24">
        <v>33.33</v>
      </c>
      <c r="C35" s="24">
        <v>44.52</v>
      </c>
      <c r="D35" s="24">
        <v>183.81</v>
      </c>
      <c r="E35" s="25">
        <v>19.05</v>
      </c>
    </row>
    <row r="36" spans="1:5" x14ac:dyDescent="0.25">
      <c r="A36" s="26">
        <v>1800</v>
      </c>
      <c r="B36" s="24">
        <v>33.520000000000003</v>
      </c>
      <c r="C36" s="24">
        <v>46.19</v>
      </c>
      <c r="D36" s="24">
        <v>184.76</v>
      </c>
      <c r="E36" s="25">
        <v>19.14</v>
      </c>
    </row>
    <row r="37" spans="1:5" x14ac:dyDescent="0.25">
      <c r="A37" s="26">
        <v>1850</v>
      </c>
      <c r="B37" s="24">
        <v>33.700000000000003</v>
      </c>
      <c r="C37" s="24">
        <v>47.87</v>
      </c>
      <c r="D37" s="24">
        <v>185.68</v>
      </c>
      <c r="E37" s="25">
        <v>19.22</v>
      </c>
    </row>
    <row r="38" spans="1:5" x14ac:dyDescent="0.25">
      <c r="A38" s="26">
        <v>1900</v>
      </c>
      <c r="B38" s="24">
        <v>33.880000000000003</v>
      </c>
      <c r="C38" s="24">
        <v>49.56</v>
      </c>
      <c r="D38" s="24">
        <v>186.58</v>
      </c>
      <c r="E38" s="25">
        <v>19.3</v>
      </c>
    </row>
    <row r="39" spans="1:5" x14ac:dyDescent="0.25">
      <c r="A39" s="26">
        <v>1950</v>
      </c>
      <c r="B39" s="24">
        <v>34.06</v>
      </c>
      <c r="C39" s="24">
        <v>51.26</v>
      </c>
      <c r="D39" s="24">
        <v>187.46</v>
      </c>
      <c r="E39" s="25">
        <v>19.39</v>
      </c>
    </row>
    <row r="40" spans="1:5" x14ac:dyDescent="0.25">
      <c r="A40" s="26">
        <v>2000</v>
      </c>
      <c r="B40" s="24">
        <v>34.229999999999997</v>
      </c>
      <c r="C40" s="24">
        <v>52.97</v>
      </c>
      <c r="D40" s="24">
        <v>188.33</v>
      </c>
      <c r="E40" s="25">
        <v>19.47</v>
      </c>
    </row>
    <row r="41" spans="1:5" x14ac:dyDescent="0.25">
      <c r="A41" s="26">
        <v>2050</v>
      </c>
      <c r="B41" s="24">
        <v>34.409999999999997</v>
      </c>
      <c r="C41" s="24">
        <v>54.68</v>
      </c>
      <c r="D41" s="24">
        <v>189.17</v>
      </c>
      <c r="E41" s="25">
        <v>19.55</v>
      </c>
    </row>
    <row r="42" spans="1:5" x14ac:dyDescent="0.25">
      <c r="A42" s="26">
        <v>2100</v>
      </c>
      <c r="B42" s="24">
        <v>34.57</v>
      </c>
      <c r="C42" s="24">
        <v>56.41</v>
      </c>
      <c r="D42" s="24">
        <v>190</v>
      </c>
      <c r="E42" s="25">
        <v>19.62</v>
      </c>
    </row>
    <row r="43" spans="1:5" x14ac:dyDescent="0.25">
      <c r="A43" s="26">
        <v>2150</v>
      </c>
      <c r="B43" s="24">
        <v>34.74</v>
      </c>
      <c r="C43" s="24">
        <v>58.14</v>
      </c>
      <c r="D43" s="24">
        <v>190.82</v>
      </c>
      <c r="E43" s="25">
        <v>19.7</v>
      </c>
    </row>
    <row r="44" spans="1:5" x14ac:dyDescent="0.25">
      <c r="A44" s="26">
        <v>2200</v>
      </c>
      <c r="B44" s="24">
        <v>34.9</v>
      </c>
      <c r="C44" s="24">
        <v>59.88</v>
      </c>
      <c r="D44" s="24">
        <v>191.62</v>
      </c>
      <c r="E44" s="25">
        <v>19.77</v>
      </c>
    </row>
    <row r="45" spans="1:5" x14ac:dyDescent="0.25">
      <c r="A45" s="26">
        <v>2250</v>
      </c>
      <c r="B45" s="24">
        <v>35.06</v>
      </c>
      <c r="C45" s="24">
        <v>61.63</v>
      </c>
      <c r="D45" s="24">
        <v>192.41</v>
      </c>
      <c r="E45" s="25">
        <v>19.850000000000001</v>
      </c>
    </row>
    <row r="46" spans="1:5" x14ac:dyDescent="0.25">
      <c r="A46" s="26">
        <v>2300</v>
      </c>
      <c r="B46" s="24">
        <v>35.21</v>
      </c>
      <c r="C46" s="24">
        <v>63.39</v>
      </c>
      <c r="D46" s="24">
        <v>193.18</v>
      </c>
      <c r="E46" s="25">
        <v>19.920000000000002</v>
      </c>
    </row>
    <row r="47" spans="1:5" x14ac:dyDescent="0.25">
      <c r="A47" s="26">
        <v>2350</v>
      </c>
      <c r="B47" s="24">
        <v>35.369999999999997</v>
      </c>
      <c r="C47" s="24">
        <v>65.150000000000006</v>
      </c>
      <c r="D47" s="24">
        <v>193.94</v>
      </c>
      <c r="E47" s="25">
        <v>19.989999999999998</v>
      </c>
    </row>
    <row r="48" spans="1:5" x14ac:dyDescent="0.25">
      <c r="A48" s="26">
        <v>2400</v>
      </c>
      <c r="B48" s="24">
        <v>35.520000000000003</v>
      </c>
      <c r="C48" s="24">
        <v>66.92</v>
      </c>
      <c r="D48" s="24">
        <v>194.68</v>
      </c>
      <c r="E48" s="25">
        <v>20.059999999999999</v>
      </c>
    </row>
    <row r="49" spans="1:5" x14ac:dyDescent="0.25">
      <c r="A49" s="26">
        <v>2450</v>
      </c>
      <c r="B49" s="24">
        <v>35.659999999999997</v>
      </c>
      <c r="C49" s="24">
        <v>68.7</v>
      </c>
      <c r="D49" s="24">
        <v>195.42</v>
      </c>
      <c r="E49" s="25">
        <v>20.13</v>
      </c>
    </row>
    <row r="50" spans="1:5" x14ac:dyDescent="0.25">
      <c r="A50" s="26">
        <v>2500</v>
      </c>
      <c r="B50" s="24">
        <v>35.81</v>
      </c>
      <c r="C50" s="24">
        <v>70.489999999999995</v>
      </c>
      <c r="D50" s="24">
        <v>196.14</v>
      </c>
      <c r="E50" s="25">
        <v>20.2</v>
      </c>
    </row>
    <row r="51" spans="1:5" x14ac:dyDescent="0.25">
      <c r="A51" s="26">
        <v>2550</v>
      </c>
      <c r="B51" s="24">
        <v>35.950000000000003</v>
      </c>
      <c r="C51" s="24">
        <v>72.28</v>
      </c>
      <c r="D51" s="24">
        <v>196.85</v>
      </c>
      <c r="E51" s="25">
        <v>20.27</v>
      </c>
    </row>
    <row r="52" spans="1:5" x14ac:dyDescent="0.25">
      <c r="A52" s="26">
        <v>2600</v>
      </c>
      <c r="B52" s="24">
        <v>36.090000000000003</v>
      </c>
      <c r="C52" s="24">
        <v>74.08</v>
      </c>
      <c r="D52" s="24">
        <v>197.55</v>
      </c>
      <c r="E52" s="25">
        <v>20.329999999999998</v>
      </c>
    </row>
    <row r="53" spans="1:5" x14ac:dyDescent="0.25">
      <c r="A53" s="26">
        <v>2650</v>
      </c>
      <c r="B53" s="24">
        <v>36.229999999999997</v>
      </c>
      <c r="C53" s="24">
        <v>75.89</v>
      </c>
      <c r="D53" s="24">
        <v>198.24</v>
      </c>
      <c r="E53" s="25">
        <v>20.399999999999999</v>
      </c>
    </row>
    <row r="54" spans="1:5" x14ac:dyDescent="0.25">
      <c r="A54" s="26">
        <v>2700</v>
      </c>
      <c r="B54" s="24">
        <v>36.36</v>
      </c>
      <c r="C54" s="24">
        <v>77.709999999999994</v>
      </c>
      <c r="D54" s="24">
        <v>198.92</v>
      </c>
      <c r="E54" s="25">
        <v>20.46</v>
      </c>
    </row>
    <row r="55" spans="1:5" x14ac:dyDescent="0.25">
      <c r="A55" s="26">
        <v>2750</v>
      </c>
      <c r="B55" s="24">
        <v>36.49</v>
      </c>
      <c r="C55" s="24">
        <v>79.53</v>
      </c>
      <c r="D55" s="24">
        <v>199.58</v>
      </c>
      <c r="E55" s="25">
        <v>20.53</v>
      </c>
    </row>
    <row r="56" spans="1:5" x14ac:dyDescent="0.25">
      <c r="A56" s="26">
        <v>2800</v>
      </c>
      <c r="B56" s="24">
        <v>36.619999999999997</v>
      </c>
      <c r="C56" s="24">
        <v>81.349999999999994</v>
      </c>
      <c r="D56" s="24">
        <v>200.24</v>
      </c>
      <c r="E56" s="25">
        <v>20.59</v>
      </c>
    </row>
    <row r="57" spans="1:5" x14ac:dyDescent="0.25">
      <c r="A57" s="26">
        <v>2850</v>
      </c>
      <c r="B57" s="24">
        <v>36.75</v>
      </c>
      <c r="C57" s="24">
        <v>83.19</v>
      </c>
      <c r="D57" s="24">
        <v>200.89</v>
      </c>
      <c r="E57" s="25">
        <v>20.65</v>
      </c>
    </row>
    <row r="58" spans="1:5" x14ac:dyDescent="0.25">
      <c r="A58" s="26">
        <v>2900</v>
      </c>
      <c r="B58" s="24">
        <v>36.869999999999997</v>
      </c>
      <c r="C58" s="24">
        <v>85.03</v>
      </c>
      <c r="D58" s="24">
        <v>201.53</v>
      </c>
      <c r="E58" s="25">
        <v>20.71</v>
      </c>
    </row>
    <row r="59" spans="1:5" x14ac:dyDescent="0.25">
      <c r="A59" s="26">
        <v>2950</v>
      </c>
      <c r="B59" s="24">
        <v>36.99</v>
      </c>
      <c r="C59" s="24">
        <v>86.88</v>
      </c>
      <c r="D59" s="24">
        <v>202.16</v>
      </c>
      <c r="E59" s="25">
        <v>20.77</v>
      </c>
    </row>
    <row r="60" spans="1:5" x14ac:dyDescent="0.25">
      <c r="A60" s="26">
        <v>3000</v>
      </c>
      <c r="B60" s="24">
        <v>37.11</v>
      </c>
      <c r="C60" s="24">
        <v>88.73</v>
      </c>
      <c r="D60" s="24">
        <v>202.79</v>
      </c>
      <c r="E60" s="25">
        <v>20.83</v>
      </c>
    </row>
    <row r="61" spans="1:5" x14ac:dyDescent="0.25">
      <c r="A61" s="26">
        <v>3050</v>
      </c>
      <c r="B61" s="24">
        <v>37.229999999999997</v>
      </c>
      <c r="C61" s="24">
        <v>90.59</v>
      </c>
      <c r="D61" s="24">
        <v>203.4</v>
      </c>
      <c r="E61" s="25">
        <v>20.89</v>
      </c>
    </row>
    <row r="62" spans="1:5" x14ac:dyDescent="0.25">
      <c r="A62" s="26">
        <v>3100</v>
      </c>
      <c r="B62" s="24">
        <v>37.340000000000003</v>
      </c>
      <c r="C62" s="24">
        <v>92.45</v>
      </c>
      <c r="D62" s="24">
        <v>204.01</v>
      </c>
      <c r="E62" s="25">
        <v>20.95</v>
      </c>
    </row>
    <row r="63" spans="1:5" x14ac:dyDescent="0.25">
      <c r="A63" s="26">
        <v>3150</v>
      </c>
      <c r="B63" s="24">
        <v>37.450000000000003</v>
      </c>
      <c r="C63" s="24">
        <v>94.32</v>
      </c>
      <c r="D63" s="24">
        <v>204.61</v>
      </c>
      <c r="E63" s="25">
        <v>21.01</v>
      </c>
    </row>
    <row r="64" spans="1:5" x14ac:dyDescent="0.25">
      <c r="A64" s="26">
        <v>3200</v>
      </c>
      <c r="B64" s="24">
        <v>37.56</v>
      </c>
      <c r="C64" s="24">
        <v>96.2</v>
      </c>
      <c r="D64" s="24">
        <v>205.2</v>
      </c>
      <c r="E64" s="25">
        <v>21.06</v>
      </c>
    </row>
    <row r="65" spans="1:5" x14ac:dyDescent="0.25">
      <c r="A65" s="26">
        <v>3250</v>
      </c>
      <c r="B65" s="24">
        <v>37.67</v>
      </c>
      <c r="C65" s="24">
        <v>98.08</v>
      </c>
      <c r="D65" s="24">
        <v>205.78</v>
      </c>
      <c r="E65" s="25">
        <v>21.12</v>
      </c>
    </row>
    <row r="66" spans="1:5" x14ac:dyDescent="0.25">
      <c r="A66" s="26">
        <v>3300</v>
      </c>
      <c r="B66" s="24">
        <v>37.78</v>
      </c>
      <c r="C66" s="24">
        <v>99.96</v>
      </c>
      <c r="D66" s="24">
        <v>206.36</v>
      </c>
      <c r="E66" s="25">
        <v>21.18</v>
      </c>
    </row>
    <row r="67" spans="1:5" x14ac:dyDescent="0.25">
      <c r="A67" s="26">
        <v>3350</v>
      </c>
      <c r="B67" s="24">
        <v>37.880000000000003</v>
      </c>
      <c r="C67" s="24">
        <v>101.86</v>
      </c>
      <c r="D67" s="24">
        <v>206.92</v>
      </c>
      <c r="E67" s="25">
        <v>21.23</v>
      </c>
    </row>
    <row r="68" spans="1:5" x14ac:dyDescent="0.25">
      <c r="A68" s="26">
        <v>3400</v>
      </c>
      <c r="B68" s="24">
        <v>37.99</v>
      </c>
      <c r="C68" s="24">
        <v>103.75</v>
      </c>
      <c r="D68" s="24">
        <v>207.49</v>
      </c>
      <c r="E68" s="25">
        <v>21.29</v>
      </c>
    </row>
    <row r="69" spans="1:5" x14ac:dyDescent="0.25">
      <c r="A69" s="26">
        <v>3450</v>
      </c>
      <c r="B69" s="24">
        <v>38.090000000000003</v>
      </c>
      <c r="C69" s="24">
        <v>105.65</v>
      </c>
      <c r="D69" s="24">
        <v>208.04</v>
      </c>
      <c r="E69" s="25">
        <v>21.34</v>
      </c>
    </row>
    <row r="70" spans="1:5" ht="15.75" thickBot="1" x14ac:dyDescent="0.3">
      <c r="A70" s="27">
        <v>3500</v>
      </c>
      <c r="B70" s="28">
        <v>38.19</v>
      </c>
      <c r="C70" s="28">
        <v>107.56</v>
      </c>
      <c r="D70" s="28">
        <v>208.59</v>
      </c>
      <c r="E70" s="29">
        <v>21.39</v>
      </c>
    </row>
  </sheetData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14"/>
  <sheetViews>
    <sheetView workbookViewId="0">
      <selection activeCell="A2" sqref="A2:B3"/>
    </sheetView>
  </sheetViews>
  <sheetFormatPr defaultRowHeight="15" x14ac:dyDescent="0.25"/>
  <cols>
    <col min="1" max="1" width="9.7109375" bestFit="1" customWidth="1"/>
    <col min="6" max="6" width="19.7109375" bestFit="1" customWidth="1"/>
  </cols>
  <sheetData>
    <row r="1" spans="1:7" ht="15.75" thickBot="1" x14ac:dyDescent="0.3">
      <c r="A1" s="203" t="s">
        <v>26</v>
      </c>
      <c r="B1" s="205"/>
      <c r="C1" s="252" t="s">
        <v>38</v>
      </c>
      <c r="D1" s="253"/>
      <c r="E1" s="253"/>
      <c r="F1" s="254"/>
      <c r="G1" s="84"/>
    </row>
    <row r="2" spans="1:7" ht="15.75" thickBot="1" x14ac:dyDescent="0.3">
      <c r="A2" s="248" t="s">
        <v>40</v>
      </c>
      <c r="B2" s="249"/>
      <c r="C2" s="255"/>
      <c r="D2" s="256"/>
      <c r="E2" s="256"/>
      <c r="F2" s="257"/>
      <c r="G2" s="84"/>
    </row>
    <row r="3" spans="1:7" ht="15.75" thickBot="1" x14ac:dyDescent="0.3">
      <c r="A3" s="250"/>
      <c r="B3" s="251"/>
      <c r="C3" s="84"/>
      <c r="D3" s="84"/>
      <c r="E3" s="84"/>
      <c r="F3" s="84"/>
      <c r="G3" s="84"/>
    </row>
    <row r="4" spans="1:7" ht="28.9" customHeight="1" x14ac:dyDescent="0.25">
      <c r="A4" s="93" t="s">
        <v>29</v>
      </c>
      <c r="B4" s="94">
        <f>IF(A2="Gasoline",'Calculator Data'!B2,IF('Fuel calculator'!A2="Natural gas",'Calculator Data'!B3,IF('Fuel calculator'!A2="Propane",'Calculator Data'!B4,IF('Fuel calculator'!A2="Hydrogen",'Calculator Data'!B5,IF('Fuel calculator'!A2="Diesel",'Calculator Data'!B6)))))</f>
        <v>8</v>
      </c>
      <c r="C4" s="83"/>
      <c r="D4" s="110" t="s">
        <v>44</v>
      </c>
      <c r="E4" s="111">
        <f>(B4*12)+(B5)</f>
        <v>114</v>
      </c>
      <c r="F4" s="85" t="s">
        <v>46</v>
      </c>
      <c r="G4" s="84"/>
    </row>
    <row r="5" spans="1:7" ht="30.75" thickBot="1" x14ac:dyDescent="0.3">
      <c r="A5" s="95" t="s">
        <v>30</v>
      </c>
      <c r="B5" s="96">
        <f>IF(A2="Gasoline",'Calculator Data'!C2,IF('Fuel calculator'!A2="Natural gas",'Calculator Data'!C3,IF('Fuel calculator'!A2="Propane",'Calculator Data'!C4,IF('Fuel calculator'!A2="Hydrogen",'Calculator Data'!C5,IF('Fuel calculator'!A2="Diesel",'Calculator Data'!C6)))))</f>
        <v>18</v>
      </c>
      <c r="C5" s="71"/>
      <c r="D5" s="86" t="s">
        <v>45</v>
      </c>
      <c r="E5" s="109">
        <f>(B14*(32+(F12*28)))</f>
        <v>1716.6666666666665</v>
      </c>
      <c r="F5" s="29">
        <f>E5/E4</f>
        <v>15.058479532163741</v>
      </c>
    </row>
    <row r="6" spans="1:7" ht="15.75" thickBot="1" x14ac:dyDescent="0.3">
      <c r="A6" s="97"/>
      <c r="B6" s="98"/>
      <c r="C6" s="71"/>
      <c r="D6" s="71"/>
      <c r="E6" s="71"/>
      <c r="F6" s="71"/>
    </row>
    <row r="7" spans="1:7" x14ac:dyDescent="0.25">
      <c r="A7" s="99" t="s">
        <v>31</v>
      </c>
      <c r="B7" s="100">
        <f>B4</f>
        <v>8</v>
      </c>
      <c r="C7" s="71"/>
      <c r="D7" s="71"/>
      <c r="E7" s="71"/>
      <c r="F7" s="71"/>
    </row>
    <row r="8" spans="1:7" x14ac:dyDescent="0.25">
      <c r="A8" s="87" t="s">
        <v>32</v>
      </c>
      <c r="B8" s="88">
        <f>B5/2</f>
        <v>9</v>
      </c>
      <c r="C8" s="71"/>
      <c r="D8" s="71"/>
      <c r="E8" s="71"/>
      <c r="F8" s="71"/>
    </row>
    <row r="9" spans="1:7" ht="15.75" thickBot="1" x14ac:dyDescent="0.3">
      <c r="A9" s="101" t="s">
        <v>33</v>
      </c>
      <c r="B9" s="102">
        <f>B14*F12</f>
        <v>47.023809523809526</v>
      </c>
      <c r="C9" s="71"/>
      <c r="D9" s="71"/>
      <c r="E9" s="71"/>
      <c r="F9" s="71"/>
    </row>
    <row r="10" spans="1:7" ht="15.75" thickBot="1" x14ac:dyDescent="0.3">
      <c r="A10" s="97"/>
      <c r="B10" s="98"/>
      <c r="C10" s="71"/>
      <c r="D10" s="71"/>
      <c r="E10" s="71"/>
      <c r="F10" s="71"/>
    </row>
    <row r="11" spans="1:7" ht="15.75" thickBot="1" x14ac:dyDescent="0.3">
      <c r="A11" s="246" t="s">
        <v>37</v>
      </c>
      <c r="B11" s="247"/>
      <c r="C11" s="71"/>
      <c r="D11" s="71"/>
      <c r="E11" s="71"/>
      <c r="F11" s="71"/>
    </row>
    <row r="12" spans="1:7" x14ac:dyDescent="0.25">
      <c r="A12" s="103" t="s">
        <v>34</v>
      </c>
      <c r="B12" s="104">
        <v>21</v>
      </c>
      <c r="C12" s="71"/>
      <c r="D12" s="258" t="s">
        <v>36</v>
      </c>
      <c r="E12" s="259"/>
      <c r="F12" s="262">
        <f>B13/B12</f>
        <v>3.7619047619047619</v>
      </c>
    </row>
    <row r="13" spans="1:7" ht="15.75" thickBot="1" x14ac:dyDescent="0.3">
      <c r="A13" s="89" t="s">
        <v>35</v>
      </c>
      <c r="B13" s="90">
        <v>79</v>
      </c>
      <c r="C13" s="71"/>
      <c r="D13" s="260"/>
      <c r="E13" s="261"/>
      <c r="F13" s="263"/>
    </row>
    <row r="14" spans="1:7" ht="15.75" thickBot="1" x14ac:dyDescent="0.3">
      <c r="A14" s="91" t="s">
        <v>39</v>
      </c>
      <c r="B14" s="92">
        <f>((2*B7)+B8)/2</f>
        <v>12.5</v>
      </c>
    </row>
  </sheetData>
  <mergeCells count="6">
    <mergeCell ref="A1:B1"/>
    <mergeCell ref="A11:B11"/>
    <mergeCell ref="A2:B3"/>
    <mergeCell ref="C1:F2"/>
    <mergeCell ref="D12:E13"/>
    <mergeCell ref="F12:F1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'Calculator Data'!$A$2:$A$6</xm:f>
          </x14:formula1>
          <xm:sqref>A2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6"/>
  <sheetViews>
    <sheetView tabSelected="1" workbookViewId="0">
      <selection activeCell="J25" sqref="J25"/>
    </sheetView>
  </sheetViews>
  <sheetFormatPr defaultRowHeight="15" x14ac:dyDescent="0.25"/>
  <sheetData>
    <row r="1" spans="1:3" x14ac:dyDescent="0.25">
      <c r="B1" t="s">
        <v>27</v>
      </c>
      <c r="C1" t="s">
        <v>28</v>
      </c>
    </row>
    <row r="2" spans="1:3" x14ac:dyDescent="0.25">
      <c r="A2" t="s">
        <v>40</v>
      </c>
      <c r="B2">
        <v>8</v>
      </c>
      <c r="C2">
        <v>18</v>
      </c>
    </row>
    <row r="3" spans="1:3" x14ac:dyDescent="0.25">
      <c r="A3" t="s">
        <v>41</v>
      </c>
      <c r="B3">
        <v>1</v>
      </c>
      <c r="C3">
        <v>4</v>
      </c>
    </row>
    <row r="4" spans="1:3" x14ac:dyDescent="0.25">
      <c r="A4" t="s">
        <v>42</v>
      </c>
      <c r="B4">
        <v>3</v>
      </c>
      <c r="C4">
        <v>8</v>
      </c>
    </row>
    <row r="5" spans="1:3" x14ac:dyDescent="0.25">
      <c r="A5" t="s">
        <v>28</v>
      </c>
      <c r="B5">
        <v>0</v>
      </c>
      <c r="C5">
        <v>2</v>
      </c>
    </row>
    <row r="6" spans="1:3" x14ac:dyDescent="0.25">
      <c r="A6" t="s">
        <v>43</v>
      </c>
      <c r="B6">
        <v>12</v>
      </c>
      <c r="C6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Worksheet NOx</vt:lpstr>
      <vt:lpstr>EGR 5%</vt:lpstr>
      <vt:lpstr>EGR 10%</vt:lpstr>
      <vt:lpstr>EGR 15%</vt:lpstr>
      <vt:lpstr>EGR 20%</vt:lpstr>
      <vt:lpstr>Enthalpy Data</vt:lpstr>
      <vt:lpstr>CO2</vt:lpstr>
      <vt:lpstr>H2O</vt:lpstr>
      <vt:lpstr>O2</vt:lpstr>
      <vt:lpstr>N2</vt:lpstr>
      <vt:lpstr>H2</vt:lpstr>
      <vt:lpstr>Fuel calculator</vt:lpstr>
      <vt:lpstr>Calculator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 Lord (P150216)</dc:creator>
  <cp:lastModifiedBy>Paul Gormlie (P149642)</cp:lastModifiedBy>
  <dcterms:created xsi:type="dcterms:W3CDTF">2019-11-13T13:23:22Z</dcterms:created>
  <dcterms:modified xsi:type="dcterms:W3CDTF">2020-01-05T21:28:51Z</dcterms:modified>
</cp:coreProperties>
</file>