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/>
  <mc:AlternateContent xmlns:mc="http://schemas.openxmlformats.org/markup-compatibility/2006">
    <mc:Choice Requires="x15">
      <x15ac:absPath xmlns:x15ac="http://schemas.microsoft.com/office/spreadsheetml/2010/11/ac" url="C:\Users\nicholas\Documents\aa yr 3 uni\AVD\Corusework 2\"/>
    </mc:Choice>
  </mc:AlternateContent>
  <xr:revisionPtr revIDLastSave="0" documentId="13_ncr:1_{C4DDE670-70DB-4213-ADA3-9EFECFEE54B3}" xr6:coauthVersionLast="45" xr6:coauthVersionMax="45" xr10:uidLastSave="{00000000-0000-0000-0000-000000000000}"/>
  <bookViews>
    <workbookView xWindow="-120" yWindow="-120" windowWidth="20730" windowHeight="11160" xr2:uid="{BB8B1A84-7F52-4D55-A292-F0EC4EC2FE79}"/>
  </bookViews>
  <sheets>
    <sheet name="no passenger" sheetId="1" r:id="rId1"/>
    <sheet name="Inertia Summation" sheetId="6" r:id="rId2"/>
    <sheet name="2 Passengers" sheetId="5" r:id="rId3"/>
    <sheet name="4 Passengers" sheetId="2" r:id="rId4"/>
    <sheet name="Drive" sheetId="4" r:id="rId5"/>
    <sheet name="Data Sheet" sheetId="10" r:id="rId6"/>
    <sheet name="Longitudinal Acceleration" sheetId="8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7" i="8" l="1"/>
  <c r="B8" i="8"/>
  <c r="R6" i="4" l="1"/>
  <c r="R7" i="4"/>
  <c r="O6" i="4"/>
  <c r="O7" i="4"/>
  <c r="N6" i="4"/>
  <c r="N7" i="4"/>
  <c r="G13" i="8" l="1"/>
  <c r="G14" i="8"/>
  <c r="G15" i="8"/>
  <c r="G12" i="8"/>
  <c r="E12" i="8" l="1"/>
  <c r="F12" i="8"/>
  <c r="D13" i="8"/>
  <c r="H13" i="8" s="1"/>
  <c r="D14" i="8"/>
  <c r="H14" i="8" s="1"/>
  <c r="D15" i="8"/>
  <c r="H15" i="8" s="1"/>
  <c r="D12" i="8"/>
  <c r="H12" i="8" s="1"/>
  <c r="C13" i="8"/>
  <c r="E13" i="8" s="1"/>
  <c r="C14" i="8"/>
  <c r="E14" i="8" s="1"/>
  <c r="C15" i="8"/>
  <c r="E15" i="8" s="1"/>
  <c r="C12" i="8"/>
  <c r="F15" i="8" l="1"/>
  <c r="F14" i="8"/>
  <c r="F13" i="8"/>
  <c r="D9" i="5"/>
  <c r="D12" i="5" l="1"/>
  <c r="C11" i="1"/>
  <c r="C5" i="6" s="1"/>
  <c r="E3" i="6"/>
  <c r="D2" i="6"/>
  <c r="D3" i="6"/>
  <c r="C3" i="6"/>
  <c r="E4" i="6"/>
  <c r="E2" i="6"/>
  <c r="D4" i="6"/>
  <c r="C4" i="6"/>
  <c r="C2" i="6"/>
  <c r="D11" i="5" l="1"/>
  <c r="D5" i="6" s="1"/>
  <c r="D6" i="6"/>
  <c r="D13" i="2"/>
  <c r="E5" i="6" s="1"/>
  <c r="D11" i="2"/>
  <c r="D14" i="2" s="1"/>
  <c r="E6" i="6" s="1"/>
  <c r="D2" i="4" l="1"/>
  <c r="I2" i="4" l="1"/>
  <c r="S2" i="4" s="1"/>
  <c r="U3" i="4" s="1"/>
  <c r="U13" i="4" s="1"/>
  <c r="E2" i="4"/>
  <c r="C3" i="8"/>
  <c r="F3" i="8" s="1"/>
  <c r="C18" i="8" s="1"/>
  <c r="D3" i="4"/>
  <c r="D4" i="4"/>
  <c r="D5" i="4"/>
  <c r="D6" i="4"/>
  <c r="D7" i="4"/>
  <c r="V13" i="4" l="1"/>
  <c r="W13" i="4" s="1"/>
  <c r="X13" i="4" s="1"/>
  <c r="I6" i="4"/>
  <c r="S6" i="4" s="1"/>
  <c r="U7" i="4" s="1"/>
  <c r="E6" i="4"/>
  <c r="I5" i="4"/>
  <c r="E5" i="4"/>
  <c r="I4" i="4"/>
  <c r="S4" i="4" s="1"/>
  <c r="U5" i="4" s="1"/>
  <c r="U15" i="4" s="1"/>
  <c r="E4" i="4"/>
  <c r="I7" i="4"/>
  <c r="S7" i="4" s="1"/>
  <c r="U8" i="4" s="1"/>
  <c r="E7" i="4"/>
  <c r="I3" i="4"/>
  <c r="S3" i="4" s="1"/>
  <c r="U4" i="4" s="1"/>
  <c r="U14" i="4" s="1"/>
  <c r="E3" i="4"/>
  <c r="C9" i="1"/>
  <c r="C12" i="1" s="1"/>
  <c r="C6" i="6" s="1"/>
  <c r="V14" i="4" l="1"/>
  <c r="V15" i="4"/>
  <c r="C7" i="8"/>
  <c r="D7" i="8" s="1"/>
  <c r="C4" i="8"/>
  <c r="F4" i="8" s="1"/>
  <c r="C19" i="8" s="1"/>
  <c r="X8" i="4"/>
  <c r="U18" i="4"/>
  <c r="X7" i="4"/>
  <c r="U17" i="4"/>
  <c r="C6" i="8"/>
  <c r="F6" i="8" s="1"/>
  <c r="C21" i="8" s="1"/>
  <c r="S5" i="4"/>
  <c r="U6" i="4" s="1"/>
  <c r="U16" i="4" s="1"/>
  <c r="C5" i="8"/>
  <c r="F5" i="8" s="1"/>
  <c r="C20" i="8" s="1"/>
  <c r="C8" i="8"/>
  <c r="D8" i="8" s="1"/>
  <c r="F3" i="4"/>
  <c r="G3" i="4" s="1"/>
  <c r="F2" i="4"/>
  <c r="G2" i="4" s="1"/>
  <c r="W15" i="4"/>
  <c r="X15" i="4" s="1"/>
  <c r="W14" i="4"/>
  <c r="X14" i="4" s="1"/>
  <c r="E7" i="8"/>
  <c r="F7" i="8"/>
  <c r="E8" i="8"/>
  <c r="T6" i="4"/>
  <c r="T7" i="4"/>
  <c r="F5" i="4"/>
  <c r="F4" i="4"/>
  <c r="G4" i="4" s="1"/>
  <c r="V17" i="4" l="1"/>
  <c r="Y17" i="4"/>
  <c r="Z17" i="4" s="1"/>
  <c r="AA17" i="4" s="1"/>
  <c r="AB17" i="4" s="1"/>
  <c r="V16" i="4"/>
  <c r="W16" i="4" s="1"/>
  <c r="X16" i="4" s="1"/>
  <c r="V18" i="4"/>
  <c r="Y18" i="4"/>
  <c r="Z18" i="4" s="1"/>
  <c r="AA18" i="4" s="1"/>
  <c r="AB18" i="4" s="1"/>
  <c r="F8" i="8"/>
  <c r="J2" i="4"/>
  <c r="J3" i="4"/>
  <c r="J5" i="4"/>
  <c r="G5" i="4"/>
  <c r="H5" i="4" s="1"/>
  <c r="Y7" i="4"/>
  <c r="Z7" i="4" s="1"/>
  <c r="W17" i="4"/>
  <c r="X17" i="4" s="1"/>
  <c r="V7" i="4"/>
  <c r="W7" i="4" s="1"/>
  <c r="Y8" i="4"/>
  <c r="Z8" i="4" s="1"/>
  <c r="W18" i="4"/>
  <c r="X18" i="4" s="1"/>
  <c r="V8" i="4"/>
  <c r="W8" i="4" s="1"/>
  <c r="J4" i="4"/>
  <c r="H2" i="4"/>
  <c r="H3" i="4"/>
  <c r="R5" i="4" l="1"/>
  <c r="B6" i="8"/>
  <c r="R3" i="4"/>
  <c r="B4" i="8"/>
  <c r="R2" i="4"/>
  <c r="B3" i="8"/>
  <c r="N5" i="4"/>
  <c r="O5" i="4"/>
  <c r="O3" i="4"/>
  <c r="N3" i="4"/>
  <c r="O2" i="4"/>
  <c r="N2" i="4"/>
  <c r="K3" i="4"/>
  <c r="L3" i="4" s="1"/>
  <c r="K5" i="4"/>
  <c r="L5" i="4" s="1"/>
  <c r="K2" i="4"/>
  <c r="L2" i="4" s="1"/>
  <c r="H4" i="4"/>
  <c r="X4" i="4" l="1"/>
  <c r="Y14" i="4"/>
  <c r="Z14" i="4" s="1"/>
  <c r="R4" i="4"/>
  <c r="B5" i="8"/>
  <c r="X3" i="4"/>
  <c r="Y13" i="4"/>
  <c r="Z13" i="4" s="1"/>
  <c r="X6" i="4"/>
  <c r="Y16" i="4"/>
  <c r="Z16" i="4" s="1"/>
  <c r="AA16" i="4" s="1"/>
  <c r="AB16" i="4" s="1"/>
  <c r="O4" i="4"/>
  <c r="N4" i="4"/>
  <c r="D3" i="8"/>
  <c r="E3" i="8" s="1"/>
  <c r="B18" i="8" s="1"/>
  <c r="D18" i="8" s="1"/>
  <c r="D4" i="8"/>
  <c r="E4" i="8" s="1"/>
  <c r="B19" i="8" s="1"/>
  <c r="D19" i="8" s="1"/>
  <c r="D6" i="8"/>
  <c r="E6" i="8" s="1"/>
  <c r="B21" i="8" s="1"/>
  <c r="D21" i="8" s="1"/>
  <c r="Y3" i="4"/>
  <c r="Z3" i="4" s="1"/>
  <c r="AA13" i="4"/>
  <c r="AB13" i="4" s="1"/>
  <c r="Y6" i="4"/>
  <c r="Z6" i="4" s="1"/>
  <c r="Y4" i="4"/>
  <c r="Z4" i="4" s="1"/>
  <c r="AA14" i="4"/>
  <c r="AB14" i="4" s="1"/>
  <c r="T3" i="4"/>
  <c r="V4" i="4"/>
  <c r="W4" i="4" s="1"/>
  <c r="T2" i="4"/>
  <c r="V3" i="4"/>
  <c r="W3" i="4" s="1"/>
  <c r="T5" i="4"/>
  <c r="V6" i="4"/>
  <c r="W6" i="4" s="1"/>
  <c r="K4" i="4"/>
  <c r="L4" i="4" s="1"/>
  <c r="X5" i="4" l="1"/>
  <c r="Y15" i="4"/>
  <c r="Z15" i="4" s="1"/>
  <c r="AA15" i="4" s="1"/>
  <c r="AB15" i="4" s="1"/>
  <c r="D5" i="8"/>
  <c r="E5" i="8" s="1"/>
  <c r="B20" i="8" s="1"/>
  <c r="D20" i="8" s="1"/>
  <c r="Y5" i="4"/>
  <c r="Z5" i="4" s="1"/>
  <c r="T4" i="4"/>
  <c r="V5" i="4"/>
  <c r="W5" i="4" s="1"/>
</calcChain>
</file>

<file path=xl/sharedStrings.xml><?xml version="1.0" encoding="utf-8"?>
<sst xmlns="http://schemas.openxmlformats.org/spreadsheetml/2006/main" count="180" uniqueCount="129">
  <si>
    <t>kg</t>
  </si>
  <si>
    <t>Rotational Inertia</t>
  </si>
  <si>
    <t>Dynamic Index</t>
  </si>
  <si>
    <t>Inertial Conjugate</t>
  </si>
  <si>
    <t>m</t>
  </si>
  <si>
    <t>Gear rear</t>
  </si>
  <si>
    <t>Final Drive Ratio</t>
  </si>
  <si>
    <t>Overall Ratio</t>
  </si>
  <si>
    <t>Dif rpm</t>
  </si>
  <si>
    <t>Power loss W</t>
  </si>
  <si>
    <t>Power loss kW</t>
  </si>
  <si>
    <t>a</t>
  </si>
  <si>
    <t>b</t>
  </si>
  <si>
    <t>Total Mass</t>
  </si>
  <si>
    <t>Total Length</t>
  </si>
  <si>
    <t>%</t>
  </si>
  <si>
    <t>Outer Radius</t>
  </si>
  <si>
    <t>Inner Radius</t>
  </si>
  <si>
    <t>Mue coefficient</t>
  </si>
  <si>
    <t>Rear</t>
  </si>
  <si>
    <t>Front</t>
  </si>
  <si>
    <t>Gear box</t>
  </si>
  <si>
    <t>Engine</t>
  </si>
  <si>
    <t>PTU</t>
  </si>
  <si>
    <t>CoG</t>
  </si>
  <si>
    <t>Assumptions</t>
  </si>
  <si>
    <t>No. of plates</t>
  </si>
  <si>
    <t>New Mass Distribution To rear</t>
  </si>
  <si>
    <t xml:space="preserve"> New Mass Distribution To rear</t>
  </si>
  <si>
    <t>DI</t>
  </si>
  <si>
    <t>4 Passengers</t>
  </si>
  <si>
    <t>2 Passengers</t>
  </si>
  <si>
    <t xml:space="preserve">Mass Distribution front </t>
  </si>
  <si>
    <t>No Passenger</t>
  </si>
  <si>
    <t>Front Ratio</t>
  </si>
  <si>
    <t>Rear Ratio</t>
  </si>
  <si>
    <t>Cog from front (m)</t>
  </si>
  <si>
    <t>Weight Distribution front %</t>
  </si>
  <si>
    <t>Inertial Conjugate (m)</t>
  </si>
  <si>
    <t>Inertia (Kgm^2)</t>
  </si>
  <si>
    <t>tarmac</t>
  </si>
  <si>
    <t>wet tarmac</t>
  </si>
  <si>
    <t>gravel</t>
  </si>
  <si>
    <t>Max force front wheels</t>
  </si>
  <si>
    <t>Max force rear wheels</t>
  </si>
  <si>
    <t>Max Torque Capacity front</t>
  </si>
  <si>
    <t>Max Torque Capacity rear</t>
  </si>
  <si>
    <t>Total tractive force awd</t>
  </si>
  <si>
    <t>Max accel awd</t>
  </si>
  <si>
    <t>Max Accel rear only</t>
  </si>
  <si>
    <t>gear</t>
  </si>
  <si>
    <t>Mechanical limited  grip</t>
  </si>
  <si>
    <t>Surface</t>
  </si>
  <si>
    <t>Mue</t>
  </si>
  <si>
    <t>Ice</t>
  </si>
  <si>
    <t>Max Accel without Front m/s/s</t>
  </si>
  <si>
    <t>Max Accel with Front m/s/s</t>
  </si>
  <si>
    <t>Total Tractive Force just Rear N</t>
  </si>
  <si>
    <t>Total Tractive Force with Front N</t>
  </si>
  <si>
    <t xml:space="preserve">% Difference </t>
  </si>
  <si>
    <t>Yaw gain rads/s</t>
  </si>
  <si>
    <t>Yaw Moment AWD</t>
  </si>
  <si>
    <t>Yaw Gain Rad/s</t>
  </si>
  <si>
    <t>Yaw gain Degs/s</t>
  </si>
  <si>
    <t>Slip angle</t>
  </si>
  <si>
    <t>required wheel travel</t>
  </si>
  <si>
    <t>hand wheel lock to lock 3.5deg</t>
  </si>
  <si>
    <t>road wheel can move +-45</t>
  </si>
  <si>
    <t>hand wheel movement</t>
  </si>
  <si>
    <t>Axial Force Uniform wear N</t>
  </si>
  <si>
    <t>Axial Force Uniform Pressure N</t>
  </si>
  <si>
    <t>Tractive Force 1 Front N</t>
  </si>
  <si>
    <t>Tractive Force 1 Rear N</t>
  </si>
  <si>
    <t>Road Suface limited grip</t>
  </si>
  <si>
    <t>Rear wheel speed 6000rpm</t>
  </si>
  <si>
    <t>Front gear box output @6000 RPM</t>
  </si>
  <si>
    <t>Yaw moment Just rear</t>
  </si>
  <si>
    <t>Yaw gain degs/s</t>
  </si>
  <si>
    <t>Gear</t>
  </si>
  <si>
    <t>Just rear Wheel Drive</t>
  </si>
  <si>
    <t>AWD</t>
  </si>
  <si>
    <t>Lat force a front wheels</t>
  </si>
  <si>
    <t>Lat force at front wheels</t>
  </si>
  <si>
    <t>RWD</t>
  </si>
  <si>
    <t>Vehicle Mass</t>
  </si>
  <si>
    <t>1880kg</t>
  </si>
  <si>
    <t>Wheelbase</t>
  </si>
  <si>
    <t>2.990m</t>
  </si>
  <si>
    <t>Front Track</t>
  </si>
  <si>
    <t>1676mm</t>
  </si>
  <si>
    <t>Rear Track</t>
  </si>
  <si>
    <t>1660mm</t>
  </si>
  <si>
    <t>47% front 53% rear</t>
  </si>
  <si>
    <t>Wheel and tyre Diameter</t>
  </si>
  <si>
    <t>0.508m</t>
  </si>
  <si>
    <t>Maximum Torque</t>
  </si>
  <si>
    <t>Longitudinal Mass Distribution</t>
  </si>
  <si>
    <t>Lateral Mass Distribution</t>
  </si>
  <si>
    <t>683Nm</t>
  </si>
  <si>
    <t>Torque Split Front Rear</t>
  </si>
  <si>
    <t>20% Front 80% Rear</t>
  </si>
  <si>
    <t>50% 50%</t>
  </si>
  <si>
    <t>No of Gear</t>
  </si>
  <si>
    <t>6+Reverse</t>
  </si>
  <si>
    <t>Mass of Front Passengers</t>
  </si>
  <si>
    <t>Mass of Rear Passengers</t>
  </si>
  <si>
    <t>153.8kg</t>
  </si>
  <si>
    <t>83kg</t>
  </si>
  <si>
    <t>1st  gear ratio rear</t>
  </si>
  <si>
    <t>2nd gear ratio rear</t>
  </si>
  <si>
    <t>3rd gear ratio rear</t>
  </si>
  <si>
    <t>4th gear ratio rear</t>
  </si>
  <si>
    <t>5th gear ratio rear</t>
  </si>
  <si>
    <t>6th gear ratio rear</t>
  </si>
  <si>
    <t>Final Drive Ratio Rear</t>
  </si>
  <si>
    <t xml:space="preserve">1st gear ratio front </t>
  </si>
  <si>
    <t>2nd Gear ratio front</t>
  </si>
  <si>
    <t>6% taller than 3rd rear</t>
  </si>
  <si>
    <t>6% taller than 2nd rear</t>
  </si>
  <si>
    <t>Outer Radius of clutch</t>
  </si>
  <si>
    <t>Inner Radius of clutch</t>
  </si>
  <si>
    <t>Mue coefficient of clutch</t>
  </si>
  <si>
    <t>No. of plates in clutch</t>
  </si>
  <si>
    <t>Mue coefficient of dry tarmac</t>
  </si>
  <si>
    <t>Mue coefficient of wet tarmac</t>
  </si>
  <si>
    <t xml:space="preserve">Mue coefficient of ice </t>
  </si>
  <si>
    <t>Mue coefficient of  gravel</t>
  </si>
  <si>
    <t>Steering Ratio</t>
  </si>
  <si>
    <t>Assumptions and Vehicle Specifcations used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</si>
</sst>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0" xfId="0" applyAlignment="1">
      <alignment wrapText="1"/>
    </xf>
    <xf numFmtId="0" fontId="0" fillId="0" borderId="0" xfId="0" applyAlignment="1"/>
    <xf numFmtId="0" fontId="0" fillId="0" borderId="0" xfId="0" applyFill="1" applyAlignment="1">
      <alignment vertical="center"/>
    </xf>
    <xf numFmtId="2" fontId="0" fillId="0" borderId="0" xfId="0" applyNumberFormat="1"/>
    <xf numFmtId="0" fontId="0" fillId="0" borderId="1" xfId="0" applyBorder="1"/>
    <xf numFmtId="2" fontId="0" fillId="0" borderId="1" xfId="0" applyNumberFormat="1" applyBorder="1"/>
    <xf numFmtId="0" fontId="0" fillId="0" borderId="6" xfId="0" applyBorder="1"/>
    <xf numFmtId="0" fontId="0" fillId="0" borderId="8" xfId="0" applyBorder="1"/>
    <xf numFmtId="0" fontId="0" fillId="0" borderId="9" xfId="0" applyBorder="1"/>
    <xf numFmtId="0" fontId="0" fillId="6" borderId="3" xfId="0" applyFill="1" applyBorder="1"/>
    <xf numFmtId="0" fontId="0" fillId="6" borderId="4" xfId="0" applyFill="1" applyBorder="1"/>
    <xf numFmtId="0" fontId="0" fillId="4" borderId="5" xfId="0" applyFill="1" applyBorder="1"/>
    <xf numFmtId="0" fontId="0" fillId="4" borderId="7" xfId="0" applyFill="1" applyBorder="1"/>
    <xf numFmtId="0" fontId="0" fillId="2" borderId="2" xfId="0" applyFill="1" applyBorder="1"/>
    <xf numFmtId="0" fontId="0" fillId="4" borderId="1" xfId="0" applyFill="1" applyBorder="1" applyAlignment="1">
      <alignment wrapText="1"/>
    </xf>
    <xf numFmtId="0" fontId="0" fillId="4" borderId="1" xfId="0" applyFill="1" applyBorder="1"/>
    <xf numFmtId="0" fontId="0" fillId="4" borderId="1" xfId="0" applyFill="1" applyBorder="1" applyAlignment="1">
      <alignment horizontal="center" wrapText="1"/>
    </xf>
    <xf numFmtId="0" fontId="0" fillId="4" borderId="1" xfId="0" applyFill="1" applyBorder="1" applyAlignment="1">
      <alignment horizontal="left" vertical="center" wrapText="1"/>
    </xf>
    <xf numFmtId="0" fontId="0" fillId="7" borderId="1" xfId="0" applyFill="1" applyBorder="1" applyAlignment="1">
      <alignment wrapText="1"/>
    </xf>
    <xf numFmtId="0" fontId="0" fillId="8" borderId="1" xfId="0" applyFill="1" applyBorder="1" applyAlignment="1">
      <alignment wrapText="1"/>
    </xf>
    <xf numFmtId="0" fontId="0" fillId="0" borderId="1" xfId="0" applyBorder="1" applyAlignment="1">
      <alignment wrapText="1"/>
    </xf>
    <xf numFmtId="0" fontId="0" fillId="4" borderId="10" xfId="0" applyFill="1" applyBorder="1" applyAlignment="1">
      <alignment wrapText="1"/>
    </xf>
    <xf numFmtId="0" fontId="0" fillId="0" borderId="10" xfId="0" applyBorder="1"/>
    <xf numFmtId="0" fontId="0" fillId="4" borderId="12" xfId="0" applyFill="1" applyBorder="1" applyAlignment="1">
      <alignment wrapText="1"/>
    </xf>
    <xf numFmtId="0" fontId="0" fillId="0" borderId="12" xfId="0" applyBorder="1"/>
    <xf numFmtId="0" fontId="0" fillId="3" borderId="0" xfId="0" applyFill="1" applyBorder="1" applyAlignment="1">
      <alignment wrapText="1"/>
    </xf>
    <xf numFmtId="0" fontId="0" fillId="3" borderId="0" xfId="0" applyFill="1" applyBorder="1"/>
    <xf numFmtId="0" fontId="0" fillId="0" borderId="0" xfId="0" applyNumberFormat="1"/>
    <xf numFmtId="0" fontId="0" fillId="0" borderId="0" xfId="0" applyAlignment="1">
      <alignment horizontal="center"/>
    </xf>
    <xf numFmtId="0" fontId="0" fillId="4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7" borderId="1" xfId="0" applyFill="1" applyBorder="1" applyAlignment="1">
      <alignment horizontal="center" wrapText="1"/>
    </xf>
    <xf numFmtId="0" fontId="0" fillId="8" borderId="1" xfId="0" applyFill="1" applyBorder="1" applyAlignment="1">
      <alignment horizontal="center" wrapText="1"/>
    </xf>
    <xf numFmtId="0" fontId="0" fillId="8" borderId="10" xfId="0" applyFill="1" applyBorder="1" applyAlignment="1">
      <alignment horizontal="center"/>
    </xf>
    <xf numFmtId="0" fontId="0" fillId="8" borderId="11" xfId="0" applyFill="1" applyBorder="1" applyAlignment="1">
      <alignment horizontal="center"/>
    </xf>
    <xf numFmtId="0" fontId="0" fillId="8" borderId="12" xfId="0" applyFill="1" applyBorder="1" applyAlignment="1">
      <alignment horizontal="center"/>
    </xf>
    <xf numFmtId="0" fontId="0" fillId="7" borderId="10" xfId="0" applyFill="1" applyBorder="1" applyAlignment="1">
      <alignment horizontal="center"/>
    </xf>
    <xf numFmtId="0" fontId="0" fillId="7" borderId="11" xfId="0" applyFill="1" applyBorder="1" applyAlignment="1">
      <alignment horizontal="center"/>
    </xf>
    <xf numFmtId="0" fontId="0" fillId="7" borderId="12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8FFE92-7207-47ED-9D97-57D4EA1AD00B}">
  <dimension ref="A5:R17"/>
  <sheetViews>
    <sheetView tabSelected="1" zoomScale="85" zoomScaleNormal="85" workbookViewId="0">
      <selection activeCell="D20" sqref="D20"/>
    </sheetView>
  </sheetViews>
  <sheetFormatPr defaultRowHeight="15" x14ac:dyDescent="0.25"/>
  <cols>
    <col min="2" max="2" width="16.5703125" bestFit="1" customWidth="1"/>
  </cols>
  <sheetData>
    <row r="5" spans="1:18" x14ac:dyDescent="0.25">
      <c r="B5" t="s">
        <v>14</v>
      </c>
      <c r="C5">
        <v>2.99</v>
      </c>
      <c r="D5" t="s">
        <v>4</v>
      </c>
    </row>
    <row r="6" spans="1:18" x14ac:dyDescent="0.25">
      <c r="B6" t="s">
        <v>13</v>
      </c>
      <c r="C6">
        <v>1880</v>
      </c>
      <c r="D6" t="s">
        <v>0</v>
      </c>
    </row>
    <row r="7" spans="1:18" x14ac:dyDescent="0.25">
      <c r="A7" s="31" t="s">
        <v>32</v>
      </c>
      <c r="B7" s="31"/>
      <c r="C7">
        <v>47</v>
      </c>
      <c r="D7" t="s">
        <v>15</v>
      </c>
    </row>
    <row r="8" spans="1:18" x14ac:dyDescent="0.25">
      <c r="B8" t="s">
        <v>12</v>
      </c>
      <c r="C8">
        <v>1.4053</v>
      </c>
      <c r="D8" t="s">
        <v>4</v>
      </c>
    </row>
    <row r="9" spans="1:18" x14ac:dyDescent="0.25">
      <c r="B9" t="s">
        <v>11</v>
      </c>
      <c r="C9">
        <f>C5-C8</f>
        <v>1.5847000000000002</v>
      </c>
      <c r="D9" t="s">
        <v>4</v>
      </c>
    </row>
    <row r="10" spans="1:18" x14ac:dyDescent="0.25">
      <c r="B10" t="s">
        <v>1</v>
      </c>
      <c r="C10">
        <v>4003.19</v>
      </c>
      <c r="F10" s="32" t="s">
        <v>21</v>
      </c>
      <c r="G10" s="32"/>
      <c r="N10" s="32" t="s">
        <v>22</v>
      </c>
      <c r="O10" s="32"/>
    </row>
    <row r="11" spans="1:18" x14ac:dyDescent="0.25">
      <c r="B11" t="s">
        <v>3</v>
      </c>
      <c r="C11">
        <f>C10/(C6*C9)</f>
        <v>1.3436968403980079</v>
      </c>
      <c r="F11" s="32"/>
      <c r="G11" s="32"/>
      <c r="K11" s="33" t="s">
        <v>24</v>
      </c>
      <c r="N11" s="32"/>
      <c r="O11" s="32"/>
      <c r="Q11" s="32" t="s">
        <v>23</v>
      </c>
    </row>
    <row r="12" spans="1:18" x14ac:dyDescent="0.25">
      <c r="B12" t="s">
        <v>2</v>
      </c>
      <c r="C12">
        <f>C10/(C6*C8*C9)</f>
        <v>0.95616369486800545</v>
      </c>
      <c r="F12" s="32"/>
      <c r="G12" s="32"/>
      <c r="K12" s="33"/>
      <c r="N12" s="32"/>
      <c r="O12" s="32"/>
      <c r="Q12" s="32"/>
    </row>
    <row r="13" spans="1:18" x14ac:dyDescent="0.25">
      <c r="G13" s="1"/>
      <c r="H13" s="1"/>
      <c r="I13" s="1"/>
      <c r="P13" s="1"/>
      <c r="Q13" s="1"/>
      <c r="R13" s="1"/>
    </row>
    <row r="14" spans="1:18" x14ac:dyDescent="0.25">
      <c r="G14" s="1"/>
      <c r="H14" s="1"/>
      <c r="I14" s="1"/>
      <c r="P14" s="1"/>
      <c r="Q14" s="1"/>
      <c r="R14" s="1"/>
    </row>
    <row r="15" spans="1:18" x14ac:dyDescent="0.25">
      <c r="G15" s="1"/>
      <c r="H15" s="2" t="s">
        <v>19</v>
      </c>
      <c r="I15" s="1"/>
      <c r="P15" s="1"/>
      <c r="Q15" s="2" t="s">
        <v>20</v>
      </c>
      <c r="R15" s="1"/>
    </row>
    <row r="16" spans="1:18" x14ac:dyDescent="0.25">
      <c r="G16" s="1"/>
      <c r="H16" s="1"/>
      <c r="I16" s="1"/>
      <c r="P16" s="1"/>
      <c r="Q16" s="1"/>
      <c r="R16" s="1"/>
    </row>
    <row r="17" spans="7:18" x14ac:dyDescent="0.25">
      <c r="G17" s="1"/>
      <c r="H17" s="1"/>
      <c r="I17" s="1"/>
      <c r="P17" s="1"/>
      <c r="Q17" s="1"/>
      <c r="R17" s="1"/>
    </row>
  </sheetData>
  <mergeCells count="5">
    <mergeCell ref="A7:B7"/>
    <mergeCell ref="F10:G12"/>
    <mergeCell ref="N10:O12"/>
    <mergeCell ref="K11:K12"/>
    <mergeCell ref="Q11:Q1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9AFA31-AA6F-46EF-90EF-E626BDC94269}">
  <dimension ref="B1:E6"/>
  <sheetViews>
    <sheetView workbookViewId="0">
      <selection activeCell="C28" sqref="C28"/>
    </sheetView>
  </sheetViews>
  <sheetFormatPr defaultRowHeight="15" x14ac:dyDescent="0.25"/>
  <cols>
    <col min="2" max="2" width="25.85546875" bestFit="1" customWidth="1"/>
    <col min="3" max="3" width="12.85546875" bestFit="1" customWidth="1"/>
    <col min="4" max="5" width="12.28515625" bestFit="1" customWidth="1"/>
  </cols>
  <sheetData>
    <row r="1" spans="2:5" x14ac:dyDescent="0.25">
      <c r="B1" s="16"/>
      <c r="C1" s="12" t="s">
        <v>33</v>
      </c>
      <c r="D1" s="12" t="s">
        <v>31</v>
      </c>
      <c r="E1" s="13" t="s">
        <v>30</v>
      </c>
    </row>
    <row r="2" spans="2:5" x14ac:dyDescent="0.25">
      <c r="B2" s="14" t="s">
        <v>36</v>
      </c>
      <c r="C2" s="7">
        <f>'no passenger'!C9</f>
        <v>1.5847000000000002</v>
      </c>
      <c r="D2" s="7">
        <f>'2 Passengers'!D9</f>
        <v>1.6040000000000003</v>
      </c>
      <c r="E2" s="9">
        <f>'4 Passengers'!D10</f>
        <v>1.6439999999999999</v>
      </c>
    </row>
    <row r="3" spans="2:5" x14ac:dyDescent="0.25">
      <c r="B3" s="14" t="s">
        <v>37</v>
      </c>
      <c r="C3" s="7">
        <f>'no passenger'!C7</f>
        <v>47</v>
      </c>
      <c r="D3" s="8">
        <f>'2 Passengers'!D7</f>
        <v>46.35</v>
      </c>
      <c r="E3" s="9">
        <f>'4 Passengers'!D9</f>
        <v>45</v>
      </c>
    </row>
    <row r="4" spans="2:5" x14ac:dyDescent="0.25">
      <c r="B4" s="14" t="s">
        <v>39</v>
      </c>
      <c r="C4" s="7">
        <f>'no passenger'!C10</f>
        <v>4003.19</v>
      </c>
      <c r="D4" s="7">
        <f>'2 Passengers'!D10</f>
        <v>4017.0970000000002</v>
      </c>
      <c r="E4" s="9">
        <f>'4 Passengers'!D12</f>
        <v>4096.53</v>
      </c>
    </row>
    <row r="5" spans="2:5" x14ac:dyDescent="0.25">
      <c r="B5" s="14" t="s">
        <v>38</v>
      </c>
      <c r="C5" s="7">
        <f>'no passenger'!C11</f>
        <v>1.3436968403980079</v>
      </c>
      <c r="D5" s="7">
        <f>'2 Passengers'!D11</f>
        <v>1.23140159484267</v>
      </c>
      <c r="E5" s="9">
        <f>'4 Passengers'!D13</f>
        <v>1.1771572984424912</v>
      </c>
    </row>
    <row r="6" spans="2:5" ht="15.75" thickBot="1" x14ac:dyDescent="0.3">
      <c r="B6" s="15" t="s">
        <v>29</v>
      </c>
      <c r="C6" s="10">
        <f>'no passenger'!C12</f>
        <v>0.95616369486800545</v>
      </c>
      <c r="D6" s="10">
        <f>'2 Passengers'!D12</f>
        <v>0.88845713913612556</v>
      </c>
      <c r="E6" s="11">
        <f>'4 Passengers'!D14</f>
        <v>0.87455965708951788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EF4A18-C968-402F-8FBC-18FFA80A5D39}">
  <dimension ref="A5:S18"/>
  <sheetViews>
    <sheetView zoomScale="70" zoomScaleNormal="70" workbookViewId="0">
      <selection activeCell="F15" sqref="F15"/>
    </sheetView>
  </sheetViews>
  <sheetFormatPr defaultRowHeight="15" x14ac:dyDescent="0.25"/>
  <cols>
    <col min="4" max="4" width="14.85546875" bestFit="1" customWidth="1"/>
  </cols>
  <sheetData>
    <row r="5" spans="1:19" x14ac:dyDescent="0.25">
      <c r="C5" t="s">
        <v>14</v>
      </c>
      <c r="D5">
        <v>2.99</v>
      </c>
      <c r="E5" t="s">
        <v>4</v>
      </c>
    </row>
    <row r="6" spans="1:19" x14ac:dyDescent="0.25">
      <c r="C6" t="s">
        <v>13</v>
      </c>
      <c r="D6">
        <v>2033.8</v>
      </c>
      <c r="E6" t="s">
        <v>0</v>
      </c>
    </row>
    <row r="7" spans="1:19" x14ac:dyDescent="0.25">
      <c r="A7" s="31" t="s">
        <v>27</v>
      </c>
      <c r="B7" s="31"/>
      <c r="C7" s="31"/>
      <c r="D7" s="6">
        <v>46.35</v>
      </c>
    </row>
    <row r="8" spans="1:19" x14ac:dyDescent="0.25">
      <c r="C8" t="s">
        <v>12</v>
      </c>
      <c r="D8">
        <v>1.3859999999999999</v>
      </c>
      <c r="E8" t="s">
        <v>4</v>
      </c>
    </row>
    <row r="9" spans="1:19" x14ac:dyDescent="0.25">
      <c r="C9" t="s">
        <v>11</v>
      </c>
      <c r="D9">
        <f>D5-D8</f>
        <v>1.6040000000000003</v>
      </c>
      <c r="E9" t="s">
        <v>4</v>
      </c>
    </row>
    <row r="10" spans="1:19" x14ac:dyDescent="0.25">
      <c r="C10" t="s">
        <v>1</v>
      </c>
      <c r="D10">
        <v>4017.0970000000002</v>
      </c>
    </row>
    <row r="11" spans="1:19" x14ac:dyDescent="0.25">
      <c r="C11" t="s">
        <v>3</v>
      </c>
      <c r="D11">
        <f>D10/(D6*D9)</f>
        <v>1.23140159484267</v>
      </c>
      <c r="G11" s="32" t="s">
        <v>21</v>
      </c>
      <c r="H11" s="32"/>
      <c r="O11" s="32" t="s">
        <v>22</v>
      </c>
      <c r="P11" s="32"/>
    </row>
    <row r="12" spans="1:19" x14ac:dyDescent="0.25">
      <c r="C12" t="s">
        <v>2</v>
      </c>
      <c r="D12">
        <f>D10/(D6*D8*D9)</f>
        <v>0.88845713913612556</v>
      </c>
      <c r="G12" s="32"/>
      <c r="H12" s="32"/>
      <c r="L12" s="33" t="s">
        <v>24</v>
      </c>
      <c r="O12" s="32"/>
      <c r="P12" s="32"/>
      <c r="R12" s="32" t="s">
        <v>23</v>
      </c>
    </row>
    <row r="13" spans="1:19" x14ac:dyDescent="0.25">
      <c r="G13" s="32"/>
      <c r="H13" s="32"/>
      <c r="L13" s="33"/>
      <c r="O13" s="32"/>
      <c r="P13" s="32"/>
      <c r="R13" s="32"/>
    </row>
    <row r="14" spans="1:19" x14ac:dyDescent="0.25">
      <c r="H14" s="1"/>
      <c r="I14" s="1"/>
      <c r="J14" s="1"/>
      <c r="Q14" s="1"/>
      <c r="R14" s="1"/>
      <c r="S14" s="1"/>
    </row>
    <row r="15" spans="1:19" x14ac:dyDescent="0.25">
      <c r="H15" s="1"/>
      <c r="I15" s="1"/>
      <c r="J15" s="1"/>
      <c r="Q15" s="1"/>
      <c r="R15" s="1"/>
      <c r="S15" s="1"/>
    </row>
    <row r="16" spans="1:19" x14ac:dyDescent="0.25">
      <c r="H16" s="1"/>
      <c r="I16" s="2" t="s">
        <v>19</v>
      </c>
      <c r="J16" s="1"/>
      <c r="Q16" s="1"/>
      <c r="R16" s="2" t="s">
        <v>20</v>
      </c>
      <c r="S16" s="1"/>
    </row>
    <row r="17" spans="8:19" x14ac:dyDescent="0.25">
      <c r="H17" s="1"/>
      <c r="I17" s="1"/>
      <c r="J17" s="1"/>
      <c r="Q17" s="1"/>
      <c r="R17" s="1"/>
      <c r="S17" s="1"/>
    </row>
    <row r="18" spans="8:19" x14ac:dyDescent="0.25">
      <c r="H18" s="1"/>
      <c r="I18" s="1"/>
      <c r="J18" s="1"/>
      <c r="Q18" s="1"/>
      <c r="R18" s="1"/>
      <c r="S18" s="1"/>
    </row>
  </sheetData>
  <mergeCells count="5">
    <mergeCell ref="G11:H13"/>
    <mergeCell ref="O11:P13"/>
    <mergeCell ref="L12:L13"/>
    <mergeCell ref="R12:R13"/>
    <mergeCell ref="A7:C7"/>
  </mergeCells>
  <pageMargins left="0.7" right="0.7" top="0.75" bottom="0.75" header="0.3" footer="0.3"/>
  <pageSetup paperSize="9" orientation="portrait" horizontalDpi="360" verticalDpi="36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1D3AE6-9F83-4500-9634-CF06EF13B97F}">
  <dimension ref="A7:S20"/>
  <sheetViews>
    <sheetView zoomScale="85" zoomScaleNormal="85" workbookViewId="0">
      <selection activeCell="D8" sqref="D8"/>
    </sheetView>
  </sheetViews>
  <sheetFormatPr defaultRowHeight="15" x14ac:dyDescent="0.25"/>
  <sheetData>
    <row r="7" spans="1:19" x14ac:dyDescent="0.25">
      <c r="A7" s="4"/>
      <c r="C7" t="s">
        <v>14</v>
      </c>
      <c r="D7">
        <v>2.99</v>
      </c>
      <c r="E7" t="s">
        <v>4</v>
      </c>
    </row>
    <row r="8" spans="1:19" x14ac:dyDescent="0.25">
      <c r="A8" s="4"/>
      <c r="C8" t="s">
        <v>13</v>
      </c>
      <c r="D8">
        <v>2116.8000000000002</v>
      </c>
      <c r="E8" t="s">
        <v>0</v>
      </c>
    </row>
    <row r="9" spans="1:19" x14ac:dyDescent="0.25">
      <c r="A9" s="31" t="s">
        <v>28</v>
      </c>
      <c r="B9" s="31"/>
      <c r="C9" s="31"/>
      <c r="D9">
        <v>45</v>
      </c>
      <c r="E9" t="s">
        <v>15</v>
      </c>
    </row>
    <row r="10" spans="1:19" x14ac:dyDescent="0.25">
      <c r="C10" t="s">
        <v>11</v>
      </c>
      <c r="D10">
        <v>1.6439999999999999</v>
      </c>
      <c r="E10" t="s">
        <v>4</v>
      </c>
    </row>
    <row r="11" spans="1:19" x14ac:dyDescent="0.25">
      <c r="C11" t="s">
        <v>12</v>
      </c>
      <c r="D11">
        <f>D7-D10</f>
        <v>1.3460000000000003</v>
      </c>
      <c r="E11" t="s">
        <v>4</v>
      </c>
    </row>
    <row r="12" spans="1:19" x14ac:dyDescent="0.25">
      <c r="C12" t="s">
        <v>1</v>
      </c>
      <c r="D12">
        <v>4096.53</v>
      </c>
    </row>
    <row r="13" spans="1:19" x14ac:dyDescent="0.25">
      <c r="C13" t="s">
        <v>3</v>
      </c>
      <c r="D13">
        <f>D12/(D8*D10)</f>
        <v>1.1771572984424912</v>
      </c>
      <c r="G13" s="32" t="s">
        <v>21</v>
      </c>
      <c r="H13" s="32"/>
      <c r="O13" s="32" t="s">
        <v>22</v>
      </c>
      <c r="P13" s="32"/>
    </row>
    <row r="14" spans="1:19" x14ac:dyDescent="0.25">
      <c r="C14" t="s">
        <v>2</v>
      </c>
      <c r="D14">
        <f>D12/(D8*D10*D11)</f>
        <v>0.87455965708951788</v>
      </c>
      <c r="G14" s="32"/>
      <c r="H14" s="32"/>
      <c r="L14" s="33" t="s">
        <v>24</v>
      </c>
      <c r="O14" s="32"/>
      <c r="P14" s="32"/>
      <c r="R14" s="5"/>
    </row>
    <row r="15" spans="1:19" x14ac:dyDescent="0.25">
      <c r="G15" s="32"/>
      <c r="H15" s="32"/>
      <c r="L15" s="33"/>
      <c r="O15" s="32"/>
      <c r="P15" s="32"/>
      <c r="R15" s="5"/>
    </row>
    <row r="16" spans="1:19" x14ac:dyDescent="0.25">
      <c r="H16" s="1"/>
      <c r="I16" s="1"/>
      <c r="J16" s="1"/>
      <c r="Q16" s="1"/>
      <c r="R16" s="1"/>
      <c r="S16" s="1"/>
    </row>
    <row r="17" spans="8:19" x14ac:dyDescent="0.25">
      <c r="H17" s="1"/>
      <c r="I17" s="1"/>
      <c r="J17" s="1"/>
      <c r="Q17" s="1"/>
      <c r="R17" s="1"/>
      <c r="S17" s="1"/>
    </row>
    <row r="18" spans="8:19" x14ac:dyDescent="0.25">
      <c r="H18" s="1"/>
      <c r="I18" s="2" t="s">
        <v>19</v>
      </c>
      <c r="J18" s="1"/>
      <c r="Q18" s="1"/>
      <c r="R18" s="2" t="s">
        <v>20</v>
      </c>
      <c r="S18" s="1"/>
    </row>
    <row r="19" spans="8:19" x14ac:dyDescent="0.25">
      <c r="H19" s="1"/>
      <c r="I19" s="1"/>
      <c r="J19" s="1"/>
      <c r="Q19" s="1"/>
      <c r="R19" s="1"/>
      <c r="S19" s="1"/>
    </row>
    <row r="20" spans="8:19" x14ac:dyDescent="0.25">
      <c r="H20" s="1"/>
      <c r="I20" s="1"/>
      <c r="J20" s="1"/>
      <c r="Q20" s="1"/>
      <c r="R20" s="1"/>
      <c r="S20" s="1"/>
    </row>
  </sheetData>
  <mergeCells count="4">
    <mergeCell ref="A9:C9"/>
    <mergeCell ref="G13:H15"/>
    <mergeCell ref="O13:P15"/>
    <mergeCell ref="L14:L1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5B63F7-001F-44FE-A5B3-62B02673B8FB}">
  <dimension ref="A1:AD23"/>
  <sheetViews>
    <sheetView zoomScale="50" zoomScaleNormal="50" workbookViewId="0">
      <selection activeCell="V21" sqref="V21:V23"/>
    </sheetView>
  </sheetViews>
  <sheetFormatPr defaultRowHeight="15" x14ac:dyDescent="0.25"/>
  <cols>
    <col min="2" max="2" width="10" customWidth="1"/>
    <col min="3" max="3" width="15.28515625" customWidth="1"/>
    <col min="4" max="4" width="12.42578125" customWidth="1"/>
    <col min="5" max="5" width="16.5703125" customWidth="1"/>
    <col min="6" max="6" width="13.85546875" customWidth="1"/>
    <col min="7" max="7" width="12" customWidth="1"/>
    <col min="8" max="9" width="10.42578125" customWidth="1"/>
    <col min="16" max="16" width="9.140625" style="29"/>
    <col min="22" max="22" width="12" bestFit="1" customWidth="1"/>
    <col min="24" max="24" width="12" bestFit="1" customWidth="1"/>
    <col min="28" max="29" width="12" bestFit="1" customWidth="1"/>
  </cols>
  <sheetData>
    <row r="1" spans="1:30" ht="63" customHeight="1" x14ac:dyDescent="0.25">
      <c r="A1" s="18" t="s">
        <v>5</v>
      </c>
      <c r="B1" s="18" t="s">
        <v>35</v>
      </c>
      <c r="C1" s="18" t="s">
        <v>6</v>
      </c>
      <c r="D1" s="18" t="s">
        <v>7</v>
      </c>
      <c r="E1" s="17" t="s">
        <v>74</v>
      </c>
      <c r="F1" s="17" t="s">
        <v>75</v>
      </c>
      <c r="G1" s="17" t="s">
        <v>34</v>
      </c>
      <c r="H1" s="17" t="s">
        <v>45</v>
      </c>
      <c r="I1" s="17" t="s">
        <v>46</v>
      </c>
      <c r="J1" s="17" t="s">
        <v>8</v>
      </c>
      <c r="K1" s="17" t="s">
        <v>9</v>
      </c>
      <c r="L1" s="17" t="s">
        <v>10</v>
      </c>
      <c r="M1" s="17"/>
      <c r="N1" s="17" t="s">
        <v>69</v>
      </c>
      <c r="O1" s="24" t="s">
        <v>70</v>
      </c>
      <c r="P1" s="28"/>
      <c r="Q1" s="26" t="s">
        <v>78</v>
      </c>
      <c r="R1" s="17" t="s">
        <v>43</v>
      </c>
      <c r="S1" s="17" t="s">
        <v>44</v>
      </c>
      <c r="T1" s="17" t="s">
        <v>47</v>
      </c>
      <c r="U1" s="34" t="s">
        <v>79</v>
      </c>
      <c r="V1" s="34"/>
      <c r="W1" s="34"/>
      <c r="X1" s="35" t="s">
        <v>80</v>
      </c>
      <c r="Y1" s="35"/>
      <c r="Z1" s="35"/>
    </row>
    <row r="2" spans="1:30" ht="45" x14ac:dyDescent="0.25">
      <c r="A2" s="7">
        <v>1</v>
      </c>
      <c r="B2" s="7">
        <v>3.4</v>
      </c>
      <c r="C2" s="7">
        <v>4.38</v>
      </c>
      <c r="D2" s="7">
        <f>B2*C2</f>
        <v>14.891999999999999</v>
      </c>
      <c r="E2" s="7">
        <f>6000/D2</f>
        <v>402.90088638195004</v>
      </c>
      <c r="F2" s="7">
        <f>$E$3+(0.06*$E$3)</f>
        <v>666.08018097272839</v>
      </c>
      <c r="G2" s="7">
        <f>6000/F2</f>
        <v>9.0079245283018867</v>
      </c>
      <c r="H2" s="7">
        <f>(0.1*683)*G2</f>
        <v>615.24124528301888</v>
      </c>
      <c r="I2" s="7">
        <f>(683*0.4)*D2</f>
        <v>4068.4943999999996</v>
      </c>
      <c r="J2" s="7">
        <f>F2-E2</f>
        <v>263.17929459077834</v>
      </c>
      <c r="K2" s="7">
        <f>H2*((J2*(2*PI()))/60)</f>
        <v>16956.092575694805</v>
      </c>
      <c r="L2" s="7">
        <f>K2/1000</f>
        <v>16.956092575694804</v>
      </c>
      <c r="M2" s="7"/>
      <c r="N2" s="7">
        <f>(H2*2)/(12*$F$13*($F$12+$F$11))</f>
        <v>6031.7769145394004</v>
      </c>
      <c r="O2" s="25">
        <f>(3*H2*(($F$11^2)-($F$12^2)))/(2*$F$13*12*(($F$11^3)-($F$12^3)))</f>
        <v>5709.1163590673141</v>
      </c>
      <c r="Q2" s="27">
        <v>1</v>
      </c>
      <c r="R2" s="7">
        <f>H2/0.254</f>
        <v>2422.2096270984994</v>
      </c>
      <c r="S2" s="7">
        <f>I2/0.254</f>
        <v>16017.694488188974</v>
      </c>
      <c r="T2" s="7">
        <f>(R2+S2)*2</f>
        <v>36879.808230574949</v>
      </c>
      <c r="U2" s="21" t="s">
        <v>76</v>
      </c>
      <c r="V2" s="21" t="s">
        <v>60</v>
      </c>
      <c r="W2" s="21" t="s">
        <v>77</v>
      </c>
      <c r="X2" s="22" t="s">
        <v>61</v>
      </c>
      <c r="Y2" s="22" t="s">
        <v>62</v>
      </c>
      <c r="Z2" s="22" t="s">
        <v>63</v>
      </c>
    </row>
    <row r="3" spans="1:30" x14ac:dyDescent="0.25">
      <c r="A3" s="7">
        <v>2</v>
      </c>
      <c r="B3" s="7">
        <v>2.1800000000000002</v>
      </c>
      <c r="C3" s="7">
        <v>4.38</v>
      </c>
      <c r="D3" s="7">
        <f t="shared" ref="D3:D7" si="0">B3*C3</f>
        <v>9.5484000000000009</v>
      </c>
      <c r="E3" s="7">
        <f t="shared" ref="E3:E7" si="1">6000/D3</f>
        <v>628.37752921955507</v>
      </c>
      <c r="F3" s="7">
        <f>$E$3+(0.06*$E$3)</f>
        <v>666.08018097272839</v>
      </c>
      <c r="G3" s="7">
        <f t="shared" ref="G3:G5" si="2">6000/F3</f>
        <v>9.0079245283018867</v>
      </c>
      <c r="H3" s="7">
        <f t="shared" ref="H3:H5" si="3">(0.1*683)*G3</f>
        <v>615.24124528301888</v>
      </c>
      <c r="I3" s="7">
        <f t="shared" ref="I3:I7" si="4">(683*0.4)*D3</f>
        <v>2608.6228800000004</v>
      </c>
      <c r="J3" s="7">
        <f>F3-E3</f>
        <v>37.702651753173313</v>
      </c>
      <c r="K3" s="7">
        <f>H3*((J3*(2*PI()))/60)</f>
        <v>2429.1031498888628</v>
      </c>
      <c r="L3" s="7">
        <f t="shared" ref="L3:L5" si="5">K3/1000</f>
        <v>2.4291031498888627</v>
      </c>
      <c r="M3" s="7"/>
      <c r="N3" s="7">
        <f t="shared" ref="N3:N7" si="6">(H3*2)/(12*$F$13*($F$12+$F$11))</f>
        <v>6031.7769145394004</v>
      </c>
      <c r="O3" s="25">
        <f t="shared" ref="O3:O7" si="7">(3*H3*(($F$11^2)-($F$12^2)))/(2*$F$13*12*(($F$11^3)-($F$12^3)))</f>
        <v>5709.1163590673141</v>
      </c>
      <c r="Q3" s="27">
        <v>2</v>
      </c>
      <c r="R3" s="7">
        <f t="shared" ref="R3:R7" si="8">H3/0.254</f>
        <v>2422.2096270984994</v>
      </c>
      <c r="S3" s="7">
        <f t="shared" ref="S3:S7" si="9">I3/0.254</f>
        <v>10270.168818897639</v>
      </c>
      <c r="T3" s="7">
        <f t="shared" ref="T3:T7" si="10">(R3+S3)*2</f>
        <v>25384.756891992278</v>
      </c>
      <c r="U3" s="7">
        <f t="shared" ref="U3:U8" si="11">(S2*(0.83+0.046))</f>
        <v>14031.500371653541</v>
      </c>
      <c r="V3" s="7">
        <f>U3/'4 Passengers'!$D$12</f>
        <v>3.4252160661959126</v>
      </c>
      <c r="W3" s="7">
        <f>V3*(180/PI())</f>
        <v>196.25042451342819</v>
      </c>
      <c r="X3" s="7">
        <f t="shared" ref="X3:X8" si="12">((R2*(0.834+0.046))/1.664)+U3</f>
        <v>15312.476616753709</v>
      </c>
      <c r="Y3" s="7">
        <f>X3/'4 Passengers'!$D$12</f>
        <v>3.7379139458892552</v>
      </c>
      <c r="Z3" s="7">
        <f>Y3*(180/PI())</f>
        <v>214.1666932825463</v>
      </c>
    </row>
    <row r="4" spans="1:30" x14ac:dyDescent="0.25">
      <c r="A4" s="7">
        <v>3</v>
      </c>
      <c r="B4" s="7">
        <v>1.63</v>
      </c>
      <c r="C4" s="7">
        <v>4.38</v>
      </c>
      <c r="D4" s="7">
        <f t="shared" si="0"/>
        <v>7.1393999999999993</v>
      </c>
      <c r="E4" s="7">
        <f t="shared" si="1"/>
        <v>840.40675687032535</v>
      </c>
      <c r="F4" s="7">
        <f>$E$5+(0.06*$E$5)</f>
        <v>1125.623871721355</v>
      </c>
      <c r="G4" s="7">
        <f t="shared" si="2"/>
        <v>5.3303773584905656</v>
      </c>
      <c r="H4" s="7">
        <f t="shared" si="3"/>
        <v>364.06477358490559</v>
      </c>
      <c r="I4" s="7">
        <f t="shared" si="4"/>
        <v>1950.4840799999997</v>
      </c>
      <c r="J4" s="7">
        <f>F4-E4</f>
        <v>285.21711485102969</v>
      </c>
      <c r="K4" s="7">
        <f>H4*((J4*(2*PI()))/60)</f>
        <v>10873.838026803105</v>
      </c>
      <c r="L4" s="7">
        <f t="shared" si="5"/>
        <v>10.873838026803105</v>
      </c>
      <c r="M4" s="7"/>
      <c r="N4" s="7">
        <f t="shared" si="6"/>
        <v>3569.2624861265253</v>
      </c>
      <c r="O4" s="25">
        <f t="shared" si="7"/>
        <v>3378.3303225673549</v>
      </c>
      <c r="Q4" s="27">
        <v>3</v>
      </c>
      <c r="R4" s="7">
        <f t="shared" si="8"/>
        <v>1433.3258802555338</v>
      </c>
      <c r="S4" s="7">
        <f t="shared" si="9"/>
        <v>7679.0711811023612</v>
      </c>
      <c r="T4" s="7">
        <f t="shared" si="10"/>
        <v>18224.79412271579</v>
      </c>
      <c r="U4" s="7">
        <f t="shared" si="11"/>
        <v>8996.6678853543308</v>
      </c>
      <c r="V4" s="7">
        <f>U4/'4 Passengers'!$D$12</f>
        <v>2.1961679483256149</v>
      </c>
      <c r="W4" s="7">
        <f t="shared" ref="W4:W8" si="13">V4*(180/PI())</f>
        <v>125.8311545409628</v>
      </c>
      <c r="X4" s="7">
        <f t="shared" si="12"/>
        <v>10277.644130454499</v>
      </c>
      <c r="Y4" s="7">
        <f>X4/'4 Passengers'!$D$12</f>
        <v>2.5088658280189575</v>
      </c>
      <c r="Z4" s="7">
        <f t="shared" ref="Z4:Z8" si="14">Y4*(180/PI())</f>
        <v>143.7474233100809</v>
      </c>
    </row>
    <row r="5" spans="1:30" x14ac:dyDescent="0.25">
      <c r="A5" s="7">
        <v>4</v>
      </c>
      <c r="B5" s="7">
        <v>1.29</v>
      </c>
      <c r="C5" s="7">
        <v>4.38</v>
      </c>
      <c r="D5" s="7">
        <f t="shared" si="0"/>
        <v>5.6501999999999999</v>
      </c>
      <c r="E5" s="7">
        <f t="shared" si="1"/>
        <v>1061.9093129446746</v>
      </c>
      <c r="F5" s="7">
        <f>$E$5+(0.06*$E$5)</f>
        <v>1125.623871721355</v>
      </c>
      <c r="G5" s="7">
        <f t="shared" si="2"/>
        <v>5.3303773584905656</v>
      </c>
      <c r="H5" s="7">
        <f t="shared" si="3"/>
        <v>364.06477358490559</v>
      </c>
      <c r="I5" s="7">
        <f t="shared" si="4"/>
        <v>1543.63464</v>
      </c>
      <c r="J5" s="7">
        <f>F5-E5</f>
        <v>63.714558776680406</v>
      </c>
      <c r="K5" s="7">
        <f>H5*((J5*(2*PI()))/60)</f>
        <v>2429.1031498888597</v>
      </c>
      <c r="L5" s="7">
        <f t="shared" si="5"/>
        <v>2.4291031498888596</v>
      </c>
      <c r="M5" s="7"/>
      <c r="N5" s="7">
        <f t="shared" si="6"/>
        <v>3569.2624861265253</v>
      </c>
      <c r="O5" s="25">
        <f t="shared" si="7"/>
        <v>3378.3303225673549</v>
      </c>
      <c r="Q5" s="27">
        <v>4</v>
      </c>
      <c r="R5" s="7">
        <f t="shared" si="8"/>
        <v>1433.3258802555338</v>
      </c>
      <c r="S5" s="7">
        <f t="shared" si="9"/>
        <v>6077.3017322834648</v>
      </c>
      <c r="T5" s="7">
        <f t="shared" si="10"/>
        <v>15021.255225077997</v>
      </c>
      <c r="U5" s="7">
        <f t="shared" si="11"/>
        <v>6726.8663546456683</v>
      </c>
      <c r="V5" s="7">
        <f>U5/'4 Passengers'!$D$12</f>
        <v>1.6420888787939227</v>
      </c>
      <c r="W5" s="7">
        <f t="shared" si="13"/>
        <v>94.084762340261165</v>
      </c>
      <c r="X5" s="7">
        <f t="shared" si="12"/>
        <v>7484.8752336269599</v>
      </c>
      <c r="Y5" s="7">
        <f>X5/'4 Passengers'!$D$12</f>
        <v>1.8271256975115429</v>
      </c>
      <c r="Z5" s="7">
        <f t="shared" si="14"/>
        <v>104.6865911073081</v>
      </c>
    </row>
    <row r="6" spans="1:30" x14ac:dyDescent="0.25">
      <c r="A6" s="7">
        <v>5</v>
      </c>
      <c r="B6" s="7">
        <v>1.03</v>
      </c>
      <c r="C6" s="7">
        <v>4.38</v>
      </c>
      <c r="D6" s="7">
        <f t="shared" si="0"/>
        <v>4.5114000000000001</v>
      </c>
      <c r="E6" s="7">
        <f t="shared" si="1"/>
        <v>1329.9640909695438</v>
      </c>
      <c r="F6" s="7">
        <v>0</v>
      </c>
      <c r="G6" s="7">
        <v>0</v>
      </c>
      <c r="H6" s="7">
        <v>0</v>
      </c>
      <c r="I6" s="7">
        <f t="shared" si="4"/>
        <v>1232.51448</v>
      </c>
      <c r="J6" s="7">
        <v>0</v>
      </c>
      <c r="K6" s="7">
        <v>0</v>
      </c>
      <c r="L6" s="7">
        <v>0</v>
      </c>
      <c r="M6" s="7"/>
      <c r="N6" s="7">
        <f t="shared" si="6"/>
        <v>0</v>
      </c>
      <c r="O6" s="25">
        <f t="shared" si="7"/>
        <v>0</v>
      </c>
      <c r="Q6" s="27">
        <v>5</v>
      </c>
      <c r="R6" s="7">
        <f t="shared" si="8"/>
        <v>0</v>
      </c>
      <c r="S6" s="7">
        <f t="shared" si="9"/>
        <v>4852.4192125984255</v>
      </c>
      <c r="T6" s="7">
        <f t="shared" si="10"/>
        <v>9704.8384251968509</v>
      </c>
      <c r="U6" s="7">
        <f t="shared" si="11"/>
        <v>5323.7163174803154</v>
      </c>
      <c r="V6" s="7">
        <f>U6/'4 Passengers'!$D$12</f>
        <v>1.2995672721743319</v>
      </c>
      <c r="W6" s="7">
        <f t="shared" si="13"/>
        <v>74.459719888918357</v>
      </c>
      <c r="X6" s="7">
        <f t="shared" si="12"/>
        <v>6081.7251964616071</v>
      </c>
      <c r="Y6" s="7">
        <f>X6/'4 Passengers'!$D$12</f>
        <v>1.4846040908919518</v>
      </c>
      <c r="Z6" s="7">
        <f t="shared" si="14"/>
        <v>85.061548655965296</v>
      </c>
    </row>
    <row r="7" spans="1:30" x14ac:dyDescent="0.25">
      <c r="A7" s="7">
        <v>6</v>
      </c>
      <c r="B7" s="7">
        <v>0.84</v>
      </c>
      <c r="C7" s="7">
        <v>4.38</v>
      </c>
      <c r="D7" s="7">
        <f t="shared" si="0"/>
        <v>3.6791999999999998</v>
      </c>
      <c r="E7" s="7">
        <f t="shared" si="1"/>
        <v>1630.7893020221788</v>
      </c>
      <c r="F7" s="7">
        <v>0</v>
      </c>
      <c r="G7" s="7">
        <v>0</v>
      </c>
      <c r="H7" s="7">
        <v>0</v>
      </c>
      <c r="I7" s="7">
        <f t="shared" si="4"/>
        <v>1005.15744</v>
      </c>
      <c r="J7" s="7">
        <v>0</v>
      </c>
      <c r="K7" s="7">
        <v>0</v>
      </c>
      <c r="L7" s="7">
        <v>0</v>
      </c>
      <c r="M7" s="7"/>
      <c r="N7" s="7">
        <f t="shared" si="6"/>
        <v>0</v>
      </c>
      <c r="O7" s="25">
        <f t="shared" si="7"/>
        <v>0</v>
      </c>
      <c r="Q7" s="27">
        <v>6</v>
      </c>
      <c r="R7" s="7">
        <f t="shared" si="8"/>
        <v>0</v>
      </c>
      <c r="S7" s="7">
        <f t="shared" si="9"/>
        <v>3957.3127559055115</v>
      </c>
      <c r="T7" s="7">
        <f t="shared" si="10"/>
        <v>7914.625511811023</v>
      </c>
      <c r="U7" s="7">
        <f t="shared" si="11"/>
        <v>4250.7192302362209</v>
      </c>
      <c r="V7" s="7">
        <f>U7/'4 Passengers'!$D$12</f>
        <v>1.0376389847593503</v>
      </c>
      <c r="W7" s="7">
        <f>V7*(180/PI())</f>
        <v>59.452334484950327</v>
      </c>
      <c r="X7" s="7">
        <f t="shared" si="12"/>
        <v>4250.7192302362209</v>
      </c>
      <c r="Y7" s="7">
        <f>X7/'4 Passengers'!$D$12</f>
        <v>1.0376389847593503</v>
      </c>
      <c r="Z7" s="7">
        <f>Y7*(180/PI())</f>
        <v>59.452334484950327</v>
      </c>
    </row>
    <row r="8" spans="1:30" x14ac:dyDescent="0.25">
      <c r="U8" s="7">
        <f t="shared" si="11"/>
        <v>3466.6059741732279</v>
      </c>
      <c r="V8" s="7">
        <f>U8/'4 Passengers'!$D$12</f>
        <v>0.84622985164840192</v>
      </c>
      <c r="W8" s="7">
        <f t="shared" si="13"/>
        <v>48.485398997435198</v>
      </c>
      <c r="X8" s="7">
        <f t="shared" si="12"/>
        <v>3466.6059741732279</v>
      </c>
      <c r="Y8" s="7">
        <f>X8/'4 Passengers'!$D$12</f>
        <v>0.84622985164840192</v>
      </c>
      <c r="Z8" s="7">
        <f t="shared" si="14"/>
        <v>48.485398997435198</v>
      </c>
    </row>
    <row r="9" spans="1:30" x14ac:dyDescent="0.25">
      <c r="Y9" s="7"/>
    </row>
    <row r="10" spans="1:30" x14ac:dyDescent="0.25">
      <c r="E10" t="s">
        <v>25</v>
      </c>
    </row>
    <row r="11" spans="1:30" x14ac:dyDescent="0.25">
      <c r="E11" s="7" t="s">
        <v>16</v>
      </c>
      <c r="F11" s="7">
        <v>0.12</v>
      </c>
      <c r="U11" s="39" t="s">
        <v>83</v>
      </c>
      <c r="V11" s="40"/>
      <c r="W11" s="40"/>
      <c r="X11" s="41"/>
      <c r="Y11" s="36" t="s">
        <v>80</v>
      </c>
      <c r="Z11" s="37"/>
      <c r="AA11" s="37"/>
      <c r="AB11" s="38"/>
      <c r="AC11" s="3"/>
    </row>
    <row r="12" spans="1:30" ht="57" customHeight="1" x14ac:dyDescent="0.25">
      <c r="E12" s="7" t="s">
        <v>17</v>
      </c>
      <c r="F12" s="7">
        <v>0.05</v>
      </c>
      <c r="U12" s="23" t="s">
        <v>81</v>
      </c>
      <c r="V12" s="23" t="s">
        <v>64</v>
      </c>
      <c r="W12" s="23" t="s">
        <v>65</v>
      </c>
      <c r="X12" s="23" t="s">
        <v>68</v>
      </c>
      <c r="Y12" s="23" t="s">
        <v>82</v>
      </c>
      <c r="Z12" s="23" t="s">
        <v>64</v>
      </c>
      <c r="AA12" s="23" t="s">
        <v>65</v>
      </c>
      <c r="AB12" s="23" t="s">
        <v>68</v>
      </c>
      <c r="AD12" s="3"/>
    </row>
    <row r="13" spans="1:30" x14ac:dyDescent="0.25">
      <c r="E13" s="7" t="s">
        <v>18</v>
      </c>
      <c r="F13" s="7">
        <v>0.1</v>
      </c>
      <c r="U13" s="7">
        <f>U3/2.99</f>
        <v>4692.8094888473379</v>
      </c>
      <c r="V13" s="7">
        <f>U13/500</f>
        <v>9.3856189776946763</v>
      </c>
      <c r="W13" s="7">
        <f>V13/90</f>
        <v>0.10428465530771863</v>
      </c>
      <c r="X13" s="7">
        <f>W13*1035</f>
        <v>107.93461824348879</v>
      </c>
      <c r="Y13" s="7">
        <f>U13+R2</f>
        <v>7115.0191159458373</v>
      </c>
      <c r="Z13" s="7">
        <f>Y13/500</f>
        <v>14.230038231891674</v>
      </c>
      <c r="AA13" s="7">
        <f>Z13/90</f>
        <v>0.15811153590990748</v>
      </c>
      <c r="AB13" s="7">
        <f>AA13*1035</f>
        <v>163.64543966675424</v>
      </c>
    </row>
    <row r="14" spans="1:30" x14ac:dyDescent="0.25">
      <c r="E14" s="7" t="s">
        <v>26</v>
      </c>
      <c r="F14" s="7">
        <v>6</v>
      </c>
      <c r="U14" s="7">
        <f t="shared" ref="U14:U18" si="15">U4/2.99</f>
        <v>3008.9190252021172</v>
      </c>
      <c r="V14" s="7">
        <f t="shared" ref="V14:V18" si="16">U14/500</f>
        <v>6.0178380504042339</v>
      </c>
      <c r="W14" s="7">
        <f t="shared" ref="W14:W18" si="17">V14/90</f>
        <v>6.6864867226713712E-2</v>
      </c>
      <c r="X14" s="7">
        <f t="shared" ref="X14:X18" si="18">W14*1035</f>
        <v>69.205137579648692</v>
      </c>
      <c r="Y14" s="7">
        <f t="shared" ref="Y14:Y18" si="19">U14+R3</f>
        <v>5431.1286523006165</v>
      </c>
      <c r="Z14" s="7">
        <f t="shared" ref="Z14:Z18" si="20">Y14/500</f>
        <v>10.862257304601233</v>
      </c>
      <c r="AA14" s="7">
        <f t="shared" ref="AA14:AA18" si="21">Z14/90</f>
        <v>0.12069174782890259</v>
      </c>
      <c r="AB14" s="7">
        <f t="shared" ref="AB14:AB18" si="22">AA14*1035</f>
        <v>124.91595900291418</v>
      </c>
    </row>
    <row r="15" spans="1:30" x14ac:dyDescent="0.25">
      <c r="U15" s="7">
        <f t="shared" si="15"/>
        <v>2249.7880784768122</v>
      </c>
      <c r="V15" s="7">
        <f t="shared" si="16"/>
        <v>4.4995761569536246</v>
      </c>
      <c r="W15" s="7">
        <f t="shared" si="17"/>
        <v>4.9995290632818053E-2</v>
      </c>
      <c r="X15" s="7">
        <f t="shared" si="18"/>
        <v>51.745125804966683</v>
      </c>
      <c r="Y15" s="7">
        <f t="shared" si="19"/>
        <v>3683.113958732346</v>
      </c>
      <c r="Z15" s="7">
        <f t="shared" si="20"/>
        <v>7.3662279174646921</v>
      </c>
      <c r="AA15" s="7">
        <f t="shared" si="21"/>
        <v>8.1846976860718804E-2</v>
      </c>
      <c r="AB15" s="7">
        <f t="shared" si="22"/>
        <v>84.711621050843959</v>
      </c>
    </row>
    <row r="16" spans="1:30" x14ac:dyDescent="0.25">
      <c r="U16" s="7">
        <f t="shared" si="15"/>
        <v>1780.5071295920786</v>
      </c>
      <c r="V16" s="7">
        <f t="shared" si="16"/>
        <v>3.5610142591841574</v>
      </c>
      <c r="W16" s="7">
        <f t="shared" si="17"/>
        <v>3.9566825102046191E-2</v>
      </c>
      <c r="X16" s="7">
        <f t="shared" si="18"/>
        <v>40.951663980617809</v>
      </c>
      <c r="Y16" s="7">
        <f t="shared" si="19"/>
        <v>3213.8330098476126</v>
      </c>
      <c r="Z16" s="7">
        <f t="shared" si="20"/>
        <v>6.4276660196952253</v>
      </c>
      <c r="AA16" s="7">
        <f t="shared" si="21"/>
        <v>7.1418511329946949E-2</v>
      </c>
      <c r="AB16" s="7">
        <f t="shared" si="22"/>
        <v>73.918159226495092</v>
      </c>
    </row>
    <row r="17" spans="21:28" x14ac:dyDescent="0.25">
      <c r="U17" s="7">
        <f t="shared" si="15"/>
        <v>1421.6452275037527</v>
      </c>
      <c r="V17" s="7">
        <f t="shared" si="16"/>
        <v>2.8432904550075055</v>
      </c>
      <c r="W17" s="7">
        <f t="shared" si="17"/>
        <v>3.1592116166750062E-2</v>
      </c>
      <c r="X17" s="7">
        <f t="shared" si="18"/>
        <v>32.697840232586316</v>
      </c>
      <c r="Y17" s="7">
        <f t="shared" si="19"/>
        <v>1421.6452275037527</v>
      </c>
      <c r="Z17" s="7">
        <f t="shared" si="20"/>
        <v>2.8432904550075055</v>
      </c>
      <c r="AA17" s="7">
        <f t="shared" si="21"/>
        <v>3.1592116166750062E-2</v>
      </c>
      <c r="AB17" s="7">
        <f t="shared" si="22"/>
        <v>32.697840232586316</v>
      </c>
    </row>
    <row r="18" spans="21:28" x14ac:dyDescent="0.25">
      <c r="U18" s="7">
        <f t="shared" si="15"/>
        <v>1159.3999913622836</v>
      </c>
      <c r="V18" s="7">
        <f t="shared" si="16"/>
        <v>2.3187999827245673</v>
      </c>
      <c r="W18" s="7">
        <f t="shared" si="17"/>
        <v>2.5764444252495192E-2</v>
      </c>
      <c r="X18" s="7">
        <f t="shared" si="18"/>
        <v>26.666199801332525</v>
      </c>
      <c r="Y18" s="7">
        <f t="shared" si="19"/>
        <v>1159.3999913622836</v>
      </c>
      <c r="Z18" s="7">
        <f t="shared" si="20"/>
        <v>2.3187999827245673</v>
      </c>
      <c r="AA18" s="7">
        <f t="shared" si="21"/>
        <v>2.5764444252495192E-2</v>
      </c>
      <c r="AB18" s="7">
        <f t="shared" si="22"/>
        <v>26.666199801332525</v>
      </c>
    </row>
    <row r="21" spans="21:28" ht="30" x14ac:dyDescent="0.25">
      <c r="V21" s="23" t="s">
        <v>25</v>
      </c>
    </row>
    <row r="22" spans="21:28" ht="45" x14ac:dyDescent="0.25">
      <c r="V22" s="23" t="s">
        <v>67</v>
      </c>
    </row>
    <row r="23" spans="21:28" ht="45" x14ac:dyDescent="0.25">
      <c r="V23" s="23" t="s">
        <v>66</v>
      </c>
    </row>
  </sheetData>
  <mergeCells count="4">
    <mergeCell ref="U1:W1"/>
    <mergeCell ref="X1:Z1"/>
    <mergeCell ref="Y11:AB11"/>
    <mergeCell ref="U11:X1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C90FED-5841-4802-96CE-DDFF33BA9ABF}">
  <dimension ref="A1:D16"/>
  <sheetViews>
    <sheetView workbookViewId="0">
      <selection activeCell="C22" sqref="C22"/>
    </sheetView>
  </sheetViews>
  <sheetFormatPr defaultRowHeight="15" x14ac:dyDescent="0.25"/>
  <cols>
    <col min="1" max="1" width="28.42578125" bestFit="1" customWidth="1"/>
    <col min="2" max="2" width="18.42578125" bestFit="1" customWidth="1"/>
    <col min="3" max="3" width="28.140625" bestFit="1" customWidth="1"/>
    <col min="4" max="4" width="21.140625" bestFit="1" customWidth="1"/>
  </cols>
  <sheetData>
    <row r="1" spans="1:4" x14ac:dyDescent="0.25">
      <c r="A1" s="31" t="s">
        <v>128</v>
      </c>
      <c r="B1" s="31"/>
      <c r="C1" s="31"/>
      <c r="D1" s="31"/>
    </row>
    <row r="2" spans="1:4" x14ac:dyDescent="0.25">
      <c r="A2" t="s">
        <v>84</v>
      </c>
      <c r="B2" t="s">
        <v>85</v>
      </c>
      <c r="C2" t="s">
        <v>111</v>
      </c>
      <c r="D2">
        <v>1.29</v>
      </c>
    </row>
    <row r="3" spans="1:4" x14ac:dyDescent="0.25">
      <c r="A3" t="s">
        <v>86</v>
      </c>
      <c r="B3" t="s">
        <v>87</v>
      </c>
      <c r="C3" t="s">
        <v>112</v>
      </c>
      <c r="D3">
        <v>1.03</v>
      </c>
    </row>
    <row r="4" spans="1:4" x14ac:dyDescent="0.25">
      <c r="A4" t="s">
        <v>88</v>
      </c>
      <c r="B4" t="s">
        <v>89</v>
      </c>
      <c r="C4" t="s">
        <v>113</v>
      </c>
      <c r="D4">
        <v>0.84</v>
      </c>
    </row>
    <row r="5" spans="1:4" x14ac:dyDescent="0.25">
      <c r="A5" t="s">
        <v>90</v>
      </c>
      <c r="B5" t="s">
        <v>91</v>
      </c>
      <c r="C5" t="s">
        <v>114</v>
      </c>
      <c r="D5">
        <v>4.38</v>
      </c>
    </row>
    <row r="6" spans="1:4" x14ac:dyDescent="0.25">
      <c r="A6" t="s">
        <v>96</v>
      </c>
      <c r="B6" t="s">
        <v>92</v>
      </c>
      <c r="C6" t="s">
        <v>115</v>
      </c>
      <c r="D6" t="s">
        <v>118</v>
      </c>
    </row>
    <row r="7" spans="1:4" x14ac:dyDescent="0.25">
      <c r="A7" t="s">
        <v>97</v>
      </c>
      <c r="B7" s="30" t="s">
        <v>101</v>
      </c>
      <c r="C7" t="s">
        <v>116</v>
      </c>
      <c r="D7" t="s">
        <v>117</v>
      </c>
    </row>
    <row r="8" spans="1:4" x14ac:dyDescent="0.25">
      <c r="A8" t="s">
        <v>93</v>
      </c>
      <c r="B8" t="s">
        <v>94</v>
      </c>
      <c r="C8" t="s">
        <v>119</v>
      </c>
      <c r="D8">
        <v>0.12</v>
      </c>
    </row>
    <row r="9" spans="1:4" x14ac:dyDescent="0.25">
      <c r="A9" t="s">
        <v>95</v>
      </c>
      <c r="B9" t="s">
        <v>98</v>
      </c>
      <c r="C9" t="s">
        <v>120</v>
      </c>
      <c r="D9">
        <v>0.05</v>
      </c>
    </row>
    <row r="10" spans="1:4" x14ac:dyDescent="0.25">
      <c r="A10" t="s">
        <v>99</v>
      </c>
      <c r="B10" t="s">
        <v>100</v>
      </c>
      <c r="C10" t="s">
        <v>121</v>
      </c>
      <c r="D10">
        <v>0.1</v>
      </c>
    </row>
    <row r="11" spans="1:4" x14ac:dyDescent="0.25">
      <c r="A11" t="s">
        <v>102</v>
      </c>
      <c r="B11" t="s">
        <v>103</v>
      </c>
      <c r="C11" t="s">
        <v>122</v>
      </c>
      <c r="D11">
        <v>6</v>
      </c>
    </row>
    <row r="12" spans="1:4" x14ac:dyDescent="0.25">
      <c r="A12" t="s">
        <v>104</v>
      </c>
      <c r="B12" t="s">
        <v>106</v>
      </c>
      <c r="C12" t="s">
        <v>123</v>
      </c>
      <c r="D12">
        <v>1</v>
      </c>
    </row>
    <row r="13" spans="1:4" x14ac:dyDescent="0.25">
      <c r="A13" t="s">
        <v>105</v>
      </c>
      <c r="B13" t="s">
        <v>107</v>
      </c>
      <c r="C13" t="s">
        <v>124</v>
      </c>
      <c r="D13">
        <v>0.85</v>
      </c>
    </row>
    <row r="14" spans="1:4" x14ac:dyDescent="0.25">
      <c r="A14" t="s">
        <v>108</v>
      </c>
      <c r="B14">
        <v>3.4</v>
      </c>
      <c r="C14" t="s">
        <v>125</v>
      </c>
      <c r="D14">
        <v>0.1</v>
      </c>
    </row>
    <row r="15" spans="1:4" x14ac:dyDescent="0.25">
      <c r="A15" t="s">
        <v>109</v>
      </c>
      <c r="B15">
        <v>2.1800000000000002</v>
      </c>
      <c r="C15" t="s">
        <v>126</v>
      </c>
      <c r="D15">
        <v>0.66</v>
      </c>
    </row>
    <row r="16" spans="1:4" x14ac:dyDescent="0.25">
      <c r="A16" t="s">
        <v>110</v>
      </c>
      <c r="B16">
        <v>1.63</v>
      </c>
      <c r="C16" t="s">
        <v>127</v>
      </c>
      <c r="D16">
        <v>11.5</v>
      </c>
    </row>
  </sheetData>
  <mergeCells count="1">
    <mergeCell ref="A1:D1"/>
  </mergeCells>
  <pageMargins left="0.7" right="0.7" top="0.75" bottom="0.75" header="0.3" footer="0.3"/>
  <pageSetup paperSize="9" orientation="portrait" horizontalDpi="360" verticalDpi="36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BBC5BB-8E77-4A6A-B355-DD3BE161FB4F}">
  <dimension ref="A1:H21"/>
  <sheetViews>
    <sheetView topLeftCell="A10" workbookViewId="0">
      <selection activeCell="H7" sqref="H7"/>
    </sheetView>
  </sheetViews>
  <sheetFormatPr defaultRowHeight="15" x14ac:dyDescent="0.25"/>
  <cols>
    <col min="1" max="1" width="10.85546875" bestFit="1" customWidth="1"/>
    <col min="2" max="5" width="12" bestFit="1" customWidth="1"/>
  </cols>
  <sheetData>
    <row r="1" spans="1:8" x14ac:dyDescent="0.25">
      <c r="A1" s="31" t="s">
        <v>51</v>
      </c>
      <c r="B1" s="31"/>
      <c r="C1" s="31"/>
      <c r="D1" s="31"/>
      <c r="E1" s="31"/>
      <c r="F1" s="31"/>
    </row>
    <row r="2" spans="1:8" ht="60" x14ac:dyDescent="0.25">
      <c r="A2" s="18" t="s">
        <v>50</v>
      </c>
      <c r="B2" s="17" t="s">
        <v>43</v>
      </c>
      <c r="C2" s="17" t="s">
        <v>44</v>
      </c>
      <c r="D2" s="17" t="s">
        <v>47</v>
      </c>
      <c r="E2" s="17" t="s">
        <v>48</v>
      </c>
      <c r="F2" s="17" t="s">
        <v>49</v>
      </c>
    </row>
    <row r="3" spans="1:8" x14ac:dyDescent="0.25">
      <c r="A3" s="7">
        <v>1</v>
      </c>
      <c r="B3" s="7">
        <f>Drive!H2/0.254</f>
        <v>2422.2096270984994</v>
      </c>
      <c r="C3" s="7">
        <f>Drive!I2/0.357</f>
        <v>11396.342857142856</v>
      </c>
      <c r="D3" s="7">
        <f>(B3+C3)*2</f>
        <v>27637.104968482709</v>
      </c>
      <c r="E3" s="7">
        <f>D3/2116.8</f>
        <v>13.056077555027734</v>
      </c>
      <c r="F3" s="7">
        <f>C3/2116.8</f>
        <v>5.3837598531476072</v>
      </c>
    </row>
    <row r="4" spans="1:8" x14ac:dyDescent="0.25">
      <c r="A4" s="7">
        <v>2</v>
      </c>
      <c r="B4" s="7">
        <f>Drive!H3/0.254</f>
        <v>2422.2096270984994</v>
      </c>
      <c r="C4" s="7">
        <f>Drive!I3/0.357</f>
        <v>7307.066890756304</v>
      </c>
      <c r="D4" s="7">
        <f t="shared" ref="D4:D8" si="0">(B4+C4)*2</f>
        <v>19458.553035709607</v>
      </c>
      <c r="E4" s="7">
        <f t="shared" ref="E4:E8" si="1">D4/2116.8</f>
        <v>9.1924381310041596</v>
      </c>
      <c r="F4" s="7">
        <f t="shared" ref="F4:F8" si="2">C4/2116.8</f>
        <v>3.4519401411358199</v>
      </c>
    </row>
    <row r="5" spans="1:8" x14ac:dyDescent="0.25">
      <c r="A5" s="7">
        <v>3</v>
      </c>
      <c r="B5" s="7">
        <f>Drive!H4/0.254</f>
        <v>1433.3258802555338</v>
      </c>
      <c r="C5" s="7">
        <f>Drive!I4/0.357</f>
        <v>5463.5408403361344</v>
      </c>
      <c r="D5" s="7">
        <f t="shared" si="0"/>
        <v>13793.733441183336</v>
      </c>
      <c r="E5" s="7">
        <f t="shared" si="1"/>
        <v>6.5163139839301474</v>
      </c>
      <c r="F5" s="7">
        <f t="shared" si="2"/>
        <v>2.5810378119501767</v>
      </c>
    </row>
    <row r="6" spans="1:8" x14ac:dyDescent="0.25">
      <c r="A6" s="7">
        <v>4</v>
      </c>
      <c r="B6" s="7">
        <f>Drive!H5/0.254</f>
        <v>1433.3258802555338</v>
      </c>
      <c r="C6" s="7">
        <f>Drive!I5/0.357</f>
        <v>4323.906554621849</v>
      </c>
      <c r="D6" s="7">
        <f t="shared" si="0"/>
        <v>11514.464869754765</v>
      </c>
      <c r="E6" s="7">
        <f t="shared" si="1"/>
        <v>5.4395620133006259</v>
      </c>
      <c r="F6" s="7">
        <f t="shared" si="2"/>
        <v>2.042661826635416</v>
      </c>
    </row>
    <row r="7" spans="1:8" x14ac:dyDescent="0.25">
      <c r="A7" s="7">
        <v>5</v>
      </c>
      <c r="B7" s="7">
        <f>Drive!H6/0.254</f>
        <v>0</v>
      </c>
      <c r="C7" s="7">
        <f>Drive!I6/0.357</f>
        <v>3452.4215126050422</v>
      </c>
      <c r="D7" s="7">
        <f t="shared" si="0"/>
        <v>6904.8430252100843</v>
      </c>
      <c r="E7" s="7">
        <f t="shared" si="1"/>
        <v>3.2619250874953156</v>
      </c>
      <c r="F7" s="7">
        <f t="shared" si="2"/>
        <v>1.6309625437476578</v>
      </c>
    </row>
    <row r="8" spans="1:8" x14ac:dyDescent="0.25">
      <c r="A8" s="7">
        <v>6</v>
      </c>
      <c r="B8" s="7">
        <f>Drive!H7/0.254</f>
        <v>0</v>
      </c>
      <c r="C8" s="7">
        <f>Drive!I7/0.357</f>
        <v>2815.5670588235294</v>
      </c>
      <c r="D8" s="7">
        <f t="shared" si="0"/>
        <v>5631.1341176470587</v>
      </c>
      <c r="E8" s="7">
        <f t="shared" si="1"/>
        <v>2.6602107509670532</v>
      </c>
      <c r="F8" s="7">
        <f t="shared" si="2"/>
        <v>1.3301053754835266</v>
      </c>
    </row>
    <row r="10" spans="1:8" x14ac:dyDescent="0.25">
      <c r="A10" s="31" t="s">
        <v>73</v>
      </c>
      <c r="B10" s="31"/>
      <c r="C10" s="31"/>
      <c r="D10" s="31"/>
      <c r="E10" s="31"/>
      <c r="F10" s="31"/>
    </row>
    <row r="11" spans="1:8" ht="75.75" customHeight="1" x14ac:dyDescent="0.25">
      <c r="A11" s="19" t="s">
        <v>52</v>
      </c>
      <c r="B11" s="19" t="s">
        <v>53</v>
      </c>
      <c r="C11" s="19" t="s">
        <v>71</v>
      </c>
      <c r="D11" s="19" t="s">
        <v>72</v>
      </c>
      <c r="E11" s="19" t="s">
        <v>58</v>
      </c>
      <c r="F11" s="19" t="s">
        <v>57</v>
      </c>
      <c r="G11" s="19" t="s">
        <v>56</v>
      </c>
      <c r="H11" s="19" t="s">
        <v>55</v>
      </c>
    </row>
    <row r="12" spans="1:8" x14ac:dyDescent="0.25">
      <c r="A12" s="7" t="s">
        <v>40</v>
      </c>
      <c r="B12" s="7">
        <v>1</v>
      </c>
      <c r="C12" s="7">
        <f>476.28*B12*9.81</f>
        <v>4672.3068000000003</v>
      </c>
      <c r="D12" s="7">
        <f>582.12*9.81*B12</f>
        <v>5710.5972000000002</v>
      </c>
      <c r="E12" s="7">
        <f>(C12*2)+(D12*2)</f>
        <v>20765.808000000001</v>
      </c>
      <c r="F12" s="7">
        <f>D12*2</f>
        <v>11421.1944</v>
      </c>
      <c r="G12" s="7">
        <f>(E12+F12)/2116.8</f>
        <v>15.205499999999999</v>
      </c>
      <c r="H12" s="7">
        <f>D12/2116.8</f>
        <v>2.6977499999999996</v>
      </c>
    </row>
    <row r="13" spans="1:8" x14ac:dyDescent="0.25">
      <c r="A13" s="7" t="s">
        <v>41</v>
      </c>
      <c r="B13" s="7">
        <v>0.85</v>
      </c>
      <c r="C13" s="7">
        <f t="shared" ref="C13:C15" si="3">476.28*B13*9.81</f>
        <v>3971.4607799999999</v>
      </c>
      <c r="D13" s="7">
        <f t="shared" ref="D13:D15" si="4">582.12*9.81*B13</f>
        <v>4854.0076200000003</v>
      </c>
      <c r="E13" s="7">
        <f t="shared" ref="E13:E15" si="5">(C13*2)+(D13*2)</f>
        <v>17650.936799999999</v>
      </c>
      <c r="F13" s="7">
        <f t="shared" ref="F13:F15" si="6">D13*2</f>
        <v>9708.0152400000006</v>
      </c>
      <c r="G13" s="7">
        <f t="shared" ref="G13:G15" si="7">(E13+F13)/2116.8</f>
        <v>12.924674999999999</v>
      </c>
      <c r="H13" s="7">
        <f t="shared" ref="H13:H15" si="8">D13/2116.8</f>
        <v>2.2930874999999999</v>
      </c>
    </row>
    <row r="14" spans="1:8" x14ac:dyDescent="0.25">
      <c r="A14" s="7" t="s">
        <v>42</v>
      </c>
      <c r="B14" s="7">
        <v>0.66</v>
      </c>
      <c r="C14" s="7">
        <f t="shared" si="3"/>
        <v>3083.7224880000003</v>
      </c>
      <c r="D14" s="7">
        <f t="shared" si="4"/>
        <v>3768.9941520000002</v>
      </c>
      <c r="E14" s="7">
        <f t="shared" si="5"/>
        <v>13705.433280000001</v>
      </c>
      <c r="F14" s="7">
        <f t="shared" si="6"/>
        <v>7537.9883040000004</v>
      </c>
      <c r="G14" s="7">
        <f t="shared" si="7"/>
        <v>10.035630000000001</v>
      </c>
      <c r="H14" s="7">
        <f t="shared" si="8"/>
        <v>1.7805149999999998</v>
      </c>
    </row>
    <row r="15" spans="1:8" x14ac:dyDescent="0.25">
      <c r="A15" s="7" t="s">
        <v>54</v>
      </c>
      <c r="B15" s="7">
        <v>0.1</v>
      </c>
      <c r="C15" s="7">
        <f t="shared" si="3"/>
        <v>467.23068000000001</v>
      </c>
      <c r="D15" s="7">
        <f t="shared" si="4"/>
        <v>571.05972000000008</v>
      </c>
      <c r="E15" s="7">
        <f t="shared" si="5"/>
        <v>2076.5808000000002</v>
      </c>
      <c r="F15" s="7">
        <f t="shared" si="6"/>
        <v>1142.1194400000002</v>
      </c>
      <c r="G15" s="7">
        <f t="shared" si="7"/>
        <v>1.5205499999999998</v>
      </c>
      <c r="H15" s="7">
        <f t="shared" si="8"/>
        <v>0.26977500000000004</v>
      </c>
    </row>
    <row r="17" spans="1:4" ht="45" x14ac:dyDescent="0.25">
      <c r="A17" s="19" t="s">
        <v>52</v>
      </c>
      <c r="B17" s="19" t="s">
        <v>56</v>
      </c>
      <c r="C17" s="19" t="s">
        <v>55</v>
      </c>
      <c r="D17" s="20" t="s">
        <v>59</v>
      </c>
    </row>
    <row r="18" spans="1:4" x14ac:dyDescent="0.25">
      <c r="A18" s="7" t="s">
        <v>40</v>
      </c>
      <c r="B18" s="7">
        <f>MIN(E3,G12)</f>
        <v>13.056077555027734</v>
      </c>
      <c r="C18" s="7">
        <f>MIN(F3,H12)</f>
        <v>2.6977499999999996</v>
      </c>
      <c r="D18" s="7">
        <f>(C18/B18)*100</f>
        <v>20.662790862184558</v>
      </c>
    </row>
    <row r="19" spans="1:4" x14ac:dyDescent="0.25">
      <c r="A19" s="7" t="s">
        <v>41</v>
      </c>
      <c r="B19" s="7">
        <f t="shared" ref="B19:B21" si="9">MIN(E4,G13)</f>
        <v>9.1924381310041596</v>
      </c>
      <c r="C19" s="7">
        <f t="shared" ref="C19:C21" si="10">MIN(F4,H13)</f>
        <v>2.2930874999999999</v>
      </c>
      <c r="D19" s="7">
        <f t="shared" ref="D19:D21" si="11">(C19/B19)*100</f>
        <v>24.945367782959543</v>
      </c>
    </row>
    <row r="20" spans="1:4" x14ac:dyDescent="0.25">
      <c r="A20" s="7" t="s">
        <v>42</v>
      </c>
      <c r="B20" s="7">
        <f t="shared" si="9"/>
        <v>6.5163139839301474</v>
      </c>
      <c r="C20" s="7">
        <f t="shared" si="10"/>
        <v>1.7805149999999998</v>
      </c>
      <c r="D20" s="7">
        <f t="shared" si="11"/>
        <v>27.323959594195735</v>
      </c>
    </row>
    <row r="21" spans="1:4" x14ac:dyDescent="0.25">
      <c r="A21" s="7" t="s">
        <v>54</v>
      </c>
      <c r="B21" s="7">
        <f t="shared" si="9"/>
        <v>1.5205499999999998</v>
      </c>
      <c r="C21" s="7">
        <f t="shared" si="10"/>
        <v>0.26977500000000004</v>
      </c>
      <c r="D21" s="7">
        <f t="shared" si="11"/>
        <v>17.741935483870972</v>
      </c>
    </row>
  </sheetData>
  <mergeCells count="2">
    <mergeCell ref="A1:F1"/>
    <mergeCell ref="A10:F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no passenger</vt:lpstr>
      <vt:lpstr>Inertia Summation</vt:lpstr>
      <vt:lpstr>2 Passengers</vt:lpstr>
      <vt:lpstr>4 Passengers</vt:lpstr>
      <vt:lpstr>Drive</vt:lpstr>
      <vt:lpstr>Data Sheet</vt:lpstr>
      <vt:lpstr>Longitudinal Acceleration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nicholas thomas</dc:creator>
  <cp:lastModifiedBy>nicholas thomas</cp:lastModifiedBy>
  <dcterms:created xsi:type="dcterms:W3CDTF">2020-04-22T15:35:21Z</dcterms:created>
  <dcterms:modified xsi:type="dcterms:W3CDTF">2020-05-19T19:29:28Z</dcterms:modified>
</cp:coreProperties>
</file>