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UNI\Alternative Powertrain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3" i="1" l="1"/>
  <c r="N32" i="1"/>
  <c r="N31" i="1"/>
  <c r="T31" i="1"/>
  <c r="V31" i="1"/>
  <c r="W31" i="1"/>
  <c r="Y31" i="1"/>
  <c r="E33" i="1"/>
  <c r="K31" i="1"/>
  <c r="R30" i="1"/>
  <c r="S31" i="1"/>
  <c r="E35" i="1"/>
  <c r="E30" i="1"/>
  <c r="O31" i="1"/>
  <c r="Y38" i="1"/>
  <c r="Y33" i="1"/>
  <c r="Y34" i="1"/>
  <c r="Y35" i="1"/>
  <c r="Y36" i="1"/>
  <c r="Y37" i="1"/>
  <c r="Y39" i="1"/>
  <c r="Y40" i="1"/>
  <c r="Y42" i="1"/>
  <c r="Y32" i="1"/>
  <c r="K34" i="1"/>
  <c r="T34" i="1" s="1"/>
  <c r="N34" i="1"/>
  <c r="R34" i="1"/>
  <c r="P43" i="1"/>
  <c r="W30" i="1" l="1"/>
  <c r="T30" i="1"/>
  <c r="K32" i="1"/>
  <c r="T32" i="1" s="1"/>
  <c r="K33" i="1"/>
  <c r="T33" i="1" s="1"/>
  <c r="K35" i="1"/>
  <c r="T35" i="1" s="1"/>
  <c r="K36" i="1"/>
  <c r="T36" i="1" s="1"/>
  <c r="K37" i="1"/>
  <c r="T37" i="1" s="1"/>
  <c r="K38" i="1"/>
  <c r="T38" i="1" s="1"/>
  <c r="K39" i="1"/>
  <c r="T39" i="1" s="1"/>
  <c r="K40" i="1"/>
  <c r="T40" i="1" s="1"/>
  <c r="K41" i="1"/>
  <c r="T41" i="1" s="1"/>
  <c r="K42" i="1"/>
  <c r="T42" i="1" s="1"/>
  <c r="R35" i="1"/>
  <c r="R33" i="1"/>
  <c r="R31" i="1"/>
  <c r="R32" i="1"/>
  <c r="R36" i="1"/>
  <c r="R37" i="1"/>
  <c r="R38" i="1"/>
  <c r="R39" i="1"/>
  <c r="R40" i="1"/>
  <c r="R41" i="1"/>
  <c r="R42" i="1"/>
  <c r="O34" i="1"/>
  <c r="N35" i="1"/>
  <c r="N36" i="1"/>
  <c r="N37" i="1"/>
  <c r="N38" i="1"/>
  <c r="N39" i="1"/>
  <c r="N40" i="1"/>
  <c r="N41" i="1"/>
  <c r="O41" i="1" s="1"/>
  <c r="N42" i="1"/>
  <c r="Q31" i="1"/>
  <c r="Q32" i="1" s="1"/>
  <c r="Q33" i="1" s="1"/>
  <c r="M31" i="1"/>
  <c r="M32" i="1" s="1"/>
  <c r="M33" i="1" s="1"/>
  <c r="S34" i="1"/>
  <c r="U34" i="1" s="1"/>
  <c r="V34" i="1" s="1"/>
  <c r="X34" i="1" s="1"/>
  <c r="E32" i="1"/>
  <c r="E31" i="1"/>
  <c r="U30" i="1" l="1"/>
  <c r="V30" i="1" s="1"/>
  <c r="O38" i="1"/>
  <c r="Q34" i="1"/>
  <c r="Q35" i="1" s="1"/>
  <c r="Q36" i="1" s="1"/>
  <c r="Q37" i="1" s="1"/>
  <c r="Q38" i="1" s="1"/>
  <c r="Q39" i="1" s="1"/>
  <c r="Q40" i="1" s="1"/>
  <c r="Q41" i="1" s="1"/>
  <c r="Q42" i="1" s="1"/>
  <c r="M34" i="1"/>
  <c r="M35" i="1" s="1"/>
  <c r="M36" i="1" s="1"/>
  <c r="M37" i="1" s="1"/>
  <c r="M38" i="1" s="1"/>
  <c r="M39" i="1" s="1"/>
  <c r="M40" i="1" s="1"/>
  <c r="M41" i="1" s="1"/>
  <c r="M42" i="1" s="1"/>
  <c r="W34" i="1"/>
  <c r="O39" i="1"/>
  <c r="S40" i="1"/>
  <c r="U40" i="1" s="1"/>
  <c r="V40" i="1" s="1"/>
  <c r="U31" i="1"/>
  <c r="S36" i="1"/>
  <c r="U36" i="1" s="1"/>
  <c r="V36" i="1" s="1"/>
  <c r="S37" i="1"/>
  <c r="U37" i="1" s="1"/>
  <c r="V37" i="1" s="1"/>
  <c r="X37" i="1" s="1"/>
  <c r="S38" i="1"/>
  <c r="U38" i="1" s="1"/>
  <c r="V38" i="1" s="1"/>
  <c r="S39" i="1"/>
  <c r="U39" i="1" s="1"/>
  <c r="V39" i="1" s="1"/>
  <c r="S35" i="1"/>
  <c r="U35" i="1" s="1"/>
  <c r="V35" i="1" s="1"/>
  <c r="S33" i="1"/>
  <c r="U33" i="1" s="1"/>
  <c r="V33" i="1" s="1"/>
  <c r="S42" i="1"/>
  <c r="U42" i="1" s="1"/>
  <c r="V42" i="1" s="1"/>
  <c r="S41" i="1"/>
  <c r="U41" i="1" s="1"/>
  <c r="V41" i="1" s="1"/>
  <c r="S32" i="1"/>
  <c r="U32" i="1" s="1"/>
  <c r="V32" i="1" s="1"/>
  <c r="O40" i="1"/>
  <c r="O42" i="1"/>
  <c r="O37" i="1"/>
  <c r="O36" i="1"/>
  <c r="O35" i="1"/>
  <c r="O32" i="1"/>
  <c r="O33" i="1"/>
  <c r="X38" i="1" l="1"/>
  <c r="W38" i="1"/>
  <c r="X39" i="1"/>
  <c r="W39" i="1"/>
  <c r="W37" i="1"/>
  <c r="W41" i="1"/>
  <c r="Y41" i="1" s="1"/>
  <c r="X41" i="1"/>
  <c r="W36" i="1"/>
  <c r="X36" i="1"/>
  <c r="W35" i="1"/>
  <c r="X35" i="1"/>
  <c r="X31" i="1"/>
  <c r="W32" i="1"/>
  <c r="X32" i="1"/>
  <c r="W40" i="1"/>
  <c r="X40" i="1"/>
  <c r="W42" i="1"/>
  <c r="X42" i="1"/>
  <c r="W33" i="1"/>
  <c r="X33" i="1"/>
  <c r="V43" i="1"/>
</calcChain>
</file>

<file path=xl/sharedStrings.xml><?xml version="1.0" encoding="utf-8"?>
<sst xmlns="http://schemas.openxmlformats.org/spreadsheetml/2006/main" count="82" uniqueCount="69">
  <si>
    <t>Buggy</t>
  </si>
  <si>
    <t>BEAST Zetec Track (BZT)</t>
  </si>
  <si>
    <t>Engine CC</t>
  </si>
  <si>
    <t>2000 CC Zetec</t>
  </si>
  <si>
    <t xml:space="preserve">Length </t>
  </si>
  <si>
    <t>C.O.G</t>
  </si>
  <si>
    <t>Low</t>
  </si>
  <si>
    <t>(Blitz World, 2019)</t>
  </si>
  <si>
    <t>Power (Kw)</t>
  </si>
  <si>
    <t>Power   (BHP)</t>
  </si>
  <si>
    <r>
      <t>Acceleration (m/s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</si>
  <si>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Top Speed (m/s)</t>
  </si>
  <si>
    <t>Top Speed MPH</t>
  </si>
  <si>
    <t>Height mm</t>
  </si>
  <si>
    <t>Width mm</t>
  </si>
  <si>
    <t>Length mm</t>
  </si>
  <si>
    <t>Ground Clearance mm</t>
  </si>
  <si>
    <t>Coefficent of Drag (Assumption)</t>
  </si>
  <si>
    <r>
      <t>Frontal Aero Area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)(Assumption)</t>
    </r>
  </si>
  <si>
    <t>Rolling Radius (m)</t>
  </si>
  <si>
    <t>Wheel Size m</t>
  </si>
  <si>
    <t>Wheel Centres mm</t>
  </si>
  <si>
    <t>Tyre Sidewall m</t>
  </si>
  <si>
    <t>Weight KG</t>
  </si>
  <si>
    <t>0-60 MPH (s)</t>
  </si>
  <si>
    <t>Torque (Nm)</t>
  </si>
  <si>
    <r>
      <t>Gravity (m/s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</si>
  <si>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Rolling Resistance Coefficent (Gravel)</t>
  </si>
  <si>
    <t>Rolling Resistance Coefficent(Tarmac)</t>
  </si>
  <si>
    <t xml:space="preserve"> (Engineering ToolBox, 2008)</t>
  </si>
  <si>
    <t>Buggy Specitcation</t>
  </si>
  <si>
    <t>Downhill</t>
  </si>
  <si>
    <t>Uphill</t>
  </si>
  <si>
    <t>Flat</t>
  </si>
  <si>
    <t>Elevation Above Sea Level (m)</t>
  </si>
  <si>
    <t>Change in Elavation (m)</t>
  </si>
  <si>
    <t>Velocity (m/s)</t>
  </si>
  <si>
    <t>Time Taken (s)</t>
  </si>
  <si>
    <t>Accumilative Time (s)</t>
  </si>
  <si>
    <t>Gradient (degrees)</t>
  </si>
  <si>
    <t>Rolling Drag (N)</t>
  </si>
  <si>
    <t>Aero Resistance (N)</t>
  </si>
  <si>
    <t>Gradient Resistance (N)</t>
  </si>
  <si>
    <t>Total Resistance Forces (N)</t>
  </si>
  <si>
    <t xml:space="preserve">Gradient </t>
  </si>
  <si>
    <t>Sectors / (Surface)</t>
  </si>
  <si>
    <t>Start / (Gravel)</t>
  </si>
  <si>
    <t>Striaght / (Gravel)</t>
  </si>
  <si>
    <t>Turn 1 / (Gravel)</t>
  </si>
  <si>
    <t>Straight / (Gravel)</t>
  </si>
  <si>
    <t>Turn 4 / (Gravel)</t>
  </si>
  <si>
    <t>Turn 5 / (Gravel)</t>
  </si>
  <si>
    <t>Turn 6 / (Gravel)</t>
  </si>
  <si>
    <t>Staright / (Gravel)</t>
  </si>
  <si>
    <t>Finiish / (Gravel)</t>
  </si>
  <si>
    <t>Stright / (Tarmac)</t>
  </si>
  <si>
    <t>Turn 2 / (Tarmac)</t>
  </si>
  <si>
    <t>Turn 3 / (Tarmac)</t>
  </si>
  <si>
    <t>Distance (m)</t>
  </si>
  <si>
    <t>Distance Covered (m)</t>
  </si>
  <si>
    <t>Total Resistive Power (W)</t>
  </si>
  <si>
    <t>Total-</t>
  </si>
  <si>
    <t>Circuit</t>
  </si>
  <si>
    <t>Air Density</t>
  </si>
  <si>
    <t>1.21 Miles</t>
  </si>
  <si>
    <t>Max Elevation (m)</t>
  </si>
  <si>
    <t>Power Remaining (W)</t>
  </si>
  <si>
    <t>Average Power / Second / Section</t>
  </si>
  <si>
    <t>Power Required (W)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</si>
</sst>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>
      <alignment horizontal="right"/>
    </xf>
    <xf numFmtId="0" fontId="0" fillId="2" borderId="0" xfId="0" quotePrefix="1" applyFill="1"/>
    <xf numFmtId="0" fontId="0" fillId="3" borderId="0" xfId="0" applyFill="1" applyAlignment="1">
      <alignment horizontal="right"/>
    </xf>
    <xf numFmtId="0" fontId="2" fillId="3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Sheet1!$I$29</c:f>
              <c:strCache>
                <c:ptCount val="1"/>
                <c:pt idx="0">
                  <c:v>Elevation Above Sea Level (m)</c:v>
                </c:pt>
              </c:strCache>
            </c:strRef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xVal>
            <c:numRef>
              <c:f>Sheet1!$M$30:$M$42</c:f>
              <c:numCache>
                <c:formatCode>General</c:formatCode>
                <c:ptCount val="13"/>
                <c:pt idx="0">
                  <c:v>0</c:v>
                </c:pt>
                <c:pt idx="1">
                  <c:v>232</c:v>
                </c:pt>
                <c:pt idx="2">
                  <c:v>403</c:v>
                </c:pt>
                <c:pt idx="3">
                  <c:v>524</c:v>
                </c:pt>
                <c:pt idx="4">
                  <c:v>580</c:v>
                </c:pt>
                <c:pt idx="5">
                  <c:v>691</c:v>
                </c:pt>
                <c:pt idx="6">
                  <c:v>847</c:v>
                </c:pt>
                <c:pt idx="7">
                  <c:v>969</c:v>
                </c:pt>
                <c:pt idx="8">
                  <c:v>1128</c:v>
                </c:pt>
                <c:pt idx="9">
                  <c:v>1209</c:v>
                </c:pt>
                <c:pt idx="10">
                  <c:v>1597</c:v>
                </c:pt>
                <c:pt idx="11">
                  <c:v>1678</c:v>
                </c:pt>
                <c:pt idx="12">
                  <c:v>1931</c:v>
                </c:pt>
              </c:numCache>
            </c:numRef>
          </c:xVal>
          <c:yVal>
            <c:numRef>
              <c:f>Sheet1!$I$30:$I$42</c:f>
              <c:numCache>
                <c:formatCode>General</c:formatCode>
                <c:ptCount val="13"/>
                <c:pt idx="0">
                  <c:v>5</c:v>
                </c:pt>
                <c:pt idx="1">
                  <c:v>0</c:v>
                </c:pt>
                <c:pt idx="2">
                  <c:v>5</c:v>
                </c:pt>
                <c:pt idx="3">
                  <c:v>8</c:v>
                </c:pt>
                <c:pt idx="4">
                  <c:v>22</c:v>
                </c:pt>
                <c:pt idx="5">
                  <c:v>22</c:v>
                </c:pt>
                <c:pt idx="6">
                  <c:v>22</c:v>
                </c:pt>
                <c:pt idx="7">
                  <c:v>15</c:v>
                </c:pt>
                <c:pt idx="8">
                  <c:v>10</c:v>
                </c:pt>
                <c:pt idx="9">
                  <c:v>5</c:v>
                </c:pt>
                <c:pt idx="10">
                  <c:v>5</c:v>
                </c:pt>
                <c:pt idx="11">
                  <c:v>5</c:v>
                </c:pt>
                <c:pt idx="12">
                  <c:v>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FBD-4047-A013-D78A29F5FB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1743928"/>
        <c:axId val="231746552"/>
      </c:scatterChart>
      <c:valAx>
        <c:axId val="231743928"/>
        <c:scaling>
          <c:orientation val="minMax"/>
          <c:max val="20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746552"/>
        <c:crosses val="autoZero"/>
        <c:crossBetween val="midCat"/>
        <c:majorUnit val="100"/>
      </c:valAx>
      <c:valAx>
        <c:axId val="231746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17439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sz="1800"/>
              <a:t>Velocity Vs Time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Sheet1!$Q$30:$Q$42</c:f>
              <c:numCache>
                <c:formatCode>General</c:formatCode>
                <c:ptCount val="13"/>
                <c:pt idx="0">
                  <c:v>0</c:v>
                </c:pt>
                <c:pt idx="1">
                  <c:v>15</c:v>
                </c:pt>
                <c:pt idx="2">
                  <c:v>23</c:v>
                </c:pt>
                <c:pt idx="3">
                  <c:v>29</c:v>
                </c:pt>
                <c:pt idx="4">
                  <c:v>32</c:v>
                </c:pt>
                <c:pt idx="5">
                  <c:v>40</c:v>
                </c:pt>
                <c:pt idx="6">
                  <c:v>44</c:v>
                </c:pt>
                <c:pt idx="7">
                  <c:v>50.5</c:v>
                </c:pt>
                <c:pt idx="8">
                  <c:v>58</c:v>
                </c:pt>
                <c:pt idx="9">
                  <c:v>63</c:v>
                </c:pt>
                <c:pt idx="10">
                  <c:v>71</c:v>
                </c:pt>
                <c:pt idx="11">
                  <c:v>72.5</c:v>
                </c:pt>
                <c:pt idx="12">
                  <c:v>76.5</c:v>
                </c:pt>
              </c:numCache>
            </c:numRef>
          </c:cat>
          <c:val>
            <c:numRef>
              <c:f>Sheet1!$N$30:$N$43</c:f>
              <c:numCache>
                <c:formatCode>General</c:formatCode>
                <c:ptCount val="14"/>
                <c:pt idx="0">
                  <c:v>0</c:v>
                </c:pt>
                <c:pt idx="1">
                  <c:v>15.466666666666667</c:v>
                </c:pt>
                <c:pt idx="2">
                  <c:v>21.375</c:v>
                </c:pt>
                <c:pt idx="3">
                  <c:v>20.166666666666668</c:v>
                </c:pt>
                <c:pt idx="4">
                  <c:v>18.666666666666668</c:v>
                </c:pt>
                <c:pt idx="5">
                  <c:v>13.875</c:v>
                </c:pt>
                <c:pt idx="6">
                  <c:v>39</c:v>
                </c:pt>
                <c:pt idx="7">
                  <c:v>18.76923076923077</c:v>
                </c:pt>
                <c:pt idx="8">
                  <c:v>21.2</c:v>
                </c:pt>
                <c:pt idx="9">
                  <c:v>16.2</c:v>
                </c:pt>
                <c:pt idx="10">
                  <c:v>48.5</c:v>
                </c:pt>
                <c:pt idx="11">
                  <c:v>54</c:v>
                </c:pt>
                <c:pt idx="12">
                  <c:v>63.25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9AD-4657-94CE-303CFEE5BE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2771552"/>
        <c:axId val="352764664"/>
      </c:lineChart>
      <c:catAx>
        <c:axId val="35277155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Accumlative</a:t>
                </a:r>
                <a:r>
                  <a:rPr lang="en-GB" sz="1800" baseline="0"/>
                  <a:t> Time (s)</a:t>
                </a:r>
                <a:endParaRPr lang="en-GB" sz="18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764664"/>
        <c:crosses val="autoZero"/>
        <c:auto val="1"/>
        <c:lblAlgn val="ctr"/>
        <c:lblOffset val="100"/>
        <c:noMultiLvlLbl val="0"/>
      </c:catAx>
      <c:valAx>
        <c:axId val="352764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Velocity</a:t>
                </a:r>
                <a:r>
                  <a:rPr lang="en-GB" sz="1800" baseline="0"/>
                  <a:t> (m/s)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1.1627906976744186E-2"/>
              <c:y val="0.430457279796547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771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800"/>
              <a:t>Acceleration</a:t>
            </a:r>
            <a:r>
              <a:rPr lang="en-US" sz="1800" baseline="0"/>
              <a:t> Vs Time</a:t>
            </a:r>
            <a:endParaRPr lang="en-US" sz="18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(m/s2)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Sheet1!$Q$30:$Q$42</c:f>
              <c:numCache>
                <c:formatCode>General</c:formatCode>
                <c:ptCount val="13"/>
                <c:pt idx="0">
                  <c:v>0</c:v>
                </c:pt>
                <c:pt idx="1">
                  <c:v>15</c:v>
                </c:pt>
                <c:pt idx="2">
                  <c:v>23</c:v>
                </c:pt>
                <c:pt idx="3">
                  <c:v>29</c:v>
                </c:pt>
                <c:pt idx="4">
                  <c:v>32</c:v>
                </c:pt>
                <c:pt idx="5">
                  <c:v>40</c:v>
                </c:pt>
                <c:pt idx="6">
                  <c:v>44</c:v>
                </c:pt>
                <c:pt idx="7">
                  <c:v>50.5</c:v>
                </c:pt>
                <c:pt idx="8">
                  <c:v>58</c:v>
                </c:pt>
                <c:pt idx="9">
                  <c:v>63</c:v>
                </c:pt>
                <c:pt idx="10">
                  <c:v>71</c:v>
                </c:pt>
                <c:pt idx="11">
                  <c:v>72.5</c:v>
                </c:pt>
                <c:pt idx="12">
                  <c:v>76.5</c:v>
                </c:pt>
              </c:numCache>
            </c:numRef>
          </c:cat>
          <c:val>
            <c:numRef>
              <c:f>Sheet1!$O$30:$O$42</c:f>
              <c:numCache>
                <c:formatCode>General</c:formatCode>
                <c:ptCount val="13"/>
                <c:pt idx="0">
                  <c:v>0</c:v>
                </c:pt>
                <c:pt idx="1">
                  <c:v>1.0311111111111111</c:v>
                </c:pt>
                <c:pt idx="2">
                  <c:v>0.73854166666666665</c:v>
                </c:pt>
                <c:pt idx="3">
                  <c:v>-0.2013888888888887</c:v>
                </c:pt>
                <c:pt idx="4">
                  <c:v>-0.5</c:v>
                </c:pt>
                <c:pt idx="5">
                  <c:v>-0.59895833333333348</c:v>
                </c:pt>
                <c:pt idx="6">
                  <c:v>6.28125</c:v>
                </c:pt>
                <c:pt idx="7">
                  <c:v>-3.1124260355029585</c:v>
                </c:pt>
                <c:pt idx="8">
                  <c:v>0.32410256410256388</c:v>
                </c:pt>
                <c:pt idx="9">
                  <c:v>-1</c:v>
                </c:pt>
                <c:pt idx="10">
                  <c:v>4.0374999999999996</c:v>
                </c:pt>
                <c:pt idx="11">
                  <c:v>3.6666666666666665</c:v>
                </c:pt>
                <c:pt idx="12">
                  <c:v>2.3125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6B-4328-9E54-A93E6E80B30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691015392"/>
        <c:axId val="691015720"/>
      </c:lineChart>
      <c:catAx>
        <c:axId val="6910153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Accumilative 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1015720"/>
        <c:crosses val="autoZero"/>
        <c:auto val="1"/>
        <c:lblAlgn val="ctr"/>
        <c:lblOffset val="100"/>
        <c:noMultiLvlLbl val="0"/>
      </c:catAx>
      <c:valAx>
        <c:axId val="691015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2000"/>
                  <a:t>Acceleration</a:t>
                </a:r>
                <a:r>
                  <a:rPr lang="en-GB" sz="2000" baseline="0"/>
                  <a:t> (m/s</a:t>
                </a:r>
                <a:r>
                  <a:rPr lang="en-GB" sz="2000" baseline="30000"/>
                  <a:t>2</a:t>
                </a:r>
                <a:r>
                  <a:rPr lang="en-GB" sz="2000" baseline="0"/>
                  <a:t>)</a:t>
                </a:r>
                <a:endParaRPr lang="en-GB" sz="20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1015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Gradient</a:t>
            </a:r>
            <a:r>
              <a:rPr lang="en-GB" baseline="0"/>
              <a:t> Vs Distance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Sheet1!$M$30:$M$42</c:f>
              <c:numCache>
                <c:formatCode>General</c:formatCode>
                <c:ptCount val="13"/>
                <c:pt idx="0">
                  <c:v>0</c:v>
                </c:pt>
                <c:pt idx="1">
                  <c:v>232</c:v>
                </c:pt>
                <c:pt idx="2">
                  <c:v>403</c:v>
                </c:pt>
                <c:pt idx="3">
                  <c:v>524</c:v>
                </c:pt>
                <c:pt idx="4">
                  <c:v>580</c:v>
                </c:pt>
                <c:pt idx="5">
                  <c:v>691</c:v>
                </c:pt>
                <c:pt idx="6">
                  <c:v>847</c:v>
                </c:pt>
                <c:pt idx="7">
                  <c:v>969</c:v>
                </c:pt>
                <c:pt idx="8">
                  <c:v>1128</c:v>
                </c:pt>
                <c:pt idx="9">
                  <c:v>1209</c:v>
                </c:pt>
                <c:pt idx="10">
                  <c:v>1597</c:v>
                </c:pt>
                <c:pt idx="11">
                  <c:v>1678</c:v>
                </c:pt>
                <c:pt idx="12">
                  <c:v>1931</c:v>
                </c:pt>
              </c:numCache>
            </c:numRef>
          </c:cat>
          <c:val>
            <c:numRef>
              <c:f>Sheet1!$K$30:$K$42</c:f>
              <c:numCache>
                <c:formatCode>General</c:formatCode>
                <c:ptCount val="13"/>
                <c:pt idx="0">
                  <c:v>0</c:v>
                </c:pt>
                <c:pt idx="1">
                  <c:v>-1.2349184454149784</c:v>
                </c:pt>
                <c:pt idx="2">
                  <c:v>1.6755540046728705</c:v>
                </c:pt>
                <c:pt idx="3">
                  <c:v>1.4207020960093164</c:v>
                </c:pt>
                <c:pt idx="4">
                  <c:v>14.477512185929925</c:v>
                </c:pt>
                <c:pt idx="5">
                  <c:v>0</c:v>
                </c:pt>
                <c:pt idx="6">
                  <c:v>0</c:v>
                </c:pt>
                <c:pt idx="7">
                  <c:v>-3.2892692265783201</c:v>
                </c:pt>
                <c:pt idx="8">
                  <c:v>-1.8020511595365531</c:v>
                </c:pt>
                <c:pt idx="9">
                  <c:v>-3.5390264590044835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7EA-4438-8580-CA9FA73BCB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7518720"/>
        <c:axId val="587515440"/>
      </c:lineChart>
      <c:catAx>
        <c:axId val="5875187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Distance 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7515440"/>
        <c:crosses val="autoZero"/>
        <c:auto val="1"/>
        <c:lblAlgn val="ctr"/>
        <c:lblOffset val="100"/>
        <c:noMultiLvlLbl val="0"/>
      </c:catAx>
      <c:valAx>
        <c:axId val="587515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Gradient (degrees)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75187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Resistance Force (N) Vs Time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Sheet1!$Q$30:$Q$42</c:f>
              <c:numCache>
                <c:formatCode>General</c:formatCode>
                <c:ptCount val="13"/>
                <c:pt idx="0">
                  <c:v>0</c:v>
                </c:pt>
                <c:pt idx="1">
                  <c:v>15</c:v>
                </c:pt>
                <c:pt idx="2">
                  <c:v>23</c:v>
                </c:pt>
                <c:pt idx="3">
                  <c:v>29</c:v>
                </c:pt>
                <c:pt idx="4">
                  <c:v>32</c:v>
                </c:pt>
                <c:pt idx="5">
                  <c:v>40</c:v>
                </c:pt>
                <c:pt idx="6">
                  <c:v>44</c:v>
                </c:pt>
                <c:pt idx="7">
                  <c:v>50.5</c:v>
                </c:pt>
                <c:pt idx="8">
                  <c:v>58</c:v>
                </c:pt>
                <c:pt idx="9">
                  <c:v>63</c:v>
                </c:pt>
                <c:pt idx="10">
                  <c:v>71</c:v>
                </c:pt>
                <c:pt idx="11">
                  <c:v>72.5</c:v>
                </c:pt>
                <c:pt idx="12">
                  <c:v>76.5</c:v>
                </c:pt>
              </c:numCache>
            </c:numRef>
          </c:cat>
          <c:val>
            <c:numRef>
              <c:f>Sheet1!$U$30:$U$42</c:f>
              <c:numCache>
                <c:formatCode>General</c:formatCode>
                <c:ptCount val="13"/>
                <c:pt idx="0">
                  <c:v>98</c:v>
                </c:pt>
                <c:pt idx="1">
                  <c:v>-4430.9381148254934</c:v>
                </c:pt>
                <c:pt idx="2">
                  <c:v>5156.8913126629313</c:v>
                </c:pt>
                <c:pt idx="3">
                  <c:v>5083.7549535138623</c:v>
                </c:pt>
                <c:pt idx="4">
                  <c:v>4834.0969992110831</c:v>
                </c:pt>
                <c:pt idx="5">
                  <c:v>151.76915249999999</c:v>
                </c:pt>
                <c:pt idx="6">
                  <c:v>716.37775999999997</c:v>
                </c:pt>
                <c:pt idx="7">
                  <c:v>962.21252205333064</c:v>
                </c:pt>
                <c:pt idx="8">
                  <c:v>-4488.8354923628849</c:v>
                </c:pt>
                <c:pt idx="9">
                  <c:v>2101.2594670014532</c:v>
                </c:pt>
                <c:pt idx="10">
                  <c:v>1054.3307599999998</c:v>
                </c:pt>
                <c:pt idx="11">
                  <c:v>1283.5289599999999</c:v>
                </c:pt>
                <c:pt idx="12">
                  <c:v>1724.4686899999999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085-4DA9-83D1-56E5AFFABC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6227256"/>
        <c:axId val="746228896"/>
      </c:lineChart>
      <c:catAx>
        <c:axId val="7462272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6228896"/>
        <c:crosses val="autoZero"/>
        <c:auto val="1"/>
        <c:lblAlgn val="ctr"/>
        <c:lblOffset val="100"/>
        <c:noMultiLvlLbl val="0"/>
      </c:catAx>
      <c:valAx>
        <c:axId val="746228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Total</a:t>
                </a:r>
                <a:r>
                  <a:rPr lang="en-GB" sz="1800" baseline="0"/>
                  <a:t> Resistance Force (N)</a:t>
                </a:r>
                <a:endParaRPr lang="en-GB" sz="1800"/>
              </a:p>
            </c:rich>
          </c:tx>
          <c:layout>
            <c:manualLayout>
              <c:xMode val="edge"/>
              <c:yMode val="edge"/>
              <c:x val="1.3956385197330374E-2"/>
              <c:y val="0.390934988982320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46227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sz="1800"/>
              <a:t>Rolling</a:t>
            </a:r>
            <a:r>
              <a:rPr lang="en-GB" sz="1800" baseline="0"/>
              <a:t> Drag Vs Time</a:t>
            </a:r>
            <a:endParaRPr lang="en-GB" sz="18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Sheet1!$Q$30:$Q$42</c:f>
              <c:numCache>
                <c:formatCode>General</c:formatCode>
                <c:ptCount val="13"/>
                <c:pt idx="0">
                  <c:v>0</c:v>
                </c:pt>
                <c:pt idx="1">
                  <c:v>15</c:v>
                </c:pt>
                <c:pt idx="2">
                  <c:v>23</c:v>
                </c:pt>
                <c:pt idx="3">
                  <c:v>29</c:v>
                </c:pt>
                <c:pt idx="4">
                  <c:v>32</c:v>
                </c:pt>
                <c:pt idx="5">
                  <c:v>40</c:v>
                </c:pt>
                <c:pt idx="6">
                  <c:v>44</c:v>
                </c:pt>
                <c:pt idx="7">
                  <c:v>50.5</c:v>
                </c:pt>
                <c:pt idx="8">
                  <c:v>58</c:v>
                </c:pt>
                <c:pt idx="9">
                  <c:v>63</c:v>
                </c:pt>
                <c:pt idx="10">
                  <c:v>71</c:v>
                </c:pt>
                <c:pt idx="11">
                  <c:v>72.5</c:v>
                </c:pt>
                <c:pt idx="12">
                  <c:v>76.5</c:v>
                </c:pt>
              </c:numCache>
            </c:numRef>
          </c:cat>
          <c:val>
            <c:numRef>
              <c:f>Sheet1!$R$30:$R$42</c:f>
              <c:numCache>
                <c:formatCode>General</c:formatCode>
                <c:ptCount val="13"/>
                <c:pt idx="0">
                  <c:v>98</c:v>
                </c:pt>
                <c:pt idx="1">
                  <c:v>98</c:v>
                </c:pt>
                <c:pt idx="2">
                  <c:v>98</c:v>
                </c:pt>
                <c:pt idx="3">
                  <c:v>73.5</c:v>
                </c:pt>
                <c:pt idx="4">
                  <c:v>73.5</c:v>
                </c:pt>
                <c:pt idx="5">
                  <c:v>73.5</c:v>
                </c:pt>
                <c:pt idx="6">
                  <c:v>98</c:v>
                </c:pt>
                <c:pt idx="7">
                  <c:v>98</c:v>
                </c:pt>
                <c:pt idx="8">
                  <c:v>98</c:v>
                </c:pt>
                <c:pt idx="9">
                  <c:v>98</c:v>
                </c:pt>
                <c:pt idx="10">
                  <c:v>98</c:v>
                </c:pt>
                <c:pt idx="11">
                  <c:v>98</c:v>
                </c:pt>
                <c:pt idx="12">
                  <c:v>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060-4666-AB19-7D3BE56406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3326992"/>
        <c:axId val="593325024"/>
      </c:lineChart>
      <c:catAx>
        <c:axId val="5933269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325024"/>
        <c:crosses val="autoZero"/>
        <c:auto val="1"/>
        <c:lblAlgn val="ctr"/>
        <c:lblOffset val="100"/>
        <c:noMultiLvlLbl val="0"/>
      </c:catAx>
      <c:valAx>
        <c:axId val="593325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Rolling Drag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3326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sz="1800"/>
              <a:t>Aero</a:t>
            </a:r>
            <a:r>
              <a:rPr lang="en-GB" sz="1800" baseline="0"/>
              <a:t> Resistance Force Vs Time</a:t>
            </a:r>
            <a:endParaRPr lang="en-GB" sz="18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Sheet1!$Q$30:$Q$42</c:f>
              <c:numCache>
                <c:formatCode>General</c:formatCode>
                <c:ptCount val="13"/>
                <c:pt idx="0">
                  <c:v>0</c:v>
                </c:pt>
                <c:pt idx="1">
                  <c:v>15</c:v>
                </c:pt>
                <c:pt idx="2">
                  <c:v>23</c:v>
                </c:pt>
                <c:pt idx="3">
                  <c:v>29</c:v>
                </c:pt>
                <c:pt idx="4">
                  <c:v>32</c:v>
                </c:pt>
                <c:pt idx="5">
                  <c:v>40</c:v>
                </c:pt>
                <c:pt idx="6">
                  <c:v>44</c:v>
                </c:pt>
                <c:pt idx="7">
                  <c:v>50.5</c:v>
                </c:pt>
                <c:pt idx="8">
                  <c:v>58</c:v>
                </c:pt>
                <c:pt idx="9">
                  <c:v>63</c:v>
                </c:pt>
                <c:pt idx="10">
                  <c:v>71</c:v>
                </c:pt>
                <c:pt idx="11">
                  <c:v>72.5</c:v>
                </c:pt>
                <c:pt idx="12">
                  <c:v>76.5</c:v>
                </c:pt>
              </c:numCache>
            </c:numRef>
          </c:cat>
          <c:val>
            <c:numRef>
              <c:f>Sheet1!$S$30:$S$42</c:f>
              <c:numCache>
                <c:formatCode>General</c:formatCode>
                <c:ptCount val="13"/>
                <c:pt idx="0">
                  <c:v>0</c:v>
                </c:pt>
                <c:pt idx="1">
                  <c:v>97.256379733333318</c:v>
                </c:pt>
                <c:pt idx="2">
                  <c:v>185.75345249999998</c:v>
                </c:pt>
                <c:pt idx="3">
                  <c:v>165.34569333333334</c:v>
                </c:pt>
                <c:pt idx="4">
                  <c:v>141.66357333333335</c:v>
                </c:pt>
                <c:pt idx="5">
                  <c:v>78.26915249999999</c:v>
                </c:pt>
                <c:pt idx="6">
                  <c:v>618.37775999999997</c:v>
                </c:pt>
                <c:pt idx="7">
                  <c:v>143.2245926627219</c:v>
                </c:pt>
                <c:pt idx="8">
                  <c:v>182.7243264</c:v>
                </c:pt>
                <c:pt idx="9">
                  <c:v>106.6976064</c:v>
                </c:pt>
                <c:pt idx="10">
                  <c:v>956.33075999999994</c:v>
                </c:pt>
                <c:pt idx="11">
                  <c:v>1185.5289599999999</c:v>
                </c:pt>
                <c:pt idx="12">
                  <c:v>1626.4686899999999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143-464F-ADC1-E2BC1D5AAF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87519376"/>
        <c:axId val="587513144"/>
      </c:lineChart>
      <c:catAx>
        <c:axId val="5875193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 (s)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7513144"/>
        <c:crosses val="autoZero"/>
        <c:auto val="1"/>
        <c:lblAlgn val="ctr"/>
        <c:lblOffset val="100"/>
        <c:noMultiLvlLbl val="0"/>
      </c:catAx>
      <c:valAx>
        <c:axId val="587513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Aero</a:t>
                </a:r>
                <a:r>
                  <a:rPr lang="en-GB" sz="1800" baseline="0"/>
                  <a:t> Resistance Force (N)</a:t>
                </a:r>
                <a:endParaRPr lang="en-GB" sz="18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75193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Average</a:t>
            </a:r>
            <a:r>
              <a:rPr lang="en-GB" baseline="0"/>
              <a:t> Power Vs Section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Sheet1!$G$30:$G$43</c:f>
              <c:strCache>
                <c:ptCount val="14"/>
                <c:pt idx="0">
                  <c:v>Start / (Gravel)</c:v>
                </c:pt>
                <c:pt idx="1">
                  <c:v>Striaght / (Gravel)</c:v>
                </c:pt>
                <c:pt idx="2">
                  <c:v>Turn 1 / (Gravel)</c:v>
                </c:pt>
                <c:pt idx="3">
                  <c:v>Stright / (Tarmac)</c:v>
                </c:pt>
                <c:pt idx="4">
                  <c:v>Turn 2 / (Tarmac)</c:v>
                </c:pt>
                <c:pt idx="5">
                  <c:v>Turn 3 / (Tarmac)</c:v>
                </c:pt>
                <c:pt idx="6">
                  <c:v>Straight / (Gravel)</c:v>
                </c:pt>
                <c:pt idx="7">
                  <c:v>Turn 4 / (Gravel)</c:v>
                </c:pt>
                <c:pt idx="8">
                  <c:v>Straight / (Gravel)</c:v>
                </c:pt>
                <c:pt idx="9">
                  <c:v>Turn 5 / (Gravel)</c:v>
                </c:pt>
                <c:pt idx="10">
                  <c:v>Straight / (Gravel)</c:v>
                </c:pt>
                <c:pt idx="11">
                  <c:v>Turn 6 / (Gravel)</c:v>
                </c:pt>
                <c:pt idx="12">
                  <c:v>Staright / (Gravel)</c:v>
                </c:pt>
                <c:pt idx="13">
                  <c:v>Finiish / (Gravel)</c:v>
                </c:pt>
              </c:strCache>
            </c:strRef>
          </c:cat>
          <c:val>
            <c:numRef>
              <c:f>Sheet1!$X$30:$X$42</c:f>
              <c:numCache>
                <c:formatCode>General</c:formatCode>
                <c:ptCount val="13"/>
                <c:pt idx="0">
                  <c:v>0</c:v>
                </c:pt>
                <c:pt idx="1">
                  <c:v>-4568.7895228422867</c:v>
                </c:pt>
                <c:pt idx="2">
                  <c:v>13778.56897602127</c:v>
                </c:pt>
                <c:pt idx="3">
                  <c:v>17087.065260421594</c:v>
                </c:pt>
                <c:pt idx="4">
                  <c:v>30078.825772868964</c:v>
                </c:pt>
                <c:pt idx="5">
                  <c:v>263.22462386718746</c:v>
                </c:pt>
                <c:pt idx="6">
                  <c:v>6984.6831599999996</c:v>
                </c:pt>
                <c:pt idx="7">
                  <c:v>2778.459826994233</c:v>
                </c:pt>
                <c:pt idx="8">
                  <c:v>-12688.441658412421</c:v>
                </c:pt>
                <c:pt idx="9">
                  <c:v>6808.080673084708</c:v>
                </c:pt>
                <c:pt idx="10">
                  <c:v>6391.8802324999988</c:v>
                </c:pt>
                <c:pt idx="11">
                  <c:v>46207.042559999994</c:v>
                </c:pt>
                <c:pt idx="12">
                  <c:v>27268.161160624997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48-4B30-9876-2F84879E91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01654112"/>
        <c:axId val="701654440"/>
      </c:lineChart>
      <c:catAx>
        <c:axId val="7016541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Sector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1654440"/>
        <c:crosses val="autoZero"/>
        <c:auto val="1"/>
        <c:lblAlgn val="ctr"/>
        <c:lblOffset val="100"/>
        <c:noMultiLvlLbl val="0"/>
      </c:catAx>
      <c:valAx>
        <c:axId val="701654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Avergae POWER</a:t>
                </a:r>
                <a:r>
                  <a:rPr lang="en-GB" sz="1800" baseline="0"/>
                  <a:t> PER SECOND (n)</a:t>
                </a:r>
                <a:endParaRPr lang="en-GB" sz="18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1654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 sz="1800"/>
              <a:t>Total</a:t>
            </a:r>
            <a:r>
              <a:rPr lang="en-GB" sz="1800" baseline="0"/>
              <a:t> Power Vs Total Forces</a:t>
            </a:r>
            <a:endParaRPr lang="en-GB" sz="180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Sheet1!$U$30:$U$42</c:f>
              <c:numCache>
                <c:formatCode>General</c:formatCode>
                <c:ptCount val="13"/>
                <c:pt idx="0">
                  <c:v>98</c:v>
                </c:pt>
                <c:pt idx="1">
                  <c:v>-4430.9381148254934</c:v>
                </c:pt>
                <c:pt idx="2">
                  <c:v>5156.8913126629313</c:v>
                </c:pt>
                <c:pt idx="3">
                  <c:v>5083.7549535138623</c:v>
                </c:pt>
                <c:pt idx="4">
                  <c:v>4834.0969992110831</c:v>
                </c:pt>
                <c:pt idx="5">
                  <c:v>151.76915249999999</c:v>
                </c:pt>
                <c:pt idx="6">
                  <c:v>716.37775999999997</c:v>
                </c:pt>
                <c:pt idx="7">
                  <c:v>962.21252205333064</c:v>
                </c:pt>
                <c:pt idx="8">
                  <c:v>-4488.8354923628849</c:v>
                </c:pt>
                <c:pt idx="9">
                  <c:v>2101.2594670014532</c:v>
                </c:pt>
                <c:pt idx="10">
                  <c:v>1054.3307599999998</c:v>
                </c:pt>
                <c:pt idx="11">
                  <c:v>1283.5289599999999</c:v>
                </c:pt>
                <c:pt idx="12">
                  <c:v>1724.4686899999999</c:v>
                </c:pt>
              </c:numCache>
            </c:numRef>
          </c:cat>
          <c:val>
            <c:numRef>
              <c:f>Sheet1!$V$30:$V$42</c:f>
              <c:numCache>
                <c:formatCode>General</c:formatCode>
                <c:ptCount val="13"/>
                <c:pt idx="0">
                  <c:v>0</c:v>
                </c:pt>
                <c:pt idx="1">
                  <c:v>-68531.842842634302</c:v>
                </c:pt>
                <c:pt idx="2">
                  <c:v>110228.55180817016</c:v>
                </c:pt>
                <c:pt idx="3">
                  <c:v>102522.39156252956</c:v>
                </c:pt>
                <c:pt idx="4">
                  <c:v>90236.477318606892</c:v>
                </c:pt>
                <c:pt idx="5">
                  <c:v>2105.7969909374997</c:v>
                </c:pt>
                <c:pt idx="6">
                  <c:v>27938.732639999998</c:v>
                </c:pt>
                <c:pt idx="7">
                  <c:v>18059.988875462514</c:v>
                </c:pt>
                <c:pt idx="8">
                  <c:v>-95163.312438093155</c:v>
                </c:pt>
                <c:pt idx="9">
                  <c:v>34040.403365423539</c:v>
                </c:pt>
                <c:pt idx="10">
                  <c:v>51135.04185999999</c:v>
                </c:pt>
                <c:pt idx="11">
                  <c:v>69310.563839999988</c:v>
                </c:pt>
                <c:pt idx="12">
                  <c:v>109072.64464249999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D0-4D47-8901-586AD288A0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98299456"/>
        <c:axId val="698301424"/>
      </c:lineChart>
      <c:catAx>
        <c:axId val="6982994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Total Resistance Forces (N)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8301424"/>
        <c:crosses val="autoZero"/>
        <c:auto val="1"/>
        <c:lblAlgn val="ctr"/>
        <c:lblOffset val="100"/>
        <c:noMultiLvlLbl val="0"/>
      </c:catAx>
      <c:valAx>
        <c:axId val="698301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Total Resistive Power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82994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Required Vs Time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numRef>
              <c:f>Sheet1!$Q$30:$Q$42</c:f>
              <c:numCache>
                <c:formatCode>General</c:formatCode>
                <c:ptCount val="13"/>
                <c:pt idx="0">
                  <c:v>0</c:v>
                </c:pt>
                <c:pt idx="1">
                  <c:v>15</c:v>
                </c:pt>
                <c:pt idx="2">
                  <c:v>23</c:v>
                </c:pt>
                <c:pt idx="3">
                  <c:v>29</c:v>
                </c:pt>
                <c:pt idx="4">
                  <c:v>32</c:v>
                </c:pt>
                <c:pt idx="5">
                  <c:v>40</c:v>
                </c:pt>
                <c:pt idx="6">
                  <c:v>44</c:v>
                </c:pt>
                <c:pt idx="7">
                  <c:v>50.5</c:v>
                </c:pt>
                <c:pt idx="8">
                  <c:v>58</c:v>
                </c:pt>
                <c:pt idx="9">
                  <c:v>63</c:v>
                </c:pt>
                <c:pt idx="10">
                  <c:v>71</c:v>
                </c:pt>
                <c:pt idx="11">
                  <c:v>72.5</c:v>
                </c:pt>
                <c:pt idx="12">
                  <c:v>76.5</c:v>
                </c:pt>
              </c:numCache>
            </c:numRef>
          </c:cat>
          <c:val>
            <c:numRef>
              <c:f>Sheet1!$Y$30:$Y$42</c:f>
              <c:numCache>
                <c:formatCode>General</c:formatCode>
                <c:ptCount val="13"/>
                <c:pt idx="0">
                  <c:v>0</c:v>
                </c:pt>
                <c:pt idx="1">
                  <c:v>68531.842842634302</c:v>
                </c:pt>
                <c:pt idx="2">
                  <c:v>110228.55180817016</c:v>
                </c:pt>
                <c:pt idx="3">
                  <c:v>102522.39156252956</c:v>
                </c:pt>
                <c:pt idx="4">
                  <c:v>90236.477318606892</c:v>
                </c:pt>
                <c:pt idx="5">
                  <c:v>2105.7969909374951</c:v>
                </c:pt>
                <c:pt idx="6">
                  <c:v>27938.732640000002</c:v>
                </c:pt>
                <c:pt idx="7">
                  <c:v>18059.988875462514</c:v>
                </c:pt>
                <c:pt idx="8">
                  <c:v>95163.312438093155</c:v>
                </c:pt>
                <c:pt idx="9">
                  <c:v>34040.403365423539</c:v>
                </c:pt>
                <c:pt idx="10">
                  <c:v>51135.04185999999</c:v>
                </c:pt>
                <c:pt idx="11">
                  <c:v>69310.563839999988</c:v>
                </c:pt>
                <c:pt idx="12">
                  <c:v>109072.64464249999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1D8-4F80-88D0-BF3D394411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0862984"/>
        <c:axId val="750863312"/>
      </c:lineChart>
      <c:catAx>
        <c:axId val="7508629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Time</a:t>
                </a:r>
                <a:r>
                  <a:rPr lang="en-GB" sz="1800" baseline="0"/>
                  <a:t> (s)</a:t>
                </a:r>
                <a:endParaRPr lang="en-GB" sz="180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0863312"/>
        <c:crosses val="autoZero"/>
        <c:auto val="1"/>
        <c:lblAlgn val="ctr"/>
        <c:lblOffset val="100"/>
        <c:noMultiLvlLbl val="0"/>
      </c:catAx>
      <c:valAx>
        <c:axId val="750863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Power Required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0862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Used Vs Section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Sheet1!$G$30:$G$43</c:f>
              <c:strCache>
                <c:ptCount val="14"/>
                <c:pt idx="0">
                  <c:v>Start / (Gravel)</c:v>
                </c:pt>
                <c:pt idx="1">
                  <c:v>Striaght / (Gravel)</c:v>
                </c:pt>
                <c:pt idx="2">
                  <c:v>Turn 1 / (Gravel)</c:v>
                </c:pt>
                <c:pt idx="3">
                  <c:v>Stright / (Tarmac)</c:v>
                </c:pt>
                <c:pt idx="4">
                  <c:v>Turn 2 / (Tarmac)</c:v>
                </c:pt>
                <c:pt idx="5">
                  <c:v>Turn 3 / (Tarmac)</c:v>
                </c:pt>
                <c:pt idx="6">
                  <c:v>Straight / (Gravel)</c:v>
                </c:pt>
                <c:pt idx="7">
                  <c:v>Turn 4 / (Gravel)</c:v>
                </c:pt>
                <c:pt idx="8">
                  <c:v>Straight / (Gravel)</c:v>
                </c:pt>
                <c:pt idx="9">
                  <c:v>Turn 5 / (Gravel)</c:v>
                </c:pt>
                <c:pt idx="10">
                  <c:v>Straight / (Gravel)</c:v>
                </c:pt>
                <c:pt idx="11">
                  <c:v>Turn 6 / (Gravel)</c:v>
                </c:pt>
                <c:pt idx="12">
                  <c:v>Staright / (Gravel)</c:v>
                </c:pt>
                <c:pt idx="13">
                  <c:v>Finiish / (Gravel)</c:v>
                </c:pt>
              </c:strCache>
            </c:strRef>
          </c:cat>
          <c:val>
            <c:numRef>
              <c:f>Sheet1!$Y$30:$Y$42</c:f>
              <c:numCache>
                <c:formatCode>General</c:formatCode>
                <c:ptCount val="13"/>
                <c:pt idx="0">
                  <c:v>0</c:v>
                </c:pt>
                <c:pt idx="1">
                  <c:v>68531.842842634302</c:v>
                </c:pt>
                <c:pt idx="2">
                  <c:v>110228.55180817016</c:v>
                </c:pt>
                <c:pt idx="3">
                  <c:v>102522.39156252956</c:v>
                </c:pt>
                <c:pt idx="4">
                  <c:v>90236.477318606892</c:v>
                </c:pt>
                <c:pt idx="5">
                  <c:v>2105.7969909374951</c:v>
                </c:pt>
                <c:pt idx="6">
                  <c:v>27938.732640000002</c:v>
                </c:pt>
                <c:pt idx="7">
                  <c:v>18059.988875462514</c:v>
                </c:pt>
                <c:pt idx="8">
                  <c:v>95163.312438093155</c:v>
                </c:pt>
                <c:pt idx="9">
                  <c:v>34040.403365423539</c:v>
                </c:pt>
                <c:pt idx="10">
                  <c:v>51135.04185999999</c:v>
                </c:pt>
                <c:pt idx="11">
                  <c:v>69310.563839999988</c:v>
                </c:pt>
                <c:pt idx="12">
                  <c:v>109072.64464249999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C0-446B-B358-4F2DBE7F91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2768600"/>
        <c:axId val="352768928"/>
      </c:lineChart>
      <c:catAx>
        <c:axId val="3527686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Section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768928"/>
        <c:crosses val="autoZero"/>
        <c:auto val="1"/>
        <c:lblAlgn val="ctr"/>
        <c:lblOffset val="100"/>
        <c:noMultiLvlLbl val="0"/>
      </c:catAx>
      <c:valAx>
        <c:axId val="352768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800"/>
                  <a:t>Power Used (w)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2768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</xdr:row>
      <xdr:rowOff>66675</xdr:rowOff>
    </xdr:from>
    <xdr:to>
      <xdr:col>1</xdr:col>
      <xdr:colOff>897080</xdr:colOff>
      <xdr:row>11</xdr:row>
      <xdr:rowOff>104775</xdr:rowOff>
    </xdr:to>
    <xdr:pic>
      <xdr:nvPicPr>
        <xdr:cNvPr id="2" name="Picture 1" descr="BEAST Zetec Track (BZT)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45" t="7751" b="12499"/>
        <a:stretch/>
      </xdr:blipFill>
      <xdr:spPr bwMode="auto">
        <a:xfrm>
          <a:off x="47625" y="447675"/>
          <a:ext cx="2549235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38100</xdr:colOff>
      <xdr:row>1</xdr:row>
      <xdr:rowOff>9525</xdr:rowOff>
    </xdr:from>
    <xdr:to>
      <xdr:col>10</xdr:col>
      <xdr:colOff>542925</xdr:colOff>
      <xdr:row>26</xdr:row>
      <xdr:rowOff>161925</xdr:rowOff>
    </xdr:to>
    <xdr:grpSp>
      <xdr:nvGrpSpPr>
        <xdr:cNvPr id="1069" name="Group 45"/>
        <xdr:cNvGrpSpPr>
          <a:grpSpLocks/>
        </xdr:cNvGrpSpPr>
      </xdr:nvGrpSpPr>
      <xdr:grpSpPr bwMode="auto">
        <a:xfrm>
          <a:off x="4229100" y="200025"/>
          <a:ext cx="12263870" cy="4914900"/>
          <a:chOff x="1054406" y="1083305"/>
          <a:chExt cx="76688" cy="49170"/>
        </a:xfrm>
      </xdr:grpSpPr>
      <xdr:sp macro="" textlink="">
        <xdr:nvSpPr>
          <xdr:cNvPr id="1085" name="Rectangle 61"/>
          <xdr:cNvSpPr>
            <a:spLocks noChangeArrowheads="1"/>
          </xdr:cNvSpPr>
        </xdr:nvSpPr>
        <xdr:spPr bwMode="auto">
          <a:xfrm>
            <a:off x="1054406" y="1083305"/>
            <a:ext cx="76689" cy="49170"/>
          </a:xfrm>
          <a:prstGeom prst="rect">
            <a:avLst/>
          </a:prstGeom>
          <a:solidFill>
            <a:srgbClr val="DFEBF7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4" name="Freeform 60"/>
          <xdr:cNvSpPr>
            <a:spLocks/>
          </xdr:cNvSpPr>
        </xdr:nvSpPr>
        <xdr:spPr bwMode="auto">
          <a:xfrm>
            <a:off x="1058121" y="1086076"/>
            <a:ext cx="69827" cy="41771"/>
          </a:xfrm>
          <a:custGeom>
            <a:avLst/>
            <a:gdLst>
              <a:gd name="T0" fmla="*/ 3634162 w 6982685"/>
              <a:gd name="T1" fmla="*/ 3653607 h 4177028"/>
              <a:gd name="T2" fmla="*/ 5709057 w 6982685"/>
              <a:gd name="T3" fmla="*/ 2681914 h 4177028"/>
              <a:gd name="T4" fmla="*/ 6718460 w 6982685"/>
              <a:gd name="T5" fmla="*/ 2171275 h 4177028"/>
              <a:gd name="T6" fmla="*/ 6967841 w 6982685"/>
              <a:gd name="T7" fmla="*/ 1714074 h 4177028"/>
              <a:gd name="T8" fmla="*/ 6629395 w 6982685"/>
              <a:gd name="T9" fmla="*/ 1334064 h 4177028"/>
              <a:gd name="T10" fmla="*/ 5845623 w 6982685"/>
              <a:gd name="T11" fmla="*/ 1535944 h 4177028"/>
              <a:gd name="T12" fmla="*/ 3580453 w 6982685"/>
              <a:gd name="T13" fmla="*/ 2533463 h 4177028"/>
              <a:gd name="T14" fmla="*/ 2378842 w 6982685"/>
              <a:gd name="T15" fmla="*/ 2204979 h 4177028"/>
              <a:gd name="T16" fmla="*/ 2664279 w 6982685"/>
              <a:gd name="T17" fmla="*/ 519224 h 4177028"/>
              <a:gd name="T18" fmla="*/ 2068856 w 6982685"/>
              <a:gd name="T19" fmla="*/ 30126 h 4177028"/>
              <a:gd name="T20" fmla="*/ 1250149 w 6982685"/>
              <a:gd name="T21" fmla="*/ 338470 h 4177028"/>
              <a:gd name="T22" fmla="*/ 222657 w 6982685"/>
              <a:gd name="T23" fmla="*/ 1559696 h 4177028"/>
              <a:gd name="T24" fmla="*/ 15230 w 6982685"/>
              <a:gd name="T25" fmla="*/ 2092496 h 4177028"/>
              <a:gd name="T26" fmla="*/ 314035 w 6982685"/>
              <a:gd name="T27" fmla="*/ 2283207 h 4177028"/>
              <a:gd name="T28" fmla="*/ 829934 w 6982685"/>
              <a:gd name="T29" fmla="*/ 1830027 h 4177028"/>
              <a:gd name="T30" fmla="*/ 1065806 w 6982685"/>
              <a:gd name="T31" fmla="*/ 1648761 h 4177028"/>
              <a:gd name="T32" fmla="*/ 1202372 w 6982685"/>
              <a:gd name="T33" fmla="*/ 1607197 h 4177028"/>
              <a:gd name="T34" fmla="*/ 1312816 w 6982685"/>
              <a:gd name="T35" fmla="*/ 1661681 h 4177028"/>
              <a:gd name="T36" fmla="*/ 1362689 w 6982685"/>
              <a:gd name="T37" fmla="*/ 1761576 h 4177028"/>
              <a:gd name="T38" fmla="*/ 1327063 w 6982685"/>
              <a:gd name="T39" fmla="*/ 2034709 h 4177028"/>
              <a:gd name="T40" fmla="*/ 1183737 w 6982685"/>
              <a:gd name="T41" fmla="*/ 3171125 h 4177028"/>
              <a:gd name="T42" fmla="*/ 1450929 w 6982685"/>
              <a:gd name="T43" fmla="*/ 3828060 h 4177028"/>
              <a:gd name="T44" fmla="*/ 2047591 w 6982685"/>
              <a:gd name="T45" fmla="*/ 4134293 h 4177028"/>
              <a:gd name="T46" fmla="*/ 2616734 w 6982685"/>
              <a:gd name="T47" fmla="*/ 4084472 h 4177028"/>
              <a:gd name="T48" fmla="*/ 3634162 w 6982685"/>
              <a:gd name="T49" fmla="*/ 3653607 h 41770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6982685" h="4177028">
                <a:moveTo>
                  <a:pt x="3634162" y="3653607"/>
                </a:moveTo>
                <a:cubicBezTo>
                  <a:pt x="4149549" y="3419847"/>
                  <a:pt x="5195007" y="2928969"/>
                  <a:pt x="5709057" y="2681914"/>
                </a:cubicBezTo>
                <a:cubicBezTo>
                  <a:pt x="6223107" y="2434859"/>
                  <a:pt x="6508663" y="2332582"/>
                  <a:pt x="6718460" y="2171275"/>
                </a:cubicBezTo>
                <a:cubicBezTo>
                  <a:pt x="6928257" y="2009968"/>
                  <a:pt x="6982685" y="1853609"/>
                  <a:pt x="6967841" y="1714074"/>
                </a:cubicBezTo>
                <a:cubicBezTo>
                  <a:pt x="6952997" y="1574539"/>
                  <a:pt x="6816431" y="1363752"/>
                  <a:pt x="6629395" y="1334064"/>
                </a:cubicBezTo>
                <a:cubicBezTo>
                  <a:pt x="6442359" y="1304376"/>
                  <a:pt x="6353780" y="1336044"/>
                  <a:pt x="5845623" y="1535944"/>
                </a:cubicBezTo>
                <a:cubicBezTo>
                  <a:pt x="5337466" y="1735844"/>
                  <a:pt x="4158250" y="2421957"/>
                  <a:pt x="3580453" y="2533463"/>
                </a:cubicBezTo>
                <a:cubicBezTo>
                  <a:pt x="3002656" y="2644969"/>
                  <a:pt x="2531538" y="2540685"/>
                  <a:pt x="2378842" y="2204979"/>
                </a:cubicBezTo>
                <a:cubicBezTo>
                  <a:pt x="2226146" y="1869273"/>
                  <a:pt x="2715943" y="881699"/>
                  <a:pt x="2664279" y="519224"/>
                </a:cubicBezTo>
                <a:cubicBezTo>
                  <a:pt x="2612615" y="156749"/>
                  <a:pt x="2304544" y="60252"/>
                  <a:pt x="2068856" y="30126"/>
                </a:cubicBezTo>
                <a:cubicBezTo>
                  <a:pt x="1833168" y="0"/>
                  <a:pt x="1557849" y="83542"/>
                  <a:pt x="1250149" y="338470"/>
                </a:cubicBezTo>
                <a:cubicBezTo>
                  <a:pt x="942449" y="593398"/>
                  <a:pt x="428477" y="1267358"/>
                  <a:pt x="222657" y="1559696"/>
                </a:cubicBezTo>
                <a:cubicBezTo>
                  <a:pt x="16837" y="1852034"/>
                  <a:pt x="0" y="1971911"/>
                  <a:pt x="15230" y="2092496"/>
                </a:cubicBezTo>
                <a:cubicBezTo>
                  <a:pt x="30460" y="2213081"/>
                  <a:pt x="178251" y="2326952"/>
                  <a:pt x="314035" y="2283207"/>
                </a:cubicBezTo>
                <a:cubicBezTo>
                  <a:pt x="449819" y="2239462"/>
                  <a:pt x="704639" y="1935768"/>
                  <a:pt x="829934" y="1830027"/>
                </a:cubicBezTo>
                <a:cubicBezTo>
                  <a:pt x="955229" y="1724286"/>
                  <a:pt x="1003733" y="1685899"/>
                  <a:pt x="1065806" y="1648761"/>
                </a:cubicBezTo>
                <a:cubicBezTo>
                  <a:pt x="1127879" y="1611623"/>
                  <a:pt x="1161204" y="1605044"/>
                  <a:pt x="1202372" y="1607197"/>
                </a:cubicBezTo>
                <a:cubicBezTo>
                  <a:pt x="1243540" y="1609350"/>
                  <a:pt x="1286097" y="1635951"/>
                  <a:pt x="1312816" y="1661681"/>
                </a:cubicBezTo>
                <a:cubicBezTo>
                  <a:pt x="1339535" y="1687411"/>
                  <a:pt x="1360314" y="1699405"/>
                  <a:pt x="1362689" y="1761576"/>
                </a:cubicBezTo>
                <a:cubicBezTo>
                  <a:pt x="1365064" y="1823747"/>
                  <a:pt x="1356888" y="1799784"/>
                  <a:pt x="1327063" y="2034709"/>
                </a:cubicBezTo>
                <a:cubicBezTo>
                  <a:pt x="1297238" y="2269634"/>
                  <a:pt x="1163093" y="2872233"/>
                  <a:pt x="1183737" y="3171125"/>
                </a:cubicBezTo>
                <a:cubicBezTo>
                  <a:pt x="1204381" y="3470017"/>
                  <a:pt x="1306953" y="3667532"/>
                  <a:pt x="1450929" y="3828060"/>
                </a:cubicBezTo>
                <a:cubicBezTo>
                  <a:pt x="1594905" y="3988588"/>
                  <a:pt x="1853290" y="4091558"/>
                  <a:pt x="2047591" y="4134293"/>
                </a:cubicBezTo>
                <a:cubicBezTo>
                  <a:pt x="2241892" y="4177028"/>
                  <a:pt x="2352305" y="4164586"/>
                  <a:pt x="2616734" y="4084472"/>
                </a:cubicBezTo>
                <a:cubicBezTo>
                  <a:pt x="2881163" y="4004358"/>
                  <a:pt x="3422198" y="3743371"/>
                  <a:pt x="3634162" y="3653607"/>
                </a:cubicBezTo>
                <a:close/>
              </a:path>
            </a:pathLst>
          </a:custGeom>
          <a:noFill/>
          <a:ln w="50800">
            <a:solidFill>
              <a:srgbClr val="777777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3" name="AutoShape 59"/>
          <xdr:cNvSpPr>
            <a:spLocks noChangeArrowheads="1"/>
          </xdr:cNvSpPr>
        </xdr:nvSpPr>
        <xdr:spPr bwMode="auto">
          <a:xfrm>
            <a:off x="1070976" y="1105166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2" name="AutoShape 58"/>
          <xdr:cNvSpPr>
            <a:spLocks noChangeArrowheads="1"/>
          </xdr:cNvSpPr>
        </xdr:nvSpPr>
        <xdr:spPr bwMode="auto">
          <a:xfrm>
            <a:off x="1065015" y="1104631"/>
            <a:ext cx="915" cy="915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1" name="AutoShape 57"/>
          <xdr:cNvSpPr>
            <a:spLocks noChangeArrowheads="1"/>
          </xdr:cNvSpPr>
        </xdr:nvSpPr>
        <xdr:spPr bwMode="auto">
          <a:xfrm>
            <a:off x="1059522" y="1101651"/>
            <a:ext cx="915" cy="915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0" name="AutoShape 56"/>
          <xdr:cNvSpPr>
            <a:spLocks noChangeArrowheads="1"/>
          </xdr:cNvSpPr>
        </xdr:nvSpPr>
        <xdr:spPr bwMode="auto">
          <a:xfrm>
            <a:off x="1069499" y="1115663"/>
            <a:ext cx="914" cy="915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9" name="AutoShape 55"/>
          <xdr:cNvSpPr>
            <a:spLocks noChangeArrowheads="1"/>
          </xdr:cNvSpPr>
        </xdr:nvSpPr>
        <xdr:spPr bwMode="auto">
          <a:xfrm>
            <a:off x="1083017" y="1126756"/>
            <a:ext cx="915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8" name="AutoShape 54"/>
          <xdr:cNvSpPr>
            <a:spLocks noChangeArrowheads="1"/>
          </xdr:cNvSpPr>
        </xdr:nvSpPr>
        <xdr:spPr bwMode="auto">
          <a:xfrm>
            <a:off x="1069499" y="1089436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7" name="AutoShape 53"/>
          <xdr:cNvSpPr>
            <a:spLocks noChangeArrowheads="1"/>
          </xdr:cNvSpPr>
        </xdr:nvSpPr>
        <xdr:spPr bwMode="auto">
          <a:xfrm>
            <a:off x="1084337" y="1091491"/>
            <a:ext cx="914" cy="915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6" name="AutoShape 52"/>
          <xdr:cNvSpPr>
            <a:spLocks noChangeArrowheads="1"/>
          </xdr:cNvSpPr>
        </xdr:nvSpPr>
        <xdr:spPr bwMode="auto">
          <a:xfrm>
            <a:off x="1081368" y="1103717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5" name="AutoShape 51"/>
          <xdr:cNvSpPr>
            <a:spLocks noChangeArrowheads="1"/>
          </xdr:cNvSpPr>
        </xdr:nvSpPr>
        <xdr:spPr bwMode="auto">
          <a:xfrm>
            <a:off x="1095850" y="1110361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4" name="AutoShape 50"/>
          <xdr:cNvSpPr>
            <a:spLocks noChangeArrowheads="1"/>
          </xdr:cNvSpPr>
        </xdr:nvSpPr>
        <xdr:spPr bwMode="auto">
          <a:xfrm>
            <a:off x="1120256" y="1099376"/>
            <a:ext cx="915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3" name="AutoShape 49"/>
          <xdr:cNvSpPr>
            <a:spLocks noChangeArrowheads="1"/>
          </xdr:cNvSpPr>
        </xdr:nvSpPr>
        <xdr:spPr bwMode="auto">
          <a:xfrm>
            <a:off x="1124146" y="1107745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2" name="AutoShape 48"/>
          <xdr:cNvSpPr>
            <a:spLocks noChangeArrowheads="1"/>
          </xdr:cNvSpPr>
        </xdr:nvSpPr>
        <xdr:spPr bwMode="auto">
          <a:xfrm>
            <a:off x="1103082" y="1117918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1" name="AutoShape 47"/>
          <xdr:cNvSpPr>
            <a:spLocks noChangeArrowheads="1"/>
          </xdr:cNvSpPr>
        </xdr:nvSpPr>
        <xdr:spPr bwMode="auto">
          <a:xfrm rot="3930728">
            <a:off x="1100480" y="1111091"/>
            <a:ext cx="2576" cy="10007"/>
          </a:xfrm>
          <a:prstGeom prst="downArrow">
            <a:avLst>
              <a:gd name="adj1" fmla="val 50000"/>
              <a:gd name="adj2" fmla="val 97118"/>
            </a:avLst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 rot="-1492432">
            <a:off x="1098142" y="1119536"/>
            <a:ext cx="15269" cy="448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4475A1"/>
                </a:solidFill>
                <a:latin typeface="Calibri"/>
                <a:cs typeface="Calibri"/>
              </a:rPr>
              <a:t>Start / Finish</a:t>
            </a:r>
          </a:p>
        </xdr:txBody>
      </xdr:sp>
    </xdr:grpSp>
    <xdr:clientData/>
  </xdr:twoCellAnchor>
  <xdr:twoCellAnchor>
    <xdr:from>
      <xdr:col>11</xdr:col>
      <xdr:colOff>133349</xdr:colOff>
      <xdr:row>1</xdr:row>
      <xdr:rowOff>19050</xdr:rowOff>
    </xdr:from>
    <xdr:to>
      <xdr:col>21</xdr:col>
      <xdr:colOff>561974</xdr:colOff>
      <xdr:row>26</xdr:row>
      <xdr:rowOff>171450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174625</xdr:colOff>
      <xdr:row>46</xdr:row>
      <xdr:rowOff>41275</xdr:rowOff>
    </xdr:from>
    <xdr:to>
      <xdr:col>6</xdr:col>
      <xdr:colOff>1571625</xdr:colOff>
      <xdr:row>78</xdr:row>
      <xdr:rowOff>79375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20411</xdr:colOff>
      <xdr:row>46</xdr:row>
      <xdr:rowOff>16328</xdr:rowOff>
    </xdr:from>
    <xdr:to>
      <xdr:col>15</xdr:col>
      <xdr:colOff>326571</xdr:colOff>
      <xdr:row>78</xdr:row>
      <xdr:rowOff>40821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816427</xdr:colOff>
      <xdr:row>46</xdr:row>
      <xdr:rowOff>27214</xdr:rowOff>
    </xdr:from>
    <xdr:to>
      <xdr:col>22</xdr:col>
      <xdr:colOff>1510392</xdr:colOff>
      <xdr:row>77</xdr:row>
      <xdr:rowOff>190499</xdr:rowOff>
    </xdr:to>
    <xdr:graphicFrame macro="">
      <xdr:nvGraphicFramePr>
        <xdr:cNvPr id="12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197302</xdr:colOff>
      <xdr:row>78</xdr:row>
      <xdr:rowOff>179614</xdr:rowOff>
    </xdr:from>
    <xdr:to>
      <xdr:col>6</xdr:col>
      <xdr:colOff>1578428</xdr:colOff>
      <xdr:row>109</xdr:row>
      <xdr:rowOff>163285</xdr:rowOff>
    </xdr:to>
    <xdr:graphicFrame macro="">
      <xdr:nvGraphicFramePr>
        <xdr:cNvPr id="13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6803</xdr:colOff>
      <xdr:row>78</xdr:row>
      <xdr:rowOff>179615</xdr:rowOff>
    </xdr:from>
    <xdr:to>
      <xdr:col>15</xdr:col>
      <xdr:colOff>272143</xdr:colOff>
      <xdr:row>109</xdr:row>
      <xdr:rowOff>122464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836838</xdr:colOff>
      <xdr:row>79</xdr:row>
      <xdr:rowOff>111578</xdr:rowOff>
    </xdr:from>
    <xdr:to>
      <xdr:col>22</xdr:col>
      <xdr:colOff>1483178</xdr:colOff>
      <xdr:row>108</xdr:row>
      <xdr:rowOff>95249</xdr:rowOff>
    </xdr:to>
    <xdr:graphicFrame macro="">
      <xdr:nvGraphicFramePr>
        <xdr:cNvPr id="15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23</xdr:col>
      <xdr:colOff>102051</xdr:colOff>
      <xdr:row>46</xdr:row>
      <xdr:rowOff>25400</xdr:rowOff>
    </xdr:from>
    <xdr:to>
      <xdr:col>37</xdr:col>
      <xdr:colOff>163286</xdr:colOff>
      <xdr:row>77</xdr:row>
      <xdr:rowOff>163286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23</xdr:col>
      <xdr:colOff>20409</xdr:colOff>
      <xdr:row>79</xdr:row>
      <xdr:rowOff>125186</xdr:rowOff>
    </xdr:from>
    <xdr:to>
      <xdr:col>37</xdr:col>
      <xdr:colOff>163286</xdr:colOff>
      <xdr:row>108</xdr:row>
      <xdr:rowOff>95250</xdr:rowOff>
    </xdr:to>
    <xdr:graphicFrame macro="">
      <xdr:nvGraphicFramePr>
        <xdr:cNvPr id="17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21</xdr:col>
      <xdr:colOff>791766</xdr:colOff>
      <xdr:row>1</xdr:row>
      <xdr:rowOff>33338</xdr:rowOff>
    </xdr:from>
    <xdr:to>
      <xdr:col>27</xdr:col>
      <xdr:colOff>250031</xdr:colOff>
      <xdr:row>26</xdr:row>
      <xdr:rowOff>130970</xdr:rowOff>
    </xdr:to>
    <xdr:graphicFrame macro="">
      <xdr:nvGraphicFramePr>
        <xdr:cNvPr id="18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27</xdr:col>
      <xdr:colOff>386953</xdr:colOff>
      <xdr:row>1</xdr:row>
      <xdr:rowOff>9525</xdr:rowOff>
    </xdr:from>
    <xdr:to>
      <xdr:col>42</xdr:col>
      <xdr:colOff>583406</xdr:colOff>
      <xdr:row>26</xdr:row>
      <xdr:rowOff>130969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43"/>
  <sheetViews>
    <sheetView tabSelected="1" topLeftCell="R19" zoomScale="110" zoomScaleNormal="110" workbookViewId="0">
      <selection activeCell="W45" sqref="W45"/>
    </sheetView>
  </sheetViews>
  <sheetFormatPr defaultRowHeight="15" x14ac:dyDescent="0.25"/>
  <cols>
    <col min="1" max="1" width="25.42578125" customWidth="1"/>
    <col min="2" max="2" width="28.28515625" customWidth="1"/>
    <col min="4" max="4" width="46.5703125" customWidth="1"/>
    <col min="5" max="5" width="30.7109375" customWidth="1"/>
    <col min="6" max="6" width="7.7109375" customWidth="1"/>
    <col min="7" max="7" width="27.42578125" customWidth="1"/>
    <col min="8" max="8" width="10.85546875" customWidth="1"/>
    <col min="9" max="9" width="27.28515625" customWidth="1"/>
    <col min="10" max="10" width="25.7109375" customWidth="1"/>
    <col min="11" max="11" width="20.140625" customWidth="1"/>
    <col min="12" max="12" width="14.7109375" customWidth="1"/>
    <col min="13" max="13" width="24.42578125" customWidth="1"/>
    <col min="14" max="14" width="14.42578125" customWidth="1"/>
    <col min="15" max="15" width="21.42578125" customWidth="1"/>
    <col min="16" max="16" width="16.7109375" customWidth="1"/>
    <col min="17" max="17" width="23.28515625" customWidth="1"/>
    <col min="18" max="18" width="18.42578125" customWidth="1"/>
    <col min="19" max="19" width="22.140625" customWidth="1"/>
    <col min="20" max="20" width="25.5703125" customWidth="1"/>
    <col min="21" max="21" width="29.42578125" customWidth="1"/>
    <col min="22" max="22" width="27.42578125" customWidth="1"/>
    <col min="23" max="23" width="23" customWidth="1"/>
    <col min="24" max="24" width="37.85546875" customWidth="1"/>
    <col min="25" max="25" width="34.7109375" customWidth="1"/>
  </cols>
  <sheetData>
    <row r="2" spans="1:2" x14ac:dyDescent="0.25">
      <c r="A2" s="2" t="s">
        <v>0</v>
      </c>
      <c r="B2" s="2" t="s">
        <v>1</v>
      </c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 t="s">
        <v>2</v>
      </c>
      <c r="B13" s="1" t="s">
        <v>3</v>
      </c>
    </row>
    <row r="14" spans="1:2" x14ac:dyDescent="0.25">
      <c r="A14" s="1" t="s">
        <v>9</v>
      </c>
      <c r="B14" s="1">
        <v>150</v>
      </c>
    </row>
    <row r="15" spans="1:2" x14ac:dyDescent="0.25">
      <c r="A15" s="1" t="s">
        <v>25</v>
      </c>
      <c r="B15" s="1">
        <v>174</v>
      </c>
    </row>
    <row r="16" spans="1:2" x14ac:dyDescent="0.25">
      <c r="A16" s="1" t="s">
        <v>24</v>
      </c>
      <c r="B16" s="1">
        <v>4</v>
      </c>
    </row>
    <row r="17" spans="1:25" x14ac:dyDescent="0.25">
      <c r="A17" s="1" t="s">
        <v>12</v>
      </c>
      <c r="B17" s="1">
        <v>130</v>
      </c>
    </row>
    <row r="18" spans="1:25" x14ac:dyDescent="0.25">
      <c r="A18" s="1" t="s">
        <v>15</v>
      </c>
      <c r="B18" s="1">
        <v>3000</v>
      </c>
    </row>
    <row r="19" spans="1:25" x14ac:dyDescent="0.25">
      <c r="A19" s="1" t="s">
        <v>14</v>
      </c>
      <c r="B19" s="1">
        <v>1600</v>
      </c>
    </row>
    <row r="20" spans="1:25" x14ac:dyDescent="0.25">
      <c r="A20" s="1" t="s">
        <v>13</v>
      </c>
      <c r="B20" s="1">
        <v>1500</v>
      </c>
    </row>
    <row r="21" spans="1:25" x14ac:dyDescent="0.25">
      <c r="A21" s="1" t="s">
        <v>23</v>
      </c>
      <c r="B21" s="1">
        <v>500</v>
      </c>
    </row>
    <row r="22" spans="1:25" x14ac:dyDescent="0.25">
      <c r="A22" s="1" t="s">
        <v>5</v>
      </c>
      <c r="B22" s="3" t="s">
        <v>6</v>
      </c>
    </row>
    <row r="23" spans="1:25" x14ac:dyDescent="0.25">
      <c r="A23" s="1" t="s">
        <v>16</v>
      </c>
      <c r="B23" s="1">
        <v>290</v>
      </c>
    </row>
    <row r="24" spans="1:25" x14ac:dyDescent="0.25">
      <c r="A24" s="1" t="s">
        <v>21</v>
      </c>
      <c r="B24" s="1">
        <v>2230</v>
      </c>
    </row>
    <row r="25" spans="1:25" x14ac:dyDescent="0.25">
      <c r="A25" s="1" t="s">
        <v>20</v>
      </c>
      <c r="B25" s="1">
        <v>0.3</v>
      </c>
    </row>
    <row r="26" spans="1:25" x14ac:dyDescent="0.25">
      <c r="A26" s="1" t="s">
        <v>22</v>
      </c>
      <c r="B26" s="1">
        <v>0.17</v>
      </c>
    </row>
    <row r="27" spans="1:25" x14ac:dyDescent="0.25">
      <c r="A27" s="1"/>
      <c r="B27" s="1" t="s">
        <v>7</v>
      </c>
    </row>
    <row r="28" spans="1:25" x14ac:dyDescent="0.25">
      <c r="A28" s="7"/>
    </row>
    <row r="29" spans="1:25" ht="17.25" x14ac:dyDescent="0.25">
      <c r="A29" s="7"/>
      <c r="D29" s="2" t="s">
        <v>30</v>
      </c>
      <c r="E29" s="2"/>
      <c r="G29" s="2" t="s">
        <v>45</v>
      </c>
      <c r="H29" s="2" t="s">
        <v>44</v>
      </c>
      <c r="I29" s="2" t="s">
        <v>34</v>
      </c>
      <c r="J29" s="2" t="s">
        <v>35</v>
      </c>
      <c r="K29" s="2" t="s">
        <v>39</v>
      </c>
      <c r="L29" s="2" t="s">
        <v>58</v>
      </c>
      <c r="M29" s="2" t="s">
        <v>59</v>
      </c>
      <c r="N29" s="2" t="s">
        <v>36</v>
      </c>
      <c r="O29" s="2" t="s">
        <v>10</v>
      </c>
      <c r="P29" s="2" t="s">
        <v>37</v>
      </c>
      <c r="Q29" s="2" t="s">
        <v>38</v>
      </c>
      <c r="R29" s="2" t="s">
        <v>40</v>
      </c>
      <c r="S29" s="2" t="s">
        <v>41</v>
      </c>
      <c r="T29" s="2" t="s">
        <v>42</v>
      </c>
      <c r="U29" s="2" t="s">
        <v>43</v>
      </c>
      <c r="V29" s="2" t="s">
        <v>60</v>
      </c>
      <c r="W29" s="2" t="s">
        <v>66</v>
      </c>
      <c r="X29" s="2" t="s">
        <v>67</v>
      </c>
      <c r="Y29" s="2" t="s">
        <v>68</v>
      </c>
    </row>
    <row r="30" spans="1:25" ht="17.25" x14ac:dyDescent="0.25">
      <c r="A30" s="7"/>
      <c r="D30" s="1" t="s">
        <v>10</v>
      </c>
      <c r="E30" s="1">
        <f>(60/2.237)/4</f>
        <v>6.7054090299508271</v>
      </c>
      <c r="G30" s="1" t="s">
        <v>46</v>
      </c>
      <c r="H30" s="1"/>
      <c r="I30" s="1">
        <v>5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f>$E$38*$B$21*($E$36)</f>
        <v>98</v>
      </c>
      <c r="S30" s="1">
        <v>0</v>
      </c>
      <c r="T30" s="1">
        <f>$B$21*$E$38*-SIN(K30)</f>
        <v>0</v>
      </c>
      <c r="U30" s="1">
        <f>R30+S30+T30</f>
        <v>98</v>
      </c>
      <c r="V30" s="1">
        <f>U30*N30</f>
        <v>0</v>
      </c>
      <c r="W30" s="1">
        <f>B14*745.7</f>
        <v>111855</v>
      </c>
      <c r="X30" s="1">
        <v>0</v>
      </c>
      <c r="Y30" s="1">
        <v>0</v>
      </c>
    </row>
    <row r="31" spans="1:25" x14ac:dyDescent="0.25">
      <c r="A31" s="7"/>
      <c r="D31" s="1" t="s">
        <v>8</v>
      </c>
      <c r="E31" s="1">
        <f>B14/1.341</f>
        <v>111.85682326621924</v>
      </c>
      <c r="G31" s="1" t="s">
        <v>47</v>
      </c>
      <c r="H31" s="1" t="s">
        <v>31</v>
      </c>
      <c r="I31" s="1">
        <v>0</v>
      </c>
      <c r="J31" s="1">
        <v>-5</v>
      </c>
      <c r="K31" s="1">
        <f>DEGREES(ASIN(J31/L31))</f>
        <v>-1.2349184454149784</v>
      </c>
      <c r="L31" s="1">
        <v>232</v>
      </c>
      <c r="M31" s="1">
        <f>L30+L31</f>
        <v>232</v>
      </c>
      <c r="N31" s="1">
        <f>L31/P31</f>
        <v>15.466666666666667</v>
      </c>
      <c r="O31" s="1">
        <f>(N31-N30)/P31</f>
        <v>1.0311111111111111</v>
      </c>
      <c r="P31" s="1">
        <v>15</v>
      </c>
      <c r="Q31" s="1">
        <f>P31+Q30</f>
        <v>15</v>
      </c>
      <c r="R31" s="1">
        <f>$E$38*$B$21*($E$36)</f>
        <v>98</v>
      </c>
      <c r="S31" s="1">
        <f>0.5*$E$33*$E$34*$E$41*(N31*N31)</f>
        <v>97.256379733333318</v>
      </c>
      <c r="T31" s="1">
        <f>-($B$21*$E$38*-SIN(K31))</f>
        <v>-4626.1944945588266</v>
      </c>
      <c r="U31" s="2">
        <f t="shared" ref="U31:U42" si="0">R31+S31+T31</f>
        <v>-4430.9381148254934</v>
      </c>
      <c r="V31" s="2">
        <f>U31*N31</f>
        <v>-68531.842842634302</v>
      </c>
      <c r="W31" s="2">
        <f>$W$30-V31</f>
        <v>180386.8428426343</v>
      </c>
      <c r="X31" s="2">
        <f>V31/P31</f>
        <v>-4568.7895228422867</v>
      </c>
      <c r="Y31" s="1">
        <f>-($W$30-W31)</f>
        <v>68531.842842634302</v>
      </c>
    </row>
    <row r="32" spans="1:25" x14ac:dyDescent="0.25">
      <c r="D32" s="1" t="s">
        <v>11</v>
      </c>
      <c r="E32" s="1">
        <f>B17/2.237</f>
        <v>58.1135449262405</v>
      </c>
      <c r="G32" s="1" t="s">
        <v>48</v>
      </c>
      <c r="H32" s="1" t="s">
        <v>32</v>
      </c>
      <c r="I32" s="1">
        <v>5</v>
      </c>
      <c r="J32" s="1">
        <v>5</v>
      </c>
      <c r="K32" s="1">
        <f t="shared" ref="K32:K42" si="1">DEGREES(ASIN(J32/L32))</f>
        <v>1.6755540046728705</v>
      </c>
      <c r="L32" s="1">
        <v>171</v>
      </c>
      <c r="M32" s="1">
        <f>L32+M31</f>
        <v>403</v>
      </c>
      <c r="N32" s="1">
        <f>L32/P32</f>
        <v>21.375</v>
      </c>
      <c r="O32" s="1">
        <f>(N32-N31)/P32</f>
        <v>0.73854166666666665</v>
      </c>
      <c r="P32" s="1">
        <v>8</v>
      </c>
      <c r="Q32" s="1">
        <f t="shared" ref="Q32:Q42" si="2">P32+Q31</f>
        <v>23</v>
      </c>
      <c r="R32" s="1">
        <f>$E$38*$B$21*($E$36)</f>
        <v>98</v>
      </c>
      <c r="S32" s="1">
        <f>0.5*$E$33*$E$34*$E$41*(N32*N32)</f>
        <v>185.75345249999998</v>
      </c>
      <c r="T32" s="1">
        <f>-($B$21*$E$38*-SIN(K32))</f>
        <v>4873.1378601629312</v>
      </c>
      <c r="U32" s="1">
        <f t="shared" si="0"/>
        <v>5156.8913126629313</v>
      </c>
      <c r="V32" s="1">
        <f>U32*N32</f>
        <v>110228.55180817016</v>
      </c>
      <c r="W32" s="1">
        <f>$W$30-V32</f>
        <v>1626.4481918298407</v>
      </c>
      <c r="X32" s="1">
        <f t="shared" ref="X32:X42" si="3">V32/P32</f>
        <v>13778.56897602127</v>
      </c>
      <c r="Y32" s="1">
        <f>($W$30-W32)</f>
        <v>110228.55180817016</v>
      </c>
    </row>
    <row r="33" spans="4:25" ht="17.25" x14ac:dyDescent="0.25">
      <c r="D33" s="1" t="s">
        <v>18</v>
      </c>
      <c r="E33" s="4">
        <f>((B20-B23)*B19)/1000000</f>
        <v>1.9359999999999999</v>
      </c>
      <c r="G33" s="1" t="s">
        <v>55</v>
      </c>
      <c r="H33" s="1" t="s">
        <v>32</v>
      </c>
      <c r="I33" s="1">
        <v>8</v>
      </c>
      <c r="J33" s="1">
        <v>3</v>
      </c>
      <c r="K33" s="1">
        <f t="shared" si="1"/>
        <v>1.4207020960093164</v>
      </c>
      <c r="L33" s="1">
        <v>121</v>
      </c>
      <c r="M33" s="1">
        <f t="shared" ref="M33:M42" si="4">L33+M32</f>
        <v>524</v>
      </c>
      <c r="N33" s="1">
        <f>L33/P33</f>
        <v>20.166666666666668</v>
      </c>
      <c r="O33" s="1">
        <f>(N33-N32)/P33</f>
        <v>-0.2013888888888887</v>
      </c>
      <c r="P33" s="1">
        <v>6</v>
      </c>
      <c r="Q33" s="1">
        <f t="shared" si="2"/>
        <v>29</v>
      </c>
      <c r="R33" s="1">
        <f>$E$38*$B$21*($E$37)</f>
        <v>73.5</v>
      </c>
      <c r="S33" s="1">
        <f>0.5*$E$33*$E$34*$E$41*(N33*N33)</f>
        <v>165.34569333333334</v>
      </c>
      <c r="T33" s="1">
        <f>-($B$21*$E$38*-SIN(K33))</f>
        <v>4844.9092601805287</v>
      </c>
      <c r="U33" s="1">
        <f t="shared" si="0"/>
        <v>5083.7549535138623</v>
      </c>
      <c r="V33" s="1">
        <f>U33*N33</f>
        <v>102522.39156252956</v>
      </c>
      <c r="W33" s="1">
        <f>$W$30-V33</f>
        <v>9332.6084374704369</v>
      </c>
      <c r="X33" s="1">
        <f t="shared" si="3"/>
        <v>17087.065260421594</v>
      </c>
      <c r="Y33" s="1">
        <f t="shared" ref="Y33:Y42" si="5">($W$30-W33)</f>
        <v>102522.39156252956</v>
      </c>
    </row>
    <row r="34" spans="4:25" x14ac:dyDescent="0.25">
      <c r="D34" s="1" t="s">
        <v>17</v>
      </c>
      <c r="E34" s="1">
        <v>0.35</v>
      </c>
      <c r="G34" s="1" t="s">
        <v>56</v>
      </c>
      <c r="H34" s="1" t="s">
        <v>32</v>
      </c>
      <c r="I34" s="1">
        <v>22</v>
      </c>
      <c r="J34" s="1">
        <v>14</v>
      </c>
      <c r="K34" s="1">
        <f t="shared" si="1"/>
        <v>14.477512185929925</v>
      </c>
      <c r="L34" s="1">
        <v>56</v>
      </c>
      <c r="M34" s="1">
        <f t="shared" si="4"/>
        <v>580</v>
      </c>
      <c r="N34" s="1">
        <f>L34/P34</f>
        <v>18.666666666666668</v>
      </c>
      <c r="O34" s="1">
        <f>(N34-N33)/P34</f>
        <v>-0.5</v>
      </c>
      <c r="P34" s="1">
        <v>3</v>
      </c>
      <c r="Q34" s="1">
        <f t="shared" si="2"/>
        <v>32</v>
      </c>
      <c r="R34" s="1">
        <f t="shared" ref="R34" si="6">$E$38*$B$21*($E$37)</f>
        <v>73.5</v>
      </c>
      <c r="S34" s="1">
        <f t="shared" ref="S34" si="7">0.5*$E$33*$E$34*$E$41*(N34*N34)</f>
        <v>141.66357333333335</v>
      </c>
      <c r="T34" s="1">
        <f t="shared" ref="T34" si="8">-($B$21*$E$38*-SIN(K34))</f>
        <v>4618.9334258777499</v>
      </c>
      <c r="U34" s="1">
        <f t="shared" si="0"/>
        <v>4834.0969992110831</v>
      </c>
      <c r="V34" s="1">
        <f>U34*N34</f>
        <v>90236.477318606892</v>
      </c>
      <c r="W34" s="1">
        <f>$W$30-V34</f>
        <v>21618.522681393108</v>
      </c>
      <c r="X34" s="1">
        <f t="shared" si="3"/>
        <v>30078.825772868964</v>
      </c>
      <c r="Y34" s="1">
        <f t="shared" si="5"/>
        <v>90236.477318606892</v>
      </c>
    </row>
    <row r="35" spans="4:25" x14ac:dyDescent="0.25">
      <c r="D35" s="1" t="s">
        <v>19</v>
      </c>
      <c r="E35" s="1">
        <f>((B25/2)+B26)*2*3.14159265359</f>
        <v>2.0106192982976001</v>
      </c>
      <c r="G35" s="1" t="s">
        <v>57</v>
      </c>
      <c r="H35" s="1" t="s">
        <v>33</v>
      </c>
      <c r="I35" s="1">
        <v>22</v>
      </c>
      <c r="J35" s="1">
        <v>0</v>
      </c>
      <c r="K35" s="1">
        <f t="shared" si="1"/>
        <v>0</v>
      </c>
      <c r="L35" s="1">
        <v>111</v>
      </c>
      <c r="M35" s="1">
        <f>L35+M34</f>
        <v>691</v>
      </c>
      <c r="N35" s="1">
        <f>L35/P35</f>
        <v>13.875</v>
      </c>
      <c r="O35" s="1">
        <f>(N35-N34)/P35</f>
        <v>-0.59895833333333348</v>
      </c>
      <c r="P35" s="1">
        <v>8</v>
      </c>
      <c r="Q35" s="1">
        <f>P35+Q34</f>
        <v>40</v>
      </c>
      <c r="R35" s="1">
        <f>$E$38*$B$21*($E$37)</f>
        <v>73.5</v>
      </c>
      <c r="S35" s="1">
        <f>0.5*$E$33*$E$34*$E$41*(N35*N35)</f>
        <v>78.26915249999999</v>
      </c>
      <c r="T35" s="1">
        <f>-($B$21*$E$38*-SIN(K35))</f>
        <v>0</v>
      </c>
      <c r="U35" s="1">
        <f t="shared" si="0"/>
        <v>151.76915249999999</v>
      </c>
      <c r="V35" s="1">
        <f>U35*N35</f>
        <v>2105.7969909374997</v>
      </c>
      <c r="W35" s="1">
        <f>$W$30-V35</f>
        <v>109749.2030090625</v>
      </c>
      <c r="X35" s="1">
        <f t="shared" si="3"/>
        <v>263.22462386718746</v>
      </c>
      <c r="Y35" s="1">
        <f t="shared" si="5"/>
        <v>2105.7969909374951</v>
      </c>
    </row>
    <row r="36" spans="4:25" x14ac:dyDescent="0.25">
      <c r="D36" s="1" t="s">
        <v>27</v>
      </c>
      <c r="E36" s="1">
        <v>0.02</v>
      </c>
      <c r="G36" s="1" t="s">
        <v>49</v>
      </c>
      <c r="H36" s="1" t="s">
        <v>33</v>
      </c>
      <c r="I36" s="1">
        <v>22</v>
      </c>
      <c r="J36" s="1">
        <v>0</v>
      </c>
      <c r="K36" s="1">
        <f t="shared" si="1"/>
        <v>0</v>
      </c>
      <c r="L36" s="1">
        <v>156</v>
      </c>
      <c r="M36" s="1">
        <f t="shared" si="4"/>
        <v>847</v>
      </c>
      <c r="N36" s="1">
        <f>L36/P36</f>
        <v>39</v>
      </c>
      <c r="O36" s="1">
        <f>(N36-N35)/P36</f>
        <v>6.28125</v>
      </c>
      <c r="P36" s="1">
        <v>4</v>
      </c>
      <c r="Q36" s="1">
        <f t="shared" si="2"/>
        <v>44</v>
      </c>
      <c r="R36" s="1">
        <f>$E$38*$B$21*($E$36)</f>
        <v>98</v>
      </c>
      <c r="S36" s="1">
        <f>0.5*$E$33*$E$34*$E$41*(N36*N36)</f>
        <v>618.37775999999997</v>
      </c>
      <c r="T36" s="1">
        <f>-($B$21*$E$38*-SIN(K36))</f>
        <v>0</v>
      </c>
      <c r="U36" s="1">
        <f t="shared" si="0"/>
        <v>716.37775999999997</v>
      </c>
      <c r="V36" s="1">
        <f>U36*N36</f>
        <v>27938.732639999998</v>
      </c>
      <c r="W36" s="1">
        <f>$W$30-V36</f>
        <v>83916.267359999998</v>
      </c>
      <c r="X36" s="1">
        <f t="shared" si="3"/>
        <v>6984.6831599999996</v>
      </c>
      <c r="Y36" s="1">
        <f t="shared" si="5"/>
        <v>27938.732640000002</v>
      </c>
    </row>
    <row r="37" spans="4:25" x14ac:dyDescent="0.25">
      <c r="D37" s="1" t="s">
        <v>28</v>
      </c>
      <c r="E37" s="1">
        <v>1.4999999999999999E-2</v>
      </c>
      <c r="G37" s="1" t="s">
        <v>50</v>
      </c>
      <c r="H37" s="1" t="s">
        <v>31</v>
      </c>
      <c r="I37" s="1">
        <v>15</v>
      </c>
      <c r="J37" s="1">
        <v>-7</v>
      </c>
      <c r="K37" s="1">
        <f t="shared" si="1"/>
        <v>-3.2892692265783201</v>
      </c>
      <c r="L37" s="1">
        <v>122</v>
      </c>
      <c r="M37" s="1">
        <f t="shared" si="4"/>
        <v>969</v>
      </c>
      <c r="N37" s="1">
        <f>L37/P37</f>
        <v>18.76923076923077</v>
      </c>
      <c r="O37" s="1">
        <f>(N37-N36)/P37</f>
        <v>-3.1124260355029585</v>
      </c>
      <c r="P37" s="1">
        <v>6.5</v>
      </c>
      <c r="Q37" s="1">
        <f t="shared" si="2"/>
        <v>50.5</v>
      </c>
      <c r="R37" s="1">
        <f>$E$38*$B$21*($E$36)</f>
        <v>98</v>
      </c>
      <c r="S37" s="1">
        <f>0.5*$E$33*$E$34*$E$41*(N37*N37)</f>
        <v>143.2245926627219</v>
      </c>
      <c r="T37" s="1">
        <f>-($B$21*$E$38*-SIN(K37))</f>
        <v>720.98792939060877</v>
      </c>
      <c r="U37" s="6">
        <f t="shared" si="0"/>
        <v>962.21252205333064</v>
      </c>
      <c r="V37" s="6">
        <f>U37*N37</f>
        <v>18059.988875462514</v>
      </c>
      <c r="W37" s="2">
        <f>$W$30-V37</f>
        <v>93795.011124537486</v>
      </c>
      <c r="X37" s="2">
        <f t="shared" si="3"/>
        <v>2778.459826994233</v>
      </c>
      <c r="Y37" s="1">
        <f t="shared" si="5"/>
        <v>18059.988875462514</v>
      </c>
    </row>
    <row r="38" spans="4:25" ht="17.25" x14ac:dyDescent="0.25">
      <c r="D38" s="1" t="s">
        <v>26</v>
      </c>
      <c r="E38" s="1">
        <v>9.8000000000000007</v>
      </c>
      <c r="G38" s="1" t="s">
        <v>49</v>
      </c>
      <c r="H38" s="1" t="s">
        <v>31</v>
      </c>
      <c r="I38" s="1">
        <v>10</v>
      </c>
      <c r="J38" s="1">
        <v>-5</v>
      </c>
      <c r="K38" s="1">
        <f t="shared" si="1"/>
        <v>-1.8020511595365531</v>
      </c>
      <c r="L38" s="1">
        <v>159</v>
      </c>
      <c r="M38" s="1">
        <f t="shared" si="4"/>
        <v>1128</v>
      </c>
      <c r="N38" s="1">
        <f>L38/P38</f>
        <v>21.2</v>
      </c>
      <c r="O38" s="1">
        <f>(N38-N37)/P38</f>
        <v>0.32410256410256388</v>
      </c>
      <c r="P38" s="1">
        <v>7.5</v>
      </c>
      <c r="Q38" s="1">
        <f t="shared" si="2"/>
        <v>58</v>
      </c>
      <c r="R38" s="1">
        <f>$E$38*$B$21*($E$36)</f>
        <v>98</v>
      </c>
      <c r="S38" s="1">
        <f>0.5*$E$33*$E$34*$E$41*(N38*N38)</f>
        <v>182.7243264</v>
      </c>
      <c r="T38" s="1">
        <f>-($B$21*$E$38*-SIN(K38))</f>
        <v>-4769.5598187628848</v>
      </c>
      <c r="U38" s="6">
        <f t="shared" si="0"/>
        <v>-4488.8354923628849</v>
      </c>
      <c r="V38" s="6">
        <f>U38*N38</f>
        <v>-95163.312438093155</v>
      </c>
      <c r="W38" s="2">
        <f>$W$30-V38</f>
        <v>207018.31243809315</v>
      </c>
      <c r="X38" s="2">
        <f t="shared" si="3"/>
        <v>-12688.441658412421</v>
      </c>
      <c r="Y38" s="1">
        <f>-($W$30-W38)</f>
        <v>95163.312438093155</v>
      </c>
    </row>
    <row r="39" spans="4:25" x14ac:dyDescent="0.25">
      <c r="D39" s="1"/>
      <c r="E39" s="1" t="s">
        <v>29</v>
      </c>
      <c r="G39" s="1" t="s">
        <v>51</v>
      </c>
      <c r="H39" s="1" t="s">
        <v>31</v>
      </c>
      <c r="I39" s="1">
        <v>5</v>
      </c>
      <c r="J39" s="1">
        <v>-5</v>
      </c>
      <c r="K39" s="1">
        <f t="shared" si="1"/>
        <v>-3.5390264590044835</v>
      </c>
      <c r="L39" s="1">
        <v>81</v>
      </c>
      <c r="M39" s="1">
        <f t="shared" si="4"/>
        <v>1209</v>
      </c>
      <c r="N39" s="1">
        <f>L39/P39</f>
        <v>16.2</v>
      </c>
      <c r="O39" s="1">
        <f>(N39-N38)/P39</f>
        <v>-1</v>
      </c>
      <c r="P39" s="1">
        <v>5</v>
      </c>
      <c r="Q39" s="1">
        <f t="shared" si="2"/>
        <v>63</v>
      </c>
      <c r="R39" s="1">
        <f>$E$38*$B$21*($E$36)</f>
        <v>98</v>
      </c>
      <c r="S39" s="1">
        <f>0.5*$E$33*$E$34*$E$41*(N39*N39)</f>
        <v>106.6976064</v>
      </c>
      <c r="T39" s="1">
        <f>-($B$21*$E$38*-SIN(K39))</f>
        <v>1896.5618606014532</v>
      </c>
      <c r="U39" s="6">
        <f t="shared" si="0"/>
        <v>2101.2594670014532</v>
      </c>
      <c r="V39" s="6">
        <f>U39*N39</f>
        <v>34040.403365423539</v>
      </c>
      <c r="W39" s="2">
        <f>$W$30-V39</f>
        <v>77814.596634576461</v>
      </c>
      <c r="X39" s="2">
        <f t="shared" si="3"/>
        <v>6808.080673084708</v>
      </c>
      <c r="Y39" s="1">
        <f t="shared" si="5"/>
        <v>34040.403365423539</v>
      </c>
    </row>
    <row r="40" spans="4:25" x14ac:dyDescent="0.25">
      <c r="D40" s="2" t="s">
        <v>62</v>
      </c>
      <c r="E40" s="2"/>
      <c r="G40" s="1" t="s">
        <v>49</v>
      </c>
      <c r="H40" s="1" t="s">
        <v>33</v>
      </c>
      <c r="I40" s="1">
        <v>5</v>
      </c>
      <c r="J40" s="1">
        <v>0</v>
      </c>
      <c r="K40" s="1">
        <f t="shared" si="1"/>
        <v>0</v>
      </c>
      <c r="L40" s="1">
        <v>388</v>
      </c>
      <c r="M40" s="1">
        <f t="shared" si="4"/>
        <v>1597</v>
      </c>
      <c r="N40" s="1">
        <f>L40/P40</f>
        <v>48.5</v>
      </c>
      <c r="O40" s="1">
        <f>(N40-N39)/P40</f>
        <v>4.0374999999999996</v>
      </c>
      <c r="P40" s="1">
        <v>8</v>
      </c>
      <c r="Q40" s="1">
        <f t="shared" si="2"/>
        <v>71</v>
      </c>
      <c r="R40" s="1">
        <f>$E$38*$B$21*($E$36)</f>
        <v>98</v>
      </c>
      <c r="S40" s="1">
        <f>0.5*$E$33*$E$34*$E$41*(N40*N40)</f>
        <v>956.33075999999994</v>
      </c>
      <c r="T40" s="1">
        <f>-($B$21*$E$38*-SIN(K40))</f>
        <v>0</v>
      </c>
      <c r="U40" s="1">
        <f t="shared" si="0"/>
        <v>1054.3307599999998</v>
      </c>
      <c r="V40" s="1">
        <f>U40*N40</f>
        <v>51135.04185999999</v>
      </c>
      <c r="W40" s="1">
        <f>$W$30-V40</f>
        <v>60719.95814000001</v>
      </c>
      <c r="X40" s="1">
        <f t="shared" si="3"/>
        <v>6391.8802324999988</v>
      </c>
      <c r="Y40" s="1">
        <f t="shared" si="5"/>
        <v>51135.04185999999</v>
      </c>
    </row>
    <row r="41" spans="4:25" x14ac:dyDescent="0.25">
      <c r="D41" s="1" t="s">
        <v>63</v>
      </c>
      <c r="E41" s="1">
        <v>1.2</v>
      </c>
      <c r="G41" s="1" t="s">
        <v>52</v>
      </c>
      <c r="H41" s="1" t="s">
        <v>33</v>
      </c>
      <c r="I41" s="1">
        <v>5</v>
      </c>
      <c r="J41" s="1">
        <v>0</v>
      </c>
      <c r="K41" s="1">
        <f t="shared" si="1"/>
        <v>0</v>
      </c>
      <c r="L41" s="1">
        <v>81</v>
      </c>
      <c r="M41" s="1">
        <f t="shared" si="4"/>
        <v>1678</v>
      </c>
      <c r="N41" s="1">
        <f>L41/P41</f>
        <v>54</v>
      </c>
      <c r="O41" s="1">
        <f>(N41-N40)/P41</f>
        <v>3.6666666666666665</v>
      </c>
      <c r="P41" s="1">
        <v>1.5</v>
      </c>
      <c r="Q41" s="1">
        <f t="shared" si="2"/>
        <v>72.5</v>
      </c>
      <c r="R41" s="1">
        <f>$E$38*$B$21*($E$36)</f>
        <v>98</v>
      </c>
      <c r="S41" s="1">
        <f>0.5*$E$33*$E$34*$E$41*(N41*N41)</f>
        <v>1185.5289599999999</v>
      </c>
      <c r="T41" s="1">
        <f>-($B$21*$E$38*-SIN(K41))</f>
        <v>0</v>
      </c>
      <c r="U41" s="1">
        <f t="shared" si="0"/>
        <v>1283.5289599999999</v>
      </c>
      <c r="V41" s="1">
        <f>U41*N41</f>
        <v>69310.563839999988</v>
      </c>
      <c r="W41" s="1">
        <f>$W$30-V41</f>
        <v>42544.436160000012</v>
      </c>
      <c r="X41" s="1">
        <f t="shared" si="3"/>
        <v>46207.042559999994</v>
      </c>
      <c r="Y41" s="1">
        <f t="shared" si="5"/>
        <v>69310.563839999988</v>
      </c>
    </row>
    <row r="42" spans="4:25" x14ac:dyDescent="0.25">
      <c r="D42" s="1" t="s">
        <v>4</v>
      </c>
      <c r="E42" s="3" t="s">
        <v>64</v>
      </c>
      <c r="G42" s="1" t="s">
        <v>53</v>
      </c>
      <c r="H42" s="1" t="s">
        <v>33</v>
      </c>
      <c r="I42" s="1">
        <v>5</v>
      </c>
      <c r="J42" s="1">
        <v>0</v>
      </c>
      <c r="K42" s="1">
        <f t="shared" si="1"/>
        <v>0</v>
      </c>
      <c r="L42" s="1">
        <v>253</v>
      </c>
      <c r="M42" s="1">
        <f t="shared" si="4"/>
        <v>1931</v>
      </c>
      <c r="N42" s="1">
        <f>L42/P42</f>
        <v>63.25</v>
      </c>
      <c r="O42" s="1">
        <f>(N42-N41)/P42</f>
        <v>2.3125</v>
      </c>
      <c r="P42" s="1">
        <v>4</v>
      </c>
      <c r="Q42" s="1">
        <f t="shared" si="2"/>
        <v>76.5</v>
      </c>
      <c r="R42" s="1">
        <f>$E$38*$B$21*($E$36)</f>
        <v>98</v>
      </c>
      <c r="S42" s="1">
        <f>0.5*$E$33*$E$34*$E$41*(N42*N42)</f>
        <v>1626.4686899999999</v>
      </c>
      <c r="T42" s="1">
        <f>-($B$21*$E$38*-SIN(K42))</f>
        <v>0</v>
      </c>
      <c r="U42" s="1">
        <f t="shared" si="0"/>
        <v>1724.4686899999999</v>
      </c>
      <c r="V42" s="1">
        <f>U42*N42</f>
        <v>109072.64464249999</v>
      </c>
      <c r="W42" s="1">
        <f>$W$30-V42</f>
        <v>2782.3553575000115</v>
      </c>
      <c r="X42" s="1">
        <f t="shared" si="3"/>
        <v>27268.161160624997</v>
      </c>
      <c r="Y42" s="1">
        <f t="shared" si="5"/>
        <v>109072.64464249999</v>
      </c>
    </row>
    <row r="43" spans="4:25" x14ac:dyDescent="0.25">
      <c r="D43" s="1" t="s">
        <v>65</v>
      </c>
      <c r="E43" s="1">
        <v>22</v>
      </c>
      <c r="G43" s="1" t="s">
        <v>54</v>
      </c>
      <c r="H43" s="1"/>
      <c r="I43" s="1"/>
      <c r="J43" s="1"/>
      <c r="K43" s="1"/>
      <c r="L43" s="1"/>
      <c r="M43" s="1"/>
      <c r="N43" s="1"/>
      <c r="O43" s="5" t="s">
        <v>61</v>
      </c>
      <c r="P43" s="1">
        <f>P30+P31+P32+P33+P34+P35+P36+P37+P38+P39+P40+P41+P42</f>
        <v>76.5</v>
      </c>
      <c r="Q43" s="1"/>
      <c r="R43" s="1"/>
      <c r="S43" s="1"/>
      <c r="T43" s="1"/>
      <c r="U43" s="5" t="s">
        <v>61</v>
      </c>
      <c r="V43" s="1">
        <f>V31+V32+V33+V34+V35+V36+V37+V38+V39+V41+V40+V42</f>
        <v>450955.43762290257</v>
      </c>
      <c r="W43" s="1"/>
      <c r="X43" s="1"/>
      <c r="Y4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Toby Marshall (1702695)</dc:creator>
  <cp:lastModifiedBy>Toby Marshall (1702695)</cp:lastModifiedBy>
  <dcterms:created xsi:type="dcterms:W3CDTF">2019-12-07T19:12:42Z</dcterms:created>
  <dcterms:modified xsi:type="dcterms:W3CDTF">2019-12-09T03:50:18Z</dcterms:modified>
</cp:coreProperties>
</file>