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5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eilsandilands/Documents/Motorcycle Engineering L4 S1/Motorcycle Technology/Assignment 1/"/>
    </mc:Choice>
  </mc:AlternateContent>
  <xr:revisionPtr revIDLastSave="0" documentId="8_{4BF092D4-E2C5-8B46-9F77-136FD7D63715}" xr6:coauthVersionLast="47" xr6:coauthVersionMax="47" xr10:uidLastSave="{00000000-0000-0000-0000-000000000000}"/>
  <bookViews>
    <workbookView xWindow="0" yWindow="760" windowWidth="30240" windowHeight="18880" xr2:uid="{C4080349-A507-8A43-84E4-CE63F0AF54B7}"/>
  </bookViews>
  <sheets>
    <sheet name="Menu" sheetId="5" r:id="rId1"/>
    <sheet name="Ducati Panigale" sheetId="2" r:id="rId2"/>
    <sheet name="Ducati Panigale data" sheetId="16" r:id="rId3"/>
    <sheet name="KTM 350 EXC-f" sheetId="12" r:id="rId4"/>
    <sheet name="KTM 350 EXC-f data" sheetId="15" r:id="rId5"/>
    <sheet name="Resistance to Motion Calc" sheetId="18" r:id="rId6"/>
    <sheet name="Calculations" sheetId="9" r:id="rId7"/>
    <sheet name="Risk Assessment" sheetId="6" r:id="rId8"/>
  </sheets>
  <definedNames>
    <definedName name="_xlchart.v1.10" hidden="1">'Ducati Panigale data'!$X$2</definedName>
    <definedName name="_xlchart.v1.11" hidden="1">'Ducati Panigale data'!$X$3:$X$24</definedName>
    <definedName name="_xlchart.v1.6" hidden="1">'Ducati Panigale data'!$V$2</definedName>
    <definedName name="_xlchart.v1.7" hidden="1">'Ducati Panigale data'!$V$3:$V$24</definedName>
    <definedName name="_xlchart.v1.8" hidden="1">'Ducati Panigale data'!$W$2</definedName>
    <definedName name="_xlchart.v1.9" hidden="1">'Ducati Panigale data'!$W$3:$W$24</definedName>
    <definedName name="_xlchart.v2.0" hidden="1">'Ducati Panigale data'!$V$2</definedName>
    <definedName name="_xlchart.v2.1" hidden="1">'Ducati Panigale data'!$V$3:$V$24</definedName>
    <definedName name="_xlchart.v2.2" hidden="1">'Ducati Panigale data'!$W$2</definedName>
    <definedName name="_xlchart.v2.3" hidden="1">'Ducati Panigale data'!$W$3:$W$24</definedName>
    <definedName name="_xlchart.v2.4" hidden="1">'Ducati Panigale data'!$X$2</definedName>
    <definedName name="_xlchart.v2.5" hidden="1">'Ducati Panigale data'!$X$3:$X$24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0" i="2" l="1"/>
  <c r="K40" i="2"/>
  <c r="N36" i="2"/>
  <c r="N41" i="2" s="1"/>
  <c r="D28" i="18"/>
  <c r="D33" i="18"/>
  <c r="D34" i="18" s="1"/>
  <c r="D27" i="18"/>
  <c r="D26" i="18"/>
  <c r="I28" i="18" s="1"/>
  <c r="N31" i="12" s="1"/>
  <c r="D16" i="18"/>
  <c r="D17" i="18" s="1"/>
  <c r="I12" i="18" s="1"/>
  <c r="N30" i="2" s="1"/>
  <c r="D11" i="18"/>
  <c r="D10" i="18"/>
  <c r="I11" i="18"/>
  <c r="N31" i="2" s="1"/>
  <c r="I29" i="18" l="1"/>
  <c r="N30" i="12" s="1"/>
  <c r="N42" i="12"/>
  <c r="E5" i="15" l="1"/>
  <c r="N16" i="2" l="1"/>
  <c r="M16" i="2" s="1"/>
  <c r="N18" i="2"/>
  <c r="M18" i="2" s="1"/>
  <c r="N20" i="2"/>
  <c r="M20" i="2" s="1"/>
  <c r="N22" i="2"/>
  <c r="M22" i="2" s="1"/>
  <c r="N24" i="2"/>
  <c r="M24" i="2" s="1"/>
  <c r="E24" i="16"/>
  <c r="F24" i="16"/>
  <c r="F5" i="16"/>
  <c r="E5" i="16"/>
  <c r="F23" i="16"/>
  <c r="E23" i="16"/>
  <c r="F22" i="16"/>
  <c r="E22" i="16"/>
  <c r="F21" i="16"/>
  <c r="E21" i="16"/>
  <c r="F20" i="16"/>
  <c r="E20" i="16"/>
  <c r="F19" i="16"/>
  <c r="E19" i="16"/>
  <c r="F18" i="16"/>
  <c r="E18" i="16"/>
  <c r="F17" i="16"/>
  <c r="E17" i="16"/>
  <c r="F16" i="16"/>
  <c r="E16" i="16"/>
  <c r="F15" i="16"/>
  <c r="E15" i="16"/>
  <c r="F14" i="16"/>
  <c r="E14" i="16"/>
  <c r="F13" i="16"/>
  <c r="E13" i="16"/>
  <c r="F12" i="16"/>
  <c r="E12" i="16"/>
  <c r="F11" i="16"/>
  <c r="E11" i="16"/>
  <c r="F10" i="16"/>
  <c r="E10" i="16"/>
  <c r="F9" i="16"/>
  <c r="E9" i="16"/>
  <c r="F8" i="16"/>
  <c r="E8" i="16"/>
  <c r="F7" i="16"/>
  <c r="E7" i="16"/>
  <c r="F6" i="16"/>
  <c r="E6" i="16"/>
  <c r="F6" i="15"/>
  <c r="F7" i="15"/>
  <c r="F8" i="15"/>
  <c r="F9" i="15"/>
  <c r="F10" i="15"/>
  <c r="F11" i="15"/>
  <c r="F12" i="15"/>
  <c r="F13" i="15"/>
  <c r="F14" i="15"/>
  <c r="F15" i="15"/>
  <c r="F16" i="15"/>
  <c r="F17" i="15"/>
  <c r="F18" i="15"/>
  <c r="F19" i="15"/>
  <c r="F20" i="15"/>
  <c r="F21" i="15"/>
  <c r="F22" i="15"/>
  <c r="F5" i="15"/>
  <c r="E6" i="15"/>
  <c r="E7" i="15"/>
  <c r="E8" i="15"/>
  <c r="E9" i="15"/>
  <c r="E10" i="15"/>
  <c r="E11" i="15"/>
  <c r="E12" i="15"/>
  <c r="E13" i="15"/>
  <c r="E14" i="15"/>
  <c r="E15" i="15"/>
  <c r="E16" i="15"/>
  <c r="E17" i="15"/>
  <c r="E18" i="15"/>
  <c r="E19" i="15"/>
  <c r="E20" i="15"/>
  <c r="E21" i="15"/>
  <c r="E22" i="15"/>
  <c r="G15" i="12"/>
  <c r="G15" i="2"/>
  <c r="N18" i="12" l="1"/>
  <c r="M18" i="12" s="1"/>
  <c r="N20" i="12"/>
  <c r="M20" i="12" s="1"/>
  <c r="N22" i="12"/>
  <c r="M22" i="12" s="1"/>
  <c r="N24" i="12"/>
  <c r="M24" i="12" s="1"/>
  <c r="N16" i="12"/>
  <c r="M16" i="12" s="1"/>
  <c r="K43" i="12"/>
  <c r="J43" i="12"/>
  <c r="D17" i="12"/>
  <c r="C17" i="12"/>
  <c r="G16" i="12"/>
  <c r="G13" i="12"/>
  <c r="D12" i="12"/>
  <c r="C12" i="12"/>
  <c r="G16" i="2"/>
  <c r="G13" i="2"/>
  <c r="C12" i="2"/>
  <c r="C22" i="2" s="1"/>
  <c r="D12" i="2"/>
  <c r="C17" i="2"/>
  <c r="C23" i="2" s="1"/>
  <c r="D17" i="2"/>
  <c r="L17" i="12" l="1"/>
  <c r="L23" i="12"/>
  <c r="L21" i="12"/>
  <c r="L19" i="12"/>
  <c r="K5" i="15"/>
  <c r="R5" i="15" s="1"/>
  <c r="M11" i="15"/>
  <c r="T11" i="15" s="1"/>
  <c r="M19" i="15"/>
  <c r="T19" i="15" s="1"/>
  <c r="L10" i="15"/>
  <c r="S10" i="15" s="1"/>
  <c r="L18" i="15"/>
  <c r="S18" i="15" s="1"/>
  <c r="K9" i="15"/>
  <c r="R9" i="15" s="1"/>
  <c r="K17" i="15"/>
  <c r="R17" i="15" s="1"/>
  <c r="J8" i="15"/>
  <c r="Q8" i="15" s="1"/>
  <c r="J16" i="15"/>
  <c r="Q16" i="15" s="1"/>
  <c r="I7" i="15"/>
  <c r="P7" i="15" s="1"/>
  <c r="I15" i="15"/>
  <c r="P15" i="15" s="1"/>
  <c r="I6" i="15"/>
  <c r="P6" i="15" s="1"/>
  <c r="H14" i="15"/>
  <c r="O14" i="15" s="1"/>
  <c r="H22" i="15"/>
  <c r="O22" i="15" s="1"/>
  <c r="J5" i="15"/>
  <c r="Q5" i="15" s="1"/>
  <c r="M12" i="15"/>
  <c r="T12" i="15" s="1"/>
  <c r="M20" i="15"/>
  <c r="T20" i="15" s="1"/>
  <c r="L11" i="15"/>
  <c r="S11" i="15" s="1"/>
  <c r="L19" i="15"/>
  <c r="S19" i="15" s="1"/>
  <c r="K10" i="15"/>
  <c r="R10" i="15" s="1"/>
  <c r="K18" i="15"/>
  <c r="R18" i="15" s="1"/>
  <c r="J9" i="15"/>
  <c r="Q9" i="15" s="1"/>
  <c r="J17" i="15"/>
  <c r="Q17" i="15" s="1"/>
  <c r="I8" i="15"/>
  <c r="P8" i="15" s="1"/>
  <c r="I16" i="15"/>
  <c r="P16" i="15" s="1"/>
  <c r="H7" i="15"/>
  <c r="O7" i="15" s="1"/>
  <c r="H15" i="15"/>
  <c r="O15" i="15" s="1"/>
  <c r="H6" i="15"/>
  <c r="O6" i="15" s="1"/>
  <c r="I5" i="15"/>
  <c r="P5" i="15" s="1"/>
  <c r="M13" i="15"/>
  <c r="T13" i="15" s="1"/>
  <c r="M21" i="15"/>
  <c r="T21" i="15" s="1"/>
  <c r="L12" i="15"/>
  <c r="S12" i="15" s="1"/>
  <c r="L20" i="15"/>
  <c r="S20" i="15" s="1"/>
  <c r="K11" i="15"/>
  <c r="R11" i="15" s="1"/>
  <c r="K19" i="15"/>
  <c r="R19" i="15" s="1"/>
  <c r="J10" i="15"/>
  <c r="Q10" i="15" s="1"/>
  <c r="J18" i="15"/>
  <c r="Q18" i="15" s="1"/>
  <c r="I9" i="15"/>
  <c r="P9" i="15" s="1"/>
  <c r="I17" i="15"/>
  <c r="P17" i="15" s="1"/>
  <c r="H8" i="15"/>
  <c r="O8" i="15" s="1"/>
  <c r="H16" i="15"/>
  <c r="O16" i="15" s="1"/>
  <c r="L15" i="12"/>
  <c r="H5" i="15"/>
  <c r="O5" i="15" s="1"/>
  <c r="M14" i="15"/>
  <c r="T14" i="15" s="1"/>
  <c r="M22" i="15"/>
  <c r="T22" i="15" s="1"/>
  <c r="L13" i="15"/>
  <c r="S13" i="15" s="1"/>
  <c r="L21" i="15"/>
  <c r="S21" i="15" s="1"/>
  <c r="K12" i="15"/>
  <c r="R12" i="15" s="1"/>
  <c r="K20" i="15"/>
  <c r="R20" i="15" s="1"/>
  <c r="J11" i="15"/>
  <c r="Q11" i="15" s="1"/>
  <c r="J19" i="15"/>
  <c r="Q19" i="15" s="1"/>
  <c r="I10" i="15"/>
  <c r="P10" i="15" s="1"/>
  <c r="I18" i="15"/>
  <c r="P18" i="15" s="1"/>
  <c r="H9" i="15"/>
  <c r="O9" i="15" s="1"/>
  <c r="H17" i="15"/>
  <c r="O17" i="15" s="1"/>
  <c r="M15" i="15"/>
  <c r="T15" i="15" s="1"/>
  <c r="M6" i="15"/>
  <c r="T6" i="15" s="1"/>
  <c r="L14" i="15"/>
  <c r="S14" i="15" s="1"/>
  <c r="L22" i="15"/>
  <c r="S22" i="15" s="1"/>
  <c r="K13" i="15"/>
  <c r="R13" i="15" s="1"/>
  <c r="K21" i="15"/>
  <c r="R21" i="15" s="1"/>
  <c r="J12" i="15"/>
  <c r="Q12" i="15" s="1"/>
  <c r="J20" i="15"/>
  <c r="Q20" i="15" s="1"/>
  <c r="I11" i="15"/>
  <c r="P11" i="15" s="1"/>
  <c r="I19" i="15"/>
  <c r="P19" i="15" s="1"/>
  <c r="H10" i="15"/>
  <c r="O10" i="15" s="1"/>
  <c r="H18" i="15"/>
  <c r="O18" i="15" s="1"/>
  <c r="L7" i="15"/>
  <c r="S7" i="15" s="1"/>
  <c r="J13" i="15"/>
  <c r="Q13" i="15" s="1"/>
  <c r="I20" i="15"/>
  <c r="P20" i="15" s="1"/>
  <c r="M17" i="15"/>
  <c r="T17" i="15" s="1"/>
  <c r="K6" i="15"/>
  <c r="R6" i="15" s="1"/>
  <c r="H12" i="15"/>
  <c r="O12" i="15" s="1"/>
  <c r="M10" i="15"/>
  <c r="T10" i="15" s="1"/>
  <c r="K16" i="15"/>
  <c r="R16" i="15" s="1"/>
  <c r="J6" i="15"/>
  <c r="Q6" i="15" s="1"/>
  <c r="M7" i="15"/>
  <c r="T7" i="15" s="1"/>
  <c r="L15" i="15"/>
  <c r="S15" i="15" s="1"/>
  <c r="K22" i="15"/>
  <c r="R22" i="15" s="1"/>
  <c r="I12" i="15"/>
  <c r="P12" i="15" s="1"/>
  <c r="H19" i="15"/>
  <c r="O19" i="15" s="1"/>
  <c r="M5" i="15"/>
  <c r="T5" i="15" s="1"/>
  <c r="L8" i="15"/>
  <c r="S8" i="15" s="1"/>
  <c r="K7" i="15"/>
  <c r="R7" i="15" s="1"/>
  <c r="J14" i="15"/>
  <c r="Q14" i="15" s="1"/>
  <c r="I13" i="15"/>
  <c r="P13" i="15" s="1"/>
  <c r="H20" i="15"/>
  <c r="O20" i="15" s="1"/>
  <c r="M18" i="15"/>
  <c r="T18" i="15" s="1"/>
  <c r="K8" i="15"/>
  <c r="R8" i="15" s="1"/>
  <c r="J15" i="15"/>
  <c r="Q15" i="15" s="1"/>
  <c r="I22" i="15"/>
  <c r="P22" i="15" s="1"/>
  <c r="H13" i="15"/>
  <c r="O13" i="15" s="1"/>
  <c r="M8" i="15"/>
  <c r="T8" i="15" s="1"/>
  <c r="M16" i="15"/>
  <c r="T16" i="15" s="1"/>
  <c r="L6" i="15"/>
  <c r="S6" i="15" s="1"/>
  <c r="K14" i="15"/>
  <c r="R14" i="15" s="1"/>
  <c r="J21" i="15"/>
  <c r="Q21" i="15" s="1"/>
  <c r="H11" i="15"/>
  <c r="O11" i="15" s="1"/>
  <c r="M9" i="15"/>
  <c r="T9" i="15" s="1"/>
  <c r="L16" i="15"/>
  <c r="S16" i="15" s="1"/>
  <c r="K15" i="15"/>
  <c r="R15" i="15" s="1"/>
  <c r="J22" i="15"/>
  <c r="Q22" i="15" s="1"/>
  <c r="I21" i="15"/>
  <c r="P21" i="15" s="1"/>
  <c r="L5" i="15"/>
  <c r="S5" i="15" s="1"/>
  <c r="L9" i="15"/>
  <c r="S9" i="15" s="1"/>
  <c r="L17" i="15"/>
  <c r="S17" i="15" s="1"/>
  <c r="J7" i="15"/>
  <c r="Q7" i="15" s="1"/>
  <c r="I14" i="15"/>
  <c r="P14" i="15" s="1"/>
  <c r="H21" i="15"/>
  <c r="O21" i="15" s="1"/>
  <c r="L25" i="12"/>
  <c r="L23" i="2"/>
  <c r="J24" i="16"/>
  <c r="Q24" i="16" s="1"/>
  <c r="K24" i="16"/>
  <c r="R24" i="16" s="1"/>
  <c r="L24" i="16"/>
  <c r="S24" i="16" s="1"/>
  <c r="H24" i="16"/>
  <c r="O24" i="16" s="1"/>
  <c r="I24" i="16"/>
  <c r="P24" i="16" s="1"/>
  <c r="M24" i="16"/>
  <c r="T24" i="16" s="1"/>
  <c r="G23" i="2"/>
  <c r="F23" i="2"/>
  <c r="G22" i="2"/>
  <c r="F22" i="2"/>
  <c r="L15" i="2"/>
  <c r="C27" i="2"/>
  <c r="M5" i="16"/>
  <c r="T5" i="16" s="1"/>
  <c r="M23" i="16"/>
  <c r="T23" i="16" s="1"/>
  <c r="K22" i="16"/>
  <c r="R22" i="16" s="1"/>
  <c r="I21" i="16"/>
  <c r="P21" i="16" s="1"/>
  <c r="M19" i="16"/>
  <c r="T19" i="16" s="1"/>
  <c r="K18" i="16"/>
  <c r="R18" i="16" s="1"/>
  <c r="I17" i="16"/>
  <c r="P17" i="16" s="1"/>
  <c r="M15" i="16"/>
  <c r="T15" i="16" s="1"/>
  <c r="K14" i="16"/>
  <c r="R14" i="16" s="1"/>
  <c r="I13" i="16"/>
  <c r="P13" i="16" s="1"/>
  <c r="M11" i="16"/>
  <c r="T11" i="16" s="1"/>
  <c r="K10" i="16"/>
  <c r="R10" i="16" s="1"/>
  <c r="I9" i="16"/>
  <c r="P9" i="16" s="1"/>
  <c r="M7" i="16"/>
  <c r="T7" i="16" s="1"/>
  <c r="K6" i="16"/>
  <c r="R6" i="16" s="1"/>
  <c r="L5" i="16"/>
  <c r="S5" i="16" s="1"/>
  <c r="L23" i="16"/>
  <c r="S23" i="16" s="1"/>
  <c r="J22" i="16"/>
  <c r="Q22" i="16" s="1"/>
  <c r="H21" i="16"/>
  <c r="O21" i="16" s="1"/>
  <c r="L19" i="16"/>
  <c r="S19" i="16" s="1"/>
  <c r="J18" i="16"/>
  <c r="Q18" i="16" s="1"/>
  <c r="H17" i="16"/>
  <c r="O17" i="16" s="1"/>
  <c r="L15" i="16"/>
  <c r="S15" i="16" s="1"/>
  <c r="J14" i="16"/>
  <c r="Q14" i="16" s="1"/>
  <c r="H13" i="16"/>
  <c r="O13" i="16" s="1"/>
  <c r="L11" i="16"/>
  <c r="S11" i="16" s="1"/>
  <c r="J10" i="16"/>
  <c r="Q10" i="16" s="1"/>
  <c r="H9" i="16"/>
  <c r="O9" i="16" s="1"/>
  <c r="L7" i="16"/>
  <c r="S7" i="16" s="1"/>
  <c r="J6" i="16"/>
  <c r="Q6" i="16" s="1"/>
  <c r="K5" i="16"/>
  <c r="R5" i="16" s="1"/>
  <c r="K23" i="16"/>
  <c r="R23" i="16" s="1"/>
  <c r="I22" i="16"/>
  <c r="P22" i="16" s="1"/>
  <c r="M20" i="16"/>
  <c r="T20" i="16" s="1"/>
  <c r="K19" i="16"/>
  <c r="R19" i="16" s="1"/>
  <c r="I18" i="16"/>
  <c r="P18" i="16" s="1"/>
  <c r="M16" i="16"/>
  <c r="T16" i="16" s="1"/>
  <c r="K15" i="16"/>
  <c r="R15" i="16" s="1"/>
  <c r="I14" i="16"/>
  <c r="P14" i="16" s="1"/>
  <c r="M12" i="16"/>
  <c r="T12" i="16" s="1"/>
  <c r="K11" i="16"/>
  <c r="R11" i="16" s="1"/>
  <c r="I10" i="16"/>
  <c r="P10" i="16" s="1"/>
  <c r="M8" i="16"/>
  <c r="T8" i="16" s="1"/>
  <c r="K7" i="16"/>
  <c r="R7" i="16" s="1"/>
  <c r="I6" i="16"/>
  <c r="P6" i="16" s="1"/>
  <c r="I5" i="16"/>
  <c r="P5" i="16" s="1"/>
  <c r="I19" i="16"/>
  <c r="P19" i="16" s="1"/>
  <c r="M17" i="16"/>
  <c r="T17" i="16" s="1"/>
  <c r="I15" i="16"/>
  <c r="P15" i="16" s="1"/>
  <c r="K12" i="16"/>
  <c r="R12" i="16" s="1"/>
  <c r="M9" i="16"/>
  <c r="T9" i="16" s="1"/>
  <c r="H5" i="16"/>
  <c r="O5" i="16" s="1"/>
  <c r="J20" i="16"/>
  <c r="Q20" i="16" s="1"/>
  <c r="L17" i="16"/>
  <c r="S17" i="16" s="1"/>
  <c r="H15" i="16"/>
  <c r="O15" i="16" s="1"/>
  <c r="J12" i="16"/>
  <c r="Q12" i="16" s="1"/>
  <c r="L9" i="16"/>
  <c r="S9" i="16" s="1"/>
  <c r="H7" i="16"/>
  <c r="O7" i="16" s="1"/>
  <c r="J5" i="16"/>
  <c r="Q5" i="16" s="1"/>
  <c r="J23" i="16"/>
  <c r="Q23" i="16" s="1"/>
  <c r="H22" i="16"/>
  <c r="O22" i="16" s="1"/>
  <c r="L20" i="16"/>
  <c r="S20" i="16" s="1"/>
  <c r="J19" i="16"/>
  <c r="Q19" i="16" s="1"/>
  <c r="H18" i="16"/>
  <c r="O18" i="16" s="1"/>
  <c r="L16" i="16"/>
  <c r="S16" i="16" s="1"/>
  <c r="J15" i="16"/>
  <c r="Q15" i="16" s="1"/>
  <c r="H14" i="16"/>
  <c r="O14" i="16" s="1"/>
  <c r="L12" i="16"/>
  <c r="S12" i="16" s="1"/>
  <c r="J11" i="16"/>
  <c r="Q11" i="16" s="1"/>
  <c r="H10" i="16"/>
  <c r="O10" i="16" s="1"/>
  <c r="L8" i="16"/>
  <c r="S8" i="16" s="1"/>
  <c r="J7" i="16"/>
  <c r="Q7" i="16" s="1"/>
  <c r="H6" i="16"/>
  <c r="O6" i="16" s="1"/>
  <c r="I23" i="16"/>
  <c r="P23" i="16" s="1"/>
  <c r="K20" i="16"/>
  <c r="R20" i="16" s="1"/>
  <c r="K16" i="16"/>
  <c r="R16" i="16" s="1"/>
  <c r="M13" i="16"/>
  <c r="T13" i="16" s="1"/>
  <c r="I11" i="16"/>
  <c r="P11" i="16" s="1"/>
  <c r="K8" i="16"/>
  <c r="R8" i="16" s="1"/>
  <c r="I7" i="16"/>
  <c r="P7" i="16" s="1"/>
  <c r="H23" i="16"/>
  <c r="O23" i="16" s="1"/>
  <c r="L21" i="16"/>
  <c r="S21" i="16" s="1"/>
  <c r="H19" i="16"/>
  <c r="O19" i="16" s="1"/>
  <c r="J16" i="16"/>
  <c r="Q16" i="16" s="1"/>
  <c r="H11" i="16"/>
  <c r="O11" i="16" s="1"/>
  <c r="J8" i="16"/>
  <c r="Q8" i="16" s="1"/>
  <c r="M21" i="16"/>
  <c r="T21" i="16" s="1"/>
  <c r="M22" i="16"/>
  <c r="T22" i="16" s="1"/>
  <c r="K21" i="16"/>
  <c r="R21" i="16" s="1"/>
  <c r="I20" i="16"/>
  <c r="P20" i="16" s="1"/>
  <c r="M18" i="16"/>
  <c r="T18" i="16" s="1"/>
  <c r="K17" i="16"/>
  <c r="R17" i="16" s="1"/>
  <c r="I16" i="16"/>
  <c r="P16" i="16" s="1"/>
  <c r="M14" i="16"/>
  <c r="T14" i="16" s="1"/>
  <c r="K13" i="16"/>
  <c r="R13" i="16" s="1"/>
  <c r="I12" i="16"/>
  <c r="P12" i="16" s="1"/>
  <c r="M10" i="16"/>
  <c r="T10" i="16" s="1"/>
  <c r="K9" i="16"/>
  <c r="R9" i="16" s="1"/>
  <c r="I8" i="16"/>
  <c r="P8" i="16" s="1"/>
  <c r="M6" i="16"/>
  <c r="T6" i="16" s="1"/>
  <c r="L22" i="16"/>
  <c r="S22" i="16" s="1"/>
  <c r="J21" i="16"/>
  <c r="Q21" i="16" s="1"/>
  <c r="H20" i="16"/>
  <c r="O20" i="16" s="1"/>
  <c r="L18" i="16"/>
  <c r="S18" i="16" s="1"/>
  <c r="J17" i="16"/>
  <c r="Q17" i="16" s="1"/>
  <c r="H16" i="16"/>
  <c r="O16" i="16" s="1"/>
  <c r="L14" i="16"/>
  <c r="S14" i="16" s="1"/>
  <c r="J13" i="16"/>
  <c r="Q13" i="16" s="1"/>
  <c r="H12" i="16"/>
  <c r="O12" i="16" s="1"/>
  <c r="L10" i="16"/>
  <c r="S10" i="16" s="1"/>
  <c r="J9" i="16"/>
  <c r="Q9" i="16" s="1"/>
  <c r="H8" i="16"/>
  <c r="O8" i="16" s="1"/>
  <c r="L6" i="16"/>
  <c r="S6" i="16" s="1"/>
  <c r="L13" i="16"/>
  <c r="S13" i="16" s="1"/>
  <c r="L17" i="2"/>
  <c r="L19" i="2"/>
  <c r="L21" i="2"/>
  <c r="L25" i="2"/>
  <c r="N28" i="2" s="1"/>
  <c r="D12" i="18" s="1"/>
  <c r="D13" i="18" s="1"/>
  <c r="I10" i="18" s="1"/>
  <c r="C26" i="2"/>
  <c r="C26" i="12"/>
  <c r="C27" i="12"/>
  <c r="C22" i="12"/>
  <c r="C23" i="12"/>
  <c r="N28" i="12" l="1"/>
  <c r="D29" i="18"/>
  <c r="D30" i="18" s="1"/>
  <c r="I27" i="18" s="1"/>
  <c r="N29" i="2"/>
  <c r="N32" i="2" s="1"/>
  <c r="I13" i="18"/>
  <c r="N10" i="18" s="1"/>
  <c r="G23" i="12"/>
  <c r="F23" i="12"/>
  <c r="G22" i="12"/>
  <c r="F22" i="12"/>
  <c r="I30" i="18" l="1"/>
  <c r="N27" i="18" s="1"/>
  <c r="N29" i="12"/>
  <c r="N32" i="12" s="1"/>
</calcChain>
</file>

<file path=xl/sharedStrings.xml><?xml version="1.0" encoding="utf-8"?>
<sst xmlns="http://schemas.openxmlformats.org/spreadsheetml/2006/main" count="316" uniqueCount="154">
  <si>
    <t>Front Wheel</t>
  </si>
  <si>
    <t>Rear Wheel</t>
  </si>
  <si>
    <t>Wheelbase</t>
  </si>
  <si>
    <t>Av wheel radius</t>
  </si>
  <si>
    <t xml:space="preserve">Rider </t>
  </si>
  <si>
    <t>Level</t>
  </si>
  <si>
    <t>Without rider</t>
  </si>
  <si>
    <t>lifted</t>
  </si>
  <si>
    <t>Total weight</t>
  </si>
  <si>
    <t>With rider</t>
  </si>
  <si>
    <t>Stand</t>
  </si>
  <si>
    <t>FW radius</t>
  </si>
  <si>
    <t>RW radius</t>
  </si>
  <si>
    <t>SELECT BIKE</t>
  </si>
  <si>
    <t>X Centre of Gravity 
Level w/out rider</t>
  </si>
  <si>
    <t>X Centre of Gravity 
Level with rider</t>
  </si>
  <si>
    <t>Workshop Risk Assessment</t>
  </si>
  <si>
    <t>Y Centre of Gravity 
with rider</t>
  </si>
  <si>
    <t>With Rider</t>
  </si>
  <si>
    <t>W/out Rider</t>
  </si>
  <si>
    <t>Xcog</t>
  </si>
  <si>
    <t>Ycog</t>
  </si>
  <si>
    <t>Level W/out Rider</t>
  </si>
  <si>
    <t>Level With Rider</t>
  </si>
  <si>
    <t>RETURN TO MENU</t>
  </si>
  <si>
    <t>% of Front</t>
  </si>
  <si>
    <t>% of Rear</t>
  </si>
  <si>
    <t>W/out rider</t>
  </si>
  <si>
    <t>RPM</t>
  </si>
  <si>
    <t>1st</t>
  </si>
  <si>
    <t>2nd</t>
  </si>
  <si>
    <t>3rd</t>
  </si>
  <si>
    <t>4th</t>
  </si>
  <si>
    <t>5th</t>
  </si>
  <si>
    <t>6th</t>
  </si>
  <si>
    <t>Ratios</t>
  </si>
  <si>
    <t>Primary drive</t>
  </si>
  <si>
    <t>Final drive</t>
  </si>
  <si>
    <t>Tyres</t>
  </si>
  <si>
    <t>Front</t>
  </si>
  <si>
    <t>Rear</t>
  </si>
  <si>
    <t>Maxxis Maxx Enduro</t>
  </si>
  <si>
    <t>80/100 -21</t>
  </si>
  <si>
    <t>140/80-18</t>
  </si>
  <si>
    <t>Brand</t>
  </si>
  <si>
    <t>Profile</t>
  </si>
  <si>
    <t>120/70</t>
  </si>
  <si>
    <t>200/55</t>
  </si>
  <si>
    <t>Wheel Speed</t>
  </si>
  <si>
    <t>Tyre width</t>
  </si>
  <si>
    <t>Aspect Ratio</t>
  </si>
  <si>
    <t>Rim Size</t>
  </si>
  <si>
    <t>Tyre Diameter</t>
  </si>
  <si>
    <t>Input Gear</t>
  </si>
  <si>
    <t>Output Gear</t>
  </si>
  <si>
    <t>Centre of Gravity RESULTS</t>
  </si>
  <si>
    <t>RPM Drop</t>
  </si>
  <si>
    <t>Gear</t>
  </si>
  <si>
    <t>Lifted Angle</t>
  </si>
  <si>
    <t>350 EXC-f 2022</t>
  </si>
  <si>
    <t>Panigale 1199</t>
  </si>
  <si>
    <t>Chain Size</t>
  </si>
  <si>
    <t>Chain</t>
  </si>
  <si>
    <t>Distance between front sprocket &amp; pivot</t>
  </si>
  <si>
    <t xml:space="preserve">Swing Arm Length </t>
  </si>
  <si>
    <t>Power (hp)</t>
  </si>
  <si>
    <t>Torque (Nm)</t>
  </si>
  <si>
    <t>Power (Kw)</t>
  </si>
  <si>
    <t xml:space="preserve">1st Gear </t>
  </si>
  <si>
    <t xml:space="preserve">2nd Gear </t>
  </si>
  <si>
    <t xml:space="preserve">3rd Gear </t>
  </si>
  <si>
    <t xml:space="preserve">4th Gear </t>
  </si>
  <si>
    <t xml:space="preserve">5th Gear </t>
  </si>
  <si>
    <t xml:space="preserve">6th Gear </t>
  </si>
  <si>
    <t>Road Speed km/h</t>
  </si>
  <si>
    <t>Torque (Foot pounds)</t>
  </si>
  <si>
    <t>Foot pounds to Nm</t>
  </si>
  <si>
    <t>Panigale</t>
  </si>
  <si>
    <t>350 EXC-F</t>
  </si>
  <si>
    <t>Driving Force (N)</t>
  </si>
  <si>
    <t>Road Speed (km/h)</t>
  </si>
  <si>
    <t>Centre of Gravity</t>
  </si>
  <si>
    <t xml:space="preserve">Gear Box </t>
  </si>
  <si>
    <t>Pirelli</t>
  </si>
  <si>
    <t>RPM drop</t>
  </si>
  <si>
    <t>New RPM</t>
  </si>
  <si>
    <t>Tyre Data</t>
  </si>
  <si>
    <t>Chain &amp; Swing Arm</t>
  </si>
  <si>
    <t>2022 350 EXC-F</t>
  </si>
  <si>
    <r>
      <t xml:space="preserve">2012 Ducati </t>
    </r>
    <r>
      <rPr>
        <i/>
        <sz val="40"/>
        <color theme="0"/>
        <rFont val="Arial"/>
        <family val="2"/>
      </rPr>
      <t>Panigale 1199</t>
    </r>
  </si>
  <si>
    <t>SQUAT</t>
  </si>
  <si>
    <t>CoG Xcog</t>
  </si>
  <si>
    <t>CoG Ycog</t>
  </si>
  <si>
    <t>Frontal Area</t>
  </si>
  <si>
    <t>ACHA4003 Motorcycle Technology: RESISTANCE TO MOTION CALCULATOR</t>
  </si>
  <si>
    <t>DATA INPUT - GREEN CELLS ONLY</t>
  </si>
  <si>
    <t>RESULTS</t>
  </si>
  <si>
    <t>symbol</t>
  </si>
  <si>
    <t>Input in SI Units</t>
  </si>
  <si>
    <t>unit</t>
  </si>
  <si>
    <t>FORCE</t>
  </si>
  <si>
    <t>POWER</t>
  </si>
  <si>
    <t>Mass</t>
  </si>
  <si>
    <t>M</t>
  </si>
  <si>
    <t>kg</t>
  </si>
  <si>
    <t>Area</t>
  </si>
  <si>
    <t>A</t>
  </si>
  <si>
    <t>Aero Drag Force</t>
  </si>
  <si>
    <r>
      <t>F</t>
    </r>
    <r>
      <rPr>
        <b/>
        <sz val="10"/>
        <color theme="1"/>
        <rFont val="Calibri (Body)"/>
      </rPr>
      <t>D</t>
    </r>
  </si>
  <si>
    <t>Nm</t>
  </si>
  <si>
    <t>Power</t>
  </si>
  <si>
    <t>P</t>
  </si>
  <si>
    <t>Watts</t>
  </si>
  <si>
    <t>Drag Coeficient</t>
  </si>
  <si>
    <r>
      <t>C</t>
    </r>
    <r>
      <rPr>
        <b/>
        <sz val="10"/>
        <color theme="1"/>
        <rFont val="Calibri (Body)"/>
      </rPr>
      <t>D</t>
    </r>
  </si>
  <si>
    <t>Rolling resistence</t>
  </si>
  <si>
    <r>
      <t>F</t>
    </r>
    <r>
      <rPr>
        <b/>
        <sz val="10"/>
        <color theme="1"/>
        <rFont val="Calibri (Body)"/>
      </rPr>
      <t>W</t>
    </r>
  </si>
  <si>
    <t>Velocity</t>
  </si>
  <si>
    <t>v</t>
  </si>
  <si>
    <t>m/s</t>
  </si>
  <si>
    <t>Road Plane</t>
  </si>
  <si>
    <r>
      <t>F</t>
    </r>
    <r>
      <rPr>
        <b/>
        <sz val="10"/>
        <color theme="1"/>
        <rFont val="Calibri (Body)"/>
      </rPr>
      <t>P</t>
    </r>
  </si>
  <si>
    <t>Density</t>
  </si>
  <si>
    <t>Total Force</t>
  </si>
  <si>
    <t>F</t>
  </si>
  <si>
    <t>Gravity</t>
  </si>
  <si>
    <t>g</t>
  </si>
  <si>
    <t>Angle of road plane</t>
  </si>
  <si>
    <t>radians</t>
  </si>
  <si>
    <t>km/h</t>
  </si>
  <si>
    <t>Top Speed</t>
  </si>
  <si>
    <t>Aero Drag</t>
  </si>
  <si>
    <t>Total Resistance</t>
  </si>
  <si>
    <t xml:space="preserve">Resistance to Motion </t>
  </si>
  <si>
    <t>BIAS</t>
  </si>
  <si>
    <t>Coefficent of Drag</t>
  </si>
  <si>
    <t>% of Front Bias w/out rider</t>
  </si>
  <si>
    <t>% of Rear Bias w/out rider</t>
  </si>
  <si>
    <t>% of Front Bias with rider</t>
  </si>
  <si>
    <t>% of Rear Bias with rider</t>
  </si>
  <si>
    <t>Y Centre of Gravity  Lifted
w/out rider</t>
  </si>
  <si>
    <t>Rolling Resistance</t>
  </si>
  <si>
    <t>DUCATI PANIGALE</t>
  </si>
  <si>
    <t>KTM EXC-F</t>
  </si>
  <si>
    <t>rpm</t>
  </si>
  <si>
    <t>road speed</t>
  </si>
  <si>
    <t>Resistance to Motion</t>
  </si>
  <si>
    <t xml:space="preserve">driving force </t>
  </si>
  <si>
    <t>resistance to motion</t>
  </si>
  <si>
    <t>Raw Data</t>
  </si>
  <si>
    <t>Resistance to Motion Calculator</t>
  </si>
  <si>
    <t>Manual CoG Calculations</t>
  </si>
  <si>
    <t>Motorcycle Technology - Assessment 1</t>
  </si>
  <si>
    <t>SAMPLE OF MANUAL CALCULATIONS Ducati Panigale - CoG  Calculations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</si>
</sst>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0.0\ &quot;kg&quot;"/>
    <numFmt numFmtId="165" formatCode="0.00\ &quot;kg&quot;"/>
    <numFmt numFmtId="166" formatCode="0.000\ &quot;m&quot;"/>
    <numFmt numFmtId="167" formatCode="0.00\ &quot;m&quot;"/>
    <numFmt numFmtId="168" formatCode="0.000"/>
    <numFmt numFmtId="169" formatCode="0.00\ &quot;km/h&quot;"/>
    <numFmt numFmtId="170" formatCode="0.0\ &quot;° &quot;"/>
    <numFmt numFmtId="171" formatCode="0.000\ &quot;rads&quot;"/>
    <numFmt numFmtId="172" formatCode="000\ &quot;mm&quot;"/>
    <numFmt numFmtId="173" formatCode="0.00\ &quot;Nm&quot;"/>
    <numFmt numFmtId="174" formatCode="00.00\ &quot;m^2&quot;"/>
    <numFmt numFmtId="175" formatCode="0.00\ &quot;m^2&quot;"/>
    <numFmt numFmtId="176" formatCode="0\ &quot;° &quot;"/>
  </numFmts>
  <fonts count="60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i/>
      <sz val="48"/>
      <color theme="0"/>
      <name val="Arial"/>
      <family val="2"/>
    </font>
    <font>
      <b/>
      <sz val="16"/>
      <color theme="1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b/>
      <i/>
      <sz val="48"/>
      <color theme="1"/>
      <name val="Arial"/>
      <family val="2"/>
    </font>
    <font>
      <i/>
      <sz val="36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8"/>
      <color theme="1"/>
      <name val="Arial"/>
      <family val="2"/>
    </font>
    <font>
      <b/>
      <i/>
      <sz val="20"/>
      <color rgb="FFFFFF00"/>
      <name val="Arial"/>
      <family val="2"/>
    </font>
    <font>
      <b/>
      <i/>
      <sz val="22"/>
      <color theme="0"/>
      <name val="Arial"/>
      <family val="2"/>
    </font>
    <font>
      <b/>
      <i/>
      <sz val="2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i/>
      <sz val="28"/>
      <color theme="1"/>
      <name val="Arial"/>
      <family val="2"/>
    </font>
    <font>
      <sz val="8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0"/>
      <name val="Arial"/>
      <family val="2"/>
    </font>
    <font>
      <sz val="22"/>
      <color theme="0"/>
      <name val="Arial"/>
      <family val="2"/>
    </font>
    <font>
      <b/>
      <sz val="12"/>
      <color theme="0"/>
      <name val="Arial"/>
      <family val="2"/>
    </font>
    <font>
      <i/>
      <sz val="22"/>
      <color theme="0"/>
      <name val="Arial"/>
      <family val="2"/>
    </font>
    <font>
      <b/>
      <sz val="22"/>
      <color theme="1"/>
      <name val="Arial"/>
      <family val="2"/>
    </font>
    <font>
      <b/>
      <i/>
      <sz val="36"/>
      <color theme="0"/>
      <name val="Arial"/>
      <family val="2"/>
    </font>
    <font>
      <b/>
      <sz val="14"/>
      <color theme="0"/>
      <name val="Arial"/>
      <family val="2"/>
    </font>
    <font>
      <b/>
      <i/>
      <sz val="14"/>
      <color theme="0"/>
      <name val="Arial"/>
      <family val="2"/>
    </font>
    <font>
      <b/>
      <sz val="12"/>
      <color rgb="FFFFFF00"/>
      <name val="Calibri"/>
      <family val="2"/>
      <scheme val="minor"/>
    </font>
    <font>
      <b/>
      <i/>
      <sz val="40"/>
      <color theme="0"/>
      <name val="Arial"/>
      <family val="2"/>
    </font>
    <font>
      <i/>
      <sz val="40"/>
      <color theme="0"/>
      <name val="Arial"/>
      <family val="2"/>
    </font>
    <font>
      <b/>
      <i/>
      <sz val="14"/>
      <color rgb="FFFE0000"/>
      <name val="Arial"/>
      <family val="2"/>
    </font>
    <font>
      <sz val="12"/>
      <color rgb="FFFFFF00"/>
      <name val="Calibri"/>
      <family val="2"/>
      <scheme val="minor"/>
    </font>
    <font>
      <b/>
      <i/>
      <sz val="16"/>
      <color theme="1"/>
      <name val="Arial"/>
      <family val="2"/>
    </font>
    <font>
      <b/>
      <i/>
      <sz val="26"/>
      <color theme="1"/>
      <name val="Arial"/>
      <family val="2"/>
    </font>
    <font>
      <b/>
      <i/>
      <sz val="40"/>
      <color theme="1"/>
      <name val="Arial Black"/>
      <family val="2"/>
    </font>
    <font>
      <sz val="16"/>
      <color rgb="FFFFFF00"/>
      <name val="Calibri"/>
      <family val="2"/>
      <scheme val="minor"/>
    </font>
    <font>
      <sz val="14"/>
      <color theme="1"/>
      <name val="Arial"/>
      <family val="2"/>
    </font>
    <font>
      <b/>
      <i/>
      <sz val="22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8"/>
      <color theme="1"/>
      <name val="Cambria Math"/>
      <family val="1"/>
    </font>
    <font>
      <b/>
      <sz val="10"/>
      <color theme="1"/>
      <name val="Calibri (Body)"/>
    </font>
    <font>
      <b/>
      <i/>
      <sz val="18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u/>
      <sz val="18"/>
      <color rgb="FFFF0000"/>
      <name val="Calibri"/>
      <family val="2"/>
      <scheme val="minor"/>
    </font>
    <font>
      <b/>
      <i/>
      <sz val="16"/>
      <color theme="0"/>
      <name val="Arial"/>
      <family val="2"/>
    </font>
    <font>
      <b/>
      <sz val="12"/>
      <color rgb="FFFFFF00"/>
      <name val="Arial"/>
      <family val="2"/>
    </font>
    <font>
      <b/>
      <i/>
      <sz val="24"/>
      <color theme="0"/>
      <name val="Arial"/>
      <family val="2"/>
    </font>
    <font>
      <b/>
      <i/>
      <sz val="12"/>
      <color theme="0"/>
      <name val="Arial"/>
      <family val="2"/>
    </font>
    <font>
      <b/>
      <i/>
      <sz val="18"/>
      <color theme="1"/>
      <name val="Arial"/>
      <family val="2"/>
    </font>
    <font>
      <b/>
      <i/>
      <sz val="20"/>
      <color theme="0"/>
      <name val="Arial"/>
      <family val="2"/>
    </font>
    <font>
      <b/>
      <i/>
      <sz val="24"/>
      <color theme="1"/>
      <name val="Arial"/>
      <family val="2"/>
    </font>
    <font>
      <b/>
      <i/>
      <sz val="18"/>
      <color theme="0"/>
      <name val="Arial"/>
      <family val="2"/>
    </font>
    <font>
      <b/>
      <i/>
      <sz val="14"/>
      <color theme="1"/>
      <name val="Arial"/>
      <family val="2"/>
    </font>
    <font>
      <sz val="20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761F"/>
        <bgColor indexed="64"/>
      </patternFill>
    </fill>
    <fill>
      <patternFill patternType="solid">
        <fgColor rgb="FFFE0000"/>
        <bgColor indexed="64"/>
      </patternFill>
    </fill>
    <fill>
      <patternFill patternType="lightGrid">
        <bgColor rgb="FFFF0000"/>
      </patternFill>
    </fill>
    <fill>
      <patternFill patternType="lightGrid">
        <fgColor theme="1"/>
        <bgColor rgb="FFFE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darkDown">
        <bgColor theme="0" tint="-0.14999847407452621"/>
      </patternFill>
    </fill>
    <fill>
      <patternFill patternType="solid">
        <fgColor theme="7" tint="0.399975585192419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9" fontId="16" fillId="0" borderId="0" applyFont="0" applyFill="0" applyBorder="0" applyAlignment="0" applyProtection="0"/>
  </cellStyleXfs>
  <cellXfs count="22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Alignment="1"/>
    <xf numFmtId="166" fontId="0" fillId="0" borderId="0" xfId="0" applyNumberFormat="1"/>
    <xf numFmtId="167" fontId="0" fillId="0" borderId="0" xfId="0" applyNumberFormat="1"/>
    <xf numFmtId="0" fontId="1" fillId="0" borderId="0" xfId="0" applyFont="1" applyAlignment="1">
      <alignment horizontal="center"/>
    </xf>
    <xf numFmtId="166" fontId="1" fillId="0" borderId="0" xfId="0" applyNumberFormat="1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17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5" borderId="0" xfId="0" applyFill="1"/>
    <xf numFmtId="0" fontId="7" fillId="5" borderId="0" xfId="1" applyFont="1" applyFill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1" fontId="0" fillId="0" borderId="0" xfId="0" applyNumberForma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66" fontId="1" fillId="0" borderId="0" xfId="0" applyNumberFormat="1" applyFont="1" applyBorder="1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21" fillId="6" borderId="0" xfId="0" applyFont="1" applyFill="1" applyAlignment="1">
      <alignment horizontal="center"/>
    </xf>
    <xf numFmtId="0" fontId="22" fillId="6" borderId="0" xfId="0" applyFont="1" applyFill="1"/>
    <xf numFmtId="0" fontId="22" fillId="0" borderId="0" xfId="0" applyFont="1"/>
    <xf numFmtId="0" fontId="22" fillId="6" borderId="0" xfId="0" applyFont="1" applyFill="1" applyAlignment="1">
      <alignment horizontal="center"/>
    </xf>
    <xf numFmtId="0" fontId="22" fillId="0" borderId="0" xfId="0" applyFont="1" applyAlignment="1">
      <alignment horizontal="center"/>
    </xf>
    <xf numFmtId="0" fontId="23" fillId="2" borderId="0" xfId="0" applyFont="1" applyFill="1"/>
    <xf numFmtId="0" fontId="23" fillId="2" borderId="0" xfId="0" applyFont="1" applyFill="1" applyAlignment="1">
      <alignment horizontal="center"/>
    </xf>
    <xf numFmtId="0" fontId="25" fillId="2" borderId="0" xfId="0" applyFont="1" applyFill="1" applyAlignment="1">
      <alignment horizontal="center"/>
    </xf>
    <xf numFmtId="169" fontId="17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/>
    </xf>
    <xf numFmtId="0" fontId="29" fillId="2" borderId="17" xfId="0" applyFont="1" applyFill="1" applyBorder="1" applyAlignment="1">
      <alignment horizontal="center" vertical="center" wrapText="1"/>
    </xf>
    <xf numFmtId="0" fontId="0" fillId="0" borderId="0" xfId="0" applyBorder="1"/>
    <xf numFmtId="0" fontId="29" fillId="2" borderId="18" xfId="0" applyFont="1" applyFill="1" applyBorder="1" applyAlignment="1">
      <alignment horizontal="center" vertical="center" wrapText="1"/>
    </xf>
    <xf numFmtId="166" fontId="1" fillId="0" borderId="0" xfId="0" applyNumberFormat="1" applyFont="1" applyBorder="1" applyAlignment="1">
      <alignment horizontal="center" vertical="center"/>
    </xf>
    <xf numFmtId="166" fontId="1" fillId="0" borderId="0" xfId="0" applyNumberFormat="1" applyFont="1" applyFill="1" applyBorder="1" applyAlignment="1">
      <alignment horizontal="center" vertical="center"/>
    </xf>
    <xf numFmtId="165" fontId="1" fillId="0" borderId="0" xfId="0" applyNumberFormat="1" applyFont="1" applyBorder="1" applyAlignment="1">
      <alignment horizontal="center" vertical="center"/>
    </xf>
    <xf numFmtId="170" fontId="1" fillId="0" borderId="0" xfId="0" applyNumberFormat="1" applyFont="1" applyBorder="1" applyAlignment="1">
      <alignment horizontal="center" vertical="center"/>
    </xf>
    <xf numFmtId="171" fontId="1" fillId="0" borderId="0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right"/>
    </xf>
    <xf numFmtId="164" fontId="1" fillId="0" borderId="17" xfId="0" applyNumberFormat="1" applyFont="1" applyBorder="1" applyAlignment="1">
      <alignment horizontal="center"/>
    </xf>
    <xf numFmtId="164" fontId="1" fillId="4" borderId="17" xfId="0" applyNumberFormat="1" applyFont="1" applyFill="1" applyBorder="1" applyAlignment="1">
      <alignment horizontal="center"/>
    </xf>
    <xf numFmtId="0" fontId="0" fillId="0" borderId="17" xfId="0" applyBorder="1"/>
    <xf numFmtId="0" fontId="30" fillId="2" borderId="17" xfId="0" applyFont="1" applyFill="1" applyBorder="1" applyAlignment="1">
      <alignment horizontal="center"/>
    </xf>
    <xf numFmtId="0" fontId="30" fillId="2" borderId="17" xfId="0" applyFont="1" applyFill="1" applyBorder="1" applyAlignment="1">
      <alignment horizontal="right"/>
    </xf>
    <xf numFmtId="9" fontId="1" fillId="0" borderId="17" xfId="2" applyFont="1" applyBorder="1" applyAlignment="1">
      <alignment horizontal="center"/>
    </xf>
    <xf numFmtId="9" fontId="1" fillId="4" borderId="17" xfId="2" applyFont="1" applyFill="1" applyBorder="1" applyAlignment="1">
      <alignment horizontal="center"/>
    </xf>
    <xf numFmtId="167" fontId="1" fillId="0" borderId="17" xfId="0" applyNumberFormat="1" applyFont="1" applyBorder="1" applyAlignment="1">
      <alignment horizontal="right"/>
    </xf>
    <xf numFmtId="1" fontId="31" fillId="7" borderId="17" xfId="0" applyNumberFormat="1" applyFont="1" applyFill="1" applyBorder="1" applyAlignment="1">
      <alignment horizontal="center"/>
    </xf>
    <xf numFmtId="0" fontId="10" fillId="2" borderId="17" xfId="0" applyFont="1" applyFill="1" applyBorder="1" applyAlignment="1">
      <alignment horizontal="center" vertical="center" wrapText="1"/>
    </xf>
    <xf numFmtId="0" fontId="34" fillId="9" borderId="0" xfId="0" applyFont="1" applyFill="1" applyAlignment="1">
      <alignment vertical="center"/>
    </xf>
    <xf numFmtId="0" fontId="9" fillId="6" borderId="17" xfId="0" applyFont="1" applyFill="1" applyBorder="1" applyAlignment="1">
      <alignment horizontal="right"/>
    </xf>
    <xf numFmtId="0" fontId="9" fillId="6" borderId="17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168" fontId="0" fillId="0" borderId="17" xfId="0" applyNumberFormat="1" applyBorder="1" applyAlignment="1">
      <alignment horizontal="center"/>
    </xf>
    <xf numFmtId="169" fontId="17" fillId="0" borderId="17" xfId="0" applyNumberFormat="1" applyFont="1" applyBorder="1" applyAlignment="1">
      <alignment horizontal="center"/>
    </xf>
    <xf numFmtId="0" fontId="9" fillId="5" borderId="17" xfId="0" applyFont="1" applyFill="1" applyBorder="1" applyAlignment="1">
      <alignment horizontal="center"/>
    </xf>
    <xf numFmtId="1" fontId="10" fillId="6" borderId="17" xfId="0" applyNumberFormat="1" applyFont="1" applyFill="1" applyBorder="1" applyAlignment="1">
      <alignment horizontal="center"/>
    </xf>
    <xf numFmtId="1" fontId="35" fillId="0" borderId="17" xfId="0" applyNumberFormat="1" applyFont="1" applyBorder="1"/>
    <xf numFmtId="0" fontId="10" fillId="6" borderId="17" xfId="0" applyFont="1" applyFill="1" applyBorder="1" applyAlignment="1">
      <alignment horizontal="center"/>
    </xf>
    <xf numFmtId="166" fontId="1" fillId="0" borderId="17" xfId="0" applyNumberFormat="1" applyFont="1" applyBorder="1" applyAlignment="1">
      <alignment horizontal="center" vertical="center"/>
    </xf>
    <xf numFmtId="166" fontId="1" fillId="0" borderId="17" xfId="0" applyNumberFormat="1" applyFont="1" applyFill="1" applyBorder="1" applyAlignment="1">
      <alignment horizontal="center" vertical="center"/>
    </xf>
    <xf numFmtId="165" fontId="1" fillId="0" borderId="17" xfId="0" applyNumberFormat="1" applyFont="1" applyBorder="1" applyAlignment="1">
      <alignment horizontal="center" vertical="center"/>
    </xf>
    <xf numFmtId="170" fontId="1" fillId="0" borderId="17" xfId="0" applyNumberFormat="1" applyFont="1" applyBorder="1" applyAlignment="1">
      <alignment horizontal="center"/>
    </xf>
    <xf numFmtId="171" fontId="1" fillId="0" borderId="17" xfId="0" applyNumberFormat="1" applyFont="1" applyBorder="1" applyAlignment="1">
      <alignment horizontal="center"/>
    </xf>
    <xf numFmtId="166" fontId="1" fillId="0" borderId="17" xfId="0" applyNumberFormat="1" applyFont="1" applyBorder="1" applyAlignment="1">
      <alignment horizontal="center"/>
    </xf>
    <xf numFmtId="9" fontId="1" fillId="0" borderId="17" xfId="2" applyFont="1" applyBorder="1" applyAlignment="1">
      <alignment horizontal="center" vertical="center"/>
    </xf>
    <xf numFmtId="9" fontId="1" fillId="4" borderId="17" xfId="2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right"/>
    </xf>
    <xf numFmtId="166" fontId="1" fillId="4" borderId="17" xfId="0" applyNumberFormat="1" applyFont="1" applyFill="1" applyBorder="1" applyAlignment="1">
      <alignment horizontal="center"/>
    </xf>
    <xf numFmtId="0" fontId="39" fillId="6" borderId="17" xfId="0" applyFont="1" applyFill="1" applyBorder="1" applyAlignment="1">
      <alignment horizontal="center"/>
    </xf>
    <xf numFmtId="167" fontId="1" fillId="0" borderId="0" xfId="0" applyNumberFormat="1" applyFont="1" applyFill="1" applyBorder="1" applyAlignment="1">
      <alignment horizontal="center" vertical="center"/>
    </xf>
    <xf numFmtId="166" fontId="1" fillId="0" borderId="17" xfId="0" applyNumberFormat="1" applyFont="1" applyBorder="1" applyAlignment="1">
      <alignment horizontal="right"/>
    </xf>
    <xf numFmtId="0" fontId="40" fillId="0" borderId="0" xfId="0" applyFont="1" applyAlignment="1">
      <alignment horizontal="right"/>
    </xf>
    <xf numFmtId="172" fontId="0" fillId="0" borderId="0" xfId="0" applyNumberFormat="1" applyAlignment="1">
      <alignment horizontal="center"/>
    </xf>
    <xf numFmtId="0" fontId="42" fillId="12" borderId="1" xfId="0" applyFont="1" applyFill="1" applyBorder="1" applyAlignment="1">
      <alignment horizontal="center"/>
    </xf>
    <xf numFmtId="0" fontId="42" fillId="11" borderId="1" xfId="0" applyFont="1" applyFill="1" applyBorder="1" applyAlignment="1">
      <alignment horizontal="center"/>
    </xf>
    <xf numFmtId="0" fontId="44" fillId="12" borderId="1" xfId="0" applyFont="1" applyFill="1" applyBorder="1" applyAlignment="1">
      <alignment horizontal="right"/>
    </xf>
    <xf numFmtId="0" fontId="43" fillId="12" borderId="15" xfId="0" applyFont="1" applyFill="1" applyBorder="1" applyAlignment="1">
      <alignment horizontal="center"/>
    </xf>
    <xf numFmtId="0" fontId="43" fillId="11" borderId="1" xfId="0" applyFont="1" applyFill="1" applyBorder="1" applyAlignment="1" applyProtection="1">
      <alignment horizontal="center"/>
      <protection locked="0"/>
    </xf>
    <xf numFmtId="0" fontId="43" fillId="12" borderId="16" xfId="0" applyFont="1" applyFill="1" applyBorder="1" applyAlignment="1">
      <alignment horizontal="center"/>
    </xf>
    <xf numFmtId="0" fontId="45" fillId="12" borderId="16" xfId="0" applyFont="1" applyFill="1" applyBorder="1" applyAlignment="1">
      <alignment horizontal="center"/>
    </xf>
    <xf numFmtId="0" fontId="44" fillId="0" borderId="0" xfId="0" applyFont="1" applyAlignment="1">
      <alignment horizontal="right"/>
    </xf>
    <xf numFmtId="0" fontId="43" fillId="0" borderId="0" xfId="0" applyFont="1" applyAlignment="1">
      <alignment horizontal="center"/>
    </xf>
    <xf numFmtId="2" fontId="43" fillId="0" borderId="0" xfId="0" applyNumberFormat="1" applyFont="1" applyAlignment="1">
      <alignment horizontal="center"/>
    </xf>
    <xf numFmtId="0" fontId="43" fillId="13" borderId="16" xfId="0" applyFont="1" applyFill="1" applyBorder="1" applyAlignment="1">
      <alignment horizontal="center"/>
    </xf>
    <xf numFmtId="0" fontId="43" fillId="12" borderId="16" xfId="0" applyFont="1" applyFill="1" applyBorder="1" applyAlignment="1">
      <alignment horizontal="left"/>
    </xf>
    <xf numFmtId="0" fontId="43" fillId="12" borderId="1" xfId="0" applyFont="1" applyFill="1" applyBorder="1" applyAlignment="1">
      <alignment horizontal="center"/>
    </xf>
    <xf numFmtId="168" fontId="43" fillId="12" borderId="1" xfId="0" applyNumberFormat="1" applyFont="1" applyFill="1" applyBorder="1" applyAlignment="1">
      <alignment horizontal="center"/>
    </xf>
    <xf numFmtId="0" fontId="0" fillId="0" borderId="0" xfId="0" applyAlignment="1">
      <alignment horizontal="right"/>
    </xf>
    <xf numFmtId="0" fontId="44" fillId="5" borderId="0" xfId="0" applyFont="1" applyFill="1" applyBorder="1" applyAlignment="1">
      <alignment horizontal="right"/>
    </xf>
    <xf numFmtId="0" fontId="43" fillId="5" borderId="0" xfId="0" applyFont="1" applyFill="1" applyBorder="1" applyAlignment="1">
      <alignment horizontal="center"/>
    </xf>
    <xf numFmtId="168" fontId="43" fillId="5" borderId="0" xfId="0" applyNumberFormat="1" applyFont="1" applyFill="1" applyBorder="1" applyAlignment="1">
      <alignment horizontal="center"/>
    </xf>
    <xf numFmtId="2" fontId="43" fillId="11" borderId="1" xfId="0" applyNumberFormat="1" applyFont="1" applyFill="1" applyBorder="1" applyAlignment="1" applyProtection="1">
      <alignment horizontal="center"/>
      <protection locked="0"/>
    </xf>
    <xf numFmtId="0" fontId="11" fillId="7" borderId="17" xfId="0" applyFont="1" applyFill="1" applyBorder="1" applyAlignment="1">
      <alignment horizontal="right"/>
    </xf>
    <xf numFmtId="0" fontId="11" fillId="7" borderId="17" xfId="0" applyFont="1" applyFill="1" applyBorder="1" applyAlignment="1">
      <alignment horizontal="right" wrapText="1"/>
    </xf>
    <xf numFmtId="0" fontId="11" fillId="5" borderId="0" xfId="0" applyFont="1" applyFill="1" applyBorder="1" applyAlignment="1">
      <alignment horizontal="center" vertical="center"/>
    </xf>
    <xf numFmtId="0" fontId="0" fillId="5" borderId="0" xfId="0" applyFill="1" applyAlignment="1">
      <alignment horizontal="center"/>
    </xf>
    <xf numFmtId="169" fontId="17" fillId="5" borderId="0" xfId="0" applyNumberFormat="1" applyFont="1" applyFill="1" applyAlignment="1">
      <alignment horizontal="center"/>
    </xf>
    <xf numFmtId="169" fontId="0" fillId="5" borderId="0" xfId="0" applyNumberFormat="1" applyFill="1" applyAlignment="1">
      <alignment horizontal="center"/>
    </xf>
    <xf numFmtId="173" fontId="0" fillId="5" borderId="0" xfId="0" applyNumberFormat="1" applyFill="1" applyAlignment="1">
      <alignment horizontal="center"/>
    </xf>
    <xf numFmtId="173" fontId="51" fillId="7" borderId="17" xfId="0" applyNumberFormat="1" applyFont="1" applyFill="1" applyBorder="1" applyAlignment="1">
      <alignment horizontal="center"/>
    </xf>
    <xf numFmtId="0" fontId="53" fillId="7" borderId="17" xfId="0" applyFont="1" applyFill="1" applyBorder="1" applyAlignment="1">
      <alignment horizontal="center" vertical="center"/>
    </xf>
    <xf numFmtId="174" fontId="43" fillId="11" borderId="1" xfId="0" applyNumberFormat="1" applyFont="1" applyFill="1" applyBorder="1" applyAlignment="1" applyProtection="1">
      <alignment horizontal="center"/>
      <protection locked="0"/>
    </xf>
    <xf numFmtId="175" fontId="0" fillId="0" borderId="0" xfId="0" applyNumberFormat="1" applyAlignment="1">
      <alignment horizontal="right"/>
    </xf>
    <xf numFmtId="176" fontId="0" fillId="0" borderId="0" xfId="0" applyNumberFormat="1"/>
    <xf numFmtId="9" fontId="1" fillId="0" borderId="17" xfId="2" applyNumberFormat="1" applyFont="1" applyBorder="1" applyAlignment="1">
      <alignment horizontal="center"/>
    </xf>
    <xf numFmtId="9" fontId="1" fillId="4" borderId="17" xfId="2" applyNumberFormat="1" applyFont="1" applyFill="1" applyBorder="1" applyAlignment="1">
      <alignment horizontal="center"/>
    </xf>
    <xf numFmtId="0" fontId="9" fillId="5" borderId="0" xfId="0" applyFon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169" fontId="17" fillId="5" borderId="0" xfId="0" applyNumberFormat="1" applyFont="1" applyFill="1" applyBorder="1" applyAlignment="1">
      <alignment horizontal="center"/>
    </xf>
    <xf numFmtId="0" fontId="0" fillId="5" borderId="0" xfId="0" applyFill="1" applyBorder="1"/>
    <xf numFmtId="0" fontId="11" fillId="5" borderId="17" xfId="0" applyFont="1" applyFill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center" wrapText="1"/>
    </xf>
    <xf numFmtId="173" fontId="51" fillId="6" borderId="17" xfId="0" applyNumberFormat="1" applyFont="1" applyFill="1" applyBorder="1" applyAlignment="1">
      <alignment horizontal="center"/>
    </xf>
    <xf numFmtId="0" fontId="0" fillId="5" borderId="0" xfId="0" applyFont="1" applyFill="1" applyAlignment="1">
      <alignment horizontal="center"/>
    </xf>
    <xf numFmtId="0" fontId="54" fillId="6" borderId="0" xfId="0" applyFont="1" applyFill="1" applyAlignment="1">
      <alignment horizontal="center"/>
    </xf>
    <xf numFmtId="0" fontId="57" fillId="7" borderId="0" xfId="0" applyFont="1" applyFill="1" applyAlignment="1">
      <alignment horizontal="center"/>
    </xf>
    <xf numFmtId="0" fontId="9" fillId="5" borderId="17" xfId="0" applyFont="1" applyFill="1" applyBorder="1" applyAlignment="1">
      <alignment horizontal="right"/>
    </xf>
    <xf numFmtId="0" fontId="4" fillId="2" borderId="6" xfId="1" applyFont="1" applyFill="1" applyBorder="1" applyAlignment="1">
      <alignment horizontal="center" vertical="center"/>
    </xf>
    <xf numFmtId="0" fontId="8" fillId="6" borderId="6" xfId="1" applyFont="1" applyFill="1" applyBorder="1" applyAlignment="1">
      <alignment horizontal="center" vertical="center"/>
    </xf>
    <xf numFmtId="0" fontId="7" fillId="6" borderId="7" xfId="1" applyFont="1" applyFill="1" applyBorder="1" applyAlignment="1">
      <alignment horizontal="center" vertical="center"/>
    </xf>
    <xf numFmtId="0" fontId="7" fillId="6" borderId="8" xfId="1" applyFont="1" applyFill="1" applyBorder="1" applyAlignment="1">
      <alignment horizontal="center" vertical="center"/>
    </xf>
    <xf numFmtId="0" fontId="7" fillId="6" borderId="12" xfId="1" applyFont="1" applyFill="1" applyBorder="1" applyAlignment="1">
      <alignment horizontal="center" vertical="center"/>
    </xf>
    <xf numFmtId="0" fontId="7" fillId="6" borderId="0" xfId="1" applyFont="1" applyFill="1" applyBorder="1" applyAlignment="1">
      <alignment horizontal="center" vertical="center"/>
    </xf>
    <xf numFmtId="0" fontId="7" fillId="6" borderId="13" xfId="1" applyFont="1" applyFill="1" applyBorder="1" applyAlignment="1">
      <alignment horizontal="center" vertical="center"/>
    </xf>
    <xf numFmtId="0" fontId="7" fillId="6" borderId="9" xfId="1" applyFont="1" applyFill="1" applyBorder="1" applyAlignment="1">
      <alignment horizontal="center" vertical="center"/>
    </xf>
    <xf numFmtId="0" fontId="7" fillId="6" borderId="10" xfId="1" applyFont="1" applyFill="1" applyBorder="1" applyAlignment="1">
      <alignment horizontal="center" vertical="center"/>
    </xf>
    <xf numFmtId="0" fontId="7" fillId="6" borderId="11" xfId="1" applyFont="1" applyFill="1" applyBorder="1" applyAlignment="1">
      <alignment horizontal="center" vertical="center"/>
    </xf>
    <xf numFmtId="0" fontId="52" fillId="2" borderId="18" xfId="0" applyFont="1" applyFill="1" applyBorder="1" applyAlignment="1">
      <alignment horizontal="center" vertical="center"/>
    </xf>
    <xf numFmtId="0" fontId="52" fillId="2" borderId="19" xfId="0" applyFont="1" applyFill="1" applyBorder="1" applyAlignment="1">
      <alignment horizontal="center" vertical="center"/>
    </xf>
    <xf numFmtId="0" fontId="52" fillId="2" borderId="20" xfId="0" applyFont="1" applyFill="1" applyBorder="1" applyAlignment="1">
      <alignment horizontal="center" vertical="center"/>
    </xf>
    <xf numFmtId="0" fontId="11" fillId="7" borderId="18" xfId="0" applyFont="1" applyFill="1" applyBorder="1" applyAlignment="1">
      <alignment horizontal="center" vertical="center" wrapText="1"/>
    </xf>
    <xf numFmtId="0" fontId="11" fillId="7" borderId="20" xfId="0" applyFont="1" applyFill="1" applyBorder="1" applyAlignment="1">
      <alignment horizontal="center" vertical="center" wrapText="1"/>
    </xf>
    <xf numFmtId="0" fontId="28" fillId="2" borderId="21" xfId="0" applyFont="1" applyFill="1" applyBorder="1" applyAlignment="1">
      <alignment horizontal="center" vertical="center"/>
    </xf>
    <xf numFmtId="0" fontId="28" fillId="2" borderId="0" xfId="0" applyFont="1" applyFill="1" applyBorder="1" applyAlignment="1">
      <alignment horizontal="center" vertical="center"/>
    </xf>
    <xf numFmtId="0" fontId="32" fillId="2" borderId="0" xfId="0" applyFont="1" applyFill="1" applyBorder="1" applyAlignment="1">
      <alignment horizontal="center" vertical="center" wrapText="1"/>
    </xf>
    <xf numFmtId="0" fontId="29" fillId="2" borderId="17" xfId="0" applyFont="1" applyFill="1" applyBorder="1" applyAlignment="1">
      <alignment horizontal="center"/>
    </xf>
    <xf numFmtId="0" fontId="14" fillId="8" borderId="0" xfId="1" applyFont="1" applyFill="1" applyAlignment="1">
      <alignment horizontal="center" vertical="center"/>
    </xf>
    <xf numFmtId="0" fontId="50" fillId="7" borderId="27" xfId="0" applyFont="1" applyFill="1" applyBorder="1" applyAlignment="1">
      <alignment horizontal="center" vertical="center" wrapText="1"/>
    </xf>
    <xf numFmtId="0" fontId="50" fillId="7" borderId="0" xfId="0" applyFont="1" applyFill="1" applyBorder="1" applyAlignment="1">
      <alignment horizontal="center" vertical="center" wrapText="1"/>
    </xf>
    <xf numFmtId="0" fontId="11" fillId="7" borderId="28" xfId="0" applyNumberFormat="1" applyFont="1" applyFill="1" applyBorder="1" applyAlignment="1">
      <alignment horizontal="right" wrapText="1"/>
    </xf>
    <xf numFmtId="0" fontId="11" fillId="7" borderId="29" xfId="0" applyNumberFormat="1" applyFont="1" applyFill="1" applyBorder="1" applyAlignment="1">
      <alignment horizontal="right" wrapText="1"/>
    </xf>
    <xf numFmtId="0" fontId="11" fillId="7" borderId="30" xfId="0" applyNumberFormat="1" applyFont="1" applyFill="1" applyBorder="1" applyAlignment="1">
      <alignment horizontal="right" wrapText="1"/>
    </xf>
    <xf numFmtId="172" fontId="0" fillId="0" borderId="0" xfId="0" applyNumberFormat="1" applyAlignment="1">
      <alignment horizontal="center" vertical="center" wrapText="1"/>
    </xf>
    <xf numFmtId="0" fontId="24" fillId="2" borderId="0" xfId="0" applyFont="1" applyFill="1" applyAlignment="1">
      <alignment horizontal="center" vertical="center"/>
    </xf>
    <xf numFmtId="0" fontId="26" fillId="2" borderId="0" xfId="0" applyFont="1" applyFill="1" applyAlignment="1">
      <alignment horizontal="center" vertical="center" wrapText="1"/>
    </xf>
    <xf numFmtId="0" fontId="24" fillId="2" borderId="0" xfId="0" applyFont="1" applyFill="1" applyAlignment="1">
      <alignment horizontal="center" vertical="center" wrapText="1"/>
    </xf>
    <xf numFmtId="0" fontId="26" fillId="2" borderId="0" xfId="0" applyFont="1" applyFill="1" applyAlignment="1">
      <alignment horizontal="center" vertical="center"/>
    </xf>
    <xf numFmtId="0" fontId="15" fillId="6" borderId="0" xfId="1" applyFont="1" applyFill="1" applyAlignment="1">
      <alignment horizontal="center" vertical="center"/>
    </xf>
    <xf numFmtId="0" fontId="15" fillId="6" borderId="0" xfId="0" applyFont="1" applyFill="1" applyAlignment="1">
      <alignment horizontal="center" vertical="center"/>
    </xf>
    <xf numFmtId="0" fontId="27" fillId="6" borderId="0" xfId="0" applyFont="1" applyFill="1" applyAlignment="1">
      <alignment horizontal="center" vertical="center"/>
    </xf>
    <xf numFmtId="0" fontId="15" fillId="6" borderId="0" xfId="0" applyFont="1" applyFill="1" applyAlignment="1">
      <alignment horizontal="center" vertical="center" wrapText="1"/>
    </xf>
    <xf numFmtId="0" fontId="27" fillId="6" borderId="0" xfId="0" applyFont="1" applyFill="1" applyAlignment="1">
      <alignment horizontal="center" vertical="center" wrapText="1"/>
    </xf>
    <xf numFmtId="0" fontId="9" fillId="6" borderId="18" xfId="0" applyFont="1" applyFill="1" applyBorder="1" applyAlignment="1">
      <alignment horizontal="center" vertical="center" wrapText="1"/>
    </xf>
    <xf numFmtId="0" fontId="9" fillId="6" borderId="20" xfId="0" applyFont="1" applyFill="1" applyBorder="1" applyAlignment="1">
      <alignment horizontal="center" vertical="center" wrapText="1"/>
    </xf>
    <xf numFmtId="0" fontId="38" fillId="6" borderId="0" xfId="0" applyFont="1" applyFill="1" applyBorder="1" applyAlignment="1">
      <alignment horizontal="center" vertical="center" wrapText="1"/>
    </xf>
    <xf numFmtId="0" fontId="36" fillId="6" borderId="27" xfId="0" applyFont="1" applyFill="1" applyBorder="1" applyAlignment="1">
      <alignment horizontal="center" vertical="center" wrapText="1"/>
    </xf>
    <xf numFmtId="0" fontId="36" fillId="6" borderId="0" xfId="0" applyFont="1" applyFill="1" applyBorder="1" applyAlignment="1">
      <alignment horizontal="center" vertical="center" wrapText="1"/>
    </xf>
    <xf numFmtId="0" fontId="9" fillId="6" borderId="18" xfId="0" applyFont="1" applyFill="1" applyBorder="1" applyAlignment="1">
      <alignment horizontal="center"/>
    </xf>
    <xf numFmtId="0" fontId="9" fillId="6" borderId="19" xfId="0" applyFont="1" applyFill="1" applyBorder="1" applyAlignment="1">
      <alignment horizontal="center"/>
    </xf>
    <xf numFmtId="0" fontId="9" fillId="6" borderId="20" xfId="0" applyFont="1" applyFill="1" applyBorder="1" applyAlignment="1">
      <alignment horizontal="center"/>
    </xf>
    <xf numFmtId="0" fontId="19" fillId="6" borderId="22" xfId="0" applyFont="1" applyFill="1" applyBorder="1" applyAlignment="1">
      <alignment horizontal="center" vertical="center" wrapText="1"/>
    </xf>
    <xf numFmtId="0" fontId="19" fillId="6" borderId="21" xfId="0" applyFont="1" applyFill="1" applyBorder="1" applyAlignment="1">
      <alignment horizontal="center" vertical="center" wrapText="1"/>
    </xf>
    <xf numFmtId="0" fontId="19" fillId="6" borderId="23" xfId="0" applyFont="1" applyFill="1" applyBorder="1" applyAlignment="1">
      <alignment horizontal="center" vertical="center" wrapText="1"/>
    </xf>
    <xf numFmtId="0" fontId="19" fillId="6" borderId="24" xfId="0" applyFont="1" applyFill="1" applyBorder="1" applyAlignment="1">
      <alignment horizontal="center" vertical="center" wrapText="1"/>
    </xf>
    <xf numFmtId="0" fontId="19" fillId="6" borderId="25" xfId="0" applyFont="1" applyFill="1" applyBorder="1" applyAlignment="1">
      <alignment horizontal="center" vertical="center" wrapText="1"/>
    </xf>
    <xf numFmtId="0" fontId="19" fillId="6" borderId="26" xfId="0" applyFont="1" applyFill="1" applyBorder="1" applyAlignment="1">
      <alignment horizontal="center" vertical="center" wrapText="1"/>
    </xf>
    <xf numFmtId="0" fontId="37" fillId="6" borderId="27" xfId="0" applyFont="1" applyFill="1" applyBorder="1" applyAlignment="1">
      <alignment horizontal="center" vertical="center" wrapText="1"/>
    </xf>
    <xf numFmtId="0" fontId="37" fillId="6" borderId="0" xfId="0" applyFont="1" applyFill="1" applyBorder="1" applyAlignment="1">
      <alignment horizontal="center" vertical="center" wrapText="1"/>
    </xf>
    <xf numFmtId="0" fontId="9" fillId="6" borderId="28" xfId="0" applyNumberFormat="1" applyFont="1" applyFill="1" applyBorder="1" applyAlignment="1">
      <alignment horizontal="right" wrapText="1"/>
    </xf>
    <xf numFmtId="0" fontId="9" fillId="6" borderId="29" xfId="0" applyNumberFormat="1" applyFont="1" applyFill="1" applyBorder="1" applyAlignment="1">
      <alignment horizontal="right" wrapText="1"/>
    </xf>
    <xf numFmtId="0" fontId="9" fillId="6" borderId="30" xfId="0" applyNumberFormat="1" applyFont="1" applyFill="1" applyBorder="1" applyAlignment="1">
      <alignment horizontal="right" wrapText="1"/>
    </xf>
    <xf numFmtId="0" fontId="56" fillId="6" borderId="18" xfId="0" applyFont="1" applyFill="1" applyBorder="1" applyAlignment="1">
      <alignment horizontal="center" vertical="center"/>
    </xf>
    <xf numFmtId="0" fontId="56" fillId="6" borderId="19" xfId="0" applyFont="1" applyFill="1" applyBorder="1" applyAlignment="1">
      <alignment horizontal="center" vertical="center"/>
    </xf>
    <xf numFmtId="0" fontId="56" fillId="6" borderId="20" xfId="0" applyFont="1" applyFill="1" applyBorder="1" applyAlignment="1">
      <alignment horizontal="center" vertical="center"/>
    </xf>
    <xf numFmtId="0" fontId="47" fillId="0" borderId="0" xfId="0" applyFont="1" applyAlignment="1">
      <alignment horizontal="center" vertical="center" wrapText="1"/>
    </xf>
    <xf numFmtId="0" fontId="48" fillId="0" borderId="0" xfId="0" applyFont="1" applyAlignment="1">
      <alignment horizontal="center" vertical="center" wrapText="1"/>
    </xf>
    <xf numFmtId="2" fontId="49" fillId="0" borderId="0" xfId="0" applyNumberFormat="1" applyFont="1" applyAlignment="1">
      <alignment horizontal="center" vertical="center" wrapText="1"/>
    </xf>
    <xf numFmtId="0" fontId="42" fillId="11" borderId="0" xfId="0" applyFont="1" applyFill="1" applyAlignment="1">
      <alignment horizontal="center" vertical="center"/>
    </xf>
    <xf numFmtId="0" fontId="42" fillId="10" borderId="0" xfId="0" applyFont="1" applyFill="1" applyAlignment="1">
      <alignment horizontal="center" vertical="center"/>
    </xf>
    <xf numFmtId="0" fontId="41" fillId="10" borderId="0" xfId="0" applyFont="1" applyFill="1" applyAlignment="1">
      <alignment horizontal="center" wrapText="1"/>
    </xf>
    <xf numFmtId="1" fontId="49" fillId="0" borderId="0" xfId="0" applyNumberFormat="1" applyFont="1" applyAlignment="1">
      <alignment horizontal="center" vertical="center" wrapText="1"/>
    </xf>
    <xf numFmtId="0" fontId="5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13" fillId="3" borderId="0" xfId="1" applyFont="1" applyFill="1" applyAlignment="1">
      <alignment horizontal="center" vertical="center"/>
    </xf>
    <xf numFmtId="0" fontId="38" fillId="6" borderId="0" xfId="0" applyFont="1" applyFill="1" applyBorder="1" applyAlignment="1">
      <alignment vertical="center" wrapText="1"/>
    </xf>
    <xf numFmtId="1" fontId="0" fillId="0" borderId="0" xfId="0" applyNumberFormat="1" applyAlignment="1">
      <alignment horizontal="center" vertical="center"/>
    </xf>
    <xf numFmtId="0" fontId="58" fillId="6" borderId="0" xfId="0" applyFont="1" applyFill="1" applyAlignment="1">
      <alignment horizontal="center" vertical="center"/>
    </xf>
    <xf numFmtId="0" fontId="58" fillId="6" borderId="0" xfId="0" applyFont="1" applyFill="1" applyAlignment="1">
      <alignment horizontal="center" vertical="center" wrapText="1"/>
    </xf>
    <xf numFmtId="0" fontId="38" fillId="5" borderId="0" xfId="0" applyFont="1" applyFill="1" applyBorder="1" applyAlignment="1">
      <alignment vertical="center" wrapText="1"/>
    </xf>
    <xf numFmtId="0" fontId="25" fillId="2" borderId="0" xfId="0" applyFont="1" applyFill="1" applyAlignment="1">
      <alignment horizontal="center" vertical="center" wrapText="1"/>
    </xf>
    <xf numFmtId="0" fontId="2" fillId="6" borderId="17" xfId="0" applyFont="1" applyFill="1" applyBorder="1" applyAlignment="1">
      <alignment horizontal="center"/>
    </xf>
    <xf numFmtId="0" fontId="4" fillId="2" borderId="7" xfId="1" applyFont="1" applyFill="1" applyBorder="1" applyAlignment="1">
      <alignment horizontal="center" vertical="center"/>
    </xf>
    <xf numFmtId="0" fontId="4" fillId="2" borderId="12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4" fillId="2" borderId="13" xfId="1" applyFont="1" applyFill="1" applyBorder="1" applyAlignment="1">
      <alignment horizontal="center" vertical="center"/>
    </xf>
    <xf numFmtId="0" fontId="4" fillId="2" borderId="11" xfId="1" applyFont="1" applyFill="1" applyBorder="1" applyAlignment="1">
      <alignment horizontal="center" vertical="center"/>
    </xf>
    <xf numFmtId="0" fontId="59" fillId="5" borderId="0" xfId="0" applyFont="1" applyFill="1" applyAlignment="1">
      <alignment wrapText="1"/>
    </xf>
    <xf numFmtId="0" fontId="57" fillId="7" borderId="0" xfId="0" applyFont="1" applyFill="1" applyAlignment="1">
      <alignment horizontal="center" vertical="center" wrapText="1"/>
    </xf>
    <xf numFmtId="0" fontId="54" fillId="6" borderId="0" xfId="0" applyFont="1" applyFill="1" applyAlignment="1">
      <alignment horizontal="center" vertical="center" wrapText="1"/>
    </xf>
    <xf numFmtId="0" fontId="12" fillId="14" borderId="2" xfId="0" applyFont="1" applyFill="1" applyBorder="1" applyAlignment="1">
      <alignment horizontal="center" vertical="center" wrapText="1"/>
    </xf>
    <xf numFmtId="0" fontId="12" fillId="14" borderId="3" xfId="0" applyFont="1" applyFill="1" applyBorder="1" applyAlignment="1">
      <alignment horizontal="center" vertical="center"/>
    </xf>
    <xf numFmtId="0" fontId="12" fillId="14" borderId="14" xfId="0" applyFont="1" applyFill="1" applyBorder="1" applyAlignment="1">
      <alignment horizontal="center" vertical="center"/>
    </xf>
    <xf numFmtId="0" fontId="12" fillId="14" borderId="0" xfId="0" applyFont="1" applyFill="1" applyBorder="1" applyAlignment="1">
      <alignment horizontal="center" vertical="center"/>
    </xf>
    <xf numFmtId="0" fontId="5" fillId="14" borderId="14" xfId="0" applyFont="1" applyFill="1" applyBorder="1" applyAlignment="1">
      <alignment horizontal="center" vertical="center"/>
    </xf>
    <xf numFmtId="0" fontId="5" fillId="14" borderId="0" xfId="0" applyFont="1" applyFill="1" applyBorder="1" applyAlignment="1">
      <alignment horizontal="center" vertical="center"/>
    </xf>
    <xf numFmtId="0" fontId="5" fillId="14" borderId="4" xfId="0" applyFont="1" applyFill="1" applyBorder="1" applyAlignment="1">
      <alignment horizontal="center" vertical="center"/>
    </xf>
    <xf numFmtId="0" fontId="5" fillId="14" borderId="5" xfId="0" applyFont="1" applyFill="1" applyBorder="1" applyAlignment="1">
      <alignment horizontal="center" vertical="center"/>
    </xf>
    <xf numFmtId="0" fontId="59" fillId="14" borderId="6" xfId="1" applyFont="1" applyFill="1" applyBorder="1" applyAlignment="1">
      <alignment horizontal="center" vertical="center" wrapText="1"/>
    </xf>
    <xf numFmtId="0" fontId="59" fillId="14" borderId="7" xfId="1" applyFont="1" applyFill="1" applyBorder="1" applyAlignment="1">
      <alignment horizontal="center" vertical="center" wrapText="1"/>
    </xf>
    <xf numFmtId="0" fontId="59" fillId="14" borderId="8" xfId="1" applyFont="1" applyFill="1" applyBorder="1" applyAlignment="1">
      <alignment horizontal="center" vertical="center" wrapText="1"/>
    </xf>
    <xf numFmtId="0" fontId="59" fillId="14" borderId="12" xfId="1" applyFont="1" applyFill="1" applyBorder="1" applyAlignment="1">
      <alignment horizontal="center" vertical="center" wrapText="1"/>
    </xf>
    <xf numFmtId="0" fontId="59" fillId="14" borderId="0" xfId="1" applyFont="1" applyFill="1" applyBorder="1" applyAlignment="1">
      <alignment horizontal="center" vertical="center" wrapText="1"/>
    </xf>
    <xf numFmtId="0" fontId="59" fillId="14" borderId="13" xfId="1" applyFont="1" applyFill="1" applyBorder="1" applyAlignment="1">
      <alignment horizontal="center" vertical="center" wrapText="1"/>
    </xf>
    <xf numFmtId="0" fontId="59" fillId="14" borderId="9" xfId="1" applyFont="1" applyFill="1" applyBorder="1" applyAlignment="1">
      <alignment horizontal="center" vertical="center" wrapText="1"/>
    </xf>
    <xf numFmtId="0" fontId="59" fillId="14" borderId="10" xfId="1" applyFont="1" applyFill="1" applyBorder="1" applyAlignment="1">
      <alignment horizontal="center" vertical="center" wrapText="1"/>
    </xf>
    <xf numFmtId="0" fontId="59" fillId="14" borderId="11" xfId="1" applyFont="1" applyFill="1" applyBorder="1" applyAlignment="1">
      <alignment horizontal="center" vertical="center" wrapText="1"/>
    </xf>
  </cellXfs>
  <cellStyles count="3">
    <cellStyle name="Hyperlink" xfId="1" builtinId="8"/>
    <cellStyle name="Normal" xfId="0" builtinId="0"/>
    <cellStyle name="Per cent" xfId="2" builtinId="5"/>
  </cellStyles>
  <dxfs count="0"/>
  <tableStyles count="0" defaultTableStyle="TableStyleMedium2" defaultPivotStyle="PivotStyleLight16"/>
  <colors>
    <mruColors>
      <color rgb="FFFE0000"/>
      <color rgb="FFF2761F"/>
      <color rgb="FFF95900"/>
      <color rgb="FFFFDAA7"/>
      <color rgb="FF44A2D3"/>
      <color rgb="FF062355"/>
      <color rgb="FF3E50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n-GB" i="1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Dyno Chart </a:t>
            </a:r>
          </a:p>
        </c:rich>
      </c:tx>
      <c:overlay val="0"/>
      <c:spPr>
        <a:solidFill>
          <a:srgbClr val="FF0000"/>
        </a:solidFill>
        <a:ln>
          <a:solidFill>
            <a:schemeClr val="bg1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'Ducati Panigale data'!$E$4</c:f>
              <c:strCache>
                <c:ptCount val="1"/>
                <c:pt idx="0">
                  <c:v>Torque (Nm)</c:v>
                </c:pt>
              </c:strCache>
            </c:strRef>
          </c:tx>
          <c:spPr>
            <a:ln w="508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'Ducati Panigale data'!$B$5:$B$23</c:f>
              <c:numCache>
                <c:formatCode>General</c:formatCode>
                <c:ptCount val="19"/>
                <c:pt idx="0">
                  <c:v>2500</c:v>
                </c:pt>
                <c:pt idx="1">
                  <c:v>3000</c:v>
                </c:pt>
                <c:pt idx="2">
                  <c:v>3500</c:v>
                </c:pt>
                <c:pt idx="3">
                  <c:v>4000</c:v>
                </c:pt>
                <c:pt idx="4">
                  <c:v>4500</c:v>
                </c:pt>
                <c:pt idx="5">
                  <c:v>5000</c:v>
                </c:pt>
                <c:pt idx="6">
                  <c:v>5500</c:v>
                </c:pt>
                <c:pt idx="7">
                  <c:v>6000</c:v>
                </c:pt>
                <c:pt idx="8">
                  <c:v>6500</c:v>
                </c:pt>
                <c:pt idx="9">
                  <c:v>7000</c:v>
                </c:pt>
                <c:pt idx="10">
                  <c:v>7500</c:v>
                </c:pt>
                <c:pt idx="11">
                  <c:v>8000</c:v>
                </c:pt>
                <c:pt idx="12">
                  <c:v>8500</c:v>
                </c:pt>
                <c:pt idx="13">
                  <c:v>9000</c:v>
                </c:pt>
                <c:pt idx="14">
                  <c:v>9500</c:v>
                </c:pt>
                <c:pt idx="15">
                  <c:v>10000</c:v>
                </c:pt>
                <c:pt idx="16">
                  <c:v>10500</c:v>
                </c:pt>
                <c:pt idx="17">
                  <c:v>11000</c:v>
                </c:pt>
                <c:pt idx="18">
                  <c:v>11500</c:v>
                </c:pt>
              </c:numCache>
            </c:numRef>
          </c:xVal>
          <c:yVal>
            <c:numRef>
              <c:f>'Ducati Panigale data'!$E$5:$E$23</c:f>
              <c:numCache>
                <c:formatCode>0.00</c:formatCode>
                <c:ptCount val="19"/>
                <c:pt idx="0">
                  <c:v>69.145799999999994</c:v>
                </c:pt>
                <c:pt idx="1">
                  <c:v>67.789999999999992</c:v>
                </c:pt>
                <c:pt idx="2">
                  <c:v>88.126999999999995</c:v>
                </c:pt>
                <c:pt idx="3">
                  <c:v>94.905999999999992</c:v>
                </c:pt>
                <c:pt idx="4">
                  <c:v>90.8386</c:v>
                </c:pt>
                <c:pt idx="5">
                  <c:v>84.059599999999989</c:v>
                </c:pt>
                <c:pt idx="6">
                  <c:v>85.415399999999991</c:v>
                </c:pt>
                <c:pt idx="7">
                  <c:v>88.126999999999995</c:v>
                </c:pt>
                <c:pt idx="8">
                  <c:v>85.415399999999991</c:v>
                </c:pt>
                <c:pt idx="9">
                  <c:v>89.482799999999997</c:v>
                </c:pt>
                <c:pt idx="10">
                  <c:v>94.905999999999992</c:v>
                </c:pt>
                <c:pt idx="11">
                  <c:v>108.464</c:v>
                </c:pt>
                <c:pt idx="12">
                  <c:v>112.53139999999999</c:v>
                </c:pt>
                <c:pt idx="13">
                  <c:v>117.95459999999999</c:v>
                </c:pt>
                <c:pt idx="14">
                  <c:v>115.24299999999999</c:v>
                </c:pt>
                <c:pt idx="15">
                  <c:v>112.53139999999999</c:v>
                </c:pt>
                <c:pt idx="16">
                  <c:v>115.24299999999999</c:v>
                </c:pt>
                <c:pt idx="17">
                  <c:v>109.81979999999999</c:v>
                </c:pt>
                <c:pt idx="18">
                  <c:v>107.1082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E3B-5E42-A186-C4A2E7143905}"/>
            </c:ext>
          </c:extLst>
        </c:ser>
        <c:ser>
          <c:idx val="1"/>
          <c:order val="1"/>
          <c:tx>
            <c:strRef>
              <c:f>'Ducati Panigale data'!$F$4</c:f>
              <c:strCache>
                <c:ptCount val="1"/>
                <c:pt idx="0">
                  <c:v>Power (Kw)</c:v>
                </c:pt>
              </c:strCache>
            </c:strRef>
          </c:tx>
          <c:spPr>
            <a:ln w="50800" cap="rnd">
              <a:solidFill>
                <a:srgbClr val="FE0000"/>
              </a:solidFill>
              <a:round/>
            </a:ln>
            <a:effectLst/>
          </c:spPr>
          <c:marker>
            <c:symbol val="none"/>
          </c:marker>
          <c:xVal>
            <c:numRef>
              <c:f>'Ducati Panigale data'!$B$5:$B$23</c:f>
              <c:numCache>
                <c:formatCode>General</c:formatCode>
                <c:ptCount val="19"/>
                <c:pt idx="0">
                  <c:v>2500</c:v>
                </c:pt>
                <c:pt idx="1">
                  <c:v>3000</c:v>
                </c:pt>
                <c:pt idx="2">
                  <c:v>3500</c:v>
                </c:pt>
                <c:pt idx="3">
                  <c:v>4000</c:v>
                </c:pt>
                <c:pt idx="4">
                  <c:v>4500</c:v>
                </c:pt>
                <c:pt idx="5">
                  <c:v>5000</c:v>
                </c:pt>
                <c:pt idx="6">
                  <c:v>5500</c:v>
                </c:pt>
                <c:pt idx="7">
                  <c:v>6000</c:v>
                </c:pt>
                <c:pt idx="8">
                  <c:v>6500</c:v>
                </c:pt>
                <c:pt idx="9">
                  <c:v>7000</c:v>
                </c:pt>
                <c:pt idx="10">
                  <c:v>7500</c:v>
                </c:pt>
                <c:pt idx="11">
                  <c:v>8000</c:v>
                </c:pt>
                <c:pt idx="12">
                  <c:v>8500</c:v>
                </c:pt>
                <c:pt idx="13">
                  <c:v>9000</c:v>
                </c:pt>
                <c:pt idx="14">
                  <c:v>9500</c:v>
                </c:pt>
                <c:pt idx="15">
                  <c:v>10000</c:v>
                </c:pt>
                <c:pt idx="16">
                  <c:v>10500</c:v>
                </c:pt>
                <c:pt idx="17">
                  <c:v>11000</c:v>
                </c:pt>
                <c:pt idx="18">
                  <c:v>11500</c:v>
                </c:pt>
              </c:numCache>
            </c:numRef>
          </c:xVal>
          <c:yVal>
            <c:numRef>
              <c:f>'Ducati Panigale data'!$F$5:$F$23</c:f>
              <c:numCache>
                <c:formatCode>0.00</c:formatCode>
                <c:ptCount val="19"/>
                <c:pt idx="0">
                  <c:v>18.642500000000002</c:v>
                </c:pt>
                <c:pt idx="1">
                  <c:v>21.625299999999999</c:v>
                </c:pt>
                <c:pt idx="2">
                  <c:v>31.319400000000002</c:v>
                </c:pt>
                <c:pt idx="3">
                  <c:v>39.522100000000002</c:v>
                </c:pt>
                <c:pt idx="4">
                  <c:v>43.250599999999999</c:v>
                </c:pt>
                <c:pt idx="5">
                  <c:v>44.742000000000004</c:v>
                </c:pt>
                <c:pt idx="6">
                  <c:v>49.216200000000001</c:v>
                </c:pt>
                <c:pt idx="7">
                  <c:v>55.927500000000002</c:v>
                </c:pt>
                <c:pt idx="8">
                  <c:v>55.927500000000002</c:v>
                </c:pt>
                <c:pt idx="9">
                  <c:v>67.113</c:v>
                </c:pt>
                <c:pt idx="10">
                  <c:v>76.061400000000006</c:v>
                </c:pt>
                <c:pt idx="11">
                  <c:v>89.484000000000009</c:v>
                </c:pt>
                <c:pt idx="12">
                  <c:v>100.6695</c:v>
                </c:pt>
                <c:pt idx="13">
                  <c:v>111.855</c:v>
                </c:pt>
                <c:pt idx="14">
                  <c:v>115.5835</c:v>
                </c:pt>
                <c:pt idx="15">
                  <c:v>119.31200000000001</c:v>
                </c:pt>
                <c:pt idx="16">
                  <c:v>128.2604</c:v>
                </c:pt>
                <c:pt idx="17">
                  <c:v>127.5147</c:v>
                </c:pt>
                <c:pt idx="18">
                  <c:v>126.76900000000001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E3B-5E42-A186-C4A2E7143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93288495"/>
        <c:axId val="1645073103"/>
      </c:scatterChart>
      <c:valAx>
        <c:axId val="129328849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1">
                    <a:latin typeface="Arial" panose="020B0604020202020204" pitchFamily="34" charset="0"/>
                    <a:cs typeface="Arial" panose="020B0604020202020204" pitchFamily="34" charset="0"/>
                  </a:rPr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645073103"/>
        <c:crosses val="autoZero"/>
        <c:crossBetween val="midCat"/>
      </c:valAx>
      <c:valAx>
        <c:axId val="16450731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1">
                    <a:latin typeface="Arial" panose="020B0604020202020204" pitchFamily="34" charset="0"/>
                    <a:cs typeface="Arial" panose="020B0604020202020204" pitchFamily="34" charset="0"/>
                  </a:rPr>
                  <a:t>Torque (Nm)</a:t>
                </a:r>
                <a:r>
                  <a:rPr lang="en-GB" sz="1000" b="1" baseline="0">
                    <a:latin typeface="Arial" panose="020B0604020202020204" pitchFamily="34" charset="0"/>
                    <a:cs typeface="Arial" panose="020B0604020202020204" pitchFamily="34" charset="0"/>
                  </a:rPr>
                  <a:t> / Power (Kw)</a:t>
                </a:r>
                <a:endParaRPr lang="en-GB" sz="1000" b="1"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29328849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25400" cap="flat" cmpd="sng" algn="ctr">
      <a:solidFill>
        <a:srgbClr val="FE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1" u="none" strike="noStrike" kern="1200" cap="all" spc="120" normalizeH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n-GB" i="1">
                <a:solidFill>
                  <a:schemeClr val="bg1"/>
                </a:solidFill>
              </a:rPr>
              <a:t>gear/rpm</a:t>
            </a:r>
            <a:r>
              <a:rPr lang="en-GB" i="1" baseline="0">
                <a:solidFill>
                  <a:schemeClr val="bg1"/>
                </a:solidFill>
              </a:rPr>
              <a:t> shift</a:t>
            </a:r>
            <a:endParaRPr lang="en-GB" i="1">
              <a:solidFill>
                <a:schemeClr val="bg1"/>
              </a:solidFill>
            </a:endParaRPr>
          </a:p>
        </c:rich>
      </c:tx>
      <c:overlay val="0"/>
      <c:spPr>
        <a:solidFill>
          <a:srgbClr val="FE0000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1" u="none" strike="noStrike" kern="1200" cap="all" spc="120" normalizeH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17018624969568"/>
          <c:y val="8.1743926819295029E-2"/>
          <c:w val="0.71264667046161723"/>
          <c:h val="0.76818902690482482"/>
        </c:manualLayout>
      </c:layout>
      <c:scatterChart>
        <c:scatterStyle val="smoothMarker"/>
        <c:varyColors val="0"/>
        <c:ser>
          <c:idx val="5"/>
          <c:order val="0"/>
          <c:tx>
            <c:strRef>
              <c:f>'Ducati Panigale data'!$O$4</c:f>
              <c:strCache>
                <c:ptCount val="1"/>
                <c:pt idx="0">
                  <c:v>1st Gear </c:v>
                </c:pt>
              </c:strCache>
            </c:strRef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'Ducati Panigale data'!$H$5:$H$24</c:f>
              <c:numCache>
                <c:formatCode>0.00</c:formatCode>
                <c:ptCount val="20"/>
                <c:pt idx="0">
                  <c:v>27.109222371565398</c:v>
                </c:pt>
                <c:pt idx="1">
                  <c:v>32.531066845878478</c:v>
                </c:pt>
                <c:pt idx="2">
                  <c:v>37.952911320191554</c:v>
                </c:pt>
                <c:pt idx="3">
                  <c:v>43.374755794504637</c:v>
                </c:pt>
                <c:pt idx="4">
                  <c:v>48.79660026881772</c:v>
                </c:pt>
                <c:pt idx="5">
                  <c:v>54.218444743130796</c:v>
                </c:pt>
                <c:pt idx="6">
                  <c:v>59.640289217443865</c:v>
                </c:pt>
                <c:pt idx="7">
                  <c:v>65.062133691756955</c:v>
                </c:pt>
                <c:pt idx="8">
                  <c:v>70.483978166070017</c:v>
                </c:pt>
                <c:pt idx="9">
                  <c:v>75.905822640383107</c:v>
                </c:pt>
                <c:pt idx="10">
                  <c:v>81.327667114696197</c:v>
                </c:pt>
                <c:pt idx="11">
                  <c:v>86.749511589009273</c:v>
                </c:pt>
                <c:pt idx="12">
                  <c:v>92.171356063322349</c:v>
                </c:pt>
                <c:pt idx="13">
                  <c:v>97.59320053763544</c:v>
                </c:pt>
                <c:pt idx="14">
                  <c:v>103.01504501194852</c:v>
                </c:pt>
                <c:pt idx="15">
                  <c:v>108.43688948626159</c:v>
                </c:pt>
                <c:pt idx="16">
                  <c:v>113.85873396057465</c:v>
                </c:pt>
                <c:pt idx="17">
                  <c:v>119.28057843488773</c:v>
                </c:pt>
                <c:pt idx="18">
                  <c:v>124.70242290920083</c:v>
                </c:pt>
                <c:pt idx="19">
                  <c:v>130.12426738351391</c:v>
                </c:pt>
              </c:numCache>
            </c:numRef>
          </c:xVal>
          <c:yVal>
            <c:numRef>
              <c:f>'Ducati Panigale data'!$O$5:$O$24</c:f>
              <c:numCache>
                <c:formatCode>0</c:formatCode>
                <c:ptCount val="20"/>
                <c:pt idx="0">
                  <c:v>3319.9034176059631</c:v>
                </c:pt>
                <c:pt idx="1">
                  <c:v>3209.2399703524306</c:v>
                </c:pt>
                <c:pt idx="2">
                  <c:v>3983.8841011271556</c:v>
                </c:pt>
                <c:pt idx="3">
                  <c:v>4398.8720283279008</c:v>
                </c:pt>
                <c:pt idx="4">
                  <c:v>4278.9866271365745</c:v>
                </c:pt>
                <c:pt idx="5">
                  <c:v>3983.8841011271556</c:v>
                </c:pt>
                <c:pt idx="6">
                  <c:v>3983.8841011271566</c:v>
                </c:pt>
                <c:pt idx="7">
                  <c:v>4149.8792720074534</c:v>
                </c:pt>
                <c:pt idx="8">
                  <c:v>3830.6577895453433</c:v>
                </c:pt>
                <c:pt idx="9">
                  <c:v>4268.4472512076673</c:v>
                </c:pt>
                <c:pt idx="10">
                  <c:v>4515.0686479441092</c:v>
                </c:pt>
                <c:pt idx="11">
                  <c:v>4979.8551264089447</c:v>
                </c:pt>
                <c:pt idx="12">
                  <c:v>5272.7877809035881</c:v>
                </c:pt>
                <c:pt idx="13">
                  <c:v>5533.1723626766043</c:v>
                </c:pt>
                <c:pt idx="14">
                  <c:v>5416.6845234623606</c:v>
                </c:pt>
                <c:pt idx="15">
                  <c:v>5311.8454681695412</c:v>
                </c:pt>
                <c:pt idx="16">
                  <c:v>5438.3179793164354</c:v>
                </c:pt>
                <c:pt idx="17">
                  <c:v>5160.9407673692713</c:v>
                </c:pt>
                <c:pt idx="18">
                  <c:v>4907.6833129827273</c:v>
                </c:pt>
                <c:pt idx="19">
                  <c:v>4703.196508275114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959-B640-8F2E-84B4AB94BED5}"/>
            </c:ext>
          </c:extLst>
        </c:ser>
        <c:ser>
          <c:idx val="6"/>
          <c:order val="1"/>
          <c:tx>
            <c:strRef>
              <c:f>'Ducati Panigale data'!$P$4</c:f>
              <c:strCache>
                <c:ptCount val="1"/>
                <c:pt idx="0">
                  <c:v>2nd Gear </c:v>
                </c:pt>
              </c:strCache>
            </c:strRef>
          </c:tx>
          <c:spPr>
            <a:ln w="25400" cap="rnd">
              <a:solidFill>
                <a:srgbClr val="FE0000"/>
              </a:solidFill>
              <a:round/>
            </a:ln>
            <a:effectLst/>
          </c:spPr>
          <c:marker>
            <c:symbol val="none"/>
          </c:marker>
          <c:xVal>
            <c:numRef>
              <c:f>'Ducati Panigale data'!$I$5:$I$24</c:f>
              <c:numCache>
                <c:formatCode>0.00</c:formatCode>
                <c:ptCount val="20"/>
                <c:pt idx="0">
                  <c:v>35.663688097703805</c:v>
                </c:pt>
                <c:pt idx="1">
                  <c:v>42.796425717244567</c:v>
                </c:pt>
                <c:pt idx="2">
                  <c:v>49.929163336785336</c:v>
                </c:pt>
                <c:pt idx="3">
                  <c:v>57.061900956326099</c:v>
                </c:pt>
                <c:pt idx="4">
                  <c:v>64.194638575866861</c:v>
                </c:pt>
                <c:pt idx="5">
                  <c:v>71.327376195407609</c:v>
                </c:pt>
                <c:pt idx="6">
                  <c:v>78.460113814948372</c:v>
                </c:pt>
                <c:pt idx="7">
                  <c:v>85.592851434489134</c:v>
                </c:pt>
                <c:pt idx="8">
                  <c:v>92.725589054029896</c:v>
                </c:pt>
                <c:pt idx="9">
                  <c:v>99.858326673570673</c:v>
                </c:pt>
                <c:pt idx="10">
                  <c:v>106.99106429311139</c:v>
                </c:pt>
                <c:pt idx="11">
                  <c:v>114.1238019126522</c:v>
                </c:pt>
                <c:pt idx="12">
                  <c:v>121.25653953219295</c:v>
                </c:pt>
                <c:pt idx="13">
                  <c:v>128.38927715173372</c:v>
                </c:pt>
                <c:pt idx="14">
                  <c:v>135.52201477127448</c:v>
                </c:pt>
                <c:pt idx="15">
                  <c:v>142.65475239081522</c:v>
                </c:pt>
                <c:pt idx="16">
                  <c:v>149.78749001035601</c:v>
                </c:pt>
                <c:pt idx="17">
                  <c:v>156.92022762989674</c:v>
                </c:pt>
                <c:pt idx="18">
                  <c:v>164.05296524943748</c:v>
                </c:pt>
                <c:pt idx="19">
                  <c:v>171.18570286897827</c:v>
                </c:pt>
              </c:numCache>
            </c:numRef>
          </c:xVal>
          <c:yVal>
            <c:numRef>
              <c:f>'Ducati Panigale data'!$P$5:$P$24</c:f>
              <c:numCache>
                <c:formatCode>0</c:formatCode>
                <c:ptCount val="20"/>
                <c:pt idx="0">
                  <c:v>2523.5752329775064</c:v>
                </c:pt>
                <c:pt idx="1">
                  <c:v>2439.4560585449226</c:v>
                </c:pt>
                <c:pt idx="2">
                  <c:v>3028.290279573007</c:v>
                </c:pt>
                <c:pt idx="3">
                  <c:v>3343.7371836951952</c:v>
                </c:pt>
                <c:pt idx="4">
                  <c:v>3252.6080780598963</c:v>
                </c:pt>
                <c:pt idx="5">
                  <c:v>3028.2902795730079</c:v>
                </c:pt>
                <c:pt idx="6">
                  <c:v>3028.2902795730074</c:v>
                </c:pt>
                <c:pt idx="7">
                  <c:v>3154.4690412218829</c:v>
                </c:pt>
                <c:pt idx="8">
                  <c:v>2911.817576512507</c:v>
                </c:pt>
                <c:pt idx="9">
                  <c:v>3244.596728113936</c:v>
                </c:pt>
                <c:pt idx="10">
                  <c:v>3432.0623168494094</c:v>
                </c:pt>
                <c:pt idx="11">
                  <c:v>3785.3628494662585</c:v>
                </c:pt>
                <c:pt idx="12">
                  <c:v>4008.031252376039</c:v>
                </c:pt>
                <c:pt idx="13">
                  <c:v>4205.9587216291766</c:v>
                </c:pt>
                <c:pt idx="14">
                  <c:v>4117.4122222264568</c:v>
                </c:pt>
                <c:pt idx="15">
                  <c:v>4037.7203727640103</c:v>
                </c:pt>
                <c:pt idx="16">
                  <c:v>4133.8565721155337</c:v>
                </c:pt>
                <c:pt idx="17">
                  <c:v>3923.0124076286688</c:v>
                </c:pt>
                <c:pt idx="18">
                  <c:v>3730.5025183145754</c:v>
                </c:pt>
                <c:pt idx="19">
                  <c:v>3575.0649133848005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959-B640-8F2E-84B4AB94BED5}"/>
            </c:ext>
          </c:extLst>
        </c:ser>
        <c:ser>
          <c:idx val="7"/>
          <c:order val="2"/>
          <c:tx>
            <c:strRef>
              <c:f>'Ducati Panigale data'!$Q$4</c:f>
              <c:strCache>
                <c:ptCount val="1"/>
                <c:pt idx="0">
                  <c:v>3rd Gear </c:v>
                </c:pt>
              </c:strCache>
            </c:strRef>
          </c:tx>
          <c:spPr>
            <a:ln w="25400" cap="rnd">
              <a:solidFill>
                <a:srgbClr val="92D050"/>
              </a:solidFill>
              <a:round/>
            </a:ln>
            <a:effectLst/>
          </c:spPr>
          <c:marker>
            <c:symbol val="none"/>
          </c:marker>
          <c:xVal>
            <c:numRef>
              <c:f>'Ducati Panigale data'!$J$5:$J$24</c:f>
              <c:numCache>
                <c:formatCode>0.00</c:formatCode>
                <c:ptCount val="20"/>
                <c:pt idx="0">
                  <c:v>44.579610122129765</c:v>
                </c:pt>
                <c:pt idx="1">
                  <c:v>53.495532146555696</c:v>
                </c:pt>
                <c:pt idx="2">
                  <c:v>62.411454170981649</c:v>
                </c:pt>
                <c:pt idx="3">
                  <c:v>71.327376195407609</c:v>
                </c:pt>
                <c:pt idx="4">
                  <c:v>80.243298219833562</c:v>
                </c:pt>
                <c:pt idx="5">
                  <c:v>89.159220244259529</c:v>
                </c:pt>
                <c:pt idx="6">
                  <c:v>98.075142268685482</c:v>
                </c:pt>
                <c:pt idx="7">
                  <c:v>106.99106429311139</c:v>
                </c:pt>
                <c:pt idx="8">
                  <c:v>115.90698631753736</c:v>
                </c:pt>
                <c:pt idx="9">
                  <c:v>124.8229083419633</c:v>
                </c:pt>
                <c:pt idx="10">
                  <c:v>133.73883036638927</c:v>
                </c:pt>
                <c:pt idx="11">
                  <c:v>142.65475239081522</c:v>
                </c:pt>
                <c:pt idx="12">
                  <c:v>151.57067441524117</c:v>
                </c:pt>
                <c:pt idx="13">
                  <c:v>160.48659643966712</c:v>
                </c:pt>
                <c:pt idx="14">
                  <c:v>169.40251846409308</c:v>
                </c:pt>
                <c:pt idx="15">
                  <c:v>178.31844048851906</c:v>
                </c:pt>
                <c:pt idx="16">
                  <c:v>187.23436251294501</c:v>
                </c:pt>
                <c:pt idx="17">
                  <c:v>196.15028453737096</c:v>
                </c:pt>
                <c:pt idx="18">
                  <c:v>205.06620656179686</c:v>
                </c:pt>
                <c:pt idx="19">
                  <c:v>213.98212858622279</c:v>
                </c:pt>
              </c:numCache>
            </c:numRef>
          </c:xVal>
          <c:yVal>
            <c:numRef>
              <c:f>'Ducati Panigale data'!$Q$5:$Q$24</c:f>
              <c:numCache>
                <c:formatCode>0</c:formatCode>
                <c:ptCount val="20"/>
                <c:pt idx="0">
                  <c:v>2018.8601863820047</c:v>
                </c:pt>
                <c:pt idx="1">
                  <c:v>1951.5648468359386</c:v>
                </c:pt>
                <c:pt idx="2">
                  <c:v>2422.6322236584065</c:v>
                </c:pt>
                <c:pt idx="3">
                  <c:v>2674.989746956157</c:v>
                </c:pt>
                <c:pt idx="4">
                  <c:v>2602.0864624479177</c:v>
                </c:pt>
                <c:pt idx="5">
                  <c:v>2422.6322236584056</c:v>
                </c:pt>
                <c:pt idx="6">
                  <c:v>2422.6322236584056</c:v>
                </c:pt>
                <c:pt idx="7">
                  <c:v>2523.5752329775069</c:v>
                </c:pt>
                <c:pt idx="8">
                  <c:v>2329.4540612100063</c:v>
                </c:pt>
                <c:pt idx="9">
                  <c:v>2595.6773824911497</c:v>
                </c:pt>
                <c:pt idx="10">
                  <c:v>2745.6498534795269</c:v>
                </c:pt>
                <c:pt idx="11">
                  <c:v>3028.2902795730079</c:v>
                </c:pt>
                <c:pt idx="12">
                  <c:v>3206.4250019008314</c:v>
                </c:pt>
                <c:pt idx="13">
                  <c:v>3364.7669773033417</c:v>
                </c:pt>
                <c:pt idx="14">
                  <c:v>3293.9297777811657</c:v>
                </c:pt>
                <c:pt idx="15">
                  <c:v>3230.1762982112073</c:v>
                </c:pt>
                <c:pt idx="16">
                  <c:v>3307.0852576924267</c:v>
                </c:pt>
                <c:pt idx="17">
                  <c:v>3138.4099261029342</c:v>
                </c:pt>
                <c:pt idx="18">
                  <c:v>2984.4020146516596</c:v>
                </c:pt>
                <c:pt idx="19">
                  <c:v>2860.0519307078412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959-B640-8F2E-84B4AB94BED5}"/>
            </c:ext>
          </c:extLst>
        </c:ser>
        <c:ser>
          <c:idx val="8"/>
          <c:order val="3"/>
          <c:tx>
            <c:strRef>
              <c:f>'Ducati Panigale data'!$R$4</c:f>
              <c:strCache>
                <c:ptCount val="1"/>
                <c:pt idx="0">
                  <c:v>4th Gear </c:v>
                </c:pt>
              </c:strCache>
            </c:strRef>
          </c:tx>
          <c:spPr>
            <a:ln w="25400" cap="rnd">
              <a:solidFill>
                <a:srgbClr val="F2761F"/>
              </a:solidFill>
              <a:round/>
            </a:ln>
            <a:effectLst/>
          </c:spPr>
          <c:marker>
            <c:symbol val="none"/>
          </c:marker>
          <c:xVal>
            <c:numRef>
              <c:f>'Ducati Panigale data'!$K$5:$K$24</c:f>
              <c:numCache>
                <c:formatCode>0.00</c:formatCode>
                <c:ptCount val="20"/>
                <c:pt idx="0">
                  <c:v>53.495532146555696</c:v>
                </c:pt>
                <c:pt idx="1">
                  <c:v>64.194638575866861</c:v>
                </c:pt>
                <c:pt idx="2">
                  <c:v>74.893745005178005</c:v>
                </c:pt>
                <c:pt idx="3">
                  <c:v>85.592851434489134</c:v>
                </c:pt>
                <c:pt idx="4">
                  <c:v>96.291957863800292</c:v>
                </c:pt>
                <c:pt idx="5">
                  <c:v>106.99106429311139</c:v>
                </c:pt>
                <c:pt idx="6">
                  <c:v>117.69017072242258</c:v>
                </c:pt>
                <c:pt idx="7">
                  <c:v>128.38927715173372</c:v>
                </c:pt>
                <c:pt idx="8">
                  <c:v>139.08838358104484</c:v>
                </c:pt>
                <c:pt idx="9">
                  <c:v>149.78749001035601</c:v>
                </c:pt>
                <c:pt idx="10">
                  <c:v>160.48659643966712</c:v>
                </c:pt>
                <c:pt idx="11">
                  <c:v>171.18570286897827</c:v>
                </c:pt>
                <c:pt idx="12">
                  <c:v>181.88480929828944</c:v>
                </c:pt>
                <c:pt idx="13">
                  <c:v>192.58391572760058</c:v>
                </c:pt>
                <c:pt idx="14">
                  <c:v>203.28302215691173</c:v>
                </c:pt>
                <c:pt idx="15">
                  <c:v>213.98212858622279</c:v>
                </c:pt>
                <c:pt idx="16">
                  <c:v>224.68123501553399</c:v>
                </c:pt>
                <c:pt idx="17">
                  <c:v>235.38034144484516</c:v>
                </c:pt>
                <c:pt idx="18">
                  <c:v>246.07944787415627</c:v>
                </c:pt>
                <c:pt idx="19">
                  <c:v>256.77855430346744</c:v>
                </c:pt>
              </c:numCache>
            </c:numRef>
          </c:xVal>
          <c:yVal>
            <c:numRef>
              <c:f>'Ducati Panigale data'!$R$5:$R$24</c:f>
              <c:numCache>
                <c:formatCode>0</c:formatCode>
                <c:ptCount val="20"/>
                <c:pt idx="0">
                  <c:v>1682.3834886516711</c:v>
                </c:pt>
                <c:pt idx="1">
                  <c:v>1626.3040390299482</c:v>
                </c:pt>
                <c:pt idx="2">
                  <c:v>2018.8601863820047</c:v>
                </c:pt>
                <c:pt idx="3">
                  <c:v>2229.1581224634638</c:v>
                </c:pt>
                <c:pt idx="4">
                  <c:v>2168.4053853732644</c:v>
                </c:pt>
                <c:pt idx="5">
                  <c:v>2018.8601863820054</c:v>
                </c:pt>
                <c:pt idx="6">
                  <c:v>2018.8601863820047</c:v>
                </c:pt>
                <c:pt idx="7">
                  <c:v>2102.9793608145883</c:v>
                </c:pt>
                <c:pt idx="8">
                  <c:v>1941.2117176750048</c:v>
                </c:pt>
                <c:pt idx="9">
                  <c:v>2163.0644854092907</c:v>
                </c:pt>
                <c:pt idx="10">
                  <c:v>2288.0415445662725</c:v>
                </c:pt>
                <c:pt idx="11">
                  <c:v>2523.5752329775064</c:v>
                </c:pt>
                <c:pt idx="12">
                  <c:v>2672.020834917359</c:v>
                </c:pt>
                <c:pt idx="13">
                  <c:v>2803.9724810861176</c:v>
                </c:pt>
                <c:pt idx="14">
                  <c:v>2744.9414814843049</c:v>
                </c:pt>
                <c:pt idx="15">
                  <c:v>2691.813581842674</c:v>
                </c:pt>
                <c:pt idx="16">
                  <c:v>2755.9043814103561</c:v>
                </c:pt>
                <c:pt idx="17">
                  <c:v>2615.3416050857786</c:v>
                </c:pt>
                <c:pt idx="18">
                  <c:v>2487.0016788763828</c:v>
                </c:pt>
                <c:pt idx="19">
                  <c:v>2383.3766089231999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959-B640-8F2E-84B4AB94BED5}"/>
            </c:ext>
          </c:extLst>
        </c:ser>
        <c:ser>
          <c:idx val="9"/>
          <c:order val="4"/>
          <c:tx>
            <c:strRef>
              <c:f>'Ducati Panigale data'!$S$4</c:f>
              <c:strCache>
                <c:ptCount val="1"/>
                <c:pt idx="0">
                  <c:v>5th Gear </c:v>
                </c:pt>
              </c:strCache>
            </c:strRef>
          </c:tx>
          <c:spPr>
            <a:ln w="25400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xVal>
            <c:numRef>
              <c:f>'Ducati Panigale data'!$L$5:$L$24</c:f>
              <c:numCache>
                <c:formatCode>0.00</c:formatCode>
                <c:ptCount val="20"/>
                <c:pt idx="0">
                  <c:v>61.296963917928416</c:v>
                </c:pt>
                <c:pt idx="1">
                  <c:v>73.55635670151409</c:v>
                </c:pt>
                <c:pt idx="2">
                  <c:v>85.815749485099786</c:v>
                </c:pt>
                <c:pt idx="3">
                  <c:v>98.075142268685482</c:v>
                </c:pt>
                <c:pt idx="4">
                  <c:v>110.33453505227115</c:v>
                </c:pt>
                <c:pt idx="5">
                  <c:v>122.59392783585683</c:v>
                </c:pt>
                <c:pt idx="6">
                  <c:v>134.85332061944251</c:v>
                </c:pt>
                <c:pt idx="7">
                  <c:v>147.11271340302818</c:v>
                </c:pt>
                <c:pt idx="8">
                  <c:v>159.37210618661388</c:v>
                </c:pt>
                <c:pt idx="9">
                  <c:v>171.63149897019957</c:v>
                </c:pt>
                <c:pt idx="10">
                  <c:v>183.8908917537853</c:v>
                </c:pt>
                <c:pt idx="11">
                  <c:v>196.15028453737096</c:v>
                </c:pt>
                <c:pt idx="12">
                  <c:v>208.40967732095663</c:v>
                </c:pt>
                <c:pt idx="13">
                  <c:v>220.6690701045423</c:v>
                </c:pt>
                <c:pt idx="14">
                  <c:v>232.928462888128</c:v>
                </c:pt>
                <c:pt idx="15">
                  <c:v>245.18785567171366</c:v>
                </c:pt>
                <c:pt idx="16">
                  <c:v>257.44724845529936</c:v>
                </c:pt>
                <c:pt idx="17">
                  <c:v>269.70664123888503</c:v>
                </c:pt>
                <c:pt idx="18">
                  <c:v>281.96603402247069</c:v>
                </c:pt>
                <c:pt idx="19">
                  <c:v>294.22542680605636</c:v>
                </c:pt>
              </c:numCache>
            </c:numRef>
          </c:xVal>
          <c:yVal>
            <c:numRef>
              <c:f>'Ducati Panigale data'!$S$5:$S$24</c:f>
              <c:numCache>
                <c:formatCode>0</c:formatCode>
                <c:ptCount val="20"/>
                <c:pt idx="0">
                  <c:v>1468.2619537323674</c:v>
                </c:pt>
                <c:pt idx="1">
                  <c:v>1419.3198886079551</c:v>
                </c:pt>
                <c:pt idx="2">
                  <c:v>1761.9143444788406</c:v>
                </c:pt>
                <c:pt idx="3">
                  <c:v>1945.4470886953861</c:v>
                </c:pt>
                <c:pt idx="4">
                  <c:v>1892.42651814394</c:v>
                </c:pt>
                <c:pt idx="5">
                  <c:v>1761.9143444788408</c:v>
                </c:pt>
                <c:pt idx="6">
                  <c:v>1761.9143444788406</c:v>
                </c:pt>
                <c:pt idx="7">
                  <c:v>1835.3274421654592</c:v>
                </c:pt>
                <c:pt idx="8">
                  <c:v>1694.1484081527315</c:v>
                </c:pt>
                <c:pt idx="9">
                  <c:v>1887.765369084472</c:v>
                </c:pt>
                <c:pt idx="10">
                  <c:v>1996.8362570760189</c:v>
                </c:pt>
                <c:pt idx="11">
                  <c:v>2202.3929305985503</c:v>
                </c:pt>
                <c:pt idx="12">
                  <c:v>2331.945455927877</c:v>
                </c:pt>
                <c:pt idx="13">
                  <c:v>2447.1032562206124</c:v>
                </c:pt>
                <c:pt idx="14">
                  <c:v>2395.5852929317566</c:v>
                </c:pt>
                <c:pt idx="15">
                  <c:v>2349.2191259717879</c:v>
                </c:pt>
                <c:pt idx="16">
                  <c:v>2405.1529146854014</c:v>
                </c:pt>
                <c:pt idx="17">
                  <c:v>2282.4799462566798</c:v>
                </c:pt>
                <c:pt idx="18">
                  <c:v>2170.4741924739342</c:v>
                </c:pt>
                <c:pt idx="19">
                  <c:v>2080.0377677875204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2959-B640-8F2E-84B4AB94BED5}"/>
            </c:ext>
          </c:extLst>
        </c:ser>
        <c:ser>
          <c:idx val="10"/>
          <c:order val="5"/>
          <c:tx>
            <c:strRef>
              <c:f>'Ducati Panigale data'!$T$4</c:f>
              <c:strCache>
                <c:ptCount val="1"/>
                <c:pt idx="0">
                  <c:v>6th Gear </c:v>
                </c:pt>
              </c:strCache>
            </c:strRef>
          </c:tx>
          <c:spPr>
            <a:ln w="25400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'Ducati Panigale data'!$M$5:$M$24</c:f>
              <c:numCache>
                <c:formatCode>0.00</c:formatCode>
                <c:ptCount val="20"/>
                <c:pt idx="0">
                  <c:v>69.776781060724844</c:v>
                </c:pt>
                <c:pt idx="1">
                  <c:v>83.732137272869807</c:v>
                </c:pt>
                <c:pt idx="2">
                  <c:v>97.687493485014784</c:v>
                </c:pt>
                <c:pt idx="3">
                  <c:v>111.64284969715976</c:v>
                </c:pt>
                <c:pt idx="4">
                  <c:v>125.59820590930471</c:v>
                </c:pt>
                <c:pt idx="5">
                  <c:v>139.55356212144969</c:v>
                </c:pt>
                <c:pt idx="6">
                  <c:v>153.50891833359464</c:v>
                </c:pt>
                <c:pt idx="7">
                  <c:v>167.46427454573961</c:v>
                </c:pt>
                <c:pt idx="8">
                  <c:v>181.41963075788459</c:v>
                </c:pt>
                <c:pt idx="9">
                  <c:v>195.37498697002957</c:v>
                </c:pt>
                <c:pt idx="10">
                  <c:v>209.33034318217446</c:v>
                </c:pt>
                <c:pt idx="11">
                  <c:v>223.28569939431952</c:v>
                </c:pt>
                <c:pt idx="12">
                  <c:v>237.24105560646444</c:v>
                </c:pt>
                <c:pt idx="13">
                  <c:v>251.19641181860942</c:v>
                </c:pt>
                <c:pt idx="14">
                  <c:v>265.1517680307544</c:v>
                </c:pt>
                <c:pt idx="15">
                  <c:v>279.10712424289937</c:v>
                </c:pt>
                <c:pt idx="16">
                  <c:v>293.06248045504435</c:v>
                </c:pt>
                <c:pt idx="17">
                  <c:v>307.01783666718927</c:v>
                </c:pt>
                <c:pt idx="18">
                  <c:v>320.97319287933425</c:v>
                </c:pt>
                <c:pt idx="19">
                  <c:v>334.92854909147923</c:v>
                </c:pt>
              </c:numCache>
            </c:numRef>
          </c:xVal>
          <c:yVal>
            <c:numRef>
              <c:f>'Ducati Panigale data'!$T$5:$T$24</c:f>
              <c:numCache>
                <c:formatCode>0</c:formatCode>
                <c:ptCount val="20"/>
                <c:pt idx="0">
                  <c:v>1289.8273412996143</c:v>
                </c:pt>
                <c:pt idx="1">
                  <c:v>1246.8330965896271</c:v>
                </c:pt>
                <c:pt idx="2">
                  <c:v>1547.7928095595369</c:v>
                </c:pt>
                <c:pt idx="3">
                  <c:v>1709.0212272219887</c:v>
                </c:pt>
                <c:pt idx="4">
                  <c:v>1662.4441287861694</c:v>
                </c:pt>
                <c:pt idx="5">
                  <c:v>1547.7928095595371</c:v>
                </c:pt>
                <c:pt idx="6">
                  <c:v>1547.7928095595373</c:v>
                </c:pt>
                <c:pt idx="7">
                  <c:v>1612.2841766245178</c:v>
                </c:pt>
                <c:pt idx="8">
                  <c:v>1488.2623168841703</c:v>
                </c:pt>
                <c:pt idx="9">
                  <c:v>1658.3494388137894</c:v>
                </c:pt>
                <c:pt idx="10">
                  <c:v>1754.1651841674757</c:v>
                </c:pt>
                <c:pt idx="11">
                  <c:v>1934.7410119494211</c:v>
                </c:pt>
                <c:pt idx="12">
                  <c:v>2048.5493067699758</c:v>
                </c:pt>
                <c:pt idx="13">
                  <c:v>2149.7122354993571</c:v>
                </c:pt>
                <c:pt idx="14">
                  <c:v>2104.4551358046333</c:v>
                </c:pt>
                <c:pt idx="15">
                  <c:v>2063.7237460793826</c:v>
                </c:pt>
                <c:pt idx="16">
                  <c:v>2112.8600257479393</c:v>
                </c:pt>
                <c:pt idx="17">
                  <c:v>2005.0952305657643</c:v>
                </c:pt>
                <c:pt idx="18">
                  <c:v>1906.7012871385602</c:v>
                </c:pt>
                <c:pt idx="19">
                  <c:v>1827.2554001744534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959-B640-8F2E-84B4AB94BE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100336"/>
        <c:axId val="643890287"/>
      </c:scatterChart>
      <c:valAx>
        <c:axId val="381003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1">
                    <a:solidFill>
                      <a:schemeClr val="tx1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Road Speed</a:t>
                </a:r>
                <a:r>
                  <a:rPr lang="en-GB" sz="1000" b="1" baseline="0">
                    <a:solidFill>
                      <a:schemeClr val="tx1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 (km/h)</a:t>
                </a:r>
                <a:endParaRPr lang="en-GB" sz="1000" b="1">
                  <a:solidFill>
                    <a:schemeClr val="tx1"/>
                  </a:solidFill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643890287"/>
        <c:crosses val="autoZero"/>
        <c:crossBetween val="midCat"/>
      </c:valAx>
      <c:valAx>
        <c:axId val="6438902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1">
                    <a:solidFill>
                      <a:schemeClr val="tx1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driving 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381003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25400" cap="flat" cmpd="sng" algn="ctr">
      <a:solidFill>
        <a:srgbClr val="FE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600" b="1" i="1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Drivining Force Vs Resistance to Motion</a:t>
            </a:r>
          </a:p>
        </c:rich>
      </c:tx>
      <c:overlay val="0"/>
      <c:spPr>
        <a:solidFill>
          <a:srgbClr val="FE0000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'Ducati Panigale data'!$W$2</c:f>
              <c:strCache>
                <c:ptCount val="1"/>
                <c:pt idx="0">
                  <c:v>driving force </c:v>
                </c:pt>
              </c:strCache>
            </c:strRef>
          </c:tx>
          <c:spPr>
            <a:ln w="31750" cap="rnd">
              <a:solidFill>
                <a:srgbClr val="FE0000"/>
              </a:solidFill>
              <a:round/>
            </a:ln>
            <a:effectLst/>
          </c:spPr>
          <c:marker>
            <c:symbol val="none"/>
          </c:marker>
          <c:cat>
            <c:numRef>
              <c:f>'Ducati Panigale data'!$V$3:$V$24</c:f>
              <c:numCache>
                <c:formatCode>General</c:formatCode>
                <c:ptCount val="22"/>
                <c:pt idx="2">
                  <c:v>2500</c:v>
                </c:pt>
                <c:pt idx="3">
                  <c:v>3000</c:v>
                </c:pt>
                <c:pt idx="4">
                  <c:v>3500</c:v>
                </c:pt>
                <c:pt idx="5">
                  <c:v>4000</c:v>
                </c:pt>
                <c:pt idx="6">
                  <c:v>4500</c:v>
                </c:pt>
                <c:pt idx="7">
                  <c:v>5000</c:v>
                </c:pt>
                <c:pt idx="8">
                  <c:v>5500</c:v>
                </c:pt>
                <c:pt idx="9">
                  <c:v>6000</c:v>
                </c:pt>
                <c:pt idx="10">
                  <c:v>6500</c:v>
                </c:pt>
                <c:pt idx="11">
                  <c:v>7000</c:v>
                </c:pt>
                <c:pt idx="12">
                  <c:v>7500</c:v>
                </c:pt>
                <c:pt idx="13">
                  <c:v>8000</c:v>
                </c:pt>
                <c:pt idx="14">
                  <c:v>8500</c:v>
                </c:pt>
                <c:pt idx="15">
                  <c:v>9000</c:v>
                </c:pt>
                <c:pt idx="16">
                  <c:v>9500</c:v>
                </c:pt>
                <c:pt idx="17">
                  <c:v>10000</c:v>
                </c:pt>
                <c:pt idx="18">
                  <c:v>10500</c:v>
                </c:pt>
                <c:pt idx="19">
                  <c:v>11000</c:v>
                </c:pt>
                <c:pt idx="20">
                  <c:v>11500</c:v>
                </c:pt>
                <c:pt idx="21">
                  <c:v>12000</c:v>
                </c:pt>
              </c:numCache>
            </c:numRef>
          </c:cat>
          <c:val>
            <c:numRef>
              <c:f>'Ducati Panigale data'!$W$3:$W$24</c:f>
              <c:numCache>
                <c:formatCode>General</c:formatCode>
                <c:ptCount val="22"/>
                <c:pt idx="2" formatCode="0">
                  <c:v>1289.8273412996143</c:v>
                </c:pt>
                <c:pt idx="3" formatCode="0">
                  <c:v>1246.8330965896271</c:v>
                </c:pt>
                <c:pt idx="4" formatCode="0">
                  <c:v>1547.7928095595369</c:v>
                </c:pt>
                <c:pt idx="5" formatCode="0">
                  <c:v>1709.0212272219887</c:v>
                </c:pt>
                <c:pt idx="6" formatCode="0">
                  <c:v>1662.4441287861694</c:v>
                </c:pt>
                <c:pt idx="7" formatCode="0">
                  <c:v>1547.7928095595371</c:v>
                </c:pt>
                <c:pt idx="8" formatCode="0">
                  <c:v>1547.7928095595373</c:v>
                </c:pt>
                <c:pt idx="9" formatCode="0">
                  <c:v>1612.2841766245178</c:v>
                </c:pt>
                <c:pt idx="10" formatCode="0">
                  <c:v>1488.2623168841703</c:v>
                </c:pt>
                <c:pt idx="11" formatCode="0">
                  <c:v>1658.3494388137894</c:v>
                </c:pt>
                <c:pt idx="12" formatCode="0">
                  <c:v>1754.1651841674757</c:v>
                </c:pt>
                <c:pt idx="13" formatCode="0">
                  <c:v>1934.7410119494211</c:v>
                </c:pt>
                <c:pt idx="14" formatCode="0">
                  <c:v>2048.5493067699758</c:v>
                </c:pt>
                <c:pt idx="15" formatCode="0">
                  <c:v>2149.7122354993571</c:v>
                </c:pt>
                <c:pt idx="16" formatCode="0">
                  <c:v>2104.4551358046333</c:v>
                </c:pt>
                <c:pt idx="17" formatCode="0">
                  <c:v>2063.7237460793826</c:v>
                </c:pt>
                <c:pt idx="18" formatCode="0">
                  <c:v>2112.8600257479393</c:v>
                </c:pt>
                <c:pt idx="19" formatCode="0">
                  <c:v>2005.0952305657643</c:v>
                </c:pt>
                <c:pt idx="20" formatCode="0">
                  <c:v>1906.7012871385602</c:v>
                </c:pt>
                <c:pt idx="21" formatCode="0">
                  <c:v>1827.2554001744534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84D-2449-9908-6425449890BE}"/>
            </c:ext>
          </c:extLst>
        </c:ser>
        <c:ser>
          <c:idx val="1"/>
          <c:order val="1"/>
          <c:tx>
            <c:strRef>
              <c:f>'Ducati Panigale data'!$X$2</c:f>
              <c:strCache>
                <c:ptCount val="1"/>
                <c:pt idx="0">
                  <c:v>resistance to motion</c:v>
                </c:pt>
              </c:strCache>
            </c:strRef>
          </c:tx>
          <c:spPr>
            <a:ln w="317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'Ducati Panigale data'!$V$3:$V$24</c:f>
              <c:numCache>
                <c:formatCode>General</c:formatCode>
                <c:ptCount val="22"/>
                <c:pt idx="2">
                  <c:v>2500</c:v>
                </c:pt>
                <c:pt idx="3">
                  <c:v>3000</c:v>
                </c:pt>
                <c:pt idx="4">
                  <c:v>3500</c:v>
                </c:pt>
                <c:pt idx="5">
                  <c:v>4000</c:v>
                </c:pt>
                <c:pt idx="6">
                  <c:v>4500</c:v>
                </c:pt>
                <c:pt idx="7">
                  <c:v>5000</c:v>
                </c:pt>
                <c:pt idx="8">
                  <c:v>5500</c:v>
                </c:pt>
                <c:pt idx="9">
                  <c:v>6000</c:v>
                </c:pt>
                <c:pt idx="10">
                  <c:v>6500</c:v>
                </c:pt>
                <c:pt idx="11">
                  <c:v>7000</c:v>
                </c:pt>
                <c:pt idx="12">
                  <c:v>7500</c:v>
                </c:pt>
                <c:pt idx="13">
                  <c:v>8000</c:v>
                </c:pt>
                <c:pt idx="14">
                  <c:v>8500</c:v>
                </c:pt>
                <c:pt idx="15">
                  <c:v>9000</c:v>
                </c:pt>
                <c:pt idx="16">
                  <c:v>9500</c:v>
                </c:pt>
                <c:pt idx="17">
                  <c:v>10000</c:v>
                </c:pt>
                <c:pt idx="18">
                  <c:v>10500</c:v>
                </c:pt>
                <c:pt idx="19">
                  <c:v>11000</c:v>
                </c:pt>
                <c:pt idx="20">
                  <c:v>11500</c:v>
                </c:pt>
                <c:pt idx="21">
                  <c:v>12000</c:v>
                </c:pt>
              </c:numCache>
            </c:numRef>
          </c:cat>
          <c:val>
            <c:numRef>
              <c:f>'Ducati Panigale data'!$X$3:$X$24</c:f>
              <c:numCache>
                <c:formatCode>General</c:formatCode>
                <c:ptCount val="22"/>
                <c:pt idx="2">
                  <c:v>94.4</c:v>
                </c:pt>
                <c:pt idx="3">
                  <c:v>113.49</c:v>
                </c:pt>
                <c:pt idx="4">
                  <c:v>136.06</c:v>
                </c:pt>
                <c:pt idx="5">
                  <c:v>162.1</c:v>
                </c:pt>
                <c:pt idx="6">
                  <c:v>191.62</c:v>
                </c:pt>
                <c:pt idx="7">
                  <c:v>224.61</c:v>
                </c:pt>
                <c:pt idx="8">
                  <c:v>261.06</c:v>
                </c:pt>
                <c:pt idx="9">
                  <c:v>301</c:v>
                </c:pt>
                <c:pt idx="10">
                  <c:v>344.4</c:v>
                </c:pt>
                <c:pt idx="11">
                  <c:v>391.27</c:v>
                </c:pt>
                <c:pt idx="12">
                  <c:v>441.62</c:v>
                </c:pt>
                <c:pt idx="13">
                  <c:v>495.44</c:v>
                </c:pt>
                <c:pt idx="14">
                  <c:v>552.73</c:v>
                </c:pt>
                <c:pt idx="15">
                  <c:v>613.5</c:v>
                </c:pt>
                <c:pt idx="16">
                  <c:v>677.74</c:v>
                </c:pt>
                <c:pt idx="17">
                  <c:v>745.45</c:v>
                </c:pt>
                <c:pt idx="18">
                  <c:v>816.63</c:v>
                </c:pt>
                <c:pt idx="19">
                  <c:v>891.28</c:v>
                </c:pt>
                <c:pt idx="20">
                  <c:v>969.41</c:v>
                </c:pt>
                <c:pt idx="21">
                  <c:v>1051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84D-2449-9908-6425449890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07579599"/>
        <c:axId val="391007663"/>
      </c:lineChart>
      <c:catAx>
        <c:axId val="90757959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100" b="1">
                    <a:solidFill>
                      <a:schemeClr val="tx1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1007663"/>
        <c:crosses val="autoZero"/>
        <c:auto val="1"/>
        <c:lblAlgn val="ctr"/>
        <c:lblOffset val="100"/>
        <c:noMultiLvlLbl val="0"/>
      </c:catAx>
      <c:valAx>
        <c:axId val="3910076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100" b="1">
                    <a:solidFill>
                      <a:schemeClr val="tx1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Power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0757959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25400" cap="flat" cmpd="sng" algn="ctr">
      <a:solidFill>
        <a:srgbClr val="FE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5"/>
          <c:order val="0"/>
          <c:tx>
            <c:strRef>
              <c:f>'Ducati Panigale data'!$O$4</c:f>
              <c:strCache>
                <c:ptCount val="1"/>
                <c:pt idx="0">
                  <c:v>1st Gear 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'Ducati Panigale data'!$H$5:$H$24</c:f>
              <c:numCache>
                <c:formatCode>0.00</c:formatCode>
                <c:ptCount val="20"/>
                <c:pt idx="0">
                  <c:v>27.109222371565398</c:v>
                </c:pt>
                <c:pt idx="1">
                  <c:v>32.531066845878478</c:v>
                </c:pt>
                <c:pt idx="2">
                  <c:v>37.952911320191554</c:v>
                </c:pt>
                <c:pt idx="3">
                  <c:v>43.374755794504637</c:v>
                </c:pt>
                <c:pt idx="4">
                  <c:v>48.79660026881772</c:v>
                </c:pt>
                <c:pt idx="5">
                  <c:v>54.218444743130796</c:v>
                </c:pt>
                <c:pt idx="6">
                  <c:v>59.640289217443865</c:v>
                </c:pt>
                <c:pt idx="7">
                  <c:v>65.062133691756955</c:v>
                </c:pt>
                <c:pt idx="8">
                  <c:v>70.483978166070017</c:v>
                </c:pt>
                <c:pt idx="9">
                  <c:v>75.905822640383107</c:v>
                </c:pt>
                <c:pt idx="10">
                  <c:v>81.327667114696197</c:v>
                </c:pt>
                <c:pt idx="11">
                  <c:v>86.749511589009273</c:v>
                </c:pt>
                <c:pt idx="12">
                  <c:v>92.171356063322349</c:v>
                </c:pt>
                <c:pt idx="13">
                  <c:v>97.59320053763544</c:v>
                </c:pt>
                <c:pt idx="14">
                  <c:v>103.01504501194852</c:v>
                </c:pt>
                <c:pt idx="15">
                  <c:v>108.43688948626159</c:v>
                </c:pt>
                <c:pt idx="16">
                  <c:v>113.85873396057465</c:v>
                </c:pt>
                <c:pt idx="17">
                  <c:v>119.28057843488773</c:v>
                </c:pt>
                <c:pt idx="18">
                  <c:v>124.70242290920083</c:v>
                </c:pt>
                <c:pt idx="19">
                  <c:v>130.12426738351391</c:v>
                </c:pt>
              </c:numCache>
            </c:numRef>
          </c:xVal>
          <c:yVal>
            <c:numRef>
              <c:f>'Ducati Panigale data'!$O$5:$O$24</c:f>
              <c:numCache>
                <c:formatCode>0</c:formatCode>
                <c:ptCount val="20"/>
                <c:pt idx="0">
                  <c:v>3319.9034176059631</c:v>
                </c:pt>
                <c:pt idx="1">
                  <c:v>3209.2399703524306</c:v>
                </c:pt>
                <c:pt idx="2">
                  <c:v>3983.8841011271556</c:v>
                </c:pt>
                <c:pt idx="3">
                  <c:v>4398.8720283279008</c:v>
                </c:pt>
                <c:pt idx="4">
                  <c:v>4278.9866271365745</c:v>
                </c:pt>
                <c:pt idx="5">
                  <c:v>3983.8841011271556</c:v>
                </c:pt>
                <c:pt idx="6">
                  <c:v>3983.8841011271566</c:v>
                </c:pt>
                <c:pt idx="7">
                  <c:v>4149.8792720074534</c:v>
                </c:pt>
                <c:pt idx="8">
                  <c:v>3830.6577895453433</c:v>
                </c:pt>
                <c:pt idx="9">
                  <c:v>4268.4472512076673</c:v>
                </c:pt>
                <c:pt idx="10">
                  <c:v>4515.0686479441092</c:v>
                </c:pt>
                <c:pt idx="11">
                  <c:v>4979.8551264089447</c:v>
                </c:pt>
                <c:pt idx="12">
                  <c:v>5272.7877809035881</c:v>
                </c:pt>
                <c:pt idx="13">
                  <c:v>5533.1723626766043</c:v>
                </c:pt>
                <c:pt idx="14">
                  <c:v>5416.6845234623606</c:v>
                </c:pt>
                <c:pt idx="15">
                  <c:v>5311.8454681695412</c:v>
                </c:pt>
                <c:pt idx="16">
                  <c:v>5438.3179793164354</c:v>
                </c:pt>
                <c:pt idx="17">
                  <c:v>5160.9407673692713</c:v>
                </c:pt>
                <c:pt idx="18">
                  <c:v>4907.6833129827273</c:v>
                </c:pt>
                <c:pt idx="19">
                  <c:v>4703.196508275114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EA3A-F748-A43E-6F4BFCEF8300}"/>
            </c:ext>
          </c:extLst>
        </c:ser>
        <c:ser>
          <c:idx val="6"/>
          <c:order val="1"/>
          <c:tx>
            <c:strRef>
              <c:f>'Ducati Panigale data'!$P$4</c:f>
              <c:strCache>
                <c:ptCount val="1"/>
                <c:pt idx="0">
                  <c:v>2nd Gear 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'Ducati Panigale data'!$I$5:$I$24</c:f>
              <c:numCache>
                <c:formatCode>0.00</c:formatCode>
                <c:ptCount val="20"/>
                <c:pt idx="0">
                  <c:v>35.663688097703805</c:v>
                </c:pt>
                <c:pt idx="1">
                  <c:v>42.796425717244567</c:v>
                </c:pt>
                <c:pt idx="2">
                  <c:v>49.929163336785336</c:v>
                </c:pt>
                <c:pt idx="3">
                  <c:v>57.061900956326099</c:v>
                </c:pt>
                <c:pt idx="4">
                  <c:v>64.194638575866861</c:v>
                </c:pt>
                <c:pt idx="5">
                  <c:v>71.327376195407609</c:v>
                </c:pt>
                <c:pt idx="6">
                  <c:v>78.460113814948372</c:v>
                </c:pt>
                <c:pt idx="7">
                  <c:v>85.592851434489134</c:v>
                </c:pt>
                <c:pt idx="8">
                  <c:v>92.725589054029896</c:v>
                </c:pt>
                <c:pt idx="9">
                  <c:v>99.858326673570673</c:v>
                </c:pt>
                <c:pt idx="10">
                  <c:v>106.99106429311139</c:v>
                </c:pt>
                <c:pt idx="11">
                  <c:v>114.1238019126522</c:v>
                </c:pt>
                <c:pt idx="12">
                  <c:v>121.25653953219295</c:v>
                </c:pt>
                <c:pt idx="13">
                  <c:v>128.38927715173372</c:v>
                </c:pt>
                <c:pt idx="14">
                  <c:v>135.52201477127448</c:v>
                </c:pt>
                <c:pt idx="15">
                  <c:v>142.65475239081522</c:v>
                </c:pt>
                <c:pt idx="16">
                  <c:v>149.78749001035601</c:v>
                </c:pt>
                <c:pt idx="17">
                  <c:v>156.92022762989674</c:v>
                </c:pt>
                <c:pt idx="18">
                  <c:v>164.05296524943748</c:v>
                </c:pt>
                <c:pt idx="19">
                  <c:v>171.18570286897827</c:v>
                </c:pt>
              </c:numCache>
            </c:numRef>
          </c:xVal>
          <c:yVal>
            <c:numRef>
              <c:f>'Ducati Panigale data'!$P$5:$P$24</c:f>
              <c:numCache>
                <c:formatCode>0</c:formatCode>
                <c:ptCount val="20"/>
                <c:pt idx="0">
                  <c:v>2523.5752329775064</c:v>
                </c:pt>
                <c:pt idx="1">
                  <c:v>2439.4560585449226</c:v>
                </c:pt>
                <c:pt idx="2">
                  <c:v>3028.290279573007</c:v>
                </c:pt>
                <c:pt idx="3">
                  <c:v>3343.7371836951952</c:v>
                </c:pt>
                <c:pt idx="4">
                  <c:v>3252.6080780598963</c:v>
                </c:pt>
                <c:pt idx="5">
                  <c:v>3028.2902795730079</c:v>
                </c:pt>
                <c:pt idx="6">
                  <c:v>3028.2902795730074</c:v>
                </c:pt>
                <c:pt idx="7">
                  <c:v>3154.4690412218829</c:v>
                </c:pt>
                <c:pt idx="8">
                  <c:v>2911.817576512507</c:v>
                </c:pt>
                <c:pt idx="9">
                  <c:v>3244.596728113936</c:v>
                </c:pt>
                <c:pt idx="10">
                  <c:v>3432.0623168494094</c:v>
                </c:pt>
                <c:pt idx="11">
                  <c:v>3785.3628494662585</c:v>
                </c:pt>
                <c:pt idx="12">
                  <c:v>4008.031252376039</c:v>
                </c:pt>
                <c:pt idx="13">
                  <c:v>4205.9587216291766</c:v>
                </c:pt>
                <c:pt idx="14">
                  <c:v>4117.4122222264568</c:v>
                </c:pt>
                <c:pt idx="15">
                  <c:v>4037.7203727640103</c:v>
                </c:pt>
                <c:pt idx="16">
                  <c:v>4133.8565721155337</c:v>
                </c:pt>
                <c:pt idx="17">
                  <c:v>3923.0124076286688</c:v>
                </c:pt>
                <c:pt idx="18">
                  <c:v>3730.5025183145754</c:v>
                </c:pt>
                <c:pt idx="19">
                  <c:v>3575.0649133848005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EA3A-F748-A43E-6F4BFCEF8300}"/>
            </c:ext>
          </c:extLst>
        </c:ser>
        <c:ser>
          <c:idx val="7"/>
          <c:order val="2"/>
          <c:tx>
            <c:strRef>
              <c:f>'Ducati Panigale data'!$Q$4</c:f>
              <c:strCache>
                <c:ptCount val="1"/>
                <c:pt idx="0">
                  <c:v>3rd Gear 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'Ducati Panigale data'!$J$5:$J$24</c:f>
              <c:numCache>
                <c:formatCode>0.00</c:formatCode>
                <c:ptCount val="20"/>
                <c:pt idx="0">
                  <c:v>44.579610122129765</c:v>
                </c:pt>
                <c:pt idx="1">
                  <c:v>53.495532146555696</c:v>
                </c:pt>
                <c:pt idx="2">
                  <c:v>62.411454170981649</c:v>
                </c:pt>
                <c:pt idx="3">
                  <c:v>71.327376195407609</c:v>
                </c:pt>
                <c:pt idx="4">
                  <c:v>80.243298219833562</c:v>
                </c:pt>
                <c:pt idx="5">
                  <c:v>89.159220244259529</c:v>
                </c:pt>
                <c:pt idx="6">
                  <c:v>98.075142268685482</c:v>
                </c:pt>
                <c:pt idx="7">
                  <c:v>106.99106429311139</c:v>
                </c:pt>
                <c:pt idx="8">
                  <c:v>115.90698631753736</c:v>
                </c:pt>
                <c:pt idx="9">
                  <c:v>124.8229083419633</c:v>
                </c:pt>
                <c:pt idx="10">
                  <c:v>133.73883036638927</c:v>
                </c:pt>
                <c:pt idx="11">
                  <c:v>142.65475239081522</c:v>
                </c:pt>
                <c:pt idx="12">
                  <c:v>151.57067441524117</c:v>
                </c:pt>
                <c:pt idx="13">
                  <c:v>160.48659643966712</c:v>
                </c:pt>
                <c:pt idx="14">
                  <c:v>169.40251846409308</c:v>
                </c:pt>
                <c:pt idx="15">
                  <c:v>178.31844048851906</c:v>
                </c:pt>
                <c:pt idx="16">
                  <c:v>187.23436251294501</c:v>
                </c:pt>
                <c:pt idx="17">
                  <c:v>196.15028453737096</c:v>
                </c:pt>
                <c:pt idx="18">
                  <c:v>205.06620656179686</c:v>
                </c:pt>
                <c:pt idx="19">
                  <c:v>213.98212858622279</c:v>
                </c:pt>
              </c:numCache>
            </c:numRef>
          </c:xVal>
          <c:yVal>
            <c:numRef>
              <c:f>'Ducati Panigale data'!$Q$5:$Q$24</c:f>
              <c:numCache>
                <c:formatCode>0</c:formatCode>
                <c:ptCount val="20"/>
                <c:pt idx="0">
                  <c:v>2018.8601863820047</c:v>
                </c:pt>
                <c:pt idx="1">
                  <c:v>1951.5648468359386</c:v>
                </c:pt>
                <c:pt idx="2">
                  <c:v>2422.6322236584065</c:v>
                </c:pt>
                <c:pt idx="3">
                  <c:v>2674.989746956157</c:v>
                </c:pt>
                <c:pt idx="4">
                  <c:v>2602.0864624479177</c:v>
                </c:pt>
                <c:pt idx="5">
                  <c:v>2422.6322236584056</c:v>
                </c:pt>
                <c:pt idx="6">
                  <c:v>2422.6322236584056</c:v>
                </c:pt>
                <c:pt idx="7">
                  <c:v>2523.5752329775069</c:v>
                </c:pt>
                <c:pt idx="8">
                  <c:v>2329.4540612100063</c:v>
                </c:pt>
                <c:pt idx="9">
                  <c:v>2595.6773824911497</c:v>
                </c:pt>
                <c:pt idx="10">
                  <c:v>2745.6498534795269</c:v>
                </c:pt>
                <c:pt idx="11">
                  <c:v>3028.2902795730079</c:v>
                </c:pt>
                <c:pt idx="12">
                  <c:v>3206.4250019008314</c:v>
                </c:pt>
                <c:pt idx="13">
                  <c:v>3364.7669773033417</c:v>
                </c:pt>
                <c:pt idx="14">
                  <c:v>3293.9297777811657</c:v>
                </c:pt>
                <c:pt idx="15">
                  <c:v>3230.1762982112073</c:v>
                </c:pt>
                <c:pt idx="16">
                  <c:v>3307.0852576924267</c:v>
                </c:pt>
                <c:pt idx="17">
                  <c:v>3138.4099261029342</c:v>
                </c:pt>
                <c:pt idx="18">
                  <c:v>2984.4020146516596</c:v>
                </c:pt>
                <c:pt idx="19">
                  <c:v>2860.0519307078412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EA3A-F748-A43E-6F4BFCEF8300}"/>
            </c:ext>
          </c:extLst>
        </c:ser>
        <c:ser>
          <c:idx val="8"/>
          <c:order val="3"/>
          <c:tx>
            <c:strRef>
              <c:f>'Ducati Panigale data'!$R$4</c:f>
              <c:strCache>
                <c:ptCount val="1"/>
                <c:pt idx="0">
                  <c:v>4th Gear 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'Ducati Panigale data'!$K$5:$K$24</c:f>
              <c:numCache>
                <c:formatCode>0.00</c:formatCode>
                <c:ptCount val="20"/>
                <c:pt idx="0">
                  <c:v>53.495532146555696</c:v>
                </c:pt>
                <c:pt idx="1">
                  <c:v>64.194638575866861</c:v>
                </c:pt>
                <c:pt idx="2">
                  <c:v>74.893745005178005</c:v>
                </c:pt>
                <c:pt idx="3">
                  <c:v>85.592851434489134</c:v>
                </c:pt>
                <c:pt idx="4">
                  <c:v>96.291957863800292</c:v>
                </c:pt>
                <c:pt idx="5">
                  <c:v>106.99106429311139</c:v>
                </c:pt>
                <c:pt idx="6">
                  <c:v>117.69017072242258</c:v>
                </c:pt>
                <c:pt idx="7">
                  <c:v>128.38927715173372</c:v>
                </c:pt>
                <c:pt idx="8">
                  <c:v>139.08838358104484</c:v>
                </c:pt>
                <c:pt idx="9">
                  <c:v>149.78749001035601</c:v>
                </c:pt>
                <c:pt idx="10">
                  <c:v>160.48659643966712</c:v>
                </c:pt>
                <c:pt idx="11">
                  <c:v>171.18570286897827</c:v>
                </c:pt>
                <c:pt idx="12">
                  <c:v>181.88480929828944</c:v>
                </c:pt>
                <c:pt idx="13">
                  <c:v>192.58391572760058</c:v>
                </c:pt>
                <c:pt idx="14">
                  <c:v>203.28302215691173</c:v>
                </c:pt>
                <c:pt idx="15">
                  <c:v>213.98212858622279</c:v>
                </c:pt>
                <c:pt idx="16">
                  <c:v>224.68123501553399</c:v>
                </c:pt>
                <c:pt idx="17">
                  <c:v>235.38034144484516</c:v>
                </c:pt>
                <c:pt idx="18">
                  <c:v>246.07944787415627</c:v>
                </c:pt>
                <c:pt idx="19">
                  <c:v>256.77855430346744</c:v>
                </c:pt>
              </c:numCache>
            </c:numRef>
          </c:xVal>
          <c:yVal>
            <c:numRef>
              <c:f>'Ducati Panigale data'!$R$5:$R$24</c:f>
              <c:numCache>
                <c:formatCode>0</c:formatCode>
                <c:ptCount val="20"/>
                <c:pt idx="0">
                  <c:v>1682.3834886516711</c:v>
                </c:pt>
                <c:pt idx="1">
                  <c:v>1626.3040390299482</c:v>
                </c:pt>
                <c:pt idx="2">
                  <c:v>2018.8601863820047</c:v>
                </c:pt>
                <c:pt idx="3">
                  <c:v>2229.1581224634638</c:v>
                </c:pt>
                <c:pt idx="4">
                  <c:v>2168.4053853732644</c:v>
                </c:pt>
                <c:pt idx="5">
                  <c:v>2018.8601863820054</c:v>
                </c:pt>
                <c:pt idx="6">
                  <c:v>2018.8601863820047</c:v>
                </c:pt>
                <c:pt idx="7">
                  <c:v>2102.9793608145883</c:v>
                </c:pt>
                <c:pt idx="8">
                  <c:v>1941.2117176750048</c:v>
                </c:pt>
                <c:pt idx="9">
                  <c:v>2163.0644854092907</c:v>
                </c:pt>
                <c:pt idx="10">
                  <c:v>2288.0415445662725</c:v>
                </c:pt>
                <c:pt idx="11">
                  <c:v>2523.5752329775064</c:v>
                </c:pt>
                <c:pt idx="12">
                  <c:v>2672.020834917359</c:v>
                </c:pt>
                <c:pt idx="13">
                  <c:v>2803.9724810861176</c:v>
                </c:pt>
                <c:pt idx="14">
                  <c:v>2744.9414814843049</c:v>
                </c:pt>
                <c:pt idx="15">
                  <c:v>2691.813581842674</c:v>
                </c:pt>
                <c:pt idx="16">
                  <c:v>2755.9043814103561</c:v>
                </c:pt>
                <c:pt idx="17">
                  <c:v>2615.3416050857786</c:v>
                </c:pt>
                <c:pt idx="18">
                  <c:v>2487.0016788763828</c:v>
                </c:pt>
                <c:pt idx="19">
                  <c:v>2383.3766089231999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EA3A-F748-A43E-6F4BFCEF8300}"/>
            </c:ext>
          </c:extLst>
        </c:ser>
        <c:ser>
          <c:idx val="9"/>
          <c:order val="4"/>
          <c:tx>
            <c:strRef>
              <c:f>'Ducati Panigale data'!$S$4</c:f>
              <c:strCache>
                <c:ptCount val="1"/>
                <c:pt idx="0">
                  <c:v>5th Gear 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'Ducati Panigale data'!$L$5:$L$24</c:f>
              <c:numCache>
                <c:formatCode>0.00</c:formatCode>
                <c:ptCount val="20"/>
                <c:pt idx="0">
                  <c:v>61.296963917928416</c:v>
                </c:pt>
                <c:pt idx="1">
                  <c:v>73.55635670151409</c:v>
                </c:pt>
                <c:pt idx="2">
                  <c:v>85.815749485099786</c:v>
                </c:pt>
                <c:pt idx="3">
                  <c:v>98.075142268685482</c:v>
                </c:pt>
                <c:pt idx="4">
                  <c:v>110.33453505227115</c:v>
                </c:pt>
                <c:pt idx="5">
                  <c:v>122.59392783585683</c:v>
                </c:pt>
                <c:pt idx="6">
                  <c:v>134.85332061944251</c:v>
                </c:pt>
                <c:pt idx="7">
                  <c:v>147.11271340302818</c:v>
                </c:pt>
                <c:pt idx="8">
                  <c:v>159.37210618661388</c:v>
                </c:pt>
                <c:pt idx="9">
                  <c:v>171.63149897019957</c:v>
                </c:pt>
                <c:pt idx="10">
                  <c:v>183.8908917537853</c:v>
                </c:pt>
                <c:pt idx="11">
                  <c:v>196.15028453737096</c:v>
                </c:pt>
                <c:pt idx="12">
                  <c:v>208.40967732095663</c:v>
                </c:pt>
                <c:pt idx="13">
                  <c:v>220.6690701045423</c:v>
                </c:pt>
                <c:pt idx="14">
                  <c:v>232.928462888128</c:v>
                </c:pt>
                <c:pt idx="15">
                  <c:v>245.18785567171366</c:v>
                </c:pt>
                <c:pt idx="16">
                  <c:v>257.44724845529936</c:v>
                </c:pt>
                <c:pt idx="17">
                  <c:v>269.70664123888503</c:v>
                </c:pt>
                <c:pt idx="18">
                  <c:v>281.96603402247069</c:v>
                </c:pt>
                <c:pt idx="19">
                  <c:v>294.22542680605636</c:v>
                </c:pt>
              </c:numCache>
            </c:numRef>
          </c:xVal>
          <c:yVal>
            <c:numRef>
              <c:f>'Ducati Panigale data'!$S$5:$S$24</c:f>
              <c:numCache>
                <c:formatCode>0</c:formatCode>
                <c:ptCount val="20"/>
                <c:pt idx="0">
                  <c:v>1468.2619537323674</c:v>
                </c:pt>
                <c:pt idx="1">
                  <c:v>1419.3198886079551</c:v>
                </c:pt>
                <c:pt idx="2">
                  <c:v>1761.9143444788406</c:v>
                </c:pt>
                <c:pt idx="3">
                  <c:v>1945.4470886953861</c:v>
                </c:pt>
                <c:pt idx="4">
                  <c:v>1892.42651814394</c:v>
                </c:pt>
                <c:pt idx="5">
                  <c:v>1761.9143444788408</c:v>
                </c:pt>
                <c:pt idx="6">
                  <c:v>1761.9143444788406</c:v>
                </c:pt>
                <c:pt idx="7">
                  <c:v>1835.3274421654592</c:v>
                </c:pt>
                <c:pt idx="8">
                  <c:v>1694.1484081527315</c:v>
                </c:pt>
                <c:pt idx="9">
                  <c:v>1887.765369084472</c:v>
                </c:pt>
                <c:pt idx="10">
                  <c:v>1996.8362570760189</c:v>
                </c:pt>
                <c:pt idx="11">
                  <c:v>2202.3929305985503</c:v>
                </c:pt>
                <c:pt idx="12">
                  <c:v>2331.945455927877</c:v>
                </c:pt>
                <c:pt idx="13">
                  <c:v>2447.1032562206124</c:v>
                </c:pt>
                <c:pt idx="14">
                  <c:v>2395.5852929317566</c:v>
                </c:pt>
                <c:pt idx="15">
                  <c:v>2349.2191259717879</c:v>
                </c:pt>
                <c:pt idx="16">
                  <c:v>2405.1529146854014</c:v>
                </c:pt>
                <c:pt idx="17">
                  <c:v>2282.4799462566798</c:v>
                </c:pt>
                <c:pt idx="18">
                  <c:v>2170.4741924739342</c:v>
                </c:pt>
                <c:pt idx="19">
                  <c:v>2080.0377677875204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EA3A-F748-A43E-6F4BFCEF8300}"/>
            </c:ext>
          </c:extLst>
        </c:ser>
        <c:ser>
          <c:idx val="10"/>
          <c:order val="5"/>
          <c:tx>
            <c:strRef>
              <c:f>'Ducati Panigale data'!$T$4</c:f>
              <c:strCache>
                <c:ptCount val="1"/>
                <c:pt idx="0">
                  <c:v>6th Gear </c:v>
                </c:pt>
              </c:strCache>
            </c:strRef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'Ducati Panigale data'!$M$5:$M$24</c:f>
              <c:numCache>
                <c:formatCode>0.00</c:formatCode>
                <c:ptCount val="20"/>
                <c:pt idx="0">
                  <c:v>69.776781060724844</c:v>
                </c:pt>
                <c:pt idx="1">
                  <c:v>83.732137272869807</c:v>
                </c:pt>
                <c:pt idx="2">
                  <c:v>97.687493485014784</c:v>
                </c:pt>
                <c:pt idx="3">
                  <c:v>111.64284969715976</c:v>
                </c:pt>
                <c:pt idx="4">
                  <c:v>125.59820590930471</c:v>
                </c:pt>
                <c:pt idx="5">
                  <c:v>139.55356212144969</c:v>
                </c:pt>
                <c:pt idx="6">
                  <c:v>153.50891833359464</c:v>
                </c:pt>
                <c:pt idx="7">
                  <c:v>167.46427454573961</c:v>
                </c:pt>
                <c:pt idx="8">
                  <c:v>181.41963075788459</c:v>
                </c:pt>
                <c:pt idx="9">
                  <c:v>195.37498697002957</c:v>
                </c:pt>
                <c:pt idx="10">
                  <c:v>209.33034318217446</c:v>
                </c:pt>
                <c:pt idx="11">
                  <c:v>223.28569939431952</c:v>
                </c:pt>
                <c:pt idx="12">
                  <c:v>237.24105560646444</c:v>
                </c:pt>
                <c:pt idx="13">
                  <c:v>251.19641181860942</c:v>
                </c:pt>
                <c:pt idx="14">
                  <c:v>265.1517680307544</c:v>
                </c:pt>
                <c:pt idx="15">
                  <c:v>279.10712424289937</c:v>
                </c:pt>
                <c:pt idx="16">
                  <c:v>293.06248045504435</c:v>
                </c:pt>
                <c:pt idx="17">
                  <c:v>307.01783666718927</c:v>
                </c:pt>
                <c:pt idx="18">
                  <c:v>320.97319287933425</c:v>
                </c:pt>
                <c:pt idx="19">
                  <c:v>334.92854909147923</c:v>
                </c:pt>
              </c:numCache>
            </c:numRef>
          </c:xVal>
          <c:yVal>
            <c:numRef>
              <c:f>'Ducati Panigale data'!$T$5:$T$24</c:f>
              <c:numCache>
                <c:formatCode>0</c:formatCode>
                <c:ptCount val="20"/>
                <c:pt idx="0">
                  <c:v>1289.8273412996143</c:v>
                </c:pt>
                <c:pt idx="1">
                  <c:v>1246.8330965896271</c:v>
                </c:pt>
                <c:pt idx="2">
                  <c:v>1547.7928095595369</c:v>
                </c:pt>
                <c:pt idx="3">
                  <c:v>1709.0212272219887</c:v>
                </c:pt>
                <c:pt idx="4">
                  <c:v>1662.4441287861694</c:v>
                </c:pt>
                <c:pt idx="5">
                  <c:v>1547.7928095595371</c:v>
                </c:pt>
                <c:pt idx="6">
                  <c:v>1547.7928095595373</c:v>
                </c:pt>
                <c:pt idx="7">
                  <c:v>1612.2841766245178</c:v>
                </c:pt>
                <c:pt idx="8">
                  <c:v>1488.2623168841703</c:v>
                </c:pt>
                <c:pt idx="9">
                  <c:v>1658.3494388137894</c:v>
                </c:pt>
                <c:pt idx="10">
                  <c:v>1754.1651841674757</c:v>
                </c:pt>
                <c:pt idx="11">
                  <c:v>1934.7410119494211</c:v>
                </c:pt>
                <c:pt idx="12">
                  <c:v>2048.5493067699758</c:v>
                </c:pt>
                <c:pt idx="13">
                  <c:v>2149.7122354993571</c:v>
                </c:pt>
                <c:pt idx="14">
                  <c:v>2104.4551358046333</c:v>
                </c:pt>
                <c:pt idx="15">
                  <c:v>2063.7237460793826</c:v>
                </c:pt>
                <c:pt idx="16">
                  <c:v>2112.8600257479393</c:v>
                </c:pt>
                <c:pt idx="17">
                  <c:v>2005.0952305657643</c:v>
                </c:pt>
                <c:pt idx="18">
                  <c:v>1906.7012871385602</c:v>
                </c:pt>
                <c:pt idx="19">
                  <c:v>1827.2554001744534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EA3A-F748-A43E-6F4BFCEF83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100336"/>
        <c:axId val="643890287"/>
      </c:scatterChart>
      <c:valAx>
        <c:axId val="381003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3890287"/>
        <c:crosses val="autoZero"/>
        <c:crossBetween val="midCat"/>
      </c:valAx>
      <c:valAx>
        <c:axId val="6438902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1003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strRef>
              <c:f>'Ducati Panigale data'!$E$4</c:f>
              <c:strCache>
                <c:ptCount val="1"/>
                <c:pt idx="0">
                  <c:v>Torque (Nm)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'Ducati Panigale data'!$B$5:$B$23</c:f>
              <c:numCache>
                <c:formatCode>General</c:formatCode>
                <c:ptCount val="19"/>
                <c:pt idx="0">
                  <c:v>2500</c:v>
                </c:pt>
                <c:pt idx="1">
                  <c:v>3000</c:v>
                </c:pt>
                <c:pt idx="2">
                  <c:v>3500</c:v>
                </c:pt>
                <c:pt idx="3">
                  <c:v>4000</c:v>
                </c:pt>
                <c:pt idx="4">
                  <c:v>4500</c:v>
                </c:pt>
                <c:pt idx="5">
                  <c:v>5000</c:v>
                </c:pt>
                <c:pt idx="6">
                  <c:v>5500</c:v>
                </c:pt>
                <c:pt idx="7">
                  <c:v>6000</c:v>
                </c:pt>
                <c:pt idx="8">
                  <c:v>6500</c:v>
                </c:pt>
                <c:pt idx="9">
                  <c:v>7000</c:v>
                </c:pt>
                <c:pt idx="10">
                  <c:v>7500</c:v>
                </c:pt>
                <c:pt idx="11">
                  <c:v>8000</c:v>
                </c:pt>
                <c:pt idx="12">
                  <c:v>8500</c:v>
                </c:pt>
                <c:pt idx="13">
                  <c:v>9000</c:v>
                </c:pt>
                <c:pt idx="14">
                  <c:v>9500</c:v>
                </c:pt>
                <c:pt idx="15">
                  <c:v>10000</c:v>
                </c:pt>
                <c:pt idx="16">
                  <c:v>10500</c:v>
                </c:pt>
                <c:pt idx="17">
                  <c:v>11000</c:v>
                </c:pt>
                <c:pt idx="18">
                  <c:v>11500</c:v>
                </c:pt>
              </c:numCache>
            </c:numRef>
          </c:xVal>
          <c:yVal>
            <c:numRef>
              <c:f>'Ducati Panigale data'!$E$5:$E$23</c:f>
              <c:numCache>
                <c:formatCode>0.00</c:formatCode>
                <c:ptCount val="19"/>
                <c:pt idx="0">
                  <c:v>69.145799999999994</c:v>
                </c:pt>
                <c:pt idx="1">
                  <c:v>67.789999999999992</c:v>
                </c:pt>
                <c:pt idx="2">
                  <c:v>88.126999999999995</c:v>
                </c:pt>
                <c:pt idx="3">
                  <c:v>94.905999999999992</c:v>
                </c:pt>
                <c:pt idx="4">
                  <c:v>90.8386</c:v>
                </c:pt>
                <c:pt idx="5">
                  <c:v>84.059599999999989</c:v>
                </c:pt>
                <c:pt idx="6">
                  <c:v>85.415399999999991</c:v>
                </c:pt>
                <c:pt idx="7">
                  <c:v>88.126999999999995</c:v>
                </c:pt>
                <c:pt idx="8">
                  <c:v>85.415399999999991</c:v>
                </c:pt>
                <c:pt idx="9">
                  <c:v>89.482799999999997</c:v>
                </c:pt>
                <c:pt idx="10">
                  <c:v>94.905999999999992</c:v>
                </c:pt>
                <c:pt idx="11">
                  <c:v>108.464</c:v>
                </c:pt>
                <c:pt idx="12">
                  <c:v>112.53139999999999</c:v>
                </c:pt>
                <c:pt idx="13">
                  <c:v>117.95459999999999</c:v>
                </c:pt>
                <c:pt idx="14">
                  <c:v>115.24299999999999</c:v>
                </c:pt>
                <c:pt idx="15">
                  <c:v>112.53139999999999</c:v>
                </c:pt>
                <c:pt idx="16">
                  <c:v>115.24299999999999</c:v>
                </c:pt>
                <c:pt idx="17">
                  <c:v>109.81979999999999</c:v>
                </c:pt>
                <c:pt idx="18">
                  <c:v>107.1082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DE1-F04B-A332-0D627D5E23DB}"/>
            </c:ext>
          </c:extLst>
        </c:ser>
        <c:ser>
          <c:idx val="1"/>
          <c:order val="1"/>
          <c:tx>
            <c:strRef>
              <c:f>'Ducati Panigale data'!$F$4</c:f>
              <c:strCache>
                <c:ptCount val="1"/>
                <c:pt idx="0">
                  <c:v>Power (Kw)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'Ducati Panigale data'!$B$5:$B$23</c:f>
              <c:numCache>
                <c:formatCode>General</c:formatCode>
                <c:ptCount val="19"/>
                <c:pt idx="0">
                  <c:v>2500</c:v>
                </c:pt>
                <c:pt idx="1">
                  <c:v>3000</c:v>
                </c:pt>
                <c:pt idx="2">
                  <c:v>3500</c:v>
                </c:pt>
                <c:pt idx="3">
                  <c:v>4000</c:v>
                </c:pt>
                <c:pt idx="4">
                  <c:v>4500</c:v>
                </c:pt>
                <c:pt idx="5">
                  <c:v>5000</c:v>
                </c:pt>
                <c:pt idx="6">
                  <c:v>5500</c:v>
                </c:pt>
                <c:pt idx="7">
                  <c:v>6000</c:v>
                </c:pt>
                <c:pt idx="8">
                  <c:v>6500</c:v>
                </c:pt>
                <c:pt idx="9">
                  <c:v>7000</c:v>
                </c:pt>
                <c:pt idx="10">
                  <c:v>7500</c:v>
                </c:pt>
                <c:pt idx="11">
                  <c:v>8000</c:v>
                </c:pt>
                <c:pt idx="12">
                  <c:v>8500</c:v>
                </c:pt>
                <c:pt idx="13">
                  <c:v>9000</c:v>
                </c:pt>
                <c:pt idx="14">
                  <c:v>9500</c:v>
                </c:pt>
                <c:pt idx="15">
                  <c:v>10000</c:v>
                </c:pt>
                <c:pt idx="16">
                  <c:v>10500</c:v>
                </c:pt>
                <c:pt idx="17">
                  <c:v>11000</c:v>
                </c:pt>
                <c:pt idx="18">
                  <c:v>11500</c:v>
                </c:pt>
              </c:numCache>
            </c:numRef>
          </c:xVal>
          <c:yVal>
            <c:numRef>
              <c:f>'Ducati Panigale data'!$F$5:$F$23</c:f>
              <c:numCache>
                <c:formatCode>0.00</c:formatCode>
                <c:ptCount val="19"/>
                <c:pt idx="0">
                  <c:v>18.642500000000002</c:v>
                </c:pt>
                <c:pt idx="1">
                  <c:v>21.625299999999999</c:v>
                </c:pt>
                <c:pt idx="2">
                  <c:v>31.319400000000002</c:v>
                </c:pt>
                <c:pt idx="3">
                  <c:v>39.522100000000002</c:v>
                </c:pt>
                <c:pt idx="4">
                  <c:v>43.250599999999999</c:v>
                </c:pt>
                <c:pt idx="5">
                  <c:v>44.742000000000004</c:v>
                </c:pt>
                <c:pt idx="6">
                  <c:v>49.216200000000001</c:v>
                </c:pt>
                <c:pt idx="7">
                  <c:v>55.927500000000002</c:v>
                </c:pt>
                <c:pt idx="8">
                  <c:v>55.927500000000002</c:v>
                </c:pt>
                <c:pt idx="9">
                  <c:v>67.113</c:v>
                </c:pt>
                <c:pt idx="10">
                  <c:v>76.061400000000006</c:v>
                </c:pt>
                <c:pt idx="11">
                  <c:v>89.484000000000009</c:v>
                </c:pt>
                <c:pt idx="12">
                  <c:v>100.6695</c:v>
                </c:pt>
                <c:pt idx="13">
                  <c:v>111.855</c:v>
                </c:pt>
                <c:pt idx="14">
                  <c:v>115.5835</c:v>
                </c:pt>
                <c:pt idx="15">
                  <c:v>119.31200000000001</c:v>
                </c:pt>
                <c:pt idx="16">
                  <c:v>128.2604</c:v>
                </c:pt>
                <c:pt idx="17">
                  <c:v>127.5147</c:v>
                </c:pt>
                <c:pt idx="18">
                  <c:v>126.76900000000001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DE1-F04B-A332-0D627D5E23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93288495"/>
        <c:axId val="1645073103"/>
      </c:scatterChart>
      <c:valAx>
        <c:axId val="12932884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5073103"/>
        <c:crosses val="autoZero"/>
        <c:crossBetween val="midCat"/>
      </c:valAx>
      <c:valAx>
        <c:axId val="16450731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9328849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Resistance to Motion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'Ducati Panigale data'!$W$2</c:f>
              <c:strCache>
                <c:ptCount val="1"/>
                <c:pt idx="0">
                  <c:v>driving force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'Ducati Panigale data'!$V$3:$V$24</c:f>
              <c:numCache>
                <c:formatCode>General</c:formatCode>
                <c:ptCount val="22"/>
                <c:pt idx="2">
                  <c:v>2500</c:v>
                </c:pt>
                <c:pt idx="3">
                  <c:v>3000</c:v>
                </c:pt>
                <c:pt idx="4">
                  <c:v>3500</c:v>
                </c:pt>
                <c:pt idx="5">
                  <c:v>4000</c:v>
                </c:pt>
                <c:pt idx="6">
                  <c:v>4500</c:v>
                </c:pt>
                <c:pt idx="7">
                  <c:v>5000</c:v>
                </c:pt>
                <c:pt idx="8">
                  <c:v>5500</c:v>
                </c:pt>
                <c:pt idx="9">
                  <c:v>6000</c:v>
                </c:pt>
                <c:pt idx="10">
                  <c:v>6500</c:v>
                </c:pt>
                <c:pt idx="11">
                  <c:v>7000</c:v>
                </c:pt>
                <c:pt idx="12">
                  <c:v>7500</c:v>
                </c:pt>
                <c:pt idx="13">
                  <c:v>8000</c:v>
                </c:pt>
                <c:pt idx="14">
                  <c:v>8500</c:v>
                </c:pt>
                <c:pt idx="15">
                  <c:v>9000</c:v>
                </c:pt>
                <c:pt idx="16">
                  <c:v>9500</c:v>
                </c:pt>
                <c:pt idx="17">
                  <c:v>10000</c:v>
                </c:pt>
                <c:pt idx="18">
                  <c:v>10500</c:v>
                </c:pt>
                <c:pt idx="19">
                  <c:v>11000</c:v>
                </c:pt>
                <c:pt idx="20">
                  <c:v>11500</c:v>
                </c:pt>
                <c:pt idx="21">
                  <c:v>12000</c:v>
                </c:pt>
              </c:numCache>
            </c:numRef>
          </c:cat>
          <c:val>
            <c:numRef>
              <c:f>'Ducati Panigale data'!$W$3:$W$24</c:f>
              <c:numCache>
                <c:formatCode>General</c:formatCode>
                <c:ptCount val="22"/>
                <c:pt idx="2" formatCode="0">
                  <c:v>1289.8273412996143</c:v>
                </c:pt>
                <c:pt idx="3" formatCode="0">
                  <c:v>1246.8330965896271</c:v>
                </c:pt>
                <c:pt idx="4" formatCode="0">
                  <c:v>1547.7928095595369</c:v>
                </c:pt>
                <c:pt idx="5" formatCode="0">
                  <c:v>1709.0212272219887</c:v>
                </c:pt>
                <c:pt idx="6" formatCode="0">
                  <c:v>1662.4441287861694</c:v>
                </c:pt>
                <c:pt idx="7" formatCode="0">
                  <c:v>1547.7928095595371</c:v>
                </c:pt>
                <c:pt idx="8" formatCode="0">
                  <c:v>1547.7928095595373</c:v>
                </c:pt>
                <c:pt idx="9" formatCode="0">
                  <c:v>1612.2841766245178</c:v>
                </c:pt>
                <c:pt idx="10" formatCode="0">
                  <c:v>1488.2623168841703</c:v>
                </c:pt>
                <c:pt idx="11" formatCode="0">
                  <c:v>1658.3494388137894</c:v>
                </c:pt>
                <c:pt idx="12" formatCode="0">
                  <c:v>1754.1651841674757</c:v>
                </c:pt>
                <c:pt idx="13" formatCode="0">
                  <c:v>1934.7410119494211</c:v>
                </c:pt>
                <c:pt idx="14" formatCode="0">
                  <c:v>2048.5493067699758</c:v>
                </c:pt>
                <c:pt idx="15" formatCode="0">
                  <c:v>2149.7122354993571</c:v>
                </c:pt>
                <c:pt idx="16" formatCode="0">
                  <c:v>2104.4551358046333</c:v>
                </c:pt>
                <c:pt idx="17" formatCode="0">
                  <c:v>2063.7237460793826</c:v>
                </c:pt>
                <c:pt idx="18" formatCode="0">
                  <c:v>2112.8600257479393</c:v>
                </c:pt>
                <c:pt idx="19" formatCode="0">
                  <c:v>2005.0952305657643</c:v>
                </c:pt>
                <c:pt idx="20" formatCode="0">
                  <c:v>1906.7012871385602</c:v>
                </c:pt>
                <c:pt idx="21" formatCode="0">
                  <c:v>1827.2554001744534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5D6-904F-8D9C-0F96C3E8F4B7}"/>
            </c:ext>
          </c:extLst>
        </c:ser>
        <c:ser>
          <c:idx val="1"/>
          <c:order val="1"/>
          <c:tx>
            <c:strRef>
              <c:f>'Ducati Panigale data'!$X$2</c:f>
              <c:strCache>
                <c:ptCount val="1"/>
                <c:pt idx="0">
                  <c:v>resistance to motion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'Ducati Panigale data'!$V$3:$V$24</c:f>
              <c:numCache>
                <c:formatCode>General</c:formatCode>
                <c:ptCount val="22"/>
                <c:pt idx="2">
                  <c:v>2500</c:v>
                </c:pt>
                <c:pt idx="3">
                  <c:v>3000</c:v>
                </c:pt>
                <c:pt idx="4">
                  <c:v>3500</c:v>
                </c:pt>
                <c:pt idx="5">
                  <c:v>4000</c:v>
                </c:pt>
                <c:pt idx="6">
                  <c:v>4500</c:v>
                </c:pt>
                <c:pt idx="7">
                  <c:v>5000</c:v>
                </c:pt>
                <c:pt idx="8">
                  <c:v>5500</c:v>
                </c:pt>
                <c:pt idx="9">
                  <c:v>6000</c:v>
                </c:pt>
                <c:pt idx="10">
                  <c:v>6500</c:v>
                </c:pt>
                <c:pt idx="11">
                  <c:v>7000</c:v>
                </c:pt>
                <c:pt idx="12">
                  <c:v>7500</c:v>
                </c:pt>
                <c:pt idx="13">
                  <c:v>8000</c:v>
                </c:pt>
                <c:pt idx="14">
                  <c:v>8500</c:v>
                </c:pt>
                <c:pt idx="15">
                  <c:v>9000</c:v>
                </c:pt>
                <c:pt idx="16">
                  <c:v>9500</c:v>
                </c:pt>
                <c:pt idx="17">
                  <c:v>10000</c:v>
                </c:pt>
                <c:pt idx="18">
                  <c:v>10500</c:v>
                </c:pt>
                <c:pt idx="19">
                  <c:v>11000</c:v>
                </c:pt>
                <c:pt idx="20">
                  <c:v>11500</c:v>
                </c:pt>
                <c:pt idx="21">
                  <c:v>12000</c:v>
                </c:pt>
              </c:numCache>
            </c:numRef>
          </c:cat>
          <c:val>
            <c:numRef>
              <c:f>'Ducati Panigale data'!$X$3:$X$24</c:f>
              <c:numCache>
                <c:formatCode>General</c:formatCode>
                <c:ptCount val="22"/>
                <c:pt idx="2">
                  <c:v>94.4</c:v>
                </c:pt>
                <c:pt idx="3">
                  <c:v>113.49</c:v>
                </c:pt>
                <c:pt idx="4">
                  <c:v>136.06</c:v>
                </c:pt>
                <c:pt idx="5">
                  <c:v>162.1</c:v>
                </c:pt>
                <c:pt idx="6">
                  <c:v>191.62</c:v>
                </c:pt>
                <c:pt idx="7">
                  <c:v>224.61</c:v>
                </c:pt>
                <c:pt idx="8">
                  <c:v>261.06</c:v>
                </c:pt>
                <c:pt idx="9">
                  <c:v>301</c:v>
                </c:pt>
                <c:pt idx="10">
                  <c:v>344.4</c:v>
                </c:pt>
                <c:pt idx="11">
                  <c:v>391.27</c:v>
                </c:pt>
                <c:pt idx="12">
                  <c:v>441.62</c:v>
                </c:pt>
                <c:pt idx="13">
                  <c:v>495.44</c:v>
                </c:pt>
                <c:pt idx="14">
                  <c:v>552.73</c:v>
                </c:pt>
                <c:pt idx="15">
                  <c:v>613.5</c:v>
                </c:pt>
                <c:pt idx="16">
                  <c:v>677.74</c:v>
                </c:pt>
                <c:pt idx="17">
                  <c:v>745.45</c:v>
                </c:pt>
                <c:pt idx="18">
                  <c:v>816.63</c:v>
                </c:pt>
                <c:pt idx="19">
                  <c:v>891.28</c:v>
                </c:pt>
                <c:pt idx="20">
                  <c:v>969.41</c:v>
                </c:pt>
                <c:pt idx="21">
                  <c:v>1051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5D6-904F-8D9C-0F96C3E8F4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07579599"/>
        <c:axId val="391007663"/>
      </c:lineChart>
      <c:catAx>
        <c:axId val="9075795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1007663"/>
        <c:crosses val="autoZero"/>
        <c:auto val="1"/>
        <c:lblAlgn val="ctr"/>
        <c:lblOffset val="100"/>
        <c:noMultiLvlLbl val="0"/>
      </c:catAx>
      <c:valAx>
        <c:axId val="3910076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075795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GB" b="1" i="1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DYNO</a:t>
            </a:r>
            <a:r>
              <a:rPr lang="en-GB" b="1" i="1" baseline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CHART</a:t>
            </a:r>
            <a:endParaRPr lang="en-GB" b="1" i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overlay val="0"/>
      <c:spPr>
        <a:solidFill>
          <a:srgbClr val="F2761F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'KTM 350 EXC-f data'!$E$4</c:f>
              <c:strCache>
                <c:ptCount val="1"/>
                <c:pt idx="0">
                  <c:v>Torque (Nm)</c:v>
                </c:pt>
              </c:strCache>
            </c:strRef>
          </c:tx>
          <c:spPr>
            <a:ln w="508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'KTM 350 EXC-f data'!$B$5:$B$22</c:f>
              <c:numCache>
                <c:formatCode>General</c:formatCode>
                <c:ptCount val="18"/>
                <c:pt idx="0">
                  <c:v>3000</c:v>
                </c:pt>
                <c:pt idx="1">
                  <c:v>3500</c:v>
                </c:pt>
                <c:pt idx="2">
                  <c:v>4000</c:v>
                </c:pt>
                <c:pt idx="3">
                  <c:v>4500</c:v>
                </c:pt>
                <c:pt idx="4">
                  <c:v>5000</c:v>
                </c:pt>
                <c:pt idx="5">
                  <c:v>5500</c:v>
                </c:pt>
                <c:pt idx="6">
                  <c:v>6000</c:v>
                </c:pt>
                <c:pt idx="7">
                  <c:v>6500</c:v>
                </c:pt>
                <c:pt idx="8">
                  <c:v>7000</c:v>
                </c:pt>
                <c:pt idx="9">
                  <c:v>7500</c:v>
                </c:pt>
                <c:pt idx="10">
                  <c:v>8000</c:v>
                </c:pt>
                <c:pt idx="11">
                  <c:v>8500</c:v>
                </c:pt>
                <c:pt idx="12">
                  <c:v>9000</c:v>
                </c:pt>
                <c:pt idx="13">
                  <c:v>9500</c:v>
                </c:pt>
                <c:pt idx="14">
                  <c:v>10000</c:v>
                </c:pt>
                <c:pt idx="15">
                  <c:v>10500</c:v>
                </c:pt>
                <c:pt idx="16">
                  <c:v>11000</c:v>
                </c:pt>
                <c:pt idx="17">
                  <c:v>11500</c:v>
                </c:pt>
              </c:numCache>
            </c:numRef>
          </c:xVal>
          <c:yVal>
            <c:numRef>
              <c:f>'KTM 350 EXC-f data'!$E$5:$E$22</c:f>
              <c:numCache>
                <c:formatCode>0.00</c:formatCode>
                <c:ptCount val="18"/>
                <c:pt idx="0">
                  <c:v>23.726499999999998</c:v>
                </c:pt>
                <c:pt idx="1">
                  <c:v>23.048599999999997</c:v>
                </c:pt>
                <c:pt idx="2">
                  <c:v>23.726499999999998</c:v>
                </c:pt>
                <c:pt idx="3">
                  <c:v>26.438099999999999</c:v>
                </c:pt>
                <c:pt idx="4">
                  <c:v>27.793899999999997</c:v>
                </c:pt>
                <c:pt idx="5">
                  <c:v>29.149699999999999</c:v>
                </c:pt>
                <c:pt idx="6">
                  <c:v>29.827599999999997</c:v>
                </c:pt>
                <c:pt idx="7">
                  <c:v>31.183399999999999</c:v>
                </c:pt>
                <c:pt idx="8">
                  <c:v>31.183399999999999</c:v>
                </c:pt>
                <c:pt idx="9">
                  <c:v>31.454559999999997</c:v>
                </c:pt>
                <c:pt idx="10">
                  <c:v>31.183399999999999</c:v>
                </c:pt>
                <c:pt idx="11">
                  <c:v>29.827599999999997</c:v>
                </c:pt>
                <c:pt idx="12">
                  <c:v>27.116</c:v>
                </c:pt>
                <c:pt idx="13">
                  <c:v>25.760199999999998</c:v>
                </c:pt>
                <c:pt idx="14">
                  <c:v>23.726499999999998</c:v>
                </c:pt>
                <c:pt idx="15">
                  <c:v>22.370699999999999</c:v>
                </c:pt>
                <c:pt idx="16">
                  <c:v>20.608159999999998</c:v>
                </c:pt>
                <c:pt idx="17">
                  <c:v>19.659099999999999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37A-DB4D-8722-FE0E6A79384E}"/>
            </c:ext>
          </c:extLst>
        </c:ser>
        <c:ser>
          <c:idx val="1"/>
          <c:order val="1"/>
          <c:tx>
            <c:strRef>
              <c:f>'KTM 350 EXC-f data'!$F$4</c:f>
              <c:strCache>
                <c:ptCount val="1"/>
                <c:pt idx="0">
                  <c:v>Power (Kw)</c:v>
                </c:pt>
              </c:strCache>
            </c:strRef>
          </c:tx>
          <c:spPr>
            <a:ln w="508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'KTM 350 EXC-f data'!$B$5:$B$22</c:f>
              <c:numCache>
                <c:formatCode>General</c:formatCode>
                <c:ptCount val="18"/>
                <c:pt idx="0">
                  <c:v>3000</c:v>
                </c:pt>
                <c:pt idx="1">
                  <c:v>3500</c:v>
                </c:pt>
                <c:pt idx="2">
                  <c:v>4000</c:v>
                </c:pt>
                <c:pt idx="3">
                  <c:v>4500</c:v>
                </c:pt>
                <c:pt idx="4">
                  <c:v>5000</c:v>
                </c:pt>
                <c:pt idx="5">
                  <c:v>5500</c:v>
                </c:pt>
                <c:pt idx="6">
                  <c:v>6000</c:v>
                </c:pt>
                <c:pt idx="7">
                  <c:v>6500</c:v>
                </c:pt>
                <c:pt idx="8">
                  <c:v>7000</c:v>
                </c:pt>
                <c:pt idx="9">
                  <c:v>7500</c:v>
                </c:pt>
                <c:pt idx="10">
                  <c:v>8000</c:v>
                </c:pt>
                <c:pt idx="11">
                  <c:v>8500</c:v>
                </c:pt>
                <c:pt idx="12">
                  <c:v>9000</c:v>
                </c:pt>
                <c:pt idx="13">
                  <c:v>9500</c:v>
                </c:pt>
                <c:pt idx="14">
                  <c:v>10000</c:v>
                </c:pt>
                <c:pt idx="15">
                  <c:v>10500</c:v>
                </c:pt>
                <c:pt idx="16">
                  <c:v>11000</c:v>
                </c:pt>
                <c:pt idx="17">
                  <c:v>11500</c:v>
                </c:pt>
              </c:numCache>
            </c:numRef>
          </c:xVal>
          <c:yVal>
            <c:numRef>
              <c:f>'KTM 350 EXC-f data'!$F$5:$F$22</c:f>
              <c:numCache>
                <c:formatCode>0.00</c:formatCode>
                <c:ptCount val="18"/>
                <c:pt idx="0">
                  <c:v>7.4570000000000007</c:v>
                </c:pt>
                <c:pt idx="1">
                  <c:v>8.9483999999999995</c:v>
                </c:pt>
                <c:pt idx="2">
                  <c:v>10.4398</c:v>
                </c:pt>
                <c:pt idx="3">
                  <c:v>12.6769</c:v>
                </c:pt>
                <c:pt idx="4">
                  <c:v>14.1683</c:v>
                </c:pt>
                <c:pt idx="5">
                  <c:v>17.1511</c:v>
                </c:pt>
                <c:pt idx="6">
                  <c:v>18.642500000000002</c:v>
                </c:pt>
                <c:pt idx="7">
                  <c:v>20.133900000000001</c:v>
                </c:pt>
                <c:pt idx="8">
                  <c:v>22.371000000000002</c:v>
                </c:pt>
                <c:pt idx="9">
                  <c:v>24.6081</c:v>
                </c:pt>
                <c:pt idx="10">
                  <c:v>25.3538</c:v>
                </c:pt>
                <c:pt idx="11">
                  <c:v>25.726649999999999</c:v>
                </c:pt>
                <c:pt idx="12">
                  <c:v>26.099500000000003</c:v>
                </c:pt>
                <c:pt idx="13">
                  <c:v>25.726649999999999</c:v>
                </c:pt>
                <c:pt idx="14">
                  <c:v>24.98095</c:v>
                </c:pt>
                <c:pt idx="15">
                  <c:v>24.6081</c:v>
                </c:pt>
                <c:pt idx="16">
                  <c:v>24.6081</c:v>
                </c:pt>
                <c:pt idx="17">
                  <c:v>24.6081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37A-DB4D-8722-FE0E6A7938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4814495"/>
        <c:axId val="1476160831"/>
      </c:scatterChart>
      <c:valAx>
        <c:axId val="64481449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chemeClr val="tx1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6160831"/>
        <c:crosses val="autoZero"/>
        <c:crossBetween val="midCat"/>
      </c:valAx>
      <c:valAx>
        <c:axId val="14761608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chemeClr val="tx1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TORQUE (Nm / 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481449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8100" cap="flat" cmpd="sng" algn="ctr">
      <a:solidFill>
        <a:srgbClr val="F2761F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GB" b="1" i="1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GEAR/ RPM SHIFT</a:t>
            </a:r>
          </a:p>
        </c:rich>
      </c:tx>
      <c:overlay val="0"/>
      <c:spPr>
        <a:solidFill>
          <a:srgbClr val="F2761F"/>
        </a:solidFill>
        <a:ln w="38100">
          <a:solidFill>
            <a:srgbClr val="F2761F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5"/>
          <c:order val="0"/>
          <c:tx>
            <c:strRef>
              <c:f>'KTM 350 EXC-f data'!$O$4</c:f>
              <c:strCache>
                <c:ptCount val="1"/>
                <c:pt idx="0">
                  <c:v>1st Gear </c:v>
                </c:pt>
              </c:strCache>
            </c:strRef>
          </c:tx>
          <c:spPr>
            <a:ln w="25400" cap="rnd">
              <a:solidFill>
                <a:srgbClr val="F2761F"/>
              </a:solidFill>
              <a:round/>
            </a:ln>
            <a:effectLst/>
          </c:spPr>
          <c:marker>
            <c:symbol val="none"/>
          </c:marker>
          <c:xVal>
            <c:numRef>
              <c:f>'KTM 350 EXC-f data'!$H$5:$H$22</c:f>
              <c:numCache>
                <c:formatCode>0.00</c:formatCode>
                <c:ptCount val="18"/>
                <c:pt idx="0">
                  <c:v>14.917228700591989</c:v>
                </c:pt>
                <c:pt idx="1">
                  <c:v>17.403433484023985</c:v>
                </c:pt>
                <c:pt idx="2">
                  <c:v>19.88963826745599</c:v>
                </c:pt>
                <c:pt idx="3">
                  <c:v>22.37584305088798</c:v>
                </c:pt>
                <c:pt idx="4">
                  <c:v>24.862047834319977</c:v>
                </c:pt>
                <c:pt idx="5">
                  <c:v>27.348252617751982</c:v>
                </c:pt>
                <c:pt idx="6">
                  <c:v>29.834457401183979</c:v>
                </c:pt>
                <c:pt idx="7">
                  <c:v>32.320662184615976</c:v>
                </c:pt>
                <c:pt idx="8">
                  <c:v>34.80686696804797</c:v>
                </c:pt>
                <c:pt idx="9">
                  <c:v>37.293071751479978</c:v>
                </c:pt>
                <c:pt idx="10">
                  <c:v>39.779276534911979</c:v>
                </c:pt>
                <c:pt idx="11">
                  <c:v>42.265481318343973</c:v>
                </c:pt>
                <c:pt idx="12">
                  <c:v>44.75168610177596</c:v>
                </c:pt>
                <c:pt idx="13">
                  <c:v>47.23789088520796</c:v>
                </c:pt>
                <c:pt idx="14">
                  <c:v>49.724095668639954</c:v>
                </c:pt>
                <c:pt idx="15">
                  <c:v>52.210300452071955</c:v>
                </c:pt>
                <c:pt idx="16">
                  <c:v>54.696505235503963</c:v>
                </c:pt>
                <c:pt idx="17">
                  <c:v>57.18271001893595</c:v>
                </c:pt>
              </c:numCache>
            </c:numRef>
          </c:xVal>
          <c:yVal>
            <c:numRef>
              <c:f>'KTM 350 EXC-f data'!$O$5:$O$22</c:f>
              <c:numCache>
                <c:formatCode>0</c:formatCode>
                <c:ptCount val="18"/>
                <c:pt idx="0">
                  <c:v>2413.3168916671057</c:v>
                </c:pt>
                <c:pt idx="1">
                  <c:v>2482.2688028575949</c:v>
                </c:pt>
                <c:pt idx="2">
                  <c:v>2533.9827362504607</c:v>
                </c:pt>
                <c:pt idx="3">
                  <c:v>2735.0924772227204</c:v>
                </c:pt>
                <c:pt idx="4">
                  <c:v>2751.1812565005011</c:v>
                </c:pt>
                <c:pt idx="5">
                  <c:v>3027.6157368187323</c:v>
                </c:pt>
                <c:pt idx="6">
                  <c:v>3016.6461145838816</c:v>
                </c:pt>
                <c:pt idx="7">
                  <c:v>3007.3641265390088</c:v>
                </c:pt>
                <c:pt idx="8">
                  <c:v>3102.8360035719938</c:v>
                </c:pt>
                <c:pt idx="9">
                  <c:v>3185.5782970005794</c:v>
                </c:pt>
                <c:pt idx="10">
                  <c:v>3076.9790368755594</c:v>
                </c:pt>
                <c:pt idx="11">
                  <c:v>2938.568215147593</c:v>
                </c:pt>
                <c:pt idx="12">
                  <c:v>2815.5363736116242</c:v>
                </c:pt>
                <c:pt idx="13">
                  <c:v>2629.2452451320578</c:v>
                </c:pt>
                <c:pt idx="14">
                  <c:v>2425.3834761254416</c:v>
                </c:pt>
                <c:pt idx="15">
                  <c:v>2275.4130692861286</c:v>
                </c:pt>
                <c:pt idx="16">
                  <c:v>2171.9852025003952</c:v>
                </c:pt>
                <c:pt idx="17">
                  <c:v>2077.5510632612481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A22-A64A-B0AA-D58ACFFF814A}"/>
            </c:ext>
          </c:extLst>
        </c:ser>
        <c:ser>
          <c:idx val="6"/>
          <c:order val="1"/>
          <c:tx>
            <c:strRef>
              <c:f>'KTM 350 EXC-f data'!$P$4</c:f>
              <c:strCache>
                <c:ptCount val="1"/>
                <c:pt idx="0">
                  <c:v>2nd Gear </c:v>
                </c:pt>
              </c:strCache>
            </c:strRef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'KTM 350 EXC-f data'!$I$5:$I$22</c:f>
              <c:numCache>
                <c:formatCode>0.00</c:formatCode>
                <c:ptCount val="18"/>
                <c:pt idx="0">
                  <c:v>20.982475534898622</c:v>
                </c:pt>
                <c:pt idx="1">
                  <c:v>24.47955479071506</c:v>
                </c:pt>
                <c:pt idx="2">
                  <c:v>27.976634046531494</c:v>
                </c:pt>
                <c:pt idx="3">
                  <c:v>31.473713302347935</c:v>
                </c:pt>
                <c:pt idx="4">
                  <c:v>34.970792558164376</c:v>
                </c:pt>
                <c:pt idx="5">
                  <c:v>38.467871813980814</c:v>
                </c:pt>
                <c:pt idx="6">
                  <c:v>41.964951069797245</c:v>
                </c:pt>
                <c:pt idx="7">
                  <c:v>45.462030325613675</c:v>
                </c:pt>
                <c:pt idx="8">
                  <c:v>48.95910958143012</c:v>
                </c:pt>
                <c:pt idx="9">
                  <c:v>52.456188837246557</c:v>
                </c:pt>
                <c:pt idx="10">
                  <c:v>55.953268093062988</c:v>
                </c:pt>
                <c:pt idx="11">
                  <c:v>59.450347348879447</c:v>
                </c:pt>
                <c:pt idx="12">
                  <c:v>62.94742660469587</c:v>
                </c:pt>
                <c:pt idx="13">
                  <c:v>66.444505860512322</c:v>
                </c:pt>
                <c:pt idx="14">
                  <c:v>69.941585116328753</c:v>
                </c:pt>
                <c:pt idx="15">
                  <c:v>73.438664372145169</c:v>
                </c:pt>
                <c:pt idx="16">
                  <c:v>76.935743627961628</c:v>
                </c:pt>
                <c:pt idx="17">
                  <c:v>80.432822883778059</c:v>
                </c:pt>
              </c:numCache>
            </c:numRef>
          </c:xVal>
          <c:yVal>
            <c:numRef>
              <c:f>'KTM 350 EXC-f data'!$P$5:$P$22</c:f>
              <c:numCache>
                <c:formatCode>0</c:formatCode>
                <c:ptCount val="18"/>
                <c:pt idx="0">
                  <c:v>1715.7174776695831</c:v>
                </c:pt>
                <c:pt idx="1">
                  <c:v>1764.7379770315711</c:v>
                </c:pt>
                <c:pt idx="2">
                  <c:v>1801.5033515530624</c:v>
                </c:pt>
                <c:pt idx="3">
                  <c:v>1944.4798080255271</c:v>
                </c:pt>
                <c:pt idx="4">
                  <c:v>1955.9179245433243</c:v>
                </c:pt>
                <c:pt idx="5">
                  <c:v>2152.4455628945675</c:v>
                </c:pt>
                <c:pt idx="6">
                  <c:v>2144.6468470869786</c:v>
                </c:pt>
                <c:pt idx="7">
                  <c:v>2138.047933711327</c:v>
                </c:pt>
                <c:pt idx="8">
                  <c:v>2205.9224712894638</c:v>
                </c:pt>
                <c:pt idx="9">
                  <c:v>2264.7470705238497</c:v>
                </c:pt>
                <c:pt idx="10">
                  <c:v>2187.5397840287187</c:v>
                </c:pt>
                <c:pt idx="11">
                  <c:v>2089.1383404564917</c:v>
                </c:pt>
                <c:pt idx="12">
                  <c:v>2001.6703906145133</c:v>
                </c:pt>
                <c:pt idx="13">
                  <c:v>1869.2290414610713</c:v>
                </c:pt>
                <c:pt idx="14">
                  <c:v>1724.2960650579307</c:v>
                </c:pt>
                <c:pt idx="15">
                  <c:v>1617.676478945607</c:v>
                </c:pt>
                <c:pt idx="16">
                  <c:v>1544.1457299026245</c:v>
                </c:pt>
                <c:pt idx="17">
                  <c:v>1477.0089590372929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A22-A64A-B0AA-D58ACFFF814A}"/>
            </c:ext>
          </c:extLst>
        </c:ser>
        <c:ser>
          <c:idx val="7"/>
          <c:order val="2"/>
          <c:tx>
            <c:strRef>
              <c:f>'KTM 350 EXC-f data'!$Q$4</c:f>
              <c:strCache>
                <c:ptCount val="1"/>
                <c:pt idx="0">
                  <c:v>3rd Gear </c:v>
                </c:pt>
              </c:strCache>
            </c:strRef>
          </c:tx>
          <c:spPr>
            <a:ln w="25400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'KTM 350 EXC-f data'!$J$5:$J$22</c:f>
              <c:numCache>
                <c:formatCode>0.00</c:formatCode>
                <c:ptCount val="18"/>
                <c:pt idx="0">
                  <c:v>27.27721819536821</c:v>
                </c:pt>
                <c:pt idx="1">
                  <c:v>31.823421227929575</c:v>
                </c:pt>
                <c:pt idx="2">
                  <c:v>36.369624260490944</c:v>
                </c:pt>
                <c:pt idx="3">
                  <c:v>40.91582729305231</c:v>
                </c:pt>
                <c:pt idx="4">
                  <c:v>45.462030325613675</c:v>
                </c:pt>
                <c:pt idx="5">
                  <c:v>50.008233358175055</c:v>
                </c:pt>
                <c:pt idx="6">
                  <c:v>54.55443639073642</c:v>
                </c:pt>
                <c:pt idx="7">
                  <c:v>59.100639423297785</c:v>
                </c:pt>
                <c:pt idx="8">
                  <c:v>63.646842455859151</c:v>
                </c:pt>
                <c:pt idx="9">
                  <c:v>68.193045488420537</c:v>
                </c:pt>
                <c:pt idx="10">
                  <c:v>72.739248520981889</c:v>
                </c:pt>
                <c:pt idx="11">
                  <c:v>77.28545155354324</c:v>
                </c:pt>
                <c:pt idx="12">
                  <c:v>81.831654586104619</c:v>
                </c:pt>
                <c:pt idx="13">
                  <c:v>86.377857618665985</c:v>
                </c:pt>
                <c:pt idx="14">
                  <c:v>90.92406065122735</c:v>
                </c:pt>
                <c:pt idx="15">
                  <c:v>95.470263683788744</c:v>
                </c:pt>
                <c:pt idx="16">
                  <c:v>100.01646671635011</c:v>
                </c:pt>
                <c:pt idx="17">
                  <c:v>104.56266974891146</c:v>
                </c:pt>
              </c:numCache>
            </c:numRef>
          </c:xVal>
          <c:yVal>
            <c:numRef>
              <c:f>'KTM 350 EXC-f data'!$Q$5:$Q$22</c:f>
              <c:numCache>
                <c:formatCode>0</c:formatCode>
                <c:ptCount val="18"/>
                <c:pt idx="0">
                  <c:v>1319.7826751304485</c:v>
                </c:pt>
                <c:pt idx="1">
                  <c:v>1357.4907515627472</c:v>
                </c:pt>
                <c:pt idx="2">
                  <c:v>1385.771808886971</c:v>
                </c:pt>
                <c:pt idx="3">
                  <c:v>1495.753698481175</c:v>
                </c:pt>
                <c:pt idx="4">
                  <c:v>1504.5522496487115</c:v>
                </c:pt>
                <c:pt idx="5">
                  <c:v>1655.7273560727442</c:v>
                </c:pt>
                <c:pt idx="6">
                  <c:v>1649.7283439130606</c:v>
                </c:pt>
                <c:pt idx="7">
                  <c:v>1644.6522567010204</c:v>
                </c:pt>
                <c:pt idx="8">
                  <c:v>1696.8634394534338</c:v>
                </c:pt>
                <c:pt idx="9">
                  <c:v>1742.1131311721915</c:v>
                </c:pt>
                <c:pt idx="10">
                  <c:v>1682.722910791322</c:v>
                </c:pt>
                <c:pt idx="11">
                  <c:v>1607.0294926588406</c:v>
                </c:pt>
                <c:pt idx="12">
                  <c:v>1539.7464543188566</c:v>
                </c:pt>
                <c:pt idx="13">
                  <c:v>1437.8684934315941</c:v>
                </c:pt>
                <c:pt idx="14">
                  <c:v>1326.3815885061008</c:v>
                </c:pt>
                <c:pt idx="15">
                  <c:v>1244.3665222658512</c:v>
                </c:pt>
                <c:pt idx="16">
                  <c:v>1187.8044076174035</c:v>
                </c:pt>
                <c:pt idx="17">
                  <c:v>1136.1607377209948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A22-A64A-B0AA-D58ACFFF814A}"/>
            </c:ext>
          </c:extLst>
        </c:ser>
        <c:ser>
          <c:idx val="8"/>
          <c:order val="3"/>
          <c:tx>
            <c:strRef>
              <c:f>'KTM 350 EXC-f data'!$R$4</c:f>
              <c:strCache>
                <c:ptCount val="1"/>
                <c:pt idx="0">
                  <c:v>4th Gear </c:v>
                </c:pt>
              </c:strCache>
            </c:strRef>
          </c:tx>
          <c:spPr>
            <a:ln w="2540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'KTM 350 EXC-f data'!$K$5:$K$22</c:f>
              <c:numCache>
                <c:formatCode>0.00</c:formatCode>
                <c:ptCount val="18"/>
                <c:pt idx="0">
                  <c:v>32.61406523359242</c:v>
                </c:pt>
                <c:pt idx="1">
                  <c:v>38.049742772524496</c:v>
                </c:pt>
                <c:pt idx="2">
                  <c:v>43.485420311456558</c:v>
                </c:pt>
                <c:pt idx="3">
                  <c:v>48.921097850388641</c:v>
                </c:pt>
                <c:pt idx="4">
                  <c:v>54.356775389320703</c:v>
                </c:pt>
                <c:pt idx="5">
                  <c:v>59.792452928252786</c:v>
                </c:pt>
                <c:pt idx="6">
                  <c:v>65.22813046718484</c:v>
                </c:pt>
                <c:pt idx="7">
                  <c:v>70.663808006116923</c:v>
                </c:pt>
                <c:pt idx="8">
                  <c:v>76.099485545048992</c:v>
                </c:pt>
                <c:pt idx="9">
                  <c:v>81.535163083981061</c:v>
                </c:pt>
                <c:pt idx="10">
                  <c:v>86.970840622913116</c:v>
                </c:pt>
                <c:pt idx="11">
                  <c:v>92.406518161845213</c:v>
                </c:pt>
                <c:pt idx="12">
                  <c:v>97.842195700777282</c:v>
                </c:pt>
                <c:pt idx="13">
                  <c:v>103.27787323970935</c:v>
                </c:pt>
                <c:pt idx="14">
                  <c:v>108.71355077864141</c:v>
                </c:pt>
                <c:pt idx="15">
                  <c:v>114.14922831757349</c:v>
                </c:pt>
                <c:pt idx="16">
                  <c:v>119.58490585650557</c:v>
                </c:pt>
                <c:pt idx="17">
                  <c:v>125.02058339543764</c:v>
                </c:pt>
              </c:numCache>
            </c:numRef>
          </c:xVal>
          <c:yVal>
            <c:numRef>
              <c:f>'KTM 350 EXC-f data'!$R$5:$R$22</c:f>
              <c:numCache>
                <c:formatCode>0</c:formatCode>
                <c:ptCount val="18"/>
                <c:pt idx="0">
                  <c:v>1103.8182373818297</c:v>
                </c:pt>
                <c:pt idx="1">
                  <c:v>1135.3559013070249</c:v>
                </c:pt>
                <c:pt idx="2">
                  <c:v>1159.0091492509212</c:v>
                </c:pt>
                <c:pt idx="3">
                  <c:v>1250.9940023660733</c:v>
                </c:pt>
                <c:pt idx="4">
                  <c:v>1258.3527906152858</c:v>
                </c:pt>
                <c:pt idx="5">
                  <c:v>1384.7901523517496</c:v>
                </c:pt>
                <c:pt idx="6">
                  <c:v>1379.7727967272872</c:v>
                </c:pt>
                <c:pt idx="7">
                  <c:v>1375.5273419681259</c:v>
                </c:pt>
                <c:pt idx="8">
                  <c:v>1419.194876633781</c:v>
                </c:pt>
                <c:pt idx="9">
                  <c:v>1457.0400733440151</c:v>
                </c:pt>
                <c:pt idx="10">
                  <c:v>1407.3682526618329</c:v>
                </c:pt>
                <c:pt idx="11">
                  <c:v>1344.0610302237571</c:v>
                </c:pt>
                <c:pt idx="12">
                  <c:v>1287.7879436121343</c:v>
                </c:pt>
                <c:pt idx="13">
                  <c:v>1202.5809217791511</c:v>
                </c:pt>
                <c:pt idx="14">
                  <c:v>1109.3373285687389</c:v>
                </c:pt>
                <c:pt idx="15">
                  <c:v>1040.7429095314394</c:v>
                </c:pt>
                <c:pt idx="16">
                  <c:v>993.43641364364646</c:v>
                </c:pt>
                <c:pt idx="17">
                  <c:v>950.2435260939227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A22-A64A-B0AA-D58ACFFF814A}"/>
            </c:ext>
          </c:extLst>
        </c:ser>
        <c:ser>
          <c:idx val="9"/>
          <c:order val="4"/>
          <c:tx>
            <c:strRef>
              <c:f>'KTM 350 EXC-f data'!$S$4</c:f>
              <c:strCache>
                <c:ptCount val="1"/>
                <c:pt idx="0">
                  <c:v>5th Gear </c:v>
                </c:pt>
              </c:strCache>
            </c:strRef>
          </c:tx>
          <c:spPr>
            <a:ln w="2540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'KTM 350 EXC-f data'!$L$5:$L$22</c:f>
              <c:numCache>
                <c:formatCode>0.00</c:formatCode>
                <c:ptCount val="18"/>
                <c:pt idx="0">
                  <c:v>38.746048572966217</c:v>
                </c:pt>
                <c:pt idx="1">
                  <c:v>45.20372333512725</c:v>
                </c:pt>
                <c:pt idx="2">
                  <c:v>51.661398097288284</c:v>
                </c:pt>
                <c:pt idx="3">
                  <c:v>58.119072859449318</c:v>
                </c:pt>
                <c:pt idx="4">
                  <c:v>64.576747621610352</c:v>
                </c:pt>
                <c:pt idx="5">
                  <c:v>71.034422383771386</c:v>
                </c:pt>
                <c:pt idx="6">
                  <c:v>77.492097145932433</c:v>
                </c:pt>
                <c:pt idx="7">
                  <c:v>83.949771908093453</c:v>
                </c:pt>
                <c:pt idx="8">
                  <c:v>90.407446670254501</c:v>
                </c:pt>
                <c:pt idx="9">
                  <c:v>96.865121432415506</c:v>
                </c:pt>
                <c:pt idx="10">
                  <c:v>103.32279619457657</c:v>
                </c:pt>
                <c:pt idx="11">
                  <c:v>109.78047095673757</c:v>
                </c:pt>
                <c:pt idx="12">
                  <c:v>116.23814571889864</c:v>
                </c:pt>
                <c:pt idx="13">
                  <c:v>122.69582048105967</c:v>
                </c:pt>
                <c:pt idx="14">
                  <c:v>129.1534952432207</c:v>
                </c:pt>
                <c:pt idx="15">
                  <c:v>135.61117000538172</c:v>
                </c:pt>
                <c:pt idx="16">
                  <c:v>142.06884476754277</c:v>
                </c:pt>
                <c:pt idx="17">
                  <c:v>148.52651952970382</c:v>
                </c:pt>
              </c:numCache>
            </c:numRef>
          </c:xVal>
          <c:yVal>
            <c:numRef>
              <c:f>'KTM 350 EXC-f data'!$S$5:$S$22</c:f>
              <c:numCache>
                <c:formatCode>0</c:formatCode>
                <c:ptCount val="18"/>
                <c:pt idx="0">
                  <c:v>929.12700329183542</c:v>
                </c:pt>
                <c:pt idx="1">
                  <c:v>955.67348910017358</c:v>
                </c:pt>
                <c:pt idx="2">
                  <c:v>975.58335345642729</c:v>
                </c:pt>
                <c:pt idx="3">
                  <c:v>1053.0106037307471</c:v>
                </c:pt>
                <c:pt idx="4">
                  <c:v>1059.2047837526925</c:v>
                </c:pt>
                <c:pt idx="5">
                  <c:v>1165.632058675212</c:v>
                </c:pt>
                <c:pt idx="6">
                  <c:v>1161.4087541147942</c:v>
                </c:pt>
                <c:pt idx="7">
                  <c:v>1157.8351887175183</c:v>
                </c:pt>
                <c:pt idx="8">
                  <c:v>1194.5918613752169</c:v>
                </c:pt>
                <c:pt idx="9">
                  <c:v>1226.4476443452234</c:v>
                </c:pt>
                <c:pt idx="10">
                  <c:v>1184.6369291970902</c:v>
                </c:pt>
                <c:pt idx="11">
                  <c:v>1131.3487628318235</c:v>
                </c:pt>
                <c:pt idx="12">
                  <c:v>1083.9815038404749</c:v>
                </c:pt>
                <c:pt idx="13">
                  <c:v>1012.2594193758418</c:v>
                </c:pt>
                <c:pt idx="14">
                  <c:v>933.77263830829475</c:v>
                </c:pt>
                <c:pt idx="15">
                  <c:v>876.03403167515944</c:v>
                </c:pt>
                <c:pt idx="16">
                  <c:v>836.21430296265203</c:v>
                </c:pt>
                <c:pt idx="17">
                  <c:v>799.85715935558017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BA22-A64A-B0AA-D58ACFFF814A}"/>
            </c:ext>
          </c:extLst>
        </c:ser>
        <c:ser>
          <c:idx val="10"/>
          <c:order val="5"/>
          <c:tx>
            <c:strRef>
              <c:f>'KTM 350 EXC-f data'!$T$4</c:f>
              <c:strCache>
                <c:ptCount val="1"/>
                <c:pt idx="0">
                  <c:v>6th Gear </c:v>
                </c:pt>
              </c:strCache>
            </c:strRef>
          </c:tx>
          <c:spPr>
            <a:ln w="2540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17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D04-794D-A929-DC299765086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'KTM 350 EXC-f data'!$M$5:$M$22</c:f>
              <c:numCache>
                <c:formatCode>0.00</c:formatCode>
                <c:ptCount val="18"/>
                <c:pt idx="0">
                  <c:v>44.325479567473337</c:v>
                </c:pt>
                <c:pt idx="1">
                  <c:v>51.713059495385551</c:v>
                </c:pt>
                <c:pt idx="2">
                  <c:v>59.100639423297785</c:v>
                </c:pt>
                <c:pt idx="3">
                  <c:v>66.488219351210006</c:v>
                </c:pt>
                <c:pt idx="4">
                  <c:v>73.875799279122234</c:v>
                </c:pt>
                <c:pt idx="5">
                  <c:v>81.263379207034447</c:v>
                </c:pt>
                <c:pt idx="6">
                  <c:v>88.650959134946675</c:v>
                </c:pt>
                <c:pt idx="7">
                  <c:v>96.038539062858902</c:v>
                </c:pt>
                <c:pt idx="8">
                  <c:v>103.4261189907711</c:v>
                </c:pt>
                <c:pt idx="9">
                  <c:v>110.81369891868336</c:v>
                </c:pt>
                <c:pt idx="10">
                  <c:v>118.20127884659557</c:v>
                </c:pt>
                <c:pt idx="11">
                  <c:v>125.5888587745078</c:v>
                </c:pt>
                <c:pt idx="12">
                  <c:v>132.97643870242001</c:v>
                </c:pt>
                <c:pt idx="13">
                  <c:v>140.36401863033223</c:v>
                </c:pt>
                <c:pt idx="14">
                  <c:v>147.75159855824447</c:v>
                </c:pt>
                <c:pt idx="15">
                  <c:v>155.13917848615665</c:v>
                </c:pt>
                <c:pt idx="16">
                  <c:v>162.52675841406889</c:v>
                </c:pt>
                <c:pt idx="17">
                  <c:v>169.91433834198114</c:v>
                </c:pt>
              </c:numCache>
            </c:numRef>
          </c:xVal>
          <c:yVal>
            <c:numRef>
              <c:f>'KTM 350 EXC-f data'!$T$5:$T$22</c:f>
              <c:numCache>
                <c:formatCode>0</c:formatCode>
                <c:ptCount val="18"/>
                <c:pt idx="0">
                  <c:v>812.17395392642982</c:v>
                </c:pt>
                <c:pt idx="1">
                  <c:v>835.37892403861372</c:v>
                </c:pt>
                <c:pt idx="2">
                  <c:v>852.78265162275125</c:v>
                </c:pt>
                <c:pt idx="3">
                  <c:v>920.46381444995382</c:v>
                </c:pt>
                <c:pt idx="4">
                  <c:v>925.87830747613009</c:v>
                </c:pt>
                <c:pt idx="5">
                  <c:v>1018.909142198612</c:v>
                </c:pt>
                <c:pt idx="6">
                  <c:v>1015.2174424080373</c:v>
                </c:pt>
                <c:pt idx="7">
                  <c:v>1012.0936964313971</c:v>
                </c:pt>
                <c:pt idx="8">
                  <c:v>1044.2236550482671</c:v>
                </c:pt>
                <c:pt idx="9">
                  <c:v>1072.0696191828872</c:v>
                </c:pt>
                <c:pt idx="10">
                  <c:v>1035.521791256198</c:v>
                </c:pt>
                <c:pt idx="11">
                  <c:v>988.94122625159389</c:v>
                </c:pt>
                <c:pt idx="12">
                  <c:v>947.53627958083484</c:v>
                </c:pt>
                <c:pt idx="13">
                  <c:v>884.84214980405784</c:v>
                </c:pt>
                <c:pt idx="14">
                  <c:v>816.23482369606199</c:v>
                </c:pt>
                <c:pt idx="15">
                  <c:v>765.76401370206258</c:v>
                </c:pt>
                <c:pt idx="16">
                  <c:v>730.95655853378696</c:v>
                </c:pt>
                <c:pt idx="17">
                  <c:v>699.17583859753529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BA22-A64A-B0AA-D58ACFFF81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87694303"/>
        <c:axId val="1558290607"/>
      </c:scatterChart>
      <c:valAx>
        <c:axId val="168769430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latin typeface="Arial" panose="020B0604020202020204" pitchFamily="34" charset="0"/>
                    <a:cs typeface="Arial" panose="020B0604020202020204" pitchFamily="34" charset="0"/>
                  </a:rPr>
                  <a:t>ROAD SPEED (km/h)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8290607"/>
        <c:crosses val="autoZero"/>
        <c:crossBetween val="midCat"/>
      </c:valAx>
      <c:valAx>
        <c:axId val="15582906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latin typeface="Arial" panose="020B0604020202020204" pitchFamily="34" charset="0"/>
                    <a:cs typeface="Arial" panose="020B0604020202020204" pitchFamily="34" charset="0"/>
                  </a:rPr>
                  <a:t>DRIVING 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769430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8100" cap="flat" cmpd="sng" algn="ctr">
      <a:solidFill>
        <a:srgbClr val="F2761F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1" u="none" strike="noStrike" kern="1200" spc="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GB" b="1" i="1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Driving Force vs Resistance to Motion</a:t>
            </a:r>
          </a:p>
        </c:rich>
      </c:tx>
      <c:overlay val="0"/>
      <c:spPr>
        <a:solidFill>
          <a:srgbClr val="F2761F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1" u="none" strike="noStrike" kern="1200" spc="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'KTM 350 EXC-f data'!$W$2</c:f>
              <c:strCache>
                <c:ptCount val="1"/>
                <c:pt idx="0">
                  <c:v>road speed</c:v>
                </c:pt>
              </c:strCache>
            </c:strRef>
          </c:tx>
          <c:spPr>
            <a:ln w="28575" cap="rnd">
              <a:solidFill>
                <a:srgbClr val="F2761F"/>
              </a:solidFill>
              <a:round/>
            </a:ln>
            <a:effectLst/>
          </c:spPr>
          <c:marker>
            <c:symbol val="none"/>
          </c:marker>
          <c:dLbls>
            <c:dLbl>
              <c:idx val="17"/>
              <c:layout>
                <c:manualLayout>
                  <c:x val="9.1775927163981388E-3"/>
                  <c:y val="-3.7553342255674596E-2"/>
                </c:manualLayout>
              </c:layout>
              <c:tx>
                <c:rich>
                  <a:bodyPr/>
                  <a:lstStyle/>
                  <a:p>
                    <a:fld id="{798BE76B-C380-1B40-97A3-38C8DF903CE1}" type="VALUE">
                      <a:rPr lang="en-US"/>
                      <a:pPr/>
                      <a:t>[VALUE]</a:t>
                    </a:fld>
                    <a:r>
                      <a:rPr lang="en-US"/>
                      <a:t> N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B0F7-EF45-99B8-0FF53661163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'KTM 350 EXC-f data'!$V$5:$V$22</c:f>
              <c:numCache>
                <c:formatCode>General</c:formatCode>
                <c:ptCount val="18"/>
                <c:pt idx="0">
                  <c:v>3000</c:v>
                </c:pt>
                <c:pt idx="1">
                  <c:v>3500</c:v>
                </c:pt>
                <c:pt idx="2">
                  <c:v>4000</c:v>
                </c:pt>
                <c:pt idx="3">
                  <c:v>4500</c:v>
                </c:pt>
                <c:pt idx="4">
                  <c:v>5000</c:v>
                </c:pt>
                <c:pt idx="5">
                  <c:v>5500</c:v>
                </c:pt>
                <c:pt idx="6">
                  <c:v>6000</c:v>
                </c:pt>
                <c:pt idx="7">
                  <c:v>6500</c:v>
                </c:pt>
                <c:pt idx="8">
                  <c:v>7000</c:v>
                </c:pt>
                <c:pt idx="9">
                  <c:v>7500</c:v>
                </c:pt>
                <c:pt idx="10">
                  <c:v>8000</c:v>
                </c:pt>
                <c:pt idx="11">
                  <c:v>8500</c:v>
                </c:pt>
                <c:pt idx="12">
                  <c:v>9000</c:v>
                </c:pt>
                <c:pt idx="13">
                  <c:v>9500</c:v>
                </c:pt>
                <c:pt idx="14">
                  <c:v>10000</c:v>
                </c:pt>
                <c:pt idx="15">
                  <c:v>10500</c:v>
                </c:pt>
                <c:pt idx="16">
                  <c:v>11000</c:v>
                </c:pt>
                <c:pt idx="17">
                  <c:v>11500</c:v>
                </c:pt>
              </c:numCache>
            </c:numRef>
          </c:cat>
          <c:val>
            <c:numRef>
              <c:f>'KTM 350 EXC-f data'!$W$5:$W$22</c:f>
              <c:numCache>
                <c:formatCode>0</c:formatCode>
                <c:ptCount val="18"/>
                <c:pt idx="0">
                  <c:v>812.17395392642982</c:v>
                </c:pt>
                <c:pt idx="1">
                  <c:v>835.37892403861372</c:v>
                </c:pt>
                <c:pt idx="2">
                  <c:v>852.78265162275125</c:v>
                </c:pt>
                <c:pt idx="3">
                  <c:v>920.46381444995382</c:v>
                </c:pt>
                <c:pt idx="4">
                  <c:v>925.87830747613009</c:v>
                </c:pt>
                <c:pt idx="5">
                  <c:v>1018.909142198612</c:v>
                </c:pt>
                <c:pt idx="6">
                  <c:v>1015.2174424080373</c:v>
                </c:pt>
                <c:pt idx="7">
                  <c:v>1012.0936964313971</c:v>
                </c:pt>
                <c:pt idx="8">
                  <c:v>1044.2236550482671</c:v>
                </c:pt>
                <c:pt idx="9">
                  <c:v>1072.0696191828872</c:v>
                </c:pt>
                <c:pt idx="10">
                  <c:v>1035.521791256198</c:v>
                </c:pt>
                <c:pt idx="11">
                  <c:v>988.94122625159389</c:v>
                </c:pt>
                <c:pt idx="12">
                  <c:v>947.53627958083484</c:v>
                </c:pt>
                <c:pt idx="13">
                  <c:v>884.84214980405784</c:v>
                </c:pt>
                <c:pt idx="14">
                  <c:v>816.23482369606199</c:v>
                </c:pt>
                <c:pt idx="15">
                  <c:v>765.76401370206258</c:v>
                </c:pt>
                <c:pt idx="16">
                  <c:v>730.95655853378696</c:v>
                </c:pt>
                <c:pt idx="17">
                  <c:v>699.17583859753529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966-B841-AF46-927A891ED8E1}"/>
            </c:ext>
          </c:extLst>
        </c:ser>
        <c:ser>
          <c:idx val="1"/>
          <c:order val="1"/>
          <c:tx>
            <c:strRef>
              <c:f>'KTM 350 EXC-f data'!$X$2</c:f>
              <c:strCache>
                <c:ptCount val="1"/>
                <c:pt idx="0">
                  <c:v>Resistance to Motion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dLbls>
            <c:dLbl>
              <c:idx val="17"/>
              <c:layout>
                <c:manualLayout>
                  <c:x val="7.8665080426268807E-3"/>
                  <c:y val="2.0862967919818413E-3"/>
                </c:manualLayout>
              </c:layout>
              <c:tx>
                <c:rich>
                  <a:bodyPr/>
                  <a:lstStyle/>
                  <a:p>
                    <a:fld id="{1DEF3A07-D87E-9444-ADD8-EEC78AE8AA7B}" type="VALUE">
                      <a:rPr lang="en-US"/>
                      <a:pPr/>
                      <a:t>[VALUE]</a:t>
                    </a:fld>
                    <a:r>
                      <a:rPr lang="en-US"/>
                      <a:t> N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B0F7-EF45-99B8-0FF53661163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'KTM 350 EXC-f data'!$V$5:$V$22</c:f>
              <c:numCache>
                <c:formatCode>General</c:formatCode>
                <c:ptCount val="18"/>
                <c:pt idx="0">
                  <c:v>3000</c:v>
                </c:pt>
                <c:pt idx="1">
                  <c:v>3500</c:v>
                </c:pt>
                <c:pt idx="2">
                  <c:v>4000</c:v>
                </c:pt>
                <c:pt idx="3">
                  <c:v>4500</c:v>
                </c:pt>
                <c:pt idx="4">
                  <c:v>5000</c:v>
                </c:pt>
                <c:pt idx="5">
                  <c:v>5500</c:v>
                </c:pt>
                <c:pt idx="6">
                  <c:v>6000</c:v>
                </c:pt>
                <c:pt idx="7">
                  <c:v>6500</c:v>
                </c:pt>
                <c:pt idx="8">
                  <c:v>7000</c:v>
                </c:pt>
                <c:pt idx="9">
                  <c:v>7500</c:v>
                </c:pt>
                <c:pt idx="10">
                  <c:v>8000</c:v>
                </c:pt>
                <c:pt idx="11">
                  <c:v>8500</c:v>
                </c:pt>
                <c:pt idx="12">
                  <c:v>9000</c:v>
                </c:pt>
                <c:pt idx="13">
                  <c:v>9500</c:v>
                </c:pt>
                <c:pt idx="14">
                  <c:v>10000</c:v>
                </c:pt>
                <c:pt idx="15">
                  <c:v>10500</c:v>
                </c:pt>
                <c:pt idx="16">
                  <c:v>11000</c:v>
                </c:pt>
                <c:pt idx="17">
                  <c:v>11500</c:v>
                </c:pt>
              </c:numCache>
            </c:numRef>
          </c:cat>
          <c:val>
            <c:numRef>
              <c:f>'KTM 350 EXC-f data'!$X$5:$X$22</c:f>
              <c:numCache>
                <c:formatCode>General</c:formatCode>
                <c:ptCount val="18"/>
                <c:pt idx="0">
                  <c:v>82.72</c:v>
                </c:pt>
                <c:pt idx="1">
                  <c:v>98.37</c:v>
                </c:pt>
                <c:pt idx="2">
                  <c:v>116.44</c:v>
                </c:pt>
                <c:pt idx="3">
                  <c:v>136.9</c:v>
                </c:pt>
                <c:pt idx="4">
                  <c:v>159.78</c:v>
                </c:pt>
                <c:pt idx="5">
                  <c:v>185.06</c:v>
                </c:pt>
                <c:pt idx="6">
                  <c:v>212.76</c:v>
                </c:pt>
                <c:pt idx="7">
                  <c:v>242.86</c:v>
                </c:pt>
                <c:pt idx="8">
                  <c:v>275.37</c:v>
                </c:pt>
                <c:pt idx="9">
                  <c:v>310.27999999999997</c:v>
                </c:pt>
                <c:pt idx="10">
                  <c:v>347.61</c:v>
                </c:pt>
                <c:pt idx="11">
                  <c:v>387.34</c:v>
                </c:pt>
                <c:pt idx="12">
                  <c:v>429.48</c:v>
                </c:pt>
                <c:pt idx="13">
                  <c:v>474.03</c:v>
                </c:pt>
                <c:pt idx="14">
                  <c:v>520.99</c:v>
                </c:pt>
                <c:pt idx="15">
                  <c:v>570.35</c:v>
                </c:pt>
                <c:pt idx="16">
                  <c:v>622.13</c:v>
                </c:pt>
                <c:pt idx="17">
                  <c:v>676.31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966-B841-AF46-927A891ED8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11723743"/>
        <c:axId val="531927279"/>
      </c:lineChart>
      <c:catAx>
        <c:axId val="91172374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100" b="1">
                    <a:solidFill>
                      <a:schemeClr val="tx1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1927279"/>
        <c:crosses val="autoZero"/>
        <c:auto val="1"/>
        <c:lblAlgn val="ctr"/>
        <c:lblOffset val="100"/>
        <c:noMultiLvlLbl val="0"/>
      </c:catAx>
      <c:valAx>
        <c:axId val="5319272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100">
                    <a:solidFill>
                      <a:schemeClr val="tx1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17237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8100" cap="flat" cmpd="sng" algn="ctr">
      <a:solidFill>
        <a:srgbClr val="F2761F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7185148995885827E-2"/>
          <c:y val="3.0706233703935815E-2"/>
          <c:w val="0.88953464030474783"/>
          <c:h val="0.82478950514123905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'KTM 350 EXC-f data'!$E$4</c:f>
              <c:strCache>
                <c:ptCount val="1"/>
                <c:pt idx="0">
                  <c:v>Torque (Nm)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'KTM 350 EXC-f data'!$B$5:$B$22</c:f>
              <c:numCache>
                <c:formatCode>General</c:formatCode>
                <c:ptCount val="18"/>
                <c:pt idx="0">
                  <c:v>3000</c:v>
                </c:pt>
                <c:pt idx="1">
                  <c:v>3500</c:v>
                </c:pt>
                <c:pt idx="2">
                  <c:v>4000</c:v>
                </c:pt>
                <c:pt idx="3">
                  <c:v>4500</c:v>
                </c:pt>
                <c:pt idx="4">
                  <c:v>5000</c:v>
                </c:pt>
                <c:pt idx="5">
                  <c:v>5500</c:v>
                </c:pt>
                <c:pt idx="6">
                  <c:v>6000</c:v>
                </c:pt>
                <c:pt idx="7">
                  <c:v>6500</c:v>
                </c:pt>
                <c:pt idx="8">
                  <c:v>7000</c:v>
                </c:pt>
                <c:pt idx="9">
                  <c:v>7500</c:v>
                </c:pt>
                <c:pt idx="10">
                  <c:v>8000</c:v>
                </c:pt>
                <c:pt idx="11">
                  <c:v>8500</c:v>
                </c:pt>
                <c:pt idx="12">
                  <c:v>9000</c:v>
                </c:pt>
                <c:pt idx="13">
                  <c:v>9500</c:v>
                </c:pt>
                <c:pt idx="14">
                  <c:v>10000</c:v>
                </c:pt>
                <c:pt idx="15">
                  <c:v>10500</c:v>
                </c:pt>
                <c:pt idx="16">
                  <c:v>11000</c:v>
                </c:pt>
                <c:pt idx="17">
                  <c:v>11500</c:v>
                </c:pt>
              </c:numCache>
            </c:numRef>
          </c:xVal>
          <c:yVal>
            <c:numRef>
              <c:f>'KTM 350 EXC-f data'!$E$5:$E$22</c:f>
              <c:numCache>
                <c:formatCode>0.00</c:formatCode>
                <c:ptCount val="18"/>
                <c:pt idx="0">
                  <c:v>23.726499999999998</c:v>
                </c:pt>
                <c:pt idx="1">
                  <c:v>23.048599999999997</c:v>
                </c:pt>
                <c:pt idx="2">
                  <c:v>23.726499999999998</c:v>
                </c:pt>
                <c:pt idx="3">
                  <c:v>26.438099999999999</c:v>
                </c:pt>
                <c:pt idx="4">
                  <c:v>27.793899999999997</c:v>
                </c:pt>
                <c:pt idx="5">
                  <c:v>29.149699999999999</c:v>
                </c:pt>
                <c:pt idx="6">
                  <c:v>29.827599999999997</c:v>
                </c:pt>
                <c:pt idx="7">
                  <c:v>31.183399999999999</c:v>
                </c:pt>
                <c:pt idx="8">
                  <c:v>31.183399999999999</c:v>
                </c:pt>
                <c:pt idx="9">
                  <c:v>31.454559999999997</c:v>
                </c:pt>
                <c:pt idx="10">
                  <c:v>31.183399999999999</c:v>
                </c:pt>
                <c:pt idx="11">
                  <c:v>29.827599999999997</c:v>
                </c:pt>
                <c:pt idx="12">
                  <c:v>27.116</c:v>
                </c:pt>
                <c:pt idx="13">
                  <c:v>25.760199999999998</c:v>
                </c:pt>
                <c:pt idx="14">
                  <c:v>23.726499999999998</c:v>
                </c:pt>
                <c:pt idx="15">
                  <c:v>22.370699999999999</c:v>
                </c:pt>
                <c:pt idx="16">
                  <c:v>20.608159999999998</c:v>
                </c:pt>
                <c:pt idx="17">
                  <c:v>19.659099999999999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D48-B84D-BE28-FBE731009E3D}"/>
            </c:ext>
          </c:extLst>
        </c:ser>
        <c:ser>
          <c:idx val="1"/>
          <c:order val="1"/>
          <c:tx>
            <c:strRef>
              <c:f>'KTM 350 EXC-f data'!$F$4</c:f>
              <c:strCache>
                <c:ptCount val="1"/>
                <c:pt idx="0">
                  <c:v>Power (Kw)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'KTM 350 EXC-f data'!$B$5:$B$22</c:f>
              <c:numCache>
                <c:formatCode>General</c:formatCode>
                <c:ptCount val="18"/>
                <c:pt idx="0">
                  <c:v>3000</c:v>
                </c:pt>
                <c:pt idx="1">
                  <c:v>3500</c:v>
                </c:pt>
                <c:pt idx="2">
                  <c:v>4000</c:v>
                </c:pt>
                <c:pt idx="3">
                  <c:v>4500</c:v>
                </c:pt>
                <c:pt idx="4">
                  <c:v>5000</c:v>
                </c:pt>
                <c:pt idx="5">
                  <c:v>5500</c:v>
                </c:pt>
                <c:pt idx="6">
                  <c:v>6000</c:v>
                </c:pt>
                <c:pt idx="7">
                  <c:v>6500</c:v>
                </c:pt>
                <c:pt idx="8">
                  <c:v>7000</c:v>
                </c:pt>
                <c:pt idx="9">
                  <c:v>7500</c:v>
                </c:pt>
                <c:pt idx="10">
                  <c:v>8000</c:v>
                </c:pt>
                <c:pt idx="11">
                  <c:v>8500</c:v>
                </c:pt>
                <c:pt idx="12">
                  <c:v>9000</c:v>
                </c:pt>
                <c:pt idx="13">
                  <c:v>9500</c:v>
                </c:pt>
                <c:pt idx="14">
                  <c:v>10000</c:v>
                </c:pt>
                <c:pt idx="15">
                  <c:v>10500</c:v>
                </c:pt>
                <c:pt idx="16">
                  <c:v>11000</c:v>
                </c:pt>
                <c:pt idx="17">
                  <c:v>11500</c:v>
                </c:pt>
              </c:numCache>
            </c:numRef>
          </c:xVal>
          <c:yVal>
            <c:numRef>
              <c:f>'KTM 350 EXC-f data'!$F$5:$F$22</c:f>
              <c:numCache>
                <c:formatCode>0.00</c:formatCode>
                <c:ptCount val="18"/>
                <c:pt idx="0">
                  <c:v>7.4570000000000007</c:v>
                </c:pt>
                <c:pt idx="1">
                  <c:v>8.9483999999999995</c:v>
                </c:pt>
                <c:pt idx="2">
                  <c:v>10.4398</c:v>
                </c:pt>
                <c:pt idx="3">
                  <c:v>12.6769</c:v>
                </c:pt>
                <c:pt idx="4">
                  <c:v>14.1683</c:v>
                </c:pt>
                <c:pt idx="5">
                  <c:v>17.1511</c:v>
                </c:pt>
                <c:pt idx="6">
                  <c:v>18.642500000000002</c:v>
                </c:pt>
                <c:pt idx="7">
                  <c:v>20.133900000000001</c:v>
                </c:pt>
                <c:pt idx="8">
                  <c:v>22.371000000000002</c:v>
                </c:pt>
                <c:pt idx="9">
                  <c:v>24.6081</c:v>
                </c:pt>
                <c:pt idx="10">
                  <c:v>25.3538</c:v>
                </c:pt>
                <c:pt idx="11">
                  <c:v>25.726649999999999</c:v>
                </c:pt>
                <c:pt idx="12">
                  <c:v>26.099500000000003</c:v>
                </c:pt>
                <c:pt idx="13">
                  <c:v>25.726649999999999</c:v>
                </c:pt>
                <c:pt idx="14">
                  <c:v>24.98095</c:v>
                </c:pt>
                <c:pt idx="15">
                  <c:v>24.6081</c:v>
                </c:pt>
                <c:pt idx="16">
                  <c:v>24.6081</c:v>
                </c:pt>
                <c:pt idx="17">
                  <c:v>24.6081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D48-B84D-BE28-FBE731009E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4814495"/>
        <c:axId val="1476160831"/>
      </c:scatterChart>
      <c:valAx>
        <c:axId val="6448144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6160831"/>
        <c:crosses val="autoZero"/>
        <c:crossBetween val="midCat"/>
      </c:valAx>
      <c:valAx>
        <c:axId val="14761608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481449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Drving</a:t>
            </a:r>
            <a:r>
              <a:rPr lang="en-GB" baseline="0"/>
              <a:t> Force Vs Road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5"/>
          <c:order val="0"/>
          <c:tx>
            <c:strRef>
              <c:f>'KTM 350 EXC-f data'!$O$4</c:f>
              <c:strCache>
                <c:ptCount val="1"/>
                <c:pt idx="0">
                  <c:v>1st Gear 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'KTM 350 EXC-f data'!$H$5:$H$22</c:f>
              <c:numCache>
                <c:formatCode>0.00</c:formatCode>
                <c:ptCount val="18"/>
                <c:pt idx="0">
                  <c:v>14.917228700591989</c:v>
                </c:pt>
                <c:pt idx="1">
                  <c:v>17.403433484023985</c:v>
                </c:pt>
                <c:pt idx="2">
                  <c:v>19.88963826745599</c:v>
                </c:pt>
                <c:pt idx="3">
                  <c:v>22.37584305088798</c:v>
                </c:pt>
                <c:pt idx="4">
                  <c:v>24.862047834319977</c:v>
                </c:pt>
                <c:pt idx="5">
                  <c:v>27.348252617751982</c:v>
                </c:pt>
                <c:pt idx="6">
                  <c:v>29.834457401183979</c:v>
                </c:pt>
                <c:pt idx="7">
                  <c:v>32.320662184615976</c:v>
                </c:pt>
                <c:pt idx="8">
                  <c:v>34.80686696804797</c:v>
                </c:pt>
                <c:pt idx="9">
                  <c:v>37.293071751479978</c:v>
                </c:pt>
                <c:pt idx="10">
                  <c:v>39.779276534911979</c:v>
                </c:pt>
                <c:pt idx="11">
                  <c:v>42.265481318343973</c:v>
                </c:pt>
                <c:pt idx="12">
                  <c:v>44.75168610177596</c:v>
                </c:pt>
                <c:pt idx="13">
                  <c:v>47.23789088520796</c:v>
                </c:pt>
                <c:pt idx="14">
                  <c:v>49.724095668639954</c:v>
                </c:pt>
                <c:pt idx="15">
                  <c:v>52.210300452071955</c:v>
                </c:pt>
                <c:pt idx="16">
                  <c:v>54.696505235503963</c:v>
                </c:pt>
                <c:pt idx="17">
                  <c:v>57.18271001893595</c:v>
                </c:pt>
              </c:numCache>
            </c:numRef>
          </c:xVal>
          <c:yVal>
            <c:numRef>
              <c:f>'KTM 350 EXC-f data'!$O$5:$O$22</c:f>
              <c:numCache>
                <c:formatCode>0</c:formatCode>
                <c:ptCount val="18"/>
                <c:pt idx="0">
                  <c:v>2413.3168916671057</c:v>
                </c:pt>
                <c:pt idx="1">
                  <c:v>2482.2688028575949</c:v>
                </c:pt>
                <c:pt idx="2">
                  <c:v>2533.9827362504607</c:v>
                </c:pt>
                <c:pt idx="3">
                  <c:v>2735.0924772227204</c:v>
                </c:pt>
                <c:pt idx="4">
                  <c:v>2751.1812565005011</c:v>
                </c:pt>
                <c:pt idx="5">
                  <c:v>3027.6157368187323</c:v>
                </c:pt>
                <c:pt idx="6">
                  <c:v>3016.6461145838816</c:v>
                </c:pt>
                <c:pt idx="7">
                  <c:v>3007.3641265390088</c:v>
                </c:pt>
                <c:pt idx="8">
                  <c:v>3102.8360035719938</c:v>
                </c:pt>
                <c:pt idx="9">
                  <c:v>3185.5782970005794</c:v>
                </c:pt>
                <c:pt idx="10">
                  <c:v>3076.9790368755594</c:v>
                </c:pt>
                <c:pt idx="11">
                  <c:v>2938.568215147593</c:v>
                </c:pt>
                <c:pt idx="12">
                  <c:v>2815.5363736116242</c:v>
                </c:pt>
                <c:pt idx="13">
                  <c:v>2629.2452451320578</c:v>
                </c:pt>
                <c:pt idx="14">
                  <c:v>2425.3834761254416</c:v>
                </c:pt>
                <c:pt idx="15">
                  <c:v>2275.4130692861286</c:v>
                </c:pt>
                <c:pt idx="16">
                  <c:v>2171.9852025003952</c:v>
                </c:pt>
                <c:pt idx="17">
                  <c:v>2077.5510632612481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B1D3-0A41-919F-CE5268A17F18}"/>
            </c:ext>
          </c:extLst>
        </c:ser>
        <c:ser>
          <c:idx val="6"/>
          <c:order val="1"/>
          <c:tx>
            <c:strRef>
              <c:f>'KTM 350 EXC-f data'!$P$4</c:f>
              <c:strCache>
                <c:ptCount val="1"/>
                <c:pt idx="0">
                  <c:v>2nd Gear 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'KTM 350 EXC-f data'!$I$5:$I$22</c:f>
              <c:numCache>
                <c:formatCode>0.00</c:formatCode>
                <c:ptCount val="18"/>
                <c:pt idx="0">
                  <c:v>20.982475534898622</c:v>
                </c:pt>
                <c:pt idx="1">
                  <c:v>24.47955479071506</c:v>
                </c:pt>
                <c:pt idx="2">
                  <c:v>27.976634046531494</c:v>
                </c:pt>
                <c:pt idx="3">
                  <c:v>31.473713302347935</c:v>
                </c:pt>
                <c:pt idx="4">
                  <c:v>34.970792558164376</c:v>
                </c:pt>
                <c:pt idx="5">
                  <c:v>38.467871813980814</c:v>
                </c:pt>
                <c:pt idx="6">
                  <c:v>41.964951069797245</c:v>
                </c:pt>
                <c:pt idx="7">
                  <c:v>45.462030325613675</c:v>
                </c:pt>
                <c:pt idx="8">
                  <c:v>48.95910958143012</c:v>
                </c:pt>
                <c:pt idx="9">
                  <c:v>52.456188837246557</c:v>
                </c:pt>
                <c:pt idx="10">
                  <c:v>55.953268093062988</c:v>
                </c:pt>
                <c:pt idx="11">
                  <c:v>59.450347348879447</c:v>
                </c:pt>
                <c:pt idx="12">
                  <c:v>62.94742660469587</c:v>
                </c:pt>
                <c:pt idx="13">
                  <c:v>66.444505860512322</c:v>
                </c:pt>
                <c:pt idx="14">
                  <c:v>69.941585116328753</c:v>
                </c:pt>
                <c:pt idx="15">
                  <c:v>73.438664372145169</c:v>
                </c:pt>
                <c:pt idx="16">
                  <c:v>76.935743627961628</c:v>
                </c:pt>
                <c:pt idx="17">
                  <c:v>80.432822883778059</c:v>
                </c:pt>
              </c:numCache>
            </c:numRef>
          </c:xVal>
          <c:yVal>
            <c:numRef>
              <c:f>'KTM 350 EXC-f data'!$P$5:$P$22</c:f>
              <c:numCache>
                <c:formatCode>0</c:formatCode>
                <c:ptCount val="18"/>
                <c:pt idx="0">
                  <c:v>1715.7174776695831</c:v>
                </c:pt>
                <c:pt idx="1">
                  <c:v>1764.7379770315711</c:v>
                </c:pt>
                <c:pt idx="2">
                  <c:v>1801.5033515530624</c:v>
                </c:pt>
                <c:pt idx="3">
                  <c:v>1944.4798080255271</c:v>
                </c:pt>
                <c:pt idx="4">
                  <c:v>1955.9179245433243</c:v>
                </c:pt>
                <c:pt idx="5">
                  <c:v>2152.4455628945675</c:v>
                </c:pt>
                <c:pt idx="6">
                  <c:v>2144.6468470869786</c:v>
                </c:pt>
                <c:pt idx="7">
                  <c:v>2138.047933711327</c:v>
                </c:pt>
                <c:pt idx="8">
                  <c:v>2205.9224712894638</c:v>
                </c:pt>
                <c:pt idx="9">
                  <c:v>2264.7470705238497</c:v>
                </c:pt>
                <c:pt idx="10">
                  <c:v>2187.5397840287187</c:v>
                </c:pt>
                <c:pt idx="11">
                  <c:v>2089.1383404564917</c:v>
                </c:pt>
                <c:pt idx="12">
                  <c:v>2001.6703906145133</c:v>
                </c:pt>
                <c:pt idx="13">
                  <c:v>1869.2290414610713</c:v>
                </c:pt>
                <c:pt idx="14">
                  <c:v>1724.2960650579307</c:v>
                </c:pt>
                <c:pt idx="15">
                  <c:v>1617.676478945607</c:v>
                </c:pt>
                <c:pt idx="16">
                  <c:v>1544.1457299026245</c:v>
                </c:pt>
                <c:pt idx="17">
                  <c:v>1477.0089590372929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B1D3-0A41-919F-CE5268A17F18}"/>
            </c:ext>
          </c:extLst>
        </c:ser>
        <c:ser>
          <c:idx val="7"/>
          <c:order val="2"/>
          <c:tx>
            <c:strRef>
              <c:f>'KTM 350 EXC-f data'!$Q$4</c:f>
              <c:strCache>
                <c:ptCount val="1"/>
                <c:pt idx="0">
                  <c:v>3rd Gear 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'KTM 350 EXC-f data'!$J$5:$J$22</c:f>
              <c:numCache>
                <c:formatCode>0.00</c:formatCode>
                <c:ptCount val="18"/>
                <c:pt idx="0">
                  <c:v>27.27721819536821</c:v>
                </c:pt>
                <c:pt idx="1">
                  <c:v>31.823421227929575</c:v>
                </c:pt>
                <c:pt idx="2">
                  <c:v>36.369624260490944</c:v>
                </c:pt>
                <c:pt idx="3">
                  <c:v>40.91582729305231</c:v>
                </c:pt>
                <c:pt idx="4">
                  <c:v>45.462030325613675</c:v>
                </c:pt>
                <c:pt idx="5">
                  <c:v>50.008233358175055</c:v>
                </c:pt>
                <c:pt idx="6">
                  <c:v>54.55443639073642</c:v>
                </c:pt>
                <c:pt idx="7">
                  <c:v>59.100639423297785</c:v>
                </c:pt>
                <c:pt idx="8">
                  <c:v>63.646842455859151</c:v>
                </c:pt>
                <c:pt idx="9">
                  <c:v>68.193045488420537</c:v>
                </c:pt>
                <c:pt idx="10">
                  <c:v>72.739248520981889</c:v>
                </c:pt>
                <c:pt idx="11">
                  <c:v>77.28545155354324</c:v>
                </c:pt>
                <c:pt idx="12">
                  <c:v>81.831654586104619</c:v>
                </c:pt>
                <c:pt idx="13">
                  <c:v>86.377857618665985</c:v>
                </c:pt>
                <c:pt idx="14">
                  <c:v>90.92406065122735</c:v>
                </c:pt>
                <c:pt idx="15">
                  <c:v>95.470263683788744</c:v>
                </c:pt>
                <c:pt idx="16">
                  <c:v>100.01646671635011</c:v>
                </c:pt>
                <c:pt idx="17">
                  <c:v>104.56266974891146</c:v>
                </c:pt>
              </c:numCache>
            </c:numRef>
          </c:xVal>
          <c:yVal>
            <c:numRef>
              <c:f>'KTM 350 EXC-f data'!$Q$5:$Q$22</c:f>
              <c:numCache>
                <c:formatCode>0</c:formatCode>
                <c:ptCount val="18"/>
                <c:pt idx="0">
                  <c:v>1319.7826751304485</c:v>
                </c:pt>
                <c:pt idx="1">
                  <c:v>1357.4907515627472</c:v>
                </c:pt>
                <c:pt idx="2">
                  <c:v>1385.771808886971</c:v>
                </c:pt>
                <c:pt idx="3">
                  <c:v>1495.753698481175</c:v>
                </c:pt>
                <c:pt idx="4">
                  <c:v>1504.5522496487115</c:v>
                </c:pt>
                <c:pt idx="5">
                  <c:v>1655.7273560727442</c:v>
                </c:pt>
                <c:pt idx="6">
                  <c:v>1649.7283439130606</c:v>
                </c:pt>
                <c:pt idx="7">
                  <c:v>1644.6522567010204</c:v>
                </c:pt>
                <c:pt idx="8">
                  <c:v>1696.8634394534338</c:v>
                </c:pt>
                <c:pt idx="9">
                  <c:v>1742.1131311721915</c:v>
                </c:pt>
                <c:pt idx="10">
                  <c:v>1682.722910791322</c:v>
                </c:pt>
                <c:pt idx="11">
                  <c:v>1607.0294926588406</c:v>
                </c:pt>
                <c:pt idx="12">
                  <c:v>1539.7464543188566</c:v>
                </c:pt>
                <c:pt idx="13">
                  <c:v>1437.8684934315941</c:v>
                </c:pt>
                <c:pt idx="14">
                  <c:v>1326.3815885061008</c:v>
                </c:pt>
                <c:pt idx="15">
                  <c:v>1244.3665222658512</c:v>
                </c:pt>
                <c:pt idx="16">
                  <c:v>1187.8044076174035</c:v>
                </c:pt>
                <c:pt idx="17">
                  <c:v>1136.1607377209948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B1D3-0A41-919F-CE5268A17F18}"/>
            </c:ext>
          </c:extLst>
        </c:ser>
        <c:ser>
          <c:idx val="8"/>
          <c:order val="3"/>
          <c:tx>
            <c:strRef>
              <c:f>'KTM 350 EXC-f data'!$R$4</c:f>
              <c:strCache>
                <c:ptCount val="1"/>
                <c:pt idx="0">
                  <c:v>4th Gear 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'KTM 350 EXC-f data'!$K$5:$K$22</c:f>
              <c:numCache>
                <c:formatCode>0.00</c:formatCode>
                <c:ptCount val="18"/>
                <c:pt idx="0">
                  <c:v>32.61406523359242</c:v>
                </c:pt>
                <c:pt idx="1">
                  <c:v>38.049742772524496</c:v>
                </c:pt>
                <c:pt idx="2">
                  <c:v>43.485420311456558</c:v>
                </c:pt>
                <c:pt idx="3">
                  <c:v>48.921097850388641</c:v>
                </c:pt>
                <c:pt idx="4">
                  <c:v>54.356775389320703</c:v>
                </c:pt>
                <c:pt idx="5">
                  <c:v>59.792452928252786</c:v>
                </c:pt>
                <c:pt idx="6">
                  <c:v>65.22813046718484</c:v>
                </c:pt>
                <c:pt idx="7">
                  <c:v>70.663808006116923</c:v>
                </c:pt>
                <c:pt idx="8">
                  <c:v>76.099485545048992</c:v>
                </c:pt>
                <c:pt idx="9">
                  <c:v>81.535163083981061</c:v>
                </c:pt>
                <c:pt idx="10">
                  <c:v>86.970840622913116</c:v>
                </c:pt>
                <c:pt idx="11">
                  <c:v>92.406518161845213</c:v>
                </c:pt>
                <c:pt idx="12">
                  <c:v>97.842195700777282</c:v>
                </c:pt>
                <c:pt idx="13">
                  <c:v>103.27787323970935</c:v>
                </c:pt>
                <c:pt idx="14">
                  <c:v>108.71355077864141</c:v>
                </c:pt>
                <c:pt idx="15">
                  <c:v>114.14922831757349</c:v>
                </c:pt>
                <c:pt idx="16">
                  <c:v>119.58490585650557</c:v>
                </c:pt>
                <c:pt idx="17">
                  <c:v>125.02058339543764</c:v>
                </c:pt>
              </c:numCache>
            </c:numRef>
          </c:xVal>
          <c:yVal>
            <c:numRef>
              <c:f>'KTM 350 EXC-f data'!$R$5:$R$22</c:f>
              <c:numCache>
                <c:formatCode>0</c:formatCode>
                <c:ptCount val="18"/>
                <c:pt idx="0">
                  <c:v>1103.8182373818297</c:v>
                </c:pt>
                <c:pt idx="1">
                  <c:v>1135.3559013070249</c:v>
                </c:pt>
                <c:pt idx="2">
                  <c:v>1159.0091492509212</c:v>
                </c:pt>
                <c:pt idx="3">
                  <c:v>1250.9940023660733</c:v>
                </c:pt>
                <c:pt idx="4">
                  <c:v>1258.3527906152858</c:v>
                </c:pt>
                <c:pt idx="5">
                  <c:v>1384.7901523517496</c:v>
                </c:pt>
                <c:pt idx="6">
                  <c:v>1379.7727967272872</c:v>
                </c:pt>
                <c:pt idx="7">
                  <c:v>1375.5273419681259</c:v>
                </c:pt>
                <c:pt idx="8">
                  <c:v>1419.194876633781</c:v>
                </c:pt>
                <c:pt idx="9">
                  <c:v>1457.0400733440151</c:v>
                </c:pt>
                <c:pt idx="10">
                  <c:v>1407.3682526618329</c:v>
                </c:pt>
                <c:pt idx="11">
                  <c:v>1344.0610302237571</c:v>
                </c:pt>
                <c:pt idx="12">
                  <c:v>1287.7879436121343</c:v>
                </c:pt>
                <c:pt idx="13">
                  <c:v>1202.5809217791511</c:v>
                </c:pt>
                <c:pt idx="14">
                  <c:v>1109.3373285687389</c:v>
                </c:pt>
                <c:pt idx="15">
                  <c:v>1040.7429095314394</c:v>
                </c:pt>
                <c:pt idx="16">
                  <c:v>993.43641364364646</c:v>
                </c:pt>
                <c:pt idx="17">
                  <c:v>950.2435260939227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B1D3-0A41-919F-CE5268A17F18}"/>
            </c:ext>
          </c:extLst>
        </c:ser>
        <c:ser>
          <c:idx val="9"/>
          <c:order val="4"/>
          <c:tx>
            <c:strRef>
              <c:f>'KTM 350 EXC-f data'!$S$4</c:f>
              <c:strCache>
                <c:ptCount val="1"/>
                <c:pt idx="0">
                  <c:v>5th Gear 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'KTM 350 EXC-f data'!$L$5:$L$22</c:f>
              <c:numCache>
                <c:formatCode>0.00</c:formatCode>
                <c:ptCount val="18"/>
                <c:pt idx="0">
                  <c:v>38.746048572966217</c:v>
                </c:pt>
                <c:pt idx="1">
                  <c:v>45.20372333512725</c:v>
                </c:pt>
                <c:pt idx="2">
                  <c:v>51.661398097288284</c:v>
                </c:pt>
                <c:pt idx="3">
                  <c:v>58.119072859449318</c:v>
                </c:pt>
                <c:pt idx="4">
                  <c:v>64.576747621610352</c:v>
                </c:pt>
                <c:pt idx="5">
                  <c:v>71.034422383771386</c:v>
                </c:pt>
                <c:pt idx="6">
                  <c:v>77.492097145932433</c:v>
                </c:pt>
                <c:pt idx="7">
                  <c:v>83.949771908093453</c:v>
                </c:pt>
                <c:pt idx="8">
                  <c:v>90.407446670254501</c:v>
                </c:pt>
                <c:pt idx="9">
                  <c:v>96.865121432415506</c:v>
                </c:pt>
                <c:pt idx="10">
                  <c:v>103.32279619457657</c:v>
                </c:pt>
                <c:pt idx="11">
                  <c:v>109.78047095673757</c:v>
                </c:pt>
                <c:pt idx="12">
                  <c:v>116.23814571889864</c:v>
                </c:pt>
                <c:pt idx="13">
                  <c:v>122.69582048105967</c:v>
                </c:pt>
                <c:pt idx="14">
                  <c:v>129.1534952432207</c:v>
                </c:pt>
                <c:pt idx="15">
                  <c:v>135.61117000538172</c:v>
                </c:pt>
                <c:pt idx="16">
                  <c:v>142.06884476754277</c:v>
                </c:pt>
                <c:pt idx="17">
                  <c:v>148.52651952970382</c:v>
                </c:pt>
              </c:numCache>
            </c:numRef>
          </c:xVal>
          <c:yVal>
            <c:numRef>
              <c:f>'KTM 350 EXC-f data'!$S$5:$S$22</c:f>
              <c:numCache>
                <c:formatCode>0</c:formatCode>
                <c:ptCount val="18"/>
                <c:pt idx="0">
                  <c:v>929.12700329183542</c:v>
                </c:pt>
                <c:pt idx="1">
                  <c:v>955.67348910017358</c:v>
                </c:pt>
                <c:pt idx="2">
                  <c:v>975.58335345642729</c:v>
                </c:pt>
                <c:pt idx="3">
                  <c:v>1053.0106037307471</c:v>
                </c:pt>
                <c:pt idx="4">
                  <c:v>1059.2047837526925</c:v>
                </c:pt>
                <c:pt idx="5">
                  <c:v>1165.632058675212</c:v>
                </c:pt>
                <c:pt idx="6">
                  <c:v>1161.4087541147942</c:v>
                </c:pt>
                <c:pt idx="7">
                  <c:v>1157.8351887175183</c:v>
                </c:pt>
                <c:pt idx="8">
                  <c:v>1194.5918613752169</c:v>
                </c:pt>
                <c:pt idx="9">
                  <c:v>1226.4476443452234</c:v>
                </c:pt>
                <c:pt idx="10">
                  <c:v>1184.6369291970902</c:v>
                </c:pt>
                <c:pt idx="11">
                  <c:v>1131.3487628318235</c:v>
                </c:pt>
                <c:pt idx="12">
                  <c:v>1083.9815038404749</c:v>
                </c:pt>
                <c:pt idx="13">
                  <c:v>1012.2594193758418</c:v>
                </c:pt>
                <c:pt idx="14">
                  <c:v>933.77263830829475</c:v>
                </c:pt>
                <c:pt idx="15">
                  <c:v>876.03403167515944</c:v>
                </c:pt>
                <c:pt idx="16">
                  <c:v>836.21430296265203</c:v>
                </c:pt>
                <c:pt idx="17">
                  <c:v>799.85715935558017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B1D3-0A41-919F-CE5268A17F18}"/>
            </c:ext>
          </c:extLst>
        </c:ser>
        <c:ser>
          <c:idx val="10"/>
          <c:order val="5"/>
          <c:tx>
            <c:strRef>
              <c:f>'KTM 350 EXC-f data'!$T$4</c:f>
              <c:strCache>
                <c:ptCount val="1"/>
                <c:pt idx="0">
                  <c:v>6th Gear </c:v>
                </c:pt>
              </c:strCache>
            </c:strRef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'KTM 350 EXC-f data'!$M$5:$M$22</c:f>
              <c:numCache>
                <c:formatCode>0.00</c:formatCode>
                <c:ptCount val="18"/>
                <c:pt idx="0">
                  <c:v>44.325479567473337</c:v>
                </c:pt>
                <c:pt idx="1">
                  <c:v>51.713059495385551</c:v>
                </c:pt>
                <c:pt idx="2">
                  <c:v>59.100639423297785</c:v>
                </c:pt>
                <c:pt idx="3">
                  <c:v>66.488219351210006</c:v>
                </c:pt>
                <c:pt idx="4">
                  <c:v>73.875799279122234</c:v>
                </c:pt>
                <c:pt idx="5">
                  <c:v>81.263379207034447</c:v>
                </c:pt>
                <c:pt idx="6">
                  <c:v>88.650959134946675</c:v>
                </c:pt>
                <c:pt idx="7">
                  <c:v>96.038539062858902</c:v>
                </c:pt>
                <c:pt idx="8">
                  <c:v>103.4261189907711</c:v>
                </c:pt>
                <c:pt idx="9">
                  <c:v>110.81369891868336</c:v>
                </c:pt>
                <c:pt idx="10">
                  <c:v>118.20127884659557</c:v>
                </c:pt>
                <c:pt idx="11">
                  <c:v>125.5888587745078</c:v>
                </c:pt>
                <c:pt idx="12">
                  <c:v>132.97643870242001</c:v>
                </c:pt>
                <c:pt idx="13">
                  <c:v>140.36401863033223</c:v>
                </c:pt>
                <c:pt idx="14">
                  <c:v>147.75159855824447</c:v>
                </c:pt>
                <c:pt idx="15">
                  <c:v>155.13917848615665</c:v>
                </c:pt>
                <c:pt idx="16">
                  <c:v>162.52675841406889</c:v>
                </c:pt>
                <c:pt idx="17">
                  <c:v>169.91433834198114</c:v>
                </c:pt>
              </c:numCache>
            </c:numRef>
          </c:xVal>
          <c:yVal>
            <c:numRef>
              <c:f>'KTM 350 EXC-f data'!$T$5:$T$22</c:f>
              <c:numCache>
                <c:formatCode>0</c:formatCode>
                <c:ptCount val="18"/>
                <c:pt idx="0">
                  <c:v>812.17395392642982</c:v>
                </c:pt>
                <c:pt idx="1">
                  <c:v>835.37892403861372</c:v>
                </c:pt>
                <c:pt idx="2">
                  <c:v>852.78265162275125</c:v>
                </c:pt>
                <c:pt idx="3">
                  <c:v>920.46381444995382</c:v>
                </c:pt>
                <c:pt idx="4">
                  <c:v>925.87830747613009</c:v>
                </c:pt>
                <c:pt idx="5">
                  <c:v>1018.909142198612</c:v>
                </c:pt>
                <c:pt idx="6">
                  <c:v>1015.2174424080373</c:v>
                </c:pt>
                <c:pt idx="7">
                  <c:v>1012.0936964313971</c:v>
                </c:pt>
                <c:pt idx="8">
                  <c:v>1044.2236550482671</c:v>
                </c:pt>
                <c:pt idx="9">
                  <c:v>1072.0696191828872</c:v>
                </c:pt>
                <c:pt idx="10">
                  <c:v>1035.521791256198</c:v>
                </c:pt>
                <c:pt idx="11">
                  <c:v>988.94122625159389</c:v>
                </c:pt>
                <c:pt idx="12">
                  <c:v>947.53627958083484</c:v>
                </c:pt>
                <c:pt idx="13">
                  <c:v>884.84214980405784</c:v>
                </c:pt>
                <c:pt idx="14">
                  <c:v>816.23482369606199</c:v>
                </c:pt>
                <c:pt idx="15">
                  <c:v>765.76401370206258</c:v>
                </c:pt>
                <c:pt idx="16">
                  <c:v>730.95655853378696</c:v>
                </c:pt>
                <c:pt idx="17">
                  <c:v>699.17583859753529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B1D3-0A41-919F-CE5268A17F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87694303"/>
        <c:axId val="1558290607"/>
      </c:scatterChart>
      <c:valAx>
        <c:axId val="168769430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ROAD SPEED (km/h)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8290607"/>
        <c:crosses val="autoZero"/>
        <c:crossBetween val="midCat"/>
      </c:valAx>
      <c:valAx>
        <c:axId val="15582906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DRIVING 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769430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1" u="none" strike="noStrike" kern="1200" spc="0" baseline="0">
                <a:solidFill>
                  <a:schemeClr val="bg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GB" b="1" i="1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Driving Force vs Resistance to Motion</a:t>
            </a:r>
          </a:p>
        </c:rich>
      </c:tx>
      <c:overlay val="0"/>
      <c:spPr>
        <a:solidFill>
          <a:srgbClr val="F2761F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1" u="none" strike="noStrike" kern="1200" spc="0" baseline="0">
              <a:solidFill>
                <a:schemeClr val="bg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'KTM 350 EXC-f data'!$W$2</c:f>
              <c:strCache>
                <c:ptCount val="1"/>
                <c:pt idx="0">
                  <c:v>road speed</c:v>
                </c:pt>
              </c:strCache>
            </c:strRef>
          </c:tx>
          <c:spPr>
            <a:ln w="28575" cap="rnd">
              <a:solidFill>
                <a:srgbClr val="F2761F"/>
              </a:solidFill>
              <a:round/>
            </a:ln>
            <a:effectLst/>
          </c:spPr>
          <c:marker>
            <c:symbol val="none"/>
          </c:marker>
          <c:cat>
            <c:numRef>
              <c:f>'KTM 350 EXC-f data'!$V$5:$V$22</c:f>
              <c:numCache>
                <c:formatCode>General</c:formatCode>
                <c:ptCount val="18"/>
                <c:pt idx="0">
                  <c:v>3000</c:v>
                </c:pt>
                <c:pt idx="1">
                  <c:v>3500</c:v>
                </c:pt>
                <c:pt idx="2">
                  <c:v>4000</c:v>
                </c:pt>
                <c:pt idx="3">
                  <c:v>4500</c:v>
                </c:pt>
                <c:pt idx="4">
                  <c:v>5000</c:v>
                </c:pt>
                <c:pt idx="5">
                  <c:v>5500</c:v>
                </c:pt>
                <c:pt idx="6">
                  <c:v>6000</c:v>
                </c:pt>
                <c:pt idx="7">
                  <c:v>6500</c:v>
                </c:pt>
                <c:pt idx="8">
                  <c:v>7000</c:v>
                </c:pt>
                <c:pt idx="9">
                  <c:v>7500</c:v>
                </c:pt>
                <c:pt idx="10">
                  <c:v>8000</c:v>
                </c:pt>
                <c:pt idx="11">
                  <c:v>8500</c:v>
                </c:pt>
                <c:pt idx="12">
                  <c:v>9000</c:v>
                </c:pt>
                <c:pt idx="13">
                  <c:v>9500</c:v>
                </c:pt>
                <c:pt idx="14">
                  <c:v>10000</c:v>
                </c:pt>
                <c:pt idx="15">
                  <c:v>10500</c:v>
                </c:pt>
                <c:pt idx="16">
                  <c:v>11000</c:v>
                </c:pt>
                <c:pt idx="17">
                  <c:v>11500</c:v>
                </c:pt>
              </c:numCache>
            </c:numRef>
          </c:cat>
          <c:val>
            <c:numRef>
              <c:f>'KTM 350 EXC-f data'!$W$5:$W$22</c:f>
              <c:numCache>
                <c:formatCode>0</c:formatCode>
                <c:ptCount val="18"/>
                <c:pt idx="0">
                  <c:v>812.17395392642982</c:v>
                </c:pt>
                <c:pt idx="1">
                  <c:v>835.37892403861372</c:v>
                </c:pt>
                <c:pt idx="2">
                  <c:v>852.78265162275125</c:v>
                </c:pt>
                <c:pt idx="3">
                  <c:v>920.46381444995382</c:v>
                </c:pt>
                <c:pt idx="4">
                  <c:v>925.87830747613009</c:v>
                </c:pt>
                <c:pt idx="5">
                  <c:v>1018.909142198612</c:v>
                </c:pt>
                <c:pt idx="6">
                  <c:v>1015.2174424080373</c:v>
                </c:pt>
                <c:pt idx="7">
                  <c:v>1012.0936964313971</c:v>
                </c:pt>
                <c:pt idx="8">
                  <c:v>1044.2236550482671</c:v>
                </c:pt>
                <c:pt idx="9">
                  <c:v>1072.0696191828872</c:v>
                </c:pt>
                <c:pt idx="10">
                  <c:v>1035.521791256198</c:v>
                </c:pt>
                <c:pt idx="11">
                  <c:v>988.94122625159389</c:v>
                </c:pt>
                <c:pt idx="12">
                  <c:v>947.53627958083484</c:v>
                </c:pt>
                <c:pt idx="13">
                  <c:v>884.84214980405784</c:v>
                </c:pt>
                <c:pt idx="14">
                  <c:v>816.23482369606199</c:v>
                </c:pt>
                <c:pt idx="15">
                  <c:v>765.76401370206258</c:v>
                </c:pt>
                <c:pt idx="16">
                  <c:v>730.95655853378696</c:v>
                </c:pt>
                <c:pt idx="17">
                  <c:v>699.17583859753529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874-B149-8CF7-0CD8EBF35CAA}"/>
            </c:ext>
          </c:extLst>
        </c:ser>
        <c:ser>
          <c:idx val="1"/>
          <c:order val="1"/>
          <c:tx>
            <c:strRef>
              <c:f>'KTM 350 EXC-f data'!$X$2</c:f>
              <c:strCache>
                <c:ptCount val="1"/>
                <c:pt idx="0">
                  <c:v>Resistance to Motion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'KTM 350 EXC-f data'!$V$5:$V$22</c:f>
              <c:numCache>
                <c:formatCode>General</c:formatCode>
                <c:ptCount val="18"/>
                <c:pt idx="0">
                  <c:v>3000</c:v>
                </c:pt>
                <c:pt idx="1">
                  <c:v>3500</c:v>
                </c:pt>
                <c:pt idx="2">
                  <c:v>4000</c:v>
                </c:pt>
                <c:pt idx="3">
                  <c:v>4500</c:v>
                </c:pt>
                <c:pt idx="4">
                  <c:v>5000</c:v>
                </c:pt>
                <c:pt idx="5">
                  <c:v>5500</c:v>
                </c:pt>
                <c:pt idx="6">
                  <c:v>6000</c:v>
                </c:pt>
                <c:pt idx="7">
                  <c:v>6500</c:v>
                </c:pt>
                <c:pt idx="8">
                  <c:v>7000</c:v>
                </c:pt>
                <c:pt idx="9">
                  <c:v>7500</c:v>
                </c:pt>
                <c:pt idx="10">
                  <c:v>8000</c:v>
                </c:pt>
                <c:pt idx="11">
                  <c:v>8500</c:v>
                </c:pt>
                <c:pt idx="12">
                  <c:v>9000</c:v>
                </c:pt>
                <c:pt idx="13">
                  <c:v>9500</c:v>
                </c:pt>
                <c:pt idx="14">
                  <c:v>10000</c:v>
                </c:pt>
                <c:pt idx="15">
                  <c:v>10500</c:v>
                </c:pt>
                <c:pt idx="16">
                  <c:v>11000</c:v>
                </c:pt>
                <c:pt idx="17">
                  <c:v>11500</c:v>
                </c:pt>
              </c:numCache>
            </c:numRef>
          </c:cat>
          <c:val>
            <c:numRef>
              <c:f>'KTM 350 EXC-f data'!$X$5:$X$22</c:f>
              <c:numCache>
                <c:formatCode>General</c:formatCode>
                <c:ptCount val="18"/>
                <c:pt idx="0">
                  <c:v>82.72</c:v>
                </c:pt>
                <c:pt idx="1">
                  <c:v>98.37</c:v>
                </c:pt>
                <c:pt idx="2">
                  <c:v>116.44</c:v>
                </c:pt>
                <c:pt idx="3">
                  <c:v>136.9</c:v>
                </c:pt>
                <c:pt idx="4">
                  <c:v>159.78</c:v>
                </c:pt>
                <c:pt idx="5">
                  <c:v>185.06</c:v>
                </c:pt>
                <c:pt idx="6">
                  <c:v>212.76</c:v>
                </c:pt>
                <c:pt idx="7">
                  <c:v>242.86</c:v>
                </c:pt>
                <c:pt idx="8">
                  <c:v>275.37</c:v>
                </c:pt>
                <c:pt idx="9">
                  <c:v>310.27999999999997</c:v>
                </c:pt>
                <c:pt idx="10">
                  <c:v>347.61</c:v>
                </c:pt>
                <c:pt idx="11">
                  <c:v>387.34</c:v>
                </c:pt>
                <c:pt idx="12">
                  <c:v>429.48</c:v>
                </c:pt>
                <c:pt idx="13">
                  <c:v>474.03</c:v>
                </c:pt>
                <c:pt idx="14">
                  <c:v>520.99</c:v>
                </c:pt>
                <c:pt idx="15">
                  <c:v>570.35</c:v>
                </c:pt>
                <c:pt idx="16">
                  <c:v>622.13</c:v>
                </c:pt>
                <c:pt idx="17">
                  <c:v>676.31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874-B149-8CF7-0CD8EBF35C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11723743"/>
        <c:axId val="531927279"/>
      </c:lineChart>
      <c:catAx>
        <c:axId val="91172374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100" b="1">
                    <a:solidFill>
                      <a:schemeClr val="tx1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1927279"/>
        <c:crosses val="autoZero"/>
        <c:auto val="1"/>
        <c:lblAlgn val="ctr"/>
        <c:lblOffset val="100"/>
        <c:noMultiLvlLbl val="0"/>
      </c:catAx>
      <c:valAx>
        <c:axId val="5319272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100">
                    <a:solidFill>
                      <a:schemeClr val="tx1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17237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8100" cap="flat" cmpd="sng" algn="ctr">
      <a:solidFill>
        <a:srgbClr val="F2761F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5.png"/><Relationship Id="rId1" Type="http://schemas.openxmlformats.org/officeDocument/2006/relationships/image" Target="../media/image4.jpeg"/><Relationship Id="rId5" Type="http://schemas.openxmlformats.org/officeDocument/2006/relationships/chart" Target="../charts/chart3.xml"/><Relationship Id="rId4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image" Target="../media/image6.png"/><Relationship Id="rId4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image" Target="../media/image7.png"/><Relationship Id="rId5" Type="http://schemas.openxmlformats.org/officeDocument/2006/relationships/chart" Target="../charts/chart9.xml"/><Relationship Id="rId4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image" Target="../media/image7.png"/><Relationship Id="rId4" Type="http://schemas.openxmlformats.org/officeDocument/2006/relationships/chart" Target="../charts/chart12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6" Type="http://schemas.openxmlformats.org/officeDocument/2006/relationships/image" Target="../media/image14.emf"/><Relationship Id="rId5" Type="http://schemas.openxmlformats.org/officeDocument/2006/relationships/image" Target="../media/image13.emf"/><Relationship Id="rId4" Type="http://schemas.openxmlformats.org/officeDocument/2006/relationships/image" Target="../media/image1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289278</xdr:colOff>
      <xdr:row>4</xdr:row>
      <xdr:rowOff>83256</xdr:rowOff>
    </xdr:from>
    <xdr:to>
      <xdr:col>7</xdr:col>
      <xdr:colOff>289278</xdr:colOff>
      <xdr:row>5</xdr:row>
      <xdr:rowOff>208139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7BB74943-A61E-3011-8D5F-94FA233F6A8D}"/>
            </a:ext>
          </a:extLst>
        </xdr:cNvPr>
        <xdr:cNvCxnSpPr/>
      </xdr:nvCxnSpPr>
      <xdr:spPr>
        <a:xfrm>
          <a:off x="5510389" y="873478"/>
          <a:ext cx="0" cy="322439"/>
        </a:xfrm>
        <a:prstGeom prst="straightConnector1">
          <a:avLst/>
        </a:prstGeom>
        <a:ln w="3810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758471</xdr:colOff>
      <xdr:row>4</xdr:row>
      <xdr:rowOff>81139</xdr:rowOff>
    </xdr:from>
    <xdr:to>
      <xdr:col>9</xdr:col>
      <xdr:colOff>758471</xdr:colOff>
      <xdr:row>5</xdr:row>
      <xdr:rowOff>206022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3D5CB6A6-86C0-3649-8DCC-6CF87D77CA3E}"/>
            </a:ext>
          </a:extLst>
        </xdr:cNvPr>
        <xdr:cNvCxnSpPr/>
      </xdr:nvCxnSpPr>
      <xdr:spPr>
        <a:xfrm>
          <a:off x="7009693" y="871361"/>
          <a:ext cx="0" cy="322439"/>
        </a:xfrm>
        <a:prstGeom prst="straightConnector1">
          <a:avLst/>
        </a:prstGeom>
        <a:ln w="3810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251176</xdr:colOff>
      <xdr:row>19</xdr:row>
      <xdr:rowOff>39511</xdr:rowOff>
    </xdr:from>
    <xdr:to>
      <xdr:col>3</xdr:col>
      <xdr:colOff>575732</xdr:colOff>
      <xdr:row>22</xdr:row>
      <xdr:rowOff>188959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5F2DF2BC-0731-5B46-BC33-B72AF9443E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954" y="5627511"/>
          <a:ext cx="1989667" cy="7562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248354</xdr:colOff>
      <xdr:row>24</xdr:row>
      <xdr:rowOff>36689</xdr:rowOff>
    </xdr:from>
    <xdr:to>
      <xdr:col>3</xdr:col>
      <xdr:colOff>572910</xdr:colOff>
      <xdr:row>27</xdr:row>
      <xdr:rowOff>172026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B7FDE88-CCDA-BE42-B296-0E05818146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132" y="6668911"/>
          <a:ext cx="1989667" cy="7562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70558</xdr:colOff>
      <xdr:row>13</xdr:row>
      <xdr:rowOff>56446</xdr:rowOff>
    </xdr:from>
    <xdr:to>
      <xdr:col>2</xdr:col>
      <xdr:colOff>747891</xdr:colOff>
      <xdr:row>16</xdr:row>
      <xdr:rowOff>130954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5BAAB357-2FE8-4B13-0BB8-D5CDE87F9E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8891" y="3570113"/>
          <a:ext cx="677333" cy="695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67735</xdr:colOff>
      <xdr:row>8</xdr:row>
      <xdr:rowOff>39512</xdr:rowOff>
    </xdr:from>
    <xdr:to>
      <xdr:col>2</xdr:col>
      <xdr:colOff>745068</xdr:colOff>
      <xdr:row>11</xdr:row>
      <xdr:rowOff>142242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29F41FD-DF1D-B74C-8493-7F61191D3D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6068" y="1718734"/>
          <a:ext cx="677333" cy="695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127000</xdr:colOff>
      <xdr:row>0</xdr:row>
      <xdr:rowOff>183443</xdr:rowOff>
    </xdr:from>
    <xdr:to>
      <xdr:col>3</xdr:col>
      <xdr:colOff>719667</xdr:colOff>
      <xdr:row>5</xdr:row>
      <xdr:rowOff>239888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E1B74D5-E09E-DF42-9795-B6E509FE3B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778" y="183443"/>
          <a:ext cx="2257778" cy="10442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241300</xdr:colOff>
      <xdr:row>20</xdr:row>
      <xdr:rowOff>0</xdr:rowOff>
    </xdr:from>
    <xdr:to>
      <xdr:col>16</xdr:col>
      <xdr:colOff>774701</xdr:colOff>
      <xdr:row>21</xdr:row>
      <xdr:rowOff>133349</xdr:rowOff>
    </xdr:to>
    <xdr:sp macro="" textlink="">
      <xdr:nvSpPr>
        <xdr:cNvPr id="2049" name="AutoShape 1">
          <a:extLst>
            <a:ext uri="{FF2B5EF4-FFF2-40B4-BE49-F238E27FC236}">
              <a16:creationId xmlns:a16="http://schemas.microsoft.com/office/drawing/2014/main" id="{8A7C431E-7C01-3410-2DE0-B922E837DA62}"/>
            </a:ext>
          </a:extLst>
        </xdr:cNvPr>
        <xdr:cNvSpPr>
          <a:spLocks noChangeAspect="1" noChangeArrowheads="1"/>
        </xdr:cNvSpPr>
      </xdr:nvSpPr>
      <xdr:spPr bwMode="auto">
        <a:xfrm>
          <a:off x="11684000" y="4368800"/>
          <a:ext cx="1358900" cy="406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10</xdr:col>
      <xdr:colOff>685800</xdr:colOff>
      <xdr:row>32</xdr:row>
      <xdr:rowOff>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943633C5-30B3-B867-FD26-F48E90BFC50B}"/>
            </a:ext>
          </a:extLst>
        </xdr:cNvPr>
        <xdr:cNvSpPr txBox="1"/>
      </xdr:nvSpPr>
      <xdr:spPr>
        <a:xfrm>
          <a:off x="9140371" y="411752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685800</xdr:colOff>
      <xdr:row>32</xdr:row>
      <xdr:rowOff>0</xdr:rowOff>
    </xdr:from>
    <xdr:ext cx="65" cy="172227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750AED8F-3C4F-0C4A-A212-D53D6FFCA1CE}"/>
            </a:ext>
          </a:extLst>
        </xdr:cNvPr>
        <xdr:cNvSpPr txBox="1"/>
      </xdr:nvSpPr>
      <xdr:spPr>
        <a:xfrm>
          <a:off x="9140371" y="411752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twoCellAnchor editAs="oneCell">
    <xdr:from>
      <xdr:col>12</xdr:col>
      <xdr:colOff>173182</xdr:colOff>
      <xdr:row>8</xdr:row>
      <xdr:rowOff>715</xdr:rowOff>
    </xdr:from>
    <xdr:to>
      <xdr:col>13</xdr:col>
      <xdr:colOff>583047</xdr:colOff>
      <xdr:row>13</xdr:row>
      <xdr:rowOff>37531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BE5824AF-D9E2-142C-A2D3-84A8295E2B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87727" y="1660374"/>
          <a:ext cx="1848718" cy="1393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127002</xdr:colOff>
      <xdr:row>1</xdr:row>
      <xdr:rowOff>14112</xdr:rowOff>
    </xdr:from>
    <xdr:to>
      <xdr:col>1</xdr:col>
      <xdr:colOff>698500</xdr:colOff>
      <xdr:row>3</xdr:row>
      <xdr:rowOff>185456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C12F62B0-C150-1143-8980-663C1BDC1F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502" y="220487"/>
          <a:ext cx="571498" cy="5999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137585</xdr:colOff>
      <xdr:row>5</xdr:row>
      <xdr:rowOff>31750</xdr:rowOff>
    </xdr:from>
    <xdr:to>
      <xdr:col>22</xdr:col>
      <xdr:colOff>762001</xdr:colOff>
      <xdr:row>18</xdr:row>
      <xdr:rowOff>54429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6411C735-17B0-6246-A50D-7750E0F2366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135820</xdr:colOff>
      <xdr:row>18</xdr:row>
      <xdr:rowOff>156733</xdr:rowOff>
    </xdr:from>
    <xdr:to>
      <xdr:col>22</xdr:col>
      <xdr:colOff>780144</xdr:colOff>
      <xdr:row>31</xdr:row>
      <xdr:rowOff>272142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99CAFDB9-0E4B-6E43-B96E-63CF4C2332E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14</xdr:col>
      <xdr:colOff>127001</xdr:colOff>
      <xdr:row>32</xdr:row>
      <xdr:rowOff>108856</xdr:rowOff>
    </xdr:from>
    <xdr:to>
      <xdr:col>22</xdr:col>
      <xdr:colOff>790222</xdr:colOff>
      <xdr:row>49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DBC716B-9826-EE49-ADD7-EEAA6488BD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59267</xdr:colOff>
      <xdr:row>0</xdr:row>
      <xdr:rowOff>189485</xdr:rowOff>
    </xdr:from>
    <xdr:to>
      <xdr:col>1</xdr:col>
      <xdr:colOff>457200</xdr:colOff>
      <xdr:row>2</xdr:row>
      <xdr:rowOff>191631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74E705C6-4B79-F94D-A919-A508926FDC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600" y="189485"/>
          <a:ext cx="397933" cy="397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225072</xdr:colOff>
      <xdr:row>25</xdr:row>
      <xdr:rowOff>41629</xdr:rowOff>
    </xdr:from>
    <xdr:to>
      <xdr:col>19</xdr:col>
      <xdr:colOff>225778</xdr:colOff>
      <xdr:row>43</xdr:row>
      <xdr:rowOff>28223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5D94CD04-0567-1DF3-AEA6-C63CB57F19F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218725</xdr:colOff>
      <xdr:row>25</xdr:row>
      <xdr:rowOff>46566</xdr:rowOff>
    </xdr:from>
    <xdr:to>
      <xdr:col>12</xdr:col>
      <xdr:colOff>790223</xdr:colOff>
      <xdr:row>42</xdr:row>
      <xdr:rowOff>183445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AED6291F-A83B-97E9-2792-7ACFD0D1DF7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486835</xdr:colOff>
      <xdr:row>25</xdr:row>
      <xdr:rowOff>4234</xdr:rowOff>
    </xdr:from>
    <xdr:to>
      <xdr:col>25</xdr:col>
      <xdr:colOff>112890</xdr:colOff>
      <xdr:row>43</xdr:row>
      <xdr:rowOff>42333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8870BFA-EA6F-09D2-1A1E-5BAF7879710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38806</xdr:colOff>
      <xdr:row>1</xdr:row>
      <xdr:rowOff>29985</xdr:rowOff>
    </xdr:from>
    <xdr:to>
      <xdr:col>2</xdr:col>
      <xdr:colOff>213490</xdr:colOff>
      <xdr:row>3</xdr:row>
      <xdr:rowOff>206375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ADFB787-D6BA-6F44-A080-F6A1766533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556" y="236360"/>
          <a:ext cx="1555809" cy="6050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123472</xdr:colOff>
      <xdr:row>4</xdr:row>
      <xdr:rowOff>181681</xdr:rowOff>
    </xdr:from>
    <xdr:to>
      <xdr:col>21</xdr:col>
      <xdr:colOff>793750</xdr:colOff>
      <xdr:row>18</xdr:row>
      <xdr:rowOff>31750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1BC3991-5018-194B-B4B7-F45746C2D60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121708</xdr:colOff>
      <xdr:row>18</xdr:row>
      <xdr:rowOff>142875</xdr:rowOff>
    </xdr:from>
    <xdr:to>
      <xdr:col>21</xdr:col>
      <xdr:colOff>800100</xdr:colOff>
      <xdr:row>32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F25407A-4566-6147-9B55-1497453E467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12</xdr:col>
      <xdr:colOff>111124</xdr:colOff>
      <xdr:row>6</xdr:row>
      <xdr:rowOff>206376</xdr:rowOff>
    </xdr:from>
    <xdr:to>
      <xdr:col>13</xdr:col>
      <xdr:colOff>812770</xdr:colOff>
      <xdr:row>12</xdr:row>
      <xdr:rowOff>225435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1F57D9B1-8508-B462-27BC-83BFDAFB98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8374" y="1524001"/>
          <a:ext cx="2320896" cy="16224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127000</xdr:colOff>
      <xdr:row>32</xdr:row>
      <xdr:rowOff>79375</xdr:rowOff>
    </xdr:from>
    <xdr:to>
      <xdr:col>24</xdr:col>
      <xdr:colOff>12700</xdr:colOff>
      <xdr:row>48</xdr:row>
      <xdr:rowOff>25400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CE35E290-47B7-4C47-B3B2-B3FCCBAED30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65616</xdr:colOff>
      <xdr:row>1</xdr:row>
      <xdr:rowOff>46566</xdr:rowOff>
    </xdr:from>
    <xdr:to>
      <xdr:col>2</xdr:col>
      <xdr:colOff>485962</xdr:colOff>
      <xdr:row>3</xdr:row>
      <xdr:rowOff>23282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F2DA78D-B1DD-2647-8547-7B4F56983A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716" y="249766"/>
          <a:ext cx="1004546" cy="383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546100</xdr:colOff>
      <xdr:row>24</xdr:row>
      <xdr:rowOff>0</xdr:rowOff>
    </xdr:from>
    <xdr:to>
      <xdr:col>13</xdr:col>
      <xdr:colOff>114300</xdr:colOff>
      <xdr:row>38</xdr:row>
      <xdr:rowOff>135468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86BCD5-1FA2-7F76-02E8-365EA993E73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139699</xdr:colOff>
      <xdr:row>23</xdr:row>
      <xdr:rowOff>177800</xdr:rowOff>
    </xdr:from>
    <xdr:to>
      <xdr:col>19</xdr:col>
      <xdr:colOff>571500</xdr:colOff>
      <xdr:row>40</xdr:row>
      <xdr:rowOff>184152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55D8DC2D-0E53-1A65-5603-2867198998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20</xdr:col>
      <xdr:colOff>31750</xdr:colOff>
      <xdr:row>23</xdr:row>
      <xdr:rowOff>69850</xdr:rowOff>
    </xdr:from>
    <xdr:to>
      <xdr:col>25</xdr:col>
      <xdr:colOff>114300</xdr:colOff>
      <xdr:row>41</xdr:row>
      <xdr:rowOff>38100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99DB4B2E-5F31-1C5D-7C59-7D2E5A80BBC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12700</xdr:colOff>
      <xdr:row>12</xdr:row>
      <xdr:rowOff>279400</xdr:rowOff>
    </xdr:from>
    <xdr:ext cx="800100" cy="28180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2CECD7DD-B3A0-0A40-A488-76F7C8558622}"/>
                </a:ext>
              </a:extLst>
            </xdr:cNvPr>
            <xdr:cNvSpPr txBox="1"/>
          </xdr:nvSpPr>
          <xdr:spPr>
            <a:xfrm flipH="1">
              <a:off x="3175000" y="2984500"/>
              <a:ext cx="800100" cy="28180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8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𝜌</m:t>
                    </m:r>
                  </m:oMath>
                </m:oMathPara>
              </a14:m>
              <a:endParaRPr lang="en-GB" sz="1800"/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2CECD7DD-B3A0-0A40-A488-76F7C8558622}"/>
                </a:ext>
              </a:extLst>
            </xdr:cNvPr>
            <xdr:cNvSpPr txBox="1"/>
          </xdr:nvSpPr>
          <xdr:spPr>
            <a:xfrm flipH="1">
              <a:off x="3175000" y="2984500"/>
              <a:ext cx="800100" cy="28180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8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𝜌</a:t>
              </a:r>
              <a:endParaRPr lang="en-GB" sz="1800"/>
            </a:p>
          </xdr:txBody>
        </xdr:sp>
      </mc:Fallback>
    </mc:AlternateContent>
    <xdr:clientData/>
  </xdr:oneCellAnchor>
  <xdr:oneCellAnchor>
    <xdr:from>
      <xdr:col>4</xdr:col>
      <xdr:colOff>63500</xdr:colOff>
      <xdr:row>9</xdr:row>
      <xdr:rowOff>0</xdr:rowOff>
    </xdr:from>
    <xdr:ext cx="774700" cy="28687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F73D895E-5D99-7D49-A960-D77A4CCCE2AB}"/>
                </a:ext>
              </a:extLst>
            </xdr:cNvPr>
            <xdr:cNvSpPr txBox="1"/>
          </xdr:nvSpPr>
          <xdr:spPr>
            <a:xfrm>
              <a:off x="6045200" y="2095500"/>
              <a:ext cx="774700" cy="28687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8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GB" sz="1800" b="0" i="1">
                            <a:latin typeface="Cambria Math" panose="02040503050406030204" pitchFamily="18" charset="0"/>
                          </a:rPr>
                          <m:t>𝑚</m:t>
                        </m:r>
                      </m:e>
                      <m:sup>
                        <m:r>
                          <a:rPr lang="en-GB" sz="18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lang="en-GB" sz="18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F73D895E-5D99-7D49-A960-D77A4CCCE2AB}"/>
                </a:ext>
              </a:extLst>
            </xdr:cNvPr>
            <xdr:cNvSpPr txBox="1"/>
          </xdr:nvSpPr>
          <xdr:spPr>
            <a:xfrm>
              <a:off x="6045200" y="2095500"/>
              <a:ext cx="774700" cy="28687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800" b="0" i="0">
                  <a:latin typeface="Cambria Math" panose="02040503050406030204" pitchFamily="18" charset="0"/>
                </a:rPr>
                <a:t>𝑚^2</a:t>
              </a:r>
              <a:endParaRPr lang="en-GB" sz="1800"/>
            </a:p>
          </xdr:txBody>
        </xdr:sp>
      </mc:Fallback>
    </mc:AlternateContent>
    <xdr:clientData/>
  </xdr:oneCellAnchor>
  <xdr:oneCellAnchor>
    <xdr:from>
      <xdr:col>4</xdr:col>
      <xdr:colOff>171450</xdr:colOff>
      <xdr:row>12</xdr:row>
      <xdr:rowOff>298450</xdr:rowOff>
    </xdr:from>
    <xdr:ext cx="607346" cy="28687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96FB2592-CF63-FC41-8E4B-8831219A6B1C}"/>
                </a:ext>
              </a:extLst>
            </xdr:cNvPr>
            <xdr:cNvSpPr txBox="1"/>
          </xdr:nvSpPr>
          <xdr:spPr>
            <a:xfrm>
              <a:off x="6153150" y="3003550"/>
              <a:ext cx="607346" cy="28687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800" b="0"/>
                <a:t>kg/</a:t>
              </a:r>
              <a14:m>
                <m:oMath xmlns:m="http://schemas.openxmlformats.org/officeDocument/2006/math">
                  <m:sSup>
                    <m:sSupPr>
                      <m:ctrlPr>
                        <a:rPr lang="en-GB" sz="1800" b="0" i="1">
                          <a:latin typeface="Cambria Math" panose="02040503050406030204" pitchFamily="18" charset="0"/>
                        </a:rPr>
                      </m:ctrlPr>
                    </m:sSupPr>
                    <m:e>
                      <m:r>
                        <a:rPr lang="en-GB" sz="1800" b="0" i="1">
                          <a:latin typeface="Cambria Math" panose="02040503050406030204" pitchFamily="18" charset="0"/>
                        </a:rPr>
                        <m:t>𝑚</m:t>
                      </m:r>
                    </m:e>
                    <m:sup>
                      <m:r>
                        <a:rPr lang="en-GB" sz="1800" b="0" i="1">
                          <a:latin typeface="Cambria Math" panose="02040503050406030204" pitchFamily="18" charset="0"/>
                        </a:rPr>
                        <m:t>3</m:t>
                      </m:r>
                    </m:sup>
                  </m:sSup>
                </m:oMath>
              </a14:m>
              <a:endParaRPr lang="en-GB" sz="1800" b="0"/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96FB2592-CF63-FC41-8E4B-8831219A6B1C}"/>
                </a:ext>
              </a:extLst>
            </xdr:cNvPr>
            <xdr:cNvSpPr txBox="1"/>
          </xdr:nvSpPr>
          <xdr:spPr>
            <a:xfrm>
              <a:off x="6153150" y="3003550"/>
              <a:ext cx="607346" cy="28687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800" b="0"/>
                <a:t>kg/</a:t>
              </a:r>
              <a:r>
                <a:rPr lang="en-GB" sz="1800" b="0" i="0">
                  <a:latin typeface="Cambria Math" panose="02040503050406030204" pitchFamily="18" charset="0"/>
                </a:rPr>
                <a:t>𝑚^3</a:t>
              </a:r>
              <a:endParaRPr lang="en-GB" sz="1800" b="0"/>
            </a:p>
          </xdr:txBody>
        </xdr:sp>
      </mc:Fallback>
    </mc:AlternateContent>
    <xdr:clientData/>
  </xdr:oneCellAnchor>
  <xdr:oneCellAnchor>
    <xdr:from>
      <xdr:col>4</xdr:col>
      <xdr:colOff>158750</xdr:colOff>
      <xdr:row>14</xdr:row>
      <xdr:rowOff>6350</xdr:rowOff>
    </xdr:from>
    <xdr:ext cx="587533" cy="28687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45820C72-72F8-8B47-8D1B-F1257097F83B}"/>
                </a:ext>
              </a:extLst>
            </xdr:cNvPr>
            <xdr:cNvSpPr txBox="1"/>
          </xdr:nvSpPr>
          <xdr:spPr>
            <a:xfrm>
              <a:off x="6140450" y="3321050"/>
              <a:ext cx="587533" cy="28687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8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GB" sz="1800" b="0" i="1">
                            <a:latin typeface="Cambria Math" panose="02040503050406030204" pitchFamily="18" charset="0"/>
                          </a:rPr>
                          <m:t>𝑚</m:t>
                        </m:r>
                        <m:r>
                          <a:rPr lang="en-GB" sz="1800" b="0" i="1">
                            <a:latin typeface="Cambria Math" panose="02040503050406030204" pitchFamily="18" charset="0"/>
                          </a:rPr>
                          <m:t>/</m:t>
                        </m:r>
                        <m:r>
                          <a:rPr lang="en-GB" sz="1800" b="0" i="1">
                            <a:latin typeface="Cambria Math" panose="02040503050406030204" pitchFamily="18" charset="0"/>
                          </a:rPr>
                          <m:t>𝑠</m:t>
                        </m:r>
                      </m:e>
                      <m:sup>
                        <m:r>
                          <a:rPr lang="en-GB" sz="18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lang="en-GB" sz="1800"/>
            </a:p>
          </xdr:txBody>
        </xdr:sp>
      </mc:Choice>
      <mc:Fallback xmlns="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45820C72-72F8-8B47-8D1B-F1257097F83B}"/>
                </a:ext>
              </a:extLst>
            </xdr:cNvPr>
            <xdr:cNvSpPr txBox="1"/>
          </xdr:nvSpPr>
          <xdr:spPr>
            <a:xfrm>
              <a:off x="6140450" y="3321050"/>
              <a:ext cx="587533" cy="28687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800" i="0">
                  <a:latin typeface="Cambria Math" panose="02040503050406030204" pitchFamily="18" charset="0"/>
                </a:rPr>
                <a:t>〖</a:t>
              </a:r>
              <a:r>
                <a:rPr lang="en-GB" sz="1800" b="0" i="0">
                  <a:latin typeface="Cambria Math" panose="02040503050406030204" pitchFamily="18" charset="0"/>
                </a:rPr>
                <a:t>𝑚/𝑠〗^2</a:t>
              </a:r>
              <a:endParaRPr lang="en-GB" sz="1800"/>
            </a:p>
          </xdr:txBody>
        </xdr:sp>
      </mc:Fallback>
    </mc:AlternateContent>
    <xdr:clientData/>
  </xdr:oneCellAnchor>
  <xdr:oneCellAnchor>
    <xdr:from>
      <xdr:col>2</xdr:col>
      <xdr:colOff>273050</xdr:colOff>
      <xdr:row>15</xdr:row>
      <xdr:rowOff>38101</xdr:rowOff>
    </xdr:from>
    <xdr:ext cx="273050" cy="27940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8BACFC9C-A29C-654B-9CBE-61470BAB4D81}"/>
                </a:ext>
              </a:extLst>
            </xdr:cNvPr>
            <xdr:cNvSpPr txBox="1"/>
          </xdr:nvSpPr>
          <xdr:spPr>
            <a:xfrm>
              <a:off x="3435350" y="3657601"/>
              <a:ext cx="273050" cy="2794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8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𝜃</m:t>
                    </m:r>
                  </m:oMath>
                </m:oMathPara>
              </a14:m>
              <a:endParaRPr lang="en-GB" sz="1800"/>
            </a:p>
          </xdr:txBody>
        </xdr:sp>
      </mc:Choice>
      <mc:Fallback xmlns="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8BACFC9C-A29C-654B-9CBE-61470BAB4D81}"/>
                </a:ext>
              </a:extLst>
            </xdr:cNvPr>
            <xdr:cNvSpPr txBox="1"/>
          </xdr:nvSpPr>
          <xdr:spPr>
            <a:xfrm>
              <a:off x="3435350" y="3657601"/>
              <a:ext cx="273050" cy="2794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lang="en-GB" sz="18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𝜃</a:t>
              </a:r>
              <a:endParaRPr lang="en-GB" sz="1800"/>
            </a:p>
          </xdr:txBody>
        </xdr:sp>
      </mc:Fallback>
    </mc:AlternateContent>
    <xdr:clientData/>
  </xdr:oneCellAnchor>
  <xdr:oneCellAnchor>
    <xdr:from>
      <xdr:col>4</xdr:col>
      <xdr:colOff>279400</xdr:colOff>
      <xdr:row>15</xdr:row>
      <xdr:rowOff>25401</xdr:rowOff>
    </xdr:from>
    <xdr:ext cx="254000" cy="26670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E152C969-DF23-874B-B367-D9457F17B68E}"/>
                </a:ext>
              </a:extLst>
            </xdr:cNvPr>
            <xdr:cNvSpPr txBox="1"/>
          </xdr:nvSpPr>
          <xdr:spPr>
            <a:xfrm>
              <a:off x="6261100" y="3644901"/>
              <a:ext cx="254000" cy="2667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8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°</m:t>
                    </m:r>
                  </m:oMath>
                </m:oMathPara>
              </a14:m>
              <a:endParaRPr lang="en-GB" sz="1800"/>
            </a:p>
          </xdr:txBody>
        </xdr:sp>
      </mc:Choice>
      <mc:Fallback xmlns="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E152C969-DF23-874B-B367-D9457F17B68E}"/>
                </a:ext>
              </a:extLst>
            </xdr:cNvPr>
            <xdr:cNvSpPr txBox="1"/>
          </xdr:nvSpPr>
          <xdr:spPr>
            <a:xfrm>
              <a:off x="6261100" y="3644901"/>
              <a:ext cx="254000" cy="2667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lang="en-GB" sz="1800" i="0">
                  <a:latin typeface="Cambria Math" panose="02040503050406030204" pitchFamily="18" charset="0"/>
                  <a:ea typeface="Cambria Math" panose="02040503050406030204" pitchFamily="18" charset="0"/>
                </a:rPr>
                <a:t>°</a:t>
              </a:r>
              <a:endParaRPr lang="en-GB" sz="1800"/>
            </a:p>
          </xdr:txBody>
        </xdr:sp>
      </mc:Fallback>
    </mc:AlternateContent>
    <xdr:clientData/>
  </xdr:oneCellAnchor>
  <xdr:oneCellAnchor>
    <xdr:from>
      <xdr:col>2</xdr:col>
      <xdr:colOff>273050</xdr:colOff>
      <xdr:row>16</xdr:row>
      <xdr:rowOff>38101</xdr:rowOff>
    </xdr:from>
    <xdr:ext cx="273050" cy="27940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86CFB5DA-D461-3B47-9D74-A68363BCF100}"/>
                </a:ext>
              </a:extLst>
            </xdr:cNvPr>
            <xdr:cNvSpPr txBox="1"/>
          </xdr:nvSpPr>
          <xdr:spPr>
            <a:xfrm>
              <a:off x="3435350" y="3962401"/>
              <a:ext cx="273050" cy="2794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8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𝜃</m:t>
                    </m:r>
                  </m:oMath>
                </m:oMathPara>
              </a14:m>
              <a:endParaRPr lang="en-GB" sz="1800"/>
            </a:p>
          </xdr:txBody>
        </xdr:sp>
      </mc:Choice>
      <mc:Fallback xmlns="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86CFB5DA-D461-3B47-9D74-A68363BCF100}"/>
                </a:ext>
              </a:extLst>
            </xdr:cNvPr>
            <xdr:cNvSpPr txBox="1"/>
          </xdr:nvSpPr>
          <xdr:spPr>
            <a:xfrm>
              <a:off x="3435350" y="3962401"/>
              <a:ext cx="273050" cy="2794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lang="en-GB" sz="18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𝜃</a:t>
              </a:r>
              <a:endParaRPr lang="en-GB" sz="1800"/>
            </a:p>
          </xdr:txBody>
        </xdr:sp>
      </mc:Fallback>
    </mc:AlternateContent>
    <xdr:clientData/>
  </xdr:oneCellAnchor>
  <xdr:twoCellAnchor editAs="oneCell">
    <xdr:from>
      <xdr:col>1</xdr:col>
      <xdr:colOff>63501</xdr:colOff>
      <xdr:row>0</xdr:row>
      <xdr:rowOff>50800</xdr:rowOff>
    </xdr:from>
    <xdr:to>
      <xdr:col>1</xdr:col>
      <xdr:colOff>1161879</xdr:colOff>
      <xdr:row>3</xdr:row>
      <xdr:rowOff>63500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84F498F3-B3CE-B44E-9567-047C75FCB9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1" y="50800"/>
          <a:ext cx="1098378" cy="50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63501</xdr:colOff>
      <xdr:row>17</xdr:row>
      <xdr:rowOff>266700</xdr:rowOff>
    </xdr:from>
    <xdr:ext cx="1098378" cy="508000"/>
    <xdr:pic>
      <xdr:nvPicPr>
        <xdr:cNvPr id="10" name="Picture 9">
          <a:extLst>
            <a:ext uri="{FF2B5EF4-FFF2-40B4-BE49-F238E27FC236}">
              <a16:creationId xmlns:a16="http://schemas.microsoft.com/office/drawing/2014/main" id="{5D11F9DD-BB83-7B40-B228-3995B31CC6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1" y="4686300"/>
          <a:ext cx="1098378" cy="50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643465</xdr:colOff>
      <xdr:row>18</xdr:row>
      <xdr:rowOff>0</xdr:rowOff>
    </xdr:from>
    <xdr:ext cx="65" cy="172227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E4807B78-8B24-A542-9B61-B608C71D5FAA}"/>
            </a:ext>
          </a:extLst>
        </xdr:cNvPr>
        <xdr:cNvSpPr txBox="1"/>
      </xdr:nvSpPr>
      <xdr:spPr>
        <a:xfrm>
          <a:off x="16035865" y="732049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2</xdr:col>
      <xdr:colOff>12700</xdr:colOff>
      <xdr:row>29</xdr:row>
      <xdr:rowOff>279400</xdr:rowOff>
    </xdr:from>
    <xdr:ext cx="800100" cy="28180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43E5432E-C579-0A4A-8CE2-5C6E6BACF426}"/>
                </a:ext>
              </a:extLst>
            </xdr:cNvPr>
            <xdr:cNvSpPr txBox="1"/>
          </xdr:nvSpPr>
          <xdr:spPr>
            <a:xfrm flipH="1">
              <a:off x="3175000" y="3289300"/>
              <a:ext cx="800100" cy="28180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8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𝜌</m:t>
                    </m:r>
                  </m:oMath>
                </m:oMathPara>
              </a14:m>
              <a:endParaRPr lang="en-GB" sz="1800"/>
            </a:p>
          </xdr:txBody>
        </xdr:sp>
      </mc:Choice>
      <mc:Fallback xmlns=""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43E5432E-C579-0A4A-8CE2-5C6E6BACF426}"/>
                </a:ext>
              </a:extLst>
            </xdr:cNvPr>
            <xdr:cNvSpPr txBox="1"/>
          </xdr:nvSpPr>
          <xdr:spPr>
            <a:xfrm flipH="1">
              <a:off x="3175000" y="3289300"/>
              <a:ext cx="800100" cy="28180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8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𝜌</a:t>
              </a:r>
              <a:endParaRPr lang="en-GB" sz="1800"/>
            </a:p>
          </xdr:txBody>
        </xdr:sp>
      </mc:Fallback>
    </mc:AlternateContent>
    <xdr:clientData/>
  </xdr:oneCellAnchor>
  <xdr:oneCellAnchor>
    <xdr:from>
      <xdr:col>4</xdr:col>
      <xdr:colOff>63500</xdr:colOff>
      <xdr:row>26</xdr:row>
      <xdr:rowOff>0</xdr:rowOff>
    </xdr:from>
    <xdr:ext cx="774700" cy="28687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B4844FD5-E88C-454B-BEDD-C408450C8583}"/>
                </a:ext>
              </a:extLst>
            </xdr:cNvPr>
            <xdr:cNvSpPr txBox="1"/>
          </xdr:nvSpPr>
          <xdr:spPr>
            <a:xfrm>
              <a:off x="6045200" y="2095500"/>
              <a:ext cx="774700" cy="28687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8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GB" sz="1800" b="0" i="1">
                            <a:latin typeface="Cambria Math" panose="02040503050406030204" pitchFamily="18" charset="0"/>
                          </a:rPr>
                          <m:t>𝑚</m:t>
                        </m:r>
                      </m:e>
                      <m:sup>
                        <m:r>
                          <a:rPr lang="en-GB" sz="18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lang="en-GB" sz="1800"/>
            </a:p>
          </xdr:txBody>
        </xdr:sp>
      </mc:Choice>
      <mc:Fallback xmlns="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B4844FD5-E88C-454B-BEDD-C408450C8583}"/>
                </a:ext>
              </a:extLst>
            </xdr:cNvPr>
            <xdr:cNvSpPr txBox="1"/>
          </xdr:nvSpPr>
          <xdr:spPr>
            <a:xfrm>
              <a:off x="6045200" y="2095500"/>
              <a:ext cx="774700" cy="28687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800" b="0" i="0">
                  <a:latin typeface="Cambria Math" panose="02040503050406030204" pitchFamily="18" charset="0"/>
                </a:rPr>
                <a:t>𝑚^2</a:t>
              </a:r>
              <a:endParaRPr lang="en-GB" sz="1800"/>
            </a:p>
          </xdr:txBody>
        </xdr:sp>
      </mc:Fallback>
    </mc:AlternateContent>
    <xdr:clientData/>
  </xdr:oneCellAnchor>
  <xdr:oneCellAnchor>
    <xdr:from>
      <xdr:col>4</xdr:col>
      <xdr:colOff>171450</xdr:colOff>
      <xdr:row>29</xdr:row>
      <xdr:rowOff>298450</xdr:rowOff>
    </xdr:from>
    <xdr:ext cx="607346" cy="28687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4" name="TextBox 13">
              <a:extLst>
                <a:ext uri="{FF2B5EF4-FFF2-40B4-BE49-F238E27FC236}">
                  <a16:creationId xmlns:a16="http://schemas.microsoft.com/office/drawing/2014/main" id="{C9F67A4D-6C4E-6F41-A997-9B30DDA36CD7}"/>
                </a:ext>
              </a:extLst>
            </xdr:cNvPr>
            <xdr:cNvSpPr txBox="1"/>
          </xdr:nvSpPr>
          <xdr:spPr>
            <a:xfrm>
              <a:off x="6153150" y="3308350"/>
              <a:ext cx="607346" cy="28687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800" b="0"/>
                <a:t>kg/</a:t>
              </a:r>
              <a14:m>
                <m:oMath xmlns:m="http://schemas.openxmlformats.org/officeDocument/2006/math">
                  <m:sSup>
                    <m:sSupPr>
                      <m:ctrlPr>
                        <a:rPr lang="en-GB" sz="1800" b="0" i="1">
                          <a:latin typeface="Cambria Math" panose="02040503050406030204" pitchFamily="18" charset="0"/>
                        </a:rPr>
                      </m:ctrlPr>
                    </m:sSupPr>
                    <m:e>
                      <m:r>
                        <a:rPr lang="en-GB" sz="1800" b="0" i="1">
                          <a:latin typeface="Cambria Math" panose="02040503050406030204" pitchFamily="18" charset="0"/>
                        </a:rPr>
                        <m:t>𝑚</m:t>
                      </m:r>
                    </m:e>
                    <m:sup>
                      <m:r>
                        <a:rPr lang="en-GB" sz="1800" b="0" i="1">
                          <a:latin typeface="Cambria Math" panose="02040503050406030204" pitchFamily="18" charset="0"/>
                        </a:rPr>
                        <m:t>3</m:t>
                      </m:r>
                    </m:sup>
                  </m:sSup>
                </m:oMath>
              </a14:m>
              <a:endParaRPr lang="en-GB" sz="1800" b="0"/>
            </a:p>
          </xdr:txBody>
        </xdr:sp>
      </mc:Choice>
      <mc:Fallback xmlns="">
        <xdr:sp macro="" textlink="">
          <xdr:nvSpPr>
            <xdr:cNvPr id="14" name="TextBox 13">
              <a:extLst>
                <a:ext uri="{FF2B5EF4-FFF2-40B4-BE49-F238E27FC236}">
                  <a16:creationId xmlns:a16="http://schemas.microsoft.com/office/drawing/2014/main" id="{C9F67A4D-6C4E-6F41-A997-9B30DDA36CD7}"/>
                </a:ext>
              </a:extLst>
            </xdr:cNvPr>
            <xdr:cNvSpPr txBox="1"/>
          </xdr:nvSpPr>
          <xdr:spPr>
            <a:xfrm>
              <a:off x="6153150" y="3308350"/>
              <a:ext cx="607346" cy="28687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800" b="0"/>
                <a:t>kg/</a:t>
              </a:r>
              <a:r>
                <a:rPr lang="en-GB" sz="1800" b="0" i="0">
                  <a:latin typeface="Cambria Math" panose="02040503050406030204" pitchFamily="18" charset="0"/>
                </a:rPr>
                <a:t>𝑚^3</a:t>
              </a:r>
              <a:endParaRPr lang="en-GB" sz="1800" b="0"/>
            </a:p>
          </xdr:txBody>
        </xdr:sp>
      </mc:Fallback>
    </mc:AlternateContent>
    <xdr:clientData/>
  </xdr:oneCellAnchor>
  <xdr:oneCellAnchor>
    <xdr:from>
      <xdr:col>4</xdr:col>
      <xdr:colOff>158750</xdr:colOff>
      <xdr:row>31</xdr:row>
      <xdr:rowOff>6350</xdr:rowOff>
    </xdr:from>
    <xdr:ext cx="587533" cy="28687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5" name="TextBox 14">
              <a:extLst>
                <a:ext uri="{FF2B5EF4-FFF2-40B4-BE49-F238E27FC236}">
                  <a16:creationId xmlns:a16="http://schemas.microsoft.com/office/drawing/2014/main" id="{61F3F038-62A4-124F-9DBB-02EBBB212EBC}"/>
                </a:ext>
              </a:extLst>
            </xdr:cNvPr>
            <xdr:cNvSpPr txBox="1"/>
          </xdr:nvSpPr>
          <xdr:spPr>
            <a:xfrm>
              <a:off x="6140450" y="3625850"/>
              <a:ext cx="587533" cy="28687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8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GB" sz="1800" b="0" i="1">
                            <a:latin typeface="Cambria Math" panose="02040503050406030204" pitchFamily="18" charset="0"/>
                          </a:rPr>
                          <m:t>𝑚</m:t>
                        </m:r>
                        <m:r>
                          <a:rPr lang="en-GB" sz="1800" b="0" i="1">
                            <a:latin typeface="Cambria Math" panose="02040503050406030204" pitchFamily="18" charset="0"/>
                          </a:rPr>
                          <m:t>/</m:t>
                        </m:r>
                        <m:r>
                          <a:rPr lang="en-GB" sz="1800" b="0" i="1">
                            <a:latin typeface="Cambria Math" panose="02040503050406030204" pitchFamily="18" charset="0"/>
                          </a:rPr>
                          <m:t>𝑠</m:t>
                        </m:r>
                      </m:e>
                      <m:sup>
                        <m:r>
                          <a:rPr lang="en-GB" sz="18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lang="en-GB" sz="1800"/>
            </a:p>
          </xdr:txBody>
        </xdr:sp>
      </mc:Choice>
      <mc:Fallback xmlns="">
        <xdr:sp macro="" textlink="">
          <xdr:nvSpPr>
            <xdr:cNvPr id="15" name="TextBox 14">
              <a:extLst>
                <a:ext uri="{FF2B5EF4-FFF2-40B4-BE49-F238E27FC236}">
                  <a16:creationId xmlns:a16="http://schemas.microsoft.com/office/drawing/2014/main" id="{61F3F038-62A4-124F-9DBB-02EBBB212EBC}"/>
                </a:ext>
              </a:extLst>
            </xdr:cNvPr>
            <xdr:cNvSpPr txBox="1"/>
          </xdr:nvSpPr>
          <xdr:spPr>
            <a:xfrm>
              <a:off x="6140450" y="3625850"/>
              <a:ext cx="587533" cy="28687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800" i="0">
                  <a:latin typeface="Cambria Math" panose="02040503050406030204" pitchFamily="18" charset="0"/>
                </a:rPr>
                <a:t>〖</a:t>
              </a:r>
              <a:r>
                <a:rPr lang="en-GB" sz="1800" b="0" i="0">
                  <a:latin typeface="Cambria Math" panose="02040503050406030204" pitchFamily="18" charset="0"/>
                </a:rPr>
                <a:t>𝑚/𝑠〗^2</a:t>
              </a:r>
              <a:endParaRPr lang="en-GB" sz="1800"/>
            </a:p>
          </xdr:txBody>
        </xdr:sp>
      </mc:Fallback>
    </mc:AlternateContent>
    <xdr:clientData/>
  </xdr:oneCellAnchor>
  <xdr:oneCellAnchor>
    <xdr:from>
      <xdr:col>2</xdr:col>
      <xdr:colOff>273050</xdr:colOff>
      <xdr:row>32</xdr:row>
      <xdr:rowOff>38101</xdr:rowOff>
    </xdr:from>
    <xdr:ext cx="273050" cy="27940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6" name="TextBox 15">
              <a:extLst>
                <a:ext uri="{FF2B5EF4-FFF2-40B4-BE49-F238E27FC236}">
                  <a16:creationId xmlns:a16="http://schemas.microsoft.com/office/drawing/2014/main" id="{C6D06CF6-079D-BA4A-B91F-19E30BAAB3D7}"/>
                </a:ext>
              </a:extLst>
            </xdr:cNvPr>
            <xdr:cNvSpPr txBox="1"/>
          </xdr:nvSpPr>
          <xdr:spPr>
            <a:xfrm>
              <a:off x="3435350" y="3962401"/>
              <a:ext cx="273050" cy="2794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8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𝜃</m:t>
                    </m:r>
                  </m:oMath>
                </m:oMathPara>
              </a14:m>
              <a:endParaRPr lang="en-GB" sz="1800"/>
            </a:p>
          </xdr:txBody>
        </xdr:sp>
      </mc:Choice>
      <mc:Fallback xmlns="">
        <xdr:sp macro="" textlink="">
          <xdr:nvSpPr>
            <xdr:cNvPr id="16" name="TextBox 15">
              <a:extLst>
                <a:ext uri="{FF2B5EF4-FFF2-40B4-BE49-F238E27FC236}">
                  <a16:creationId xmlns:a16="http://schemas.microsoft.com/office/drawing/2014/main" id="{C6D06CF6-079D-BA4A-B91F-19E30BAAB3D7}"/>
                </a:ext>
              </a:extLst>
            </xdr:cNvPr>
            <xdr:cNvSpPr txBox="1"/>
          </xdr:nvSpPr>
          <xdr:spPr>
            <a:xfrm>
              <a:off x="3435350" y="3962401"/>
              <a:ext cx="273050" cy="2794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lang="en-GB" sz="18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𝜃</a:t>
              </a:r>
              <a:endParaRPr lang="en-GB" sz="1800"/>
            </a:p>
          </xdr:txBody>
        </xdr:sp>
      </mc:Fallback>
    </mc:AlternateContent>
    <xdr:clientData/>
  </xdr:oneCellAnchor>
  <xdr:oneCellAnchor>
    <xdr:from>
      <xdr:col>4</xdr:col>
      <xdr:colOff>279400</xdr:colOff>
      <xdr:row>32</xdr:row>
      <xdr:rowOff>25401</xdr:rowOff>
    </xdr:from>
    <xdr:ext cx="254000" cy="26670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7" name="TextBox 16">
              <a:extLst>
                <a:ext uri="{FF2B5EF4-FFF2-40B4-BE49-F238E27FC236}">
                  <a16:creationId xmlns:a16="http://schemas.microsoft.com/office/drawing/2014/main" id="{514D6AD6-BCD3-E64A-8413-A36659A773DC}"/>
                </a:ext>
              </a:extLst>
            </xdr:cNvPr>
            <xdr:cNvSpPr txBox="1"/>
          </xdr:nvSpPr>
          <xdr:spPr>
            <a:xfrm>
              <a:off x="6261100" y="3949701"/>
              <a:ext cx="254000" cy="2667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8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°</m:t>
                    </m:r>
                  </m:oMath>
                </m:oMathPara>
              </a14:m>
              <a:endParaRPr lang="en-GB" sz="1800"/>
            </a:p>
          </xdr:txBody>
        </xdr:sp>
      </mc:Choice>
      <mc:Fallback xmlns="">
        <xdr:sp macro="" textlink="">
          <xdr:nvSpPr>
            <xdr:cNvPr id="17" name="TextBox 16">
              <a:extLst>
                <a:ext uri="{FF2B5EF4-FFF2-40B4-BE49-F238E27FC236}">
                  <a16:creationId xmlns:a16="http://schemas.microsoft.com/office/drawing/2014/main" id="{514D6AD6-BCD3-E64A-8413-A36659A773DC}"/>
                </a:ext>
              </a:extLst>
            </xdr:cNvPr>
            <xdr:cNvSpPr txBox="1"/>
          </xdr:nvSpPr>
          <xdr:spPr>
            <a:xfrm>
              <a:off x="6261100" y="3949701"/>
              <a:ext cx="254000" cy="2667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lang="en-GB" sz="1800" i="0">
                  <a:latin typeface="Cambria Math" panose="02040503050406030204" pitchFamily="18" charset="0"/>
                  <a:ea typeface="Cambria Math" panose="02040503050406030204" pitchFamily="18" charset="0"/>
                </a:rPr>
                <a:t>°</a:t>
              </a:r>
              <a:endParaRPr lang="en-GB" sz="1800"/>
            </a:p>
          </xdr:txBody>
        </xdr:sp>
      </mc:Fallback>
    </mc:AlternateContent>
    <xdr:clientData/>
  </xdr:oneCellAnchor>
  <xdr:oneCellAnchor>
    <xdr:from>
      <xdr:col>2</xdr:col>
      <xdr:colOff>273050</xdr:colOff>
      <xdr:row>33</xdr:row>
      <xdr:rowOff>38101</xdr:rowOff>
    </xdr:from>
    <xdr:ext cx="273050" cy="27940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8" name="TextBox 17">
              <a:extLst>
                <a:ext uri="{FF2B5EF4-FFF2-40B4-BE49-F238E27FC236}">
                  <a16:creationId xmlns:a16="http://schemas.microsoft.com/office/drawing/2014/main" id="{EA1BB8DF-A883-024B-81AE-042C0709E556}"/>
                </a:ext>
              </a:extLst>
            </xdr:cNvPr>
            <xdr:cNvSpPr txBox="1"/>
          </xdr:nvSpPr>
          <xdr:spPr>
            <a:xfrm>
              <a:off x="3435350" y="4267201"/>
              <a:ext cx="273050" cy="2794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8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𝜃</m:t>
                    </m:r>
                  </m:oMath>
                </m:oMathPara>
              </a14:m>
              <a:endParaRPr lang="en-GB" sz="1800"/>
            </a:p>
          </xdr:txBody>
        </xdr:sp>
      </mc:Choice>
      <mc:Fallback xmlns="">
        <xdr:sp macro="" textlink="">
          <xdr:nvSpPr>
            <xdr:cNvPr id="18" name="TextBox 17">
              <a:extLst>
                <a:ext uri="{FF2B5EF4-FFF2-40B4-BE49-F238E27FC236}">
                  <a16:creationId xmlns:a16="http://schemas.microsoft.com/office/drawing/2014/main" id="{EA1BB8DF-A883-024B-81AE-042C0709E556}"/>
                </a:ext>
              </a:extLst>
            </xdr:cNvPr>
            <xdr:cNvSpPr txBox="1"/>
          </xdr:nvSpPr>
          <xdr:spPr>
            <a:xfrm>
              <a:off x="3435350" y="4267201"/>
              <a:ext cx="273050" cy="2794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lang="en-GB" sz="18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𝜃</a:t>
              </a:r>
              <a:endParaRPr lang="en-GB" sz="1800"/>
            </a:p>
          </xdr:txBody>
        </xdr:sp>
      </mc:Fallback>
    </mc:AlternateContent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241300</xdr:colOff>
      <xdr:row>4</xdr:row>
      <xdr:rowOff>0</xdr:rowOff>
    </xdr:from>
    <xdr:to>
      <xdr:col>5</xdr:col>
      <xdr:colOff>774700</xdr:colOff>
      <xdr:row>6</xdr:row>
      <xdr:rowOff>0</xdr:rowOff>
    </xdr:to>
    <xdr:sp macro="" textlink="">
      <xdr:nvSpPr>
        <xdr:cNvPr id="6" name="AutoShape 1">
          <a:extLst>
            <a:ext uri="{FF2B5EF4-FFF2-40B4-BE49-F238E27FC236}">
              <a16:creationId xmlns:a16="http://schemas.microsoft.com/office/drawing/2014/main" id="{7D2CF9B6-7552-374E-829A-34015CD254B6}"/>
            </a:ext>
          </a:extLst>
        </xdr:cNvPr>
        <xdr:cNvSpPr>
          <a:spLocks noChangeAspect="1" noChangeArrowheads="1"/>
        </xdr:cNvSpPr>
      </xdr:nvSpPr>
      <xdr:spPr bwMode="auto">
        <a:xfrm>
          <a:off x="11341100" y="4368800"/>
          <a:ext cx="1358900" cy="406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314325</xdr:colOff>
      <xdr:row>6</xdr:row>
      <xdr:rowOff>76199</xdr:rowOff>
    </xdr:from>
    <xdr:to>
      <xdr:col>3</xdr:col>
      <xdr:colOff>415925</xdr:colOff>
      <xdr:row>16</xdr:row>
      <xdr:rowOff>158906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27411039-C757-CB45-8313-C9407A8119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0700" y="1346199"/>
          <a:ext cx="1752600" cy="2146457"/>
        </a:xfrm>
        <a:prstGeom prst="rect">
          <a:avLst/>
        </a:prstGeom>
      </xdr:spPr>
    </xdr:pic>
    <xdr:clientData/>
  </xdr:twoCellAnchor>
  <xdr:twoCellAnchor editAs="oneCell">
    <xdr:from>
      <xdr:col>9</xdr:col>
      <xdr:colOff>365125</xdr:colOff>
      <xdr:row>6</xdr:row>
      <xdr:rowOff>53975</xdr:rowOff>
    </xdr:from>
    <xdr:to>
      <xdr:col>11</xdr:col>
      <xdr:colOff>441497</xdr:colOff>
      <xdr:row>16</xdr:row>
      <xdr:rowOff>117475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6D284E9C-BFC0-894A-9AA0-898A695A87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50000" y="1323975"/>
          <a:ext cx="1727372" cy="2127250"/>
        </a:xfrm>
        <a:prstGeom prst="rect">
          <a:avLst/>
        </a:prstGeom>
      </xdr:spPr>
    </xdr:pic>
    <xdr:clientData/>
  </xdr:twoCellAnchor>
  <xdr:oneCellAnchor>
    <xdr:from>
      <xdr:col>4</xdr:col>
      <xdr:colOff>685800</xdr:colOff>
      <xdr:row>3</xdr:row>
      <xdr:rowOff>44450</xdr:rowOff>
    </xdr:from>
    <xdr:ext cx="65" cy="172227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783B6239-1C66-0448-85C6-C782E265F89C}"/>
            </a:ext>
          </a:extLst>
        </xdr:cNvPr>
        <xdr:cNvSpPr txBox="1"/>
      </xdr:nvSpPr>
      <xdr:spPr>
        <a:xfrm>
          <a:off x="9309100" y="4171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4</xdr:col>
      <xdr:colOff>685800</xdr:colOff>
      <xdr:row>3</xdr:row>
      <xdr:rowOff>44450</xdr:rowOff>
    </xdr:from>
    <xdr:ext cx="65" cy="172227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CBD8EBFE-7DA7-D84B-9E89-ED8F203D1C54}"/>
            </a:ext>
          </a:extLst>
        </xdr:cNvPr>
        <xdr:cNvSpPr txBox="1"/>
      </xdr:nvSpPr>
      <xdr:spPr>
        <a:xfrm>
          <a:off x="9309100" y="4171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twoCellAnchor editAs="oneCell">
    <xdr:from>
      <xdr:col>4</xdr:col>
      <xdr:colOff>644526</xdr:colOff>
      <xdr:row>6</xdr:row>
      <xdr:rowOff>101600</xdr:rowOff>
    </xdr:from>
    <xdr:to>
      <xdr:col>8</xdr:col>
      <xdr:colOff>136526</xdr:colOff>
      <xdr:row>16</xdr:row>
      <xdr:rowOff>101600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F1E9131B-B4DB-264E-B083-D7046BCC61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01901" y="1371600"/>
          <a:ext cx="2794000" cy="2063750"/>
        </a:xfrm>
        <a:prstGeom prst="rect">
          <a:avLst/>
        </a:prstGeom>
      </xdr:spPr>
    </xdr:pic>
    <xdr:clientData/>
  </xdr:twoCellAnchor>
  <xdr:twoCellAnchor editAs="oneCell">
    <xdr:from>
      <xdr:col>12</xdr:col>
      <xdr:colOff>647700</xdr:colOff>
      <xdr:row>6</xdr:row>
      <xdr:rowOff>25401</xdr:rowOff>
    </xdr:from>
    <xdr:to>
      <xdr:col>16</xdr:col>
      <xdr:colOff>343005</xdr:colOff>
      <xdr:row>16</xdr:row>
      <xdr:rowOff>114301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17B60C1D-9F99-4F4D-A466-7D715FE5DE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902700" y="4368801"/>
          <a:ext cx="2997305" cy="2120900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0</xdr:row>
      <xdr:rowOff>127000</xdr:rowOff>
    </xdr:from>
    <xdr:to>
      <xdr:col>18</xdr:col>
      <xdr:colOff>533400</xdr:colOff>
      <xdr:row>2</xdr:row>
      <xdr:rowOff>127000</xdr:rowOff>
    </xdr:to>
    <xdr:sp macro="" textlink="">
      <xdr:nvSpPr>
        <xdr:cNvPr id="13" name="AutoShape 1">
          <a:extLst>
            <a:ext uri="{FF2B5EF4-FFF2-40B4-BE49-F238E27FC236}">
              <a16:creationId xmlns:a16="http://schemas.microsoft.com/office/drawing/2014/main" id="{5407EBE5-350E-A34B-9826-33E36B982693}"/>
            </a:ext>
          </a:extLst>
        </xdr:cNvPr>
        <xdr:cNvSpPr>
          <a:spLocks noChangeAspect="1" noChangeArrowheads="1"/>
        </xdr:cNvSpPr>
      </xdr:nvSpPr>
      <xdr:spPr bwMode="auto">
        <a:xfrm>
          <a:off x="14922500" y="127000"/>
          <a:ext cx="1358900" cy="412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206374</xdr:colOff>
      <xdr:row>22</xdr:row>
      <xdr:rowOff>0</xdr:rowOff>
    </xdr:from>
    <xdr:to>
      <xdr:col>4</xdr:col>
      <xdr:colOff>84666</xdr:colOff>
      <xdr:row>24</xdr:row>
      <xdr:rowOff>111125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376882A3-7134-A081-005A-8120810F2D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374" y="4587875"/>
          <a:ext cx="2561167" cy="63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0</xdr:colOff>
      <xdr:row>21</xdr:row>
      <xdr:rowOff>222249</xdr:rowOff>
    </xdr:from>
    <xdr:to>
      <xdr:col>12</xdr:col>
      <xdr:colOff>13524</xdr:colOff>
      <xdr:row>24</xdr:row>
      <xdr:rowOff>31749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210C352-8667-AB4A-B2BE-DE4609ED76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10375" y="4587874"/>
          <a:ext cx="2490024" cy="555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90487</xdr:colOff>
      <xdr:row>24</xdr:row>
      <xdr:rowOff>193673</xdr:rowOff>
    </xdr:from>
    <xdr:ext cx="2386013" cy="175895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6" name="TextBox 25">
              <a:extLst>
                <a:ext uri="{FF2B5EF4-FFF2-40B4-BE49-F238E27FC236}">
                  <a16:creationId xmlns:a16="http://schemas.microsoft.com/office/drawing/2014/main" id="{7CEFB88E-E3FC-2A54-79E9-562DA6AFD149}"/>
                </a:ext>
              </a:extLst>
            </xdr:cNvPr>
            <xdr:cNvSpPr txBox="1"/>
          </xdr:nvSpPr>
          <xdr:spPr>
            <a:xfrm>
              <a:off x="296862" y="5305423"/>
              <a:ext cx="2386013" cy="175895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n-GB" sz="20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2000" b="0" i="1">
                          <a:latin typeface="Cambria Math" panose="02040503050406030204" pitchFamily="18" charset="0"/>
                        </a:rPr>
                        <m:t>%</m:t>
                      </m:r>
                    </m:e>
                    <m:sub>
                      <m:r>
                        <a:rPr lang="en-GB" sz="2000" b="0" i="1">
                          <a:latin typeface="Cambria Math" panose="02040503050406030204" pitchFamily="18" charset="0"/>
                        </a:rPr>
                        <m:t>𝑓</m:t>
                      </m:r>
                    </m:sub>
                  </m:sSub>
                  <m:r>
                    <a:rPr lang="en-GB" sz="2000" b="0" i="1">
                      <a:latin typeface="Cambria Math" panose="02040503050406030204" pitchFamily="18" charset="0"/>
                    </a:rPr>
                    <m:t>= </m:t>
                  </m:r>
                  <m:f>
                    <m:fPr>
                      <m:ctrlPr>
                        <a:rPr lang="en-GB" sz="2000" b="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n-GB" sz="2000" b="0" i="1">
                          <a:latin typeface="Cambria Math" panose="02040503050406030204" pitchFamily="18" charset="0"/>
                        </a:rPr>
                        <m:t>1.45 −0.68</m:t>
                      </m:r>
                    </m:num>
                    <m:den>
                      <m:r>
                        <a:rPr lang="en-GB" sz="2000" b="0" i="1">
                          <a:latin typeface="Cambria Math" panose="02040503050406030204" pitchFamily="18" charset="0"/>
                        </a:rPr>
                        <m:t>1.45</m:t>
                      </m:r>
                    </m:den>
                  </m:f>
                </m:oMath>
              </a14:m>
              <a:r>
                <a:rPr lang="en-GB" sz="2000"/>
                <a:t> </a:t>
              </a:r>
              <a14:m>
                <m:oMath xmlns:m="http://schemas.openxmlformats.org/officeDocument/2006/math">
                  <m:r>
                    <a:rPr lang="en-GB" sz="200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×</m:t>
                  </m:r>
                  <m:r>
                    <a:rPr lang="en-GB" sz="2000" b="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 100</m:t>
                  </m:r>
                </m:oMath>
              </a14:m>
              <a:endParaRPr lang="en-GB" sz="2000" b="0">
                <a:ea typeface="Cambria Math" panose="02040503050406030204" pitchFamily="18" charset="0"/>
              </a:endParaRPr>
            </a:p>
            <a:p>
              <a:endParaRPr lang="en-GB" sz="2000"/>
            </a:p>
            <a:p>
              <a14:m>
                <m:oMath xmlns:m="http://schemas.openxmlformats.org/officeDocument/2006/math">
                  <m:sSub>
                    <m:sSubPr>
                      <m:ctrlPr>
                        <a:rPr lang="en-GB" sz="2000" b="1" i="1" u="sng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2000" b="1" i="1" u="sng">
                          <a:latin typeface="Cambria Math" panose="02040503050406030204" pitchFamily="18" charset="0"/>
                        </a:rPr>
                        <m:t>%</m:t>
                      </m:r>
                    </m:e>
                    <m:sub>
                      <m:r>
                        <a:rPr lang="en-GB" sz="2000" b="1" i="1" u="sng">
                          <a:latin typeface="Cambria Math" panose="02040503050406030204" pitchFamily="18" charset="0"/>
                        </a:rPr>
                        <m:t>𝒇</m:t>
                      </m:r>
                    </m:sub>
                  </m:sSub>
                </m:oMath>
              </a14:m>
              <a:r>
                <a:rPr lang="en-GB" sz="2000" b="1" u="sng"/>
                <a:t> =  53% (rounded)</a:t>
              </a:r>
            </a:p>
          </xdr:txBody>
        </xdr:sp>
      </mc:Choice>
      <mc:Fallback xmlns="">
        <xdr:sp macro="" textlink="">
          <xdr:nvSpPr>
            <xdr:cNvPr id="26" name="TextBox 25">
              <a:extLst>
                <a:ext uri="{FF2B5EF4-FFF2-40B4-BE49-F238E27FC236}">
                  <a16:creationId xmlns:a16="http://schemas.microsoft.com/office/drawing/2014/main" id="{7CEFB88E-E3FC-2A54-79E9-562DA6AFD149}"/>
                </a:ext>
              </a:extLst>
            </xdr:cNvPr>
            <xdr:cNvSpPr txBox="1"/>
          </xdr:nvSpPr>
          <xdr:spPr>
            <a:xfrm>
              <a:off x="296862" y="5305423"/>
              <a:ext cx="2386013" cy="175895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en-GB" sz="2000" b="0" i="0">
                  <a:latin typeface="Cambria Math" panose="02040503050406030204" pitchFamily="18" charset="0"/>
                </a:rPr>
                <a:t>%_𝑓=  (1.45 −0.68)/1.45</a:t>
              </a:r>
              <a:r>
                <a:rPr lang="en-GB" sz="2000"/>
                <a:t> </a:t>
              </a:r>
              <a:r>
                <a:rPr lang="en-GB" sz="2000" i="0">
                  <a:latin typeface="Cambria Math" panose="02040503050406030204" pitchFamily="18" charset="0"/>
                  <a:ea typeface="Cambria Math" panose="02040503050406030204" pitchFamily="18" charset="0"/>
                </a:rPr>
                <a:t>×</a:t>
              </a:r>
              <a:r>
                <a:rPr lang="en-GB" sz="20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 100</a:t>
              </a:r>
              <a:endParaRPr lang="en-GB" sz="2000" b="0">
                <a:ea typeface="Cambria Math" panose="02040503050406030204" pitchFamily="18" charset="0"/>
              </a:endParaRPr>
            </a:p>
            <a:p>
              <a:endParaRPr lang="en-GB" sz="2000"/>
            </a:p>
            <a:p>
              <a:pPr/>
              <a:r>
                <a:rPr lang="en-GB" sz="2000" b="1" i="0" u="sng">
                  <a:latin typeface="Cambria Math" panose="02040503050406030204" pitchFamily="18" charset="0"/>
                </a:rPr>
                <a:t>%_𝒇</a:t>
              </a:r>
              <a:r>
                <a:rPr lang="en-GB" sz="2000" b="1" u="sng"/>
                <a:t> =  53% (rounded)</a:t>
              </a:r>
            </a:p>
          </xdr:txBody>
        </xdr:sp>
      </mc:Fallback>
    </mc:AlternateContent>
    <xdr:clientData/>
  </xdr:oneCellAnchor>
  <xdr:oneCellAnchor>
    <xdr:from>
      <xdr:col>5</xdr:col>
      <xdr:colOff>0</xdr:colOff>
      <xdr:row>25</xdr:row>
      <xdr:rowOff>0</xdr:rowOff>
    </xdr:from>
    <xdr:ext cx="2667000" cy="175895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7" name="TextBox 26">
              <a:extLst>
                <a:ext uri="{FF2B5EF4-FFF2-40B4-BE49-F238E27FC236}">
                  <a16:creationId xmlns:a16="http://schemas.microsoft.com/office/drawing/2014/main" id="{AD02D6E9-6F85-4446-BCFA-36764570B350}"/>
                </a:ext>
              </a:extLst>
            </xdr:cNvPr>
            <xdr:cNvSpPr txBox="1"/>
          </xdr:nvSpPr>
          <xdr:spPr>
            <a:xfrm>
              <a:off x="3508375" y="5381625"/>
              <a:ext cx="2667000" cy="175895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n-GB" sz="20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2000" b="0" i="1">
                          <a:latin typeface="Cambria Math" panose="02040503050406030204" pitchFamily="18" charset="0"/>
                        </a:rPr>
                        <m:t>%</m:t>
                      </m:r>
                    </m:e>
                    <m:sub>
                      <m:r>
                        <a:rPr lang="en-GB" sz="2000" b="0" i="1">
                          <a:latin typeface="Cambria Math" panose="02040503050406030204" pitchFamily="18" charset="0"/>
                        </a:rPr>
                        <m:t>𝑟</m:t>
                      </m:r>
                    </m:sub>
                  </m:sSub>
                  <m:r>
                    <a:rPr lang="en-GB" sz="2000" b="0" i="1">
                      <a:latin typeface="Cambria Math" panose="02040503050406030204" pitchFamily="18" charset="0"/>
                    </a:rPr>
                    <m:t>= </m:t>
                  </m:r>
                  <m:f>
                    <m:fPr>
                      <m:ctrlPr>
                        <a:rPr lang="en-GB" sz="2000" b="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n-GB" sz="2000" b="0" i="1">
                          <a:latin typeface="Cambria Math" panose="02040503050406030204" pitchFamily="18" charset="0"/>
                        </a:rPr>
                        <m:t>0.68</m:t>
                      </m:r>
                    </m:num>
                    <m:den>
                      <m:r>
                        <a:rPr lang="en-GB" sz="2000" b="0" i="1">
                          <a:latin typeface="Cambria Math" panose="02040503050406030204" pitchFamily="18" charset="0"/>
                        </a:rPr>
                        <m:t>1.4</m:t>
                      </m:r>
                    </m:den>
                  </m:f>
                </m:oMath>
              </a14:m>
              <a:r>
                <a:rPr lang="en-GB" sz="2000"/>
                <a:t> </a:t>
              </a:r>
              <a14:m>
                <m:oMath xmlns:m="http://schemas.openxmlformats.org/officeDocument/2006/math">
                  <m:r>
                    <a:rPr lang="en-GB" sz="200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×</m:t>
                  </m:r>
                  <m:r>
                    <a:rPr lang="en-GB" sz="2000" b="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 100</m:t>
                  </m:r>
                </m:oMath>
              </a14:m>
              <a:endParaRPr lang="en-GB" sz="2000" b="0">
                <a:ea typeface="Cambria Math" panose="02040503050406030204" pitchFamily="18" charset="0"/>
              </a:endParaRPr>
            </a:p>
            <a:p>
              <a:endParaRPr lang="en-GB" sz="2000" b="0">
                <a:ea typeface="Cambria Math" panose="02040503050406030204" pitchFamily="18" charset="0"/>
              </a:endParaRPr>
            </a:p>
            <a:p>
              <a14:m>
                <m:oMath xmlns:m="http://schemas.openxmlformats.org/officeDocument/2006/math">
                  <m:sSub>
                    <m:sSubPr>
                      <m:ctrlPr>
                        <a:rPr lang="en-GB" sz="2000" b="1" i="1" u="sng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2000" b="1" i="1" u="sng">
                          <a:latin typeface="Cambria Math" panose="02040503050406030204" pitchFamily="18" charset="0"/>
                        </a:rPr>
                        <m:t>%</m:t>
                      </m:r>
                    </m:e>
                    <m:sub>
                      <m:r>
                        <a:rPr lang="en-GB" sz="2000" b="1" i="1" u="sng">
                          <a:latin typeface="Cambria Math" panose="02040503050406030204" pitchFamily="18" charset="0"/>
                        </a:rPr>
                        <m:t>𝒓</m:t>
                      </m:r>
                    </m:sub>
                  </m:sSub>
                  <m:r>
                    <a:rPr lang="en-GB" sz="2000" b="1" i="1" u="sng">
                      <a:latin typeface="Cambria Math" panose="02040503050406030204" pitchFamily="18" charset="0"/>
                    </a:rPr>
                    <m:t>=</m:t>
                  </m:r>
                </m:oMath>
              </a14:m>
              <a:r>
                <a:rPr lang="en-GB" sz="2000" b="1" u="sng"/>
                <a:t> 47% (rounded)</a:t>
              </a:r>
            </a:p>
            <a:p>
              <a:endParaRPr lang="en-GB" sz="2000" b="1" u="sng"/>
            </a:p>
          </xdr:txBody>
        </xdr:sp>
      </mc:Choice>
      <mc:Fallback xmlns="">
        <xdr:sp macro="" textlink="">
          <xdr:nvSpPr>
            <xdr:cNvPr id="27" name="TextBox 26">
              <a:extLst>
                <a:ext uri="{FF2B5EF4-FFF2-40B4-BE49-F238E27FC236}">
                  <a16:creationId xmlns:a16="http://schemas.microsoft.com/office/drawing/2014/main" id="{AD02D6E9-6F85-4446-BCFA-36764570B350}"/>
                </a:ext>
              </a:extLst>
            </xdr:cNvPr>
            <xdr:cNvSpPr txBox="1"/>
          </xdr:nvSpPr>
          <xdr:spPr>
            <a:xfrm>
              <a:off x="3508375" y="5381625"/>
              <a:ext cx="2667000" cy="175895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en-GB" sz="2000" b="0" i="0">
                  <a:latin typeface="Cambria Math" panose="02040503050406030204" pitchFamily="18" charset="0"/>
                </a:rPr>
                <a:t>%_𝑟=  0.68/1.4</a:t>
              </a:r>
              <a:r>
                <a:rPr lang="en-GB" sz="2000"/>
                <a:t> </a:t>
              </a:r>
              <a:r>
                <a:rPr lang="en-GB" sz="2000" i="0">
                  <a:latin typeface="Cambria Math" panose="02040503050406030204" pitchFamily="18" charset="0"/>
                  <a:ea typeface="Cambria Math" panose="02040503050406030204" pitchFamily="18" charset="0"/>
                </a:rPr>
                <a:t>×</a:t>
              </a:r>
              <a:r>
                <a:rPr lang="en-GB" sz="20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 100</a:t>
              </a:r>
              <a:endParaRPr lang="en-GB" sz="2000" b="0">
                <a:ea typeface="Cambria Math" panose="02040503050406030204" pitchFamily="18" charset="0"/>
              </a:endParaRPr>
            </a:p>
            <a:p>
              <a:endParaRPr lang="en-GB" sz="2000" b="0">
                <a:ea typeface="Cambria Math" panose="02040503050406030204" pitchFamily="18" charset="0"/>
              </a:endParaRPr>
            </a:p>
            <a:p>
              <a:pPr/>
              <a:r>
                <a:rPr lang="en-GB" sz="2000" b="1" i="0" u="sng">
                  <a:latin typeface="Cambria Math" panose="02040503050406030204" pitchFamily="18" charset="0"/>
                </a:rPr>
                <a:t>%_𝒓=</a:t>
              </a:r>
              <a:r>
                <a:rPr lang="en-GB" sz="2000" b="1" u="sng"/>
                <a:t> 47% (rounded)</a:t>
              </a:r>
            </a:p>
            <a:p>
              <a:pPr/>
              <a:endParaRPr lang="en-GB" sz="2000" b="1" u="sng"/>
            </a:p>
          </xdr:txBody>
        </xdr:sp>
      </mc:Fallback>
    </mc:AlternateContent>
    <xdr:clientData/>
  </xdr:oneCellAnchor>
  <xdr:twoCellAnchor>
    <xdr:from>
      <xdr:col>5</xdr:col>
      <xdr:colOff>63500</xdr:colOff>
      <xdr:row>22</xdr:row>
      <xdr:rowOff>0</xdr:rowOff>
    </xdr:from>
    <xdr:to>
      <xdr:col>7</xdr:col>
      <xdr:colOff>616358</xdr:colOff>
      <xdr:row>24</xdr:row>
      <xdr:rowOff>95250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9324A4AF-E791-CBE1-4738-5DD2E03440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1875" y="4587875"/>
          <a:ext cx="2203858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95250</xdr:colOff>
      <xdr:row>21</xdr:row>
      <xdr:rowOff>142875</xdr:rowOff>
    </xdr:from>
    <xdr:to>
      <xdr:col>15</xdr:col>
      <xdr:colOff>648108</xdr:colOff>
      <xdr:row>24</xdr:row>
      <xdr:rowOff>15875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4131EBE4-61DF-2441-8AC8-13C76FC646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07625" y="4508500"/>
          <a:ext cx="2203858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0</xdr:colOff>
      <xdr:row>25</xdr:row>
      <xdr:rowOff>0</xdr:rowOff>
    </xdr:from>
    <xdr:ext cx="2386013" cy="175895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0" name="TextBox 29">
              <a:extLst>
                <a:ext uri="{FF2B5EF4-FFF2-40B4-BE49-F238E27FC236}">
                  <a16:creationId xmlns:a16="http://schemas.microsoft.com/office/drawing/2014/main" id="{C6D3C5BC-8B97-5A49-AF2D-19508D84C5C3}"/>
                </a:ext>
              </a:extLst>
            </xdr:cNvPr>
            <xdr:cNvSpPr txBox="1"/>
          </xdr:nvSpPr>
          <xdr:spPr>
            <a:xfrm>
              <a:off x="6810375" y="5381625"/>
              <a:ext cx="2386013" cy="175895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n-GB" sz="20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2000" b="0" i="1">
                          <a:latin typeface="Cambria Math" panose="02040503050406030204" pitchFamily="18" charset="0"/>
                        </a:rPr>
                        <m:t>%</m:t>
                      </m:r>
                    </m:e>
                    <m:sub>
                      <m:r>
                        <a:rPr lang="en-GB" sz="2000" b="0" i="1">
                          <a:latin typeface="Cambria Math" panose="02040503050406030204" pitchFamily="18" charset="0"/>
                        </a:rPr>
                        <m:t>𝑓</m:t>
                      </m:r>
                    </m:sub>
                  </m:sSub>
                  <m:r>
                    <a:rPr lang="en-GB" sz="2000" b="0" i="1">
                      <a:latin typeface="Cambria Math" panose="02040503050406030204" pitchFamily="18" charset="0"/>
                    </a:rPr>
                    <m:t>= </m:t>
                  </m:r>
                  <m:f>
                    <m:fPr>
                      <m:ctrlPr>
                        <a:rPr lang="en-GB" sz="2000" b="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n-GB" sz="2000" b="0" i="1">
                          <a:latin typeface="Cambria Math" panose="02040503050406030204" pitchFamily="18" charset="0"/>
                        </a:rPr>
                        <m:t>1.45 −0.73</m:t>
                      </m:r>
                    </m:num>
                    <m:den>
                      <m:r>
                        <a:rPr lang="en-GB" sz="2000" b="0" i="1">
                          <a:latin typeface="Cambria Math" panose="02040503050406030204" pitchFamily="18" charset="0"/>
                        </a:rPr>
                        <m:t>1.45</m:t>
                      </m:r>
                    </m:den>
                  </m:f>
                </m:oMath>
              </a14:m>
              <a:r>
                <a:rPr lang="en-GB" sz="2000"/>
                <a:t> </a:t>
              </a:r>
              <a14:m>
                <m:oMath xmlns:m="http://schemas.openxmlformats.org/officeDocument/2006/math">
                  <m:r>
                    <a:rPr lang="en-GB" sz="200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×</m:t>
                  </m:r>
                  <m:r>
                    <a:rPr lang="en-GB" sz="2000" b="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 100</m:t>
                  </m:r>
                </m:oMath>
              </a14:m>
              <a:endParaRPr lang="en-GB" sz="2000" b="0">
                <a:ea typeface="Cambria Math" panose="02040503050406030204" pitchFamily="18" charset="0"/>
              </a:endParaRPr>
            </a:p>
            <a:p>
              <a:endParaRPr lang="en-GB" sz="2000"/>
            </a:p>
            <a:p>
              <a14:m>
                <m:oMath xmlns:m="http://schemas.openxmlformats.org/officeDocument/2006/math">
                  <m:sSub>
                    <m:sSubPr>
                      <m:ctrlPr>
                        <a:rPr lang="en-GB" sz="2000" b="1" i="1" u="sng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2000" b="1" i="1" u="sng">
                          <a:latin typeface="Cambria Math" panose="02040503050406030204" pitchFamily="18" charset="0"/>
                        </a:rPr>
                        <m:t>%</m:t>
                      </m:r>
                    </m:e>
                    <m:sub>
                      <m:r>
                        <a:rPr lang="en-GB" sz="2000" b="1" i="1" u="sng">
                          <a:latin typeface="Cambria Math" panose="02040503050406030204" pitchFamily="18" charset="0"/>
                        </a:rPr>
                        <m:t>𝒇</m:t>
                      </m:r>
                    </m:sub>
                  </m:sSub>
                </m:oMath>
              </a14:m>
              <a:r>
                <a:rPr lang="en-GB" sz="2000" b="1" u="sng"/>
                <a:t> =  50% (rounded)</a:t>
              </a:r>
            </a:p>
          </xdr:txBody>
        </xdr:sp>
      </mc:Choice>
      <mc:Fallback xmlns="">
        <xdr:sp macro="" textlink="">
          <xdr:nvSpPr>
            <xdr:cNvPr id="30" name="TextBox 29">
              <a:extLst>
                <a:ext uri="{FF2B5EF4-FFF2-40B4-BE49-F238E27FC236}">
                  <a16:creationId xmlns:a16="http://schemas.microsoft.com/office/drawing/2014/main" id="{C6D3C5BC-8B97-5A49-AF2D-19508D84C5C3}"/>
                </a:ext>
              </a:extLst>
            </xdr:cNvPr>
            <xdr:cNvSpPr txBox="1"/>
          </xdr:nvSpPr>
          <xdr:spPr>
            <a:xfrm>
              <a:off x="6810375" y="5381625"/>
              <a:ext cx="2386013" cy="175895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en-GB" sz="2000" b="0" i="0">
                  <a:latin typeface="Cambria Math" panose="02040503050406030204" pitchFamily="18" charset="0"/>
                </a:rPr>
                <a:t>%_𝑓=  (1.45 −0.73)/1.45</a:t>
              </a:r>
              <a:r>
                <a:rPr lang="en-GB" sz="2000"/>
                <a:t> </a:t>
              </a:r>
              <a:r>
                <a:rPr lang="en-GB" sz="2000" i="0">
                  <a:latin typeface="Cambria Math" panose="02040503050406030204" pitchFamily="18" charset="0"/>
                  <a:ea typeface="Cambria Math" panose="02040503050406030204" pitchFamily="18" charset="0"/>
                </a:rPr>
                <a:t>×</a:t>
              </a:r>
              <a:r>
                <a:rPr lang="en-GB" sz="20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 100</a:t>
              </a:r>
              <a:endParaRPr lang="en-GB" sz="2000" b="0">
                <a:ea typeface="Cambria Math" panose="02040503050406030204" pitchFamily="18" charset="0"/>
              </a:endParaRPr>
            </a:p>
            <a:p>
              <a:endParaRPr lang="en-GB" sz="2000"/>
            </a:p>
            <a:p>
              <a:pPr/>
              <a:r>
                <a:rPr lang="en-GB" sz="2000" b="1" i="0" u="sng">
                  <a:latin typeface="Cambria Math" panose="02040503050406030204" pitchFamily="18" charset="0"/>
                </a:rPr>
                <a:t>%_𝒇</a:t>
              </a:r>
              <a:r>
                <a:rPr lang="en-GB" sz="2000" b="1" u="sng"/>
                <a:t> =  50% (rounded)</a:t>
              </a:r>
            </a:p>
          </xdr:txBody>
        </xdr:sp>
      </mc:Fallback>
    </mc:AlternateContent>
    <xdr:clientData/>
  </xdr:oneCellAnchor>
  <xdr:oneCellAnchor>
    <xdr:from>
      <xdr:col>13</xdr:col>
      <xdr:colOff>0</xdr:colOff>
      <xdr:row>25</xdr:row>
      <xdr:rowOff>0</xdr:rowOff>
    </xdr:from>
    <xdr:ext cx="2667000" cy="175895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1" name="TextBox 30">
              <a:extLst>
                <a:ext uri="{FF2B5EF4-FFF2-40B4-BE49-F238E27FC236}">
                  <a16:creationId xmlns:a16="http://schemas.microsoft.com/office/drawing/2014/main" id="{870D0128-FA45-2046-B4B8-0ECD858C6534}"/>
                </a:ext>
              </a:extLst>
            </xdr:cNvPr>
            <xdr:cNvSpPr txBox="1"/>
          </xdr:nvSpPr>
          <xdr:spPr>
            <a:xfrm>
              <a:off x="10112375" y="5381625"/>
              <a:ext cx="2667000" cy="175895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n-GB" sz="20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2000" b="0" i="1">
                          <a:latin typeface="Cambria Math" panose="02040503050406030204" pitchFamily="18" charset="0"/>
                        </a:rPr>
                        <m:t>%</m:t>
                      </m:r>
                    </m:e>
                    <m:sub>
                      <m:r>
                        <a:rPr lang="en-GB" sz="2000" b="0" i="1">
                          <a:latin typeface="Cambria Math" panose="02040503050406030204" pitchFamily="18" charset="0"/>
                        </a:rPr>
                        <m:t>𝑟</m:t>
                      </m:r>
                    </m:sub>
                  </m:sSub>
                  <m:r>
                    <a:rPr lang="en-GB" sz="2000" b="0" i="1">
                      <a:latin typeface="Cambria Math" panose="02040503050406030204" pitchFamily="18" charset="0"/>
                    </a:rPr>
                    <m:t>= </m:t>
                  </m:r>
                  <m:f>
                    <m:fPr>
                      <m:ctrlPr>
                        <a:rPr lang="en-GB" sz="2000" b="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n-GB" sz="2000" b="0" i="1">
                          <a:latin typeface="Cambria Math" panose="02040503050406030204" pitchFamily="18" charset="0"/>
                        </a:rPr>
                        <m:t>0.73</m:t>
                      </m:r>
                    </m:num>
                    <m:den>
                      <m:r>
                        <a:rPr lang="en-GB" sz="2000" b="0" i="1">
                          <a:latin typeface="Cambria Math" panose="02040503050406030204" pitchFamily="18" charset="0"/>
                        </a:rPr>
                        <m:t>1.4</m:t>
                      </m:r>
                    </m:den>
                  </m:f>
                </m:oMath>
              </a14:m>
              <a:r>
                <a:rPr lang="en-GB" sz="2000"/>
                <a:t> </a:t>
              </a:r>
              <a14:m>
                <m:oMath xmlns:m="http://schemas.openxmlformats.org/officeDocument/2006/math">
                  <m:r>
                    <a:rPr lang="en-GB" sz="200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×</m:t>
                  </m:r>
                  <m:r>
                    <a:rPr lang="en-GB" sz="2000" b="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 100</m:t>
                  </m:r>
                </m:oMath>
              </a14:m>
              <a:endParaRPr lang="en-GB" sz="2000" b="0">
                <a:ea typeface="Cambria Math" panose="02040503050406030204" pitchFamily="18" charset="0"/>
              </a:endParaRPr>
            </a:p>
            <a:p>
              <a:endParaRPr lang="en-GB" sz="2000" b="0">
                <a:ea typeface="Cambria Math" panose="02040503050406030204" pitchFamily="18" charset="0"/>
              </a:endParaRPr>
            </a:p>
            <a:p>
              <a14:m>
                <m:oMath xmlns:m="http://schemas.openxmlformats.org/officeDocument/2006/math">
                  <m:sSub>
                    <m:sSubPr>
                      <m:ctrlPr>
                        <a:rPr lang="en-GB" sz="2000" b="1" i="1" u="sng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2000" b="1" i="1" u="sng">
                          <a:latin typeface="Cambria Math" panose="02040503050406030204" pitchFamily="18" charset="0"/>
                        </a:rPr>
                        <m:t>%</m:t>
                      </m:r>
                    </m:e>
                    <m:sub>
                      <m:r>
                        <a:rPr lang="en-GB" sz="2000" b="1" i="1" u="sng">
                          <a:latin typeface="Cambria Math" panose="02040503050406030204" pitchFamily="18" charset="0"/>
                        </a:rPr>
                        <m:t>𝒓</m:t>
                      </m:r>
                    </m:sub>
                  </m:sSub>
                  <m:r>
                    <a:rPr lang="en-GB" sz="2000" b="1" i="1" u="sng">
                      <a:latin typeface="Cambria Math" panose="02040503050406030204" pitchFamily="18" charset="0"/>
                    </a:rPr>
                    <m:t>=</m:t>
                  </m:r>
                </m:oMath>
              </a14:m>
              <a:r>
                <a:rPr lang="en-GB" sz="2000" b="1" u="sng"/>
                <a:t> 50% (rounded)</a:t>
              </a:r>
            </a:p>
            <a:p>
              <a:endParaRPr lang="en-GB" sz="2000" b="1" u="sng"/>
            </a:p>
          </xdr:txBody>
        </xdr:sp>
      </mc:Choice>
      <mc:Fallback xmlns="">
        <xdr:sp macro="" textlink="">
          <xdr:nvSpPr>
            <xdr:cNvPr id="31" name="TextBox 30">
              <a:extLst>
                <a:ext uri="{FF2B5EF4-FFF2-40B4-BE49-F238E27FC236}">
                  <a16:creationId xmlns:a16="http://schemas.microsoft.com/office/drawing/2014/main" id="{870D0128-FA45-2046-B4B8-0ECD858C6534}"/>
                </a:ext>
              </a:extLst>
            </xdr:cNvPr>
            <xdr:cNvSpPr txBox="1"/>
          </xdr:nvSpPr>
          <xdr:spPr>
            <a:xfrm>
              <a:off x="10112375" y="5381625"/>
              <a:ext cx="2667000" cy="175895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en-GB" sz="2000" b="0" i="0">
                  <a:latin typeface="Cambria Math" panose="02040503050406030204" pitchFamily="18" charset="0"/>
                </a:rPr>
                <a:t>%_𝑟=  0.73/1.4</a:t>
              </a:r>
              <a:r>
                <a:rPr lang="en-GB" sz="2000"/>
                <a:t> </a:t>
              </a:r>
              <a:r>
                <a:rPr lang="en-GB" sz="2000" i="0">
                  <a:latin typeface="Cambria Math" panose="02040503050406030204" pitchFamily="18" charset="0"/>
                  <a:ea typeface="Cambria Math" panose="02040503050406030204" pitchFamily="18" charset="0"/>
                </a:rPr>
                <a:t>×</a:t>
              </a:r>
              <a:r>
                <a:rPr lang="en-GB" sz="20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 100</a:t>
              </a:r>
              <a:endParaRPr lang="en-GB" sz="2000" b="0">
                <a:ea typeface="Cambria Math" panose="02040503050406030204" pitchFamily="18" charset="0"/>
              </a:endParaRPr>
            </a:p>
            <a:p>
              <a:endParaRPr lang="en-GB" sz="2000" b="0">
                <a:ea typeface="Cambria Math" panose="02040503050406030204" pitchFamily="18" charset="0"/>
              </a:endParaRPr>
            </a:p>
            <a:p>
              <a:pPr/>
              <a:r>
                <a:rPr lang="en-GB" sz="2000" b="1" i="0" u="sng">
                  <a:latin typeface="Cambria Math" panose="02040503050406030204" pitchFamily="18" charset="0"/>
                </a:rPr>
                <a:t>%_𝒓=</a:t>
              </a:r>
              <a:r>
                <a:rPr lang="en-GB" sz="2000" b="1" u="sng"/>
                <a:t> 50% (rounded)</a:t>
              </a:r>
            </a:p>
            <a:p>
              <a:pPr/>
              <a:endParaRPr lang="en-GB" sz="2000" b="1" u="sng"/>
            </a:p>
          </xdr:txBody>
        </xdr:sp>
      </mc:Fallback>
    </mc:AlternateContent>
    <xdr:clientData/>
  </xdr:oneCellAnchor>
  <xdr:oneCellAnchor>
    <xdr:from>
      <xdr:col>17</xdr:col>
      <xdr:colOff>0</xdr:colOff>
      <xdr:row>4</xdr:row>
      <xdr:rowOff>0</xdr:rowOff>
    </xdr:from>
    <xdr:ext cx="1358900" cy="412750"/>
    <xdr:sp macro="" textlink="">
      <xdr:nvSpPr>
        <xdr:cNvPr id="32" name="AutoShape 1">
          <a:extLst>
            <a:ext uri="{FF2B5EF4-FFF2-40B4-BE49-F238E27FC236}">
              <a16:creationId xmlns:a16="http://schemas.microsoft.com/office/drawing/2014/main" id="{62E14F4A-D89B-A94E-8BD7-196F71C25733}"/>
            </a:ext>
          </a:extLst>
        </xdr:cNvPr>
        <xdr:cNvSpPr>
          <a:spLocks noChangeAspect="1" noChangeArrowheads="1"/>
        </xdr:cNvSpPr>
      </xdr:nvSpPr>
      <xdr:spPr bwMode="auto">
        <a:xfrm>
          <a:off x="2924175" y="857250"/>
          <a:ext cx="1358900" cy="412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0</xdr:colOff>
      <xdr:row>3</xdr:row>
      <xdr:rowOff>44450</xdr:rowOff>
    </xdr:from>
    <xdr:ext cx="65" cy="172227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A4E9A3AF-3FD4-B54D-9D11-4EBFF5F381FA}"/>
            </a:ext>
          </a:extLst>
        </xdr:cNvPr>
        <xdr:cNvSpPr txBox="1"/>
      </xdr:nvSpPr>
      <xdr:spPr>
        <a:xfrm>
          <a:off x="3368675" y="69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0</xdr:colOff>
      <xdr:row>3</xdr:row>
      <xdr:rowOff>44450</xdr:rowOff>
    </xdr:from>
    <xdr:ext cx="65" cy="172227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EB6D7234-C16F-7943-9CA6-F7BA85002E49}"/>
            </a:ext>
          </a:extLst>
        </xdr:cNvPr>
        <xdr:cNvSpPr txBox="1"/>
      </xdr:nvSpPr>
      <xdr:spPr>
        <a:xfrm>
          <a:off x="3368675" y="69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203200</xdr:colOff>
      <xdr:row>0</xdr:row>
      <xdr:rowOff>152400</xdr:rowOff>
    </xdr:from>
    <xdr:to>
      <xdr:col>15</xdr:col>
      <xdr:colOff>587016</xdr:colOff>
      <xdr:row>42</xdr:row>
      <xdr:rowOff>25400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DF734D3-BB1F-6F3E-A8B6-B6450316BA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3200" y="152400"/>
          <a:ext cx="12766316" cy="8407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E24BD-D1B0-F849-AC8E-60B12570363B}">
  <dimension ref="B2:Q47"/>
  <sheetViews>
    <sheetView showGridLines="0" tabSelected="1" zoomScale="120" zoomScaleNormal="120" workbookViewId="0">
      <selection activeCell="B20" sqref="B20:Q23"/>
    </sheetView>
  </sheetViews>
  <sheetFormatPr baseColWidth="10" defaultRowHeight="16" x14ac:dyDescent="0.2"/>
  <cols>
    <col min="1" max="1" width="3" customWidth="1"/>
    <col min="9" max="9" width="2.5" customWidth="1"/>
    <col min="15" max="15" width="3" customWidth="1"/>
  </cols>
  <sheetData>
    <row r="2" spans="2:17" x14ac:dyDescent="0.2">
      <c r="B2" s="207" t="s">
        <v>152</v>
      </c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</row>
    <row r="3" spans="2:17" x14ac:dyDescent="0.2">
      <c r="B3" s="209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210"/>
      <c r="Q3" s="210"/>
    </row>
    <row r="4" spans="2:17" x14ac:dyDescent="0.2">
      <c r="B4" s="209"/>
      <c r="C4" s="210"/>
      <c r="D4" s="210"/>
      <c r="E4" s="210"/>
      <c r="F4" s="210"/>
      <c r="G4" s="210"/>
      <c r="H4" s="210"/>
      <c r="I4" s="210"/>
      <c r="J4" s="210"/>
      <c r="K4" s="210"/>
      <c r="L4" s="210"/>
      <c r="M4" s="210"/>
      <c r="N4" s="210"/>
      <c r="O4" s="210"/>
      <c r="P4" s="210"/>
      <c r="Q4" s="210"/>
    </row>
    <row r="5" spans="2:17" x14ac:dyDescent="0.2">
      <c r="B5" s="211" t="s">
        <v>13</v>
      </c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</row>
    <row r="6" spans="2:17" ht="21" customHeight="1" x14ac:dyDescent="0.2">
      <c r="B6" s="213"/>
      <c r="C6" s="214"/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</row>
    <row r="8" spans="2:17" ht="17" customHeight="1" thickBot="1" x14ac:dyDescent="0.25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2:17" ht="16" customHeight="1" x14ac:dyDescent="0.2">
      <c r="B9" s="122" t="s">
        <v>60</v>
      </c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201"/>
    </row>
    <row r="10" spans="2:17" ht="16" customHeight="1" x14ac:dyDescent="0.2">
      <c r="B10" s="197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8"/>
      <c r="O10" s="198"/>
      <c r="P10" s="198"/>
      <c r="Q10" s="202"/>
    </row>
    <row r="11" spans="2:17" ht="16" customHeight="1" x14ac:dyDescent="0.2">
      <c r="B11" s="197"/>
      <c r="C11" s="198"/>
      <c r="D11" s="198"/>
      <c r="E11" s="198"/>
      <c r="F11" s="198"/>
      <c r="G11" s="198"/>
      <c r="H11" s="198"/>
      <c r="I11" s="198"/>
      <c r="J11" s="198"/>
      <c r="K11" s="198"/>
      <c r="L11" s="198"/>
      <c r="M11" s="198"/>
      <c r="N11" s="198"/>
      <c r="O11" s="198"/>
      <c r="P11" s="198"/>
      <c r="Q11" s="202"/>
    </row>
    <row r="12" spans="2:17" ht="17" customHeight="1" thickBot="1" x14ac:dyDescent="0.25">
      <c r="B12" s="199"/>
      <c r="C12" s="200"/>
      <c r="D12" s="200"/>
      <c r="E12" s="200"/>
      <c r="F12" s="200"/>
      <c r="G12" s="200"/>
      <c r="H12" s="200"/>
      <c r="I12" s="200"/>
      <c r="J12" s="200"/>
      <c r="K12" s="200"/>
      <c r="L12" s="200"/>
      <c r="M12" s="200"/>
      <c r="N12" s="200"/>
      <c r="O12" s="200"/>
      <c r="P12" s="200"/>
      <c r="Q12" s="203"/>
    </row>
    <row r="13" spans="2:17" ht="16" customHeight="1" thickBot="1" x14ac:dyDescent="0.25"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</row>
    <row r="14" spans="2:17" ht="17" customHeight="1" x14ac:dyDescent="0.2">
      <c r="B14" s="122" t="s">
        <v>149</v>
      </c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201"/>
    </row>
    <row r="15" spans="2:17" ht="16" customHeight="1" x14ac:dyDescent="0.2">
      <c r="B15" s="197"/>
      <c r="C15" s="198"/>
      <c r="D15" s="198"/>
      <c r="E15" s="198"/>
      <c r="F15" s="198"/>
      <c r="G15" s="198"/>
      <c r="H15" s="198"/>
      <c r="I15" s="198"/>
      <c r="J15" s="198"/>
      <c r="K15" s="198"/>
      <c r="L15" s="198"/>
      <c r="M15" s="198"/>
      <c r="N15" s="198"/>
      <c r="O15" s="198"/>
      <c r="P15" s="198"/>
      <c r="Q15" s="202"/>
    </row>
    <row r="16" spans="2:17" ht="17" customHeight="1" x14ac:dyDescent="0.2">
      <c r="B16" s="197"/>
      <c r="C16" s="198"/>
      <c r="D16" s="198"/>
      <c r="E16" s="198"/>
      <c r="F16" s="198"/>
      <c r="G16" s="198"/>
      <c r="H16" s="198"/>
      <c r="I16" s="198"/>
      <c r="J16" s="198"/>
      <c r="K16" s="198"/>
      <c r="L16" s="198"/>
      <c r="M16" s="198"/>
      <c r="N16" s="198"/>
      <c r="O16" s="198"/>
      <c r="P16" s="198"/>
      <c r="Q16" s="202"/>
    </row>
    <row r="17" spans="2:17" s="11" customFormat="1" ht="17" customHeight="1" thickBot="1" x14ac:dyDescent="0.25">
      <c r="B17" s="199"/>
      <c r="C17" s="200"/>
      <c r="D17" s="200"/>
      <c r="E17" s="200"/>
      <c r="F17" s="200"/>
      <c r="G17" s="200"/>
      <c r="H17" s="200"/>
      <c r="I17" s="200"/>
      <c r="J17" s="200"/>
      <c r="K17" s="200"/>
      <c r="L17" s="200"/>
      <c r="M17" s="200"/>
      <c r="N17" s="200"/>
      <c r="O17" s="200"/>
      <c r="P17" s="200"/>
      <c r="Q17" s="203"/>
    </row>
    <row r="18" spans="2:17" ht="16" customHeight="1" x14ac:dyDescent="0.2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2:17" ht="17" customHeight="1" thickBot="1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2:17" ht="16" customHeight="1" x14ac:dyDescent="0.2">
      <c r="B20" s="123" t="s">
        <v>59</v>
      </c>
      <c r="C20" s="124"/>
      <c r="D20" s="124"/>
      <c r="E20" s="124"/>
      <c r="F20" s="124"/>
      <c r="G20" s="124"/>
      <c r="H20" s="124"/>
      <c r="I20" s="124"/>
      <c r="J20" s="124"/>
      <c r="K20" s="124"/>
      <c r="L20" s="124"/>
      <c r="M20" s="124"/>
      <c r="N20" s="124"/>
      <c r="O20" s="124"/>
      <c r="P20" s="124"/>
      <c r="Q20" s="125"/>
    </row>
    <row r="21" spans="2:17" ht="17" customHeight="1" x14ac:dyDescent="0.2">
      <c r="B21" s="126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8"/>
    </row>
    <row r="22" spans="2:17" x14ac:dyDescent="0.2">
      <c r="B22" s="126"/>
      <c r="C22" s="127"/>
      <c r="D22" s="127"/>
      <c r="E22" s="127"/>
      <c r="F22" s="127"/>
      <c r="G22" s="127"/>
      <c r="H22" s="127"/>
      <c r="I22" s="127"/>
      <c r="J22" s="127"/>
      <c r="K22" s="127"/>
      <c r="L22" s="127"/>
      <c r="M22" s="127"/>
      <c r="N22" s="127"/>
      <c r="O22" s="127"/>
      <c r="P22" s="127"/>
      <c r="Q22" s="128"/>
    </row>
    <row r="23" spans="2:17" ht="16" customHeight="1" thickBot="1" x14ac:dyDescent="0.25">
      <c r="B23" s="129"/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1"/>
    </row>
    <row r="24" spans="2:17" ht="17" customHeight="1" thickBot="1" x14ac:dyDescent="0.25"/>
    <row r="25" spans="2:17" ht="17" customHeight="1" x14ac:dyDescent="0.2">
      <c r="B25" s="123" t="s">
        <v>149</v>
      </c>
      <c r="C25" s="124"/>
      <c r="D25" s="124"/>
      <c r="E25" s="124"/>
      <c r="F25" s="124"/>
      <c r="G25" s="124"/>
      <c r="H25" s="124"/>
      <c r="I25" s="124"/>
      <c r="J25" s="124"/>
      <c r="K25" s="124"/>
      <c r="L25" s="124"/>
      <c r="M25" s="124"/>
      <c r="N25" s="124"/>
      <c r="O25" s="124"/>
      <c r="P25" s="124"/>
      <c r="Q25" s="125"/>
    </row>
    <row r="26" spans="2:17" ht="17" customHeight="1" x14ac:dyDescent="0.2">
      <c r="B26" s="126"/>
      <c r="C26" s="127"/>
      <c r="D26" s="127"/>
      <c r="E26" s="127"/>
      <c r="F26" s="127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8"/>
    </row>
    <row r="27" spans="2:17" x14ac:dyDescent="0.2">
      <c r="B27" s="126"/>
      <c r="C27" s="127"/>
      <c r="D27" s="127"/>
      <c r="E27" s="127"/>
      <c r="F27" s="127"/>
      <c r="G27" s="127"/>
      <c r="H27" s="127"/>
      <c r="I27" s="127"/>
      <c r="J27" s="127"/>
      <c r="K27" s="127"/>
      <c r="L27" s="127"/>
      <c r="M27" s="127"/>
      <c r="N27" s="127"/>
      <c r="O27" s="127"/>
      <c r="P27" s="127"/>
      <c r="Q27" s="128"/>
    </row>
    <row r="28" spans="2:17" ht="16" customHeight="1" thickBot="1" x14ac:dyDescent="0.25">
      <c r="B28" s="129"/>
      <c r="C28" s="130"/>
      <c r="D28" s="130"/>
      <c r="E28" s="130"/>
      <c r="F28" s="130"/>
      <c r="G28" s="130"/>
      <c r="H28" s="130"/>
      <c r="I28" s="130"/>
      <c r="J28" s="130"/>
      <c r="K28" s="130"/>
      <c r="L28" s="130"/>
      <c r="M28" s="130"/>
      <c r="N28" s="130"/>
      <c r="O28" s="130"/>
      <c r="P28" s="130"/>
      <c r="Q28" s="131"/>
    </row>
    <row r="29" spans="2:17" ht="17" customHeight="1" x14ac:dyDescent="0.2"/>
    <row r="30" spans="2:17" ht="17" customHeight="1" thickBot="1" x14ac:dyDescent="0.25"/>
    <row r="31" spans="2:17" ht="17" customHeight="1" x14ac:dyDescent="0.2">
      <c r="B31" s="215" t="s">
        <v>150</v>
      </c>
      <c r="C31" s="216"/>
      <c r="D31" s="216"/>
      <c r="E31" s="217"/>
      <c r="G31" s="215" t="s">
        <v>151</v>
      </c>
      <c r="H31" s="216"/>
      <c r="I31" s="216"/>
      <c r="J31" s="216"/>
      <c r="K31" s="217"/>
      <c r="M31" s="215" t="s">
        <v>16</v>
      </c>
      <c r="N31" s="216"/>
      <c r="O31" s="216"/>
      <c r="P31" s="216"/>
      <c r="Q31" s="217"/>
    </row>
    <row r="32" spans="2:17" ht="17" customHeight="1" x14ac:dyDescent="0.2">
      <c r="B32" s="218"/>
      <c r="C32" s="219"/>
      <c r="D32" s="219"/>
      <c r="E32" s="220"/>
      <c r="G32" s="218"/>
      <c r="H32" s="219"/>
      <c r="I32" s="219"/>
      <c r="J32" s="219"/>
      <c r="K32" s="220"/>
      <c r="M32" s="218"/>
      <c r="N32" s="219"/>
      <c r="O32" s="219"/>
      <c r="P32" s="219"/>
      <c r="Q32" s="220"/>
    </row>
    <row r="33" spans="2:17" ht="16" customHeight="1" x14ac:dyDescent="0.2">
      <c r="B33" s="218"/>
      <c r="C33" s="219"/>
      <c r="D33" s="219"/>
      <c r="E33" s="220"/>
      <c r="G33" s="218"/>
      <c r="H33" s="219"/>
      <c r="I33" s="219"/>
      <c r="J33" s="219"/>
      <c r="K33" s="220"/>
      <c r="M33" s="218"/>
      <c r="N33" s="219"/>
      <c r="O33" s="219"/>
      <c r="P33" s="219"/>
      <c r="Q33" s="220"/>
    </row>
    <row r="34" spans="2:17" ht="17" customHeight="1" thickBot="1" x14ac:dyDescent="0.25">
      <c r="B34" s="221"/>
      <c r="C34" s="222"/>
      <c r="D34" s="222"/>
      <c r="E34" s="223"/>
      <c r="G34" s="221"/>
      <c r="H34" s="222"/>
      <c r="I34" s="222"/>
      <c r="J34" s="222"/>
      <c r="K34" s="223"/>
      <c r="M34" s="221"/>
      <c r="N34" s="222"/>
      <c r="O34" s="222"/>
      <c r="P34" s="222"/>
      <c r="Q34" s="223"/>
    </row>
    <row r="35" spans="2:17" ht="17" customHeight="1" x14ac:dyDescent="0.2"/>
    <row r="36" spans="2:17" ht="17" customHeight="1" x14ac:dyDescent="0.2"/>
    <row r="43" spans="2:17" ht="16" customHeight="1" x14ac:dyDescent="0.2"/>
    <row r="44" spans="2:17" ht="16" customHeight="1" x14ac:dyDescent="0.25">
      <c r="N44" s="204"/>
    </row>
    <row r="45" spans="2:17" ht="16" customHeight="1" x14ac:dyDescent="0.2"/>
    <row r="46" spans="2:17" ht="16" customHeight="1" x14ac:dyDescent="0.2"/>
    <row r="47" spans="2:17" ht="16" customHeight="1" x14ac:dyDescent="0.2"/>
  </sheetData>
  <mergeCells count="9">
    <mergeCell ref="B31:E34"/>
    <mergeCell ref="G31:K34"/>
    <mergeCell ref="M31:Q34"/>
    <mergeCell ref="B2:Q4"/>
    <mergeCell ref="B5:Q6"/>
    <mergeCell ref="B9:Q12"/>
    <mergeCell ref="B20:Q23"/>
    <mergeCell ref="B25:Q28"/>
    <mergeCell ref="B14:Q17"/>
  </mergeCells>
  <hyperlinks>
    <hyperlink ref="B20:Q23" location="'KTM 350 EXC-f'!A1" display="KTM 350 EXC-f 2022" xr:uid="{B9DF8E5F-5933-744C-8D19-808ED3956B15}"/>
    <hyperlink ref="B25:Q28" location="'KTM 350 EXC-f data'!A1" display="Raw Data" xr:uid="{99340A6F-CA7F-584C-BF11-44E719598A17}"/>
    <hyperlink ref="B14:Q17" location="'Ducati Panigale data'!A1" display="Raw Data" xr:uid="{7494D1A5-8A78-DC41-AFC0-364E0231A988}"/>
    <hyperlink ref="B9:Q12" location="'Ducati Panigale'!A1" display="Ducati Panigale" xr:uid="{FD8454F9-1B97-4D48-8FE8-F455E6D9876B}"/>
    <hyperlink ref="B31:E34" location="'Resistance to Motion Calc'!A1" display="Resistance to Motion Calculator" xr:uid="{697919E4-2BED-8843-B811-B0F97955AE7D}"/>
    <hyperlink ref="G31:K34" location="Calculations!A1" display="Manual CoG Calculations" xr:uid="{CF4218DF-DC5A-FC42-BE69-E585E71A52FD}"/>
    <hyperlink ref="M31:Q34" location="'Risk Assessment'!A1" display="Workshop Risk Assessment" xr:uid="{B3EB5B91-F694-914E-BBF2-CDA6933B0D65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20949-5774-C14C-BB17-4AAD709CE177}">
  <dimension ref="B1:AC133"/>
  <sheetViews>
    <sheetView showGridLines="0" zoomScale="80" zoomScaleNormal="80" workbookViewId="0">
      <selection activeCell="V56" sqref="V56"/>
    </sheetView>
  </sheetViews>
  <sheetFormatPr baseColWidth="10" defaultRowHeight="16" x14ac:dyDescent="0.2"/>
  <cols>
    <col min="1" max="1" width="1" customWidth="1"/>
    <col min="2" max="2" width="18.1640625" bestFit="1" customWidth="1"/>
    <col min="5" max="5" width="14.33203125" bestFit="1" customWidth="1"/>
    <col min="6" max="6" width="19" bestFit="1" customWidth="1"/>
    <col min="7" max="7" width="11.83203125" style="1" bestFit="1" customWidth="1"/>
    <col min="8" max="8" width="2.83203125" customWidth="1"/>
    <col min="9" max="9" width="19" bestFit="1" customWidth="1"/>
    <col min="10" max="10" width="14.5" bestFit="1" customWidth="1"/>
    <col min="11" max="11" width="11.83203125" bestFit="1" customWidth="1"/>
    <col min="12" max="12" width="12.83203125" bestFit="1" customWidth="1"/>
    <col min="13" max="13" width="18.6640625" style="1" customWidth="1"/>
    <col min="14" max="14" width="13.5" style="1" bestFit="1" customWidth="1"/>
    <col min="28" max="29" width="10.83203125" hidden="1" customWidth="1"/>
  </cols>
  <sheetData>
    <row r="1" spans="2:28" ht="6" customHeight="1" x14ac:dyDescent="0.2"/>
    <row r="2" spans="2:28" ht="16" customHeight="1" x14ac:dyDescent="0.2">
      <c r="B2" s="139" t="s">
        <v>89</v>
      </c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</row>
    <row r="3" spans="2:28" ht="17" customHeight="1" x14ac:dyDescent="0.2"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</row>
    <row r="4" spans="2:28" ht="17" customHeight="1" x14ac:dyDescent="0.2"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139"/>
      <c r="Q4" s="139"/>
      <c r="R4" s="139"/>
      <c r="S4" s="139"/>
      <c r="T4" s="139"/>
      <c r="U4" s="139"/>
      <c r="V4" s="139"/>
      <c r="W4" s="139"/>
    </row>
    <row r="5" spans="2:28" ht="7" customHeight="1" thickBot="1" x14ac:dyDescent="0.25"/>
    <row r="6" spans="2:28" ht="22" customHeight="1" thickTop="1" x14ac:dyDescent="0.2">
      <c r="B6" s="137" t="s">
        <v>81</v>
      </c>
      <c r="C6" s="137"/>
      <c r="D6" s="137"/>
      <c r="E6" s="137"/>
      <c r="F6" s="137"/>
      <c r="G6" s="137"/>
      <c r="I6" s="137" t="s">
        <v>82</v>
      </c>
      <c r="J6" s="137"/>
      <c r="K6" s="137"/>
      <c r="L6" s="137"/>
      <c r="M6" s="137"/>
      <c r="N6" s="137"/>
    </row>
    <row r="7" spans="2:28" ht="22" customHeight="1" x14ac:dyDescent="0.2">
      <c r="B7" s="138"/>
      <c r="C7" s="138"/>
      <c r="D7" s="138"/>
      <c r="E7" s="138"/>
      <c r="F7" s="138"/>
      <c r="G7" s="138"/>
      <c r="I7" s="138"/>
      <c r="J7" s="138"/>
      <c r="K7" s="138"/>
      <c r="L7" s="138"/>
      <c r="M7" s="138"/>
      <c r="N7" s="138"/>
    </row>
    <row r="8" spans="2:28" ht="5" customHeight="1" thickBot="1" x14ac:dyDescent="0.3">
      <c r="B8" s="2"/>
      <c r="C8" s="2"/>
      <c r="D8" s="2"/>
      <c r="I8" s="1"/>
    </row>
    <row r="9" spans="2:28" ht="22" thickTop="1" thickBot="1" x14ac:dyDescent="0.25">
      <c r="B9" s="34" t="s">
        <v>6</v>
      </c>
      <c r="C9" s="34" t="s">
        <v>5</v>
      </c>
      <c r="D9" s="34" t="s">
        <v>7</v>
      </c>
      <c r="F9" s="36" t="s">
        <v>10</v>
      </c>
      <c r="G9" s="37">
        <v>0.34499999999999997</v>
      </c>
      <c r="I9" s="32" t="s">
        <v>36</v>
      </c>
      <c r="J9" s="1">
        <v>30</v>
      </c>
      <c r="K9" s="1">
        <v>53</v>
      </c>
    </row>
    <row r="10" spans="2:28" ht="22" thickTop="1" thickBot="1" x14ac:dyDescent="0.3">
      <c r="B10" s="42" t="s">
        <v>0</v>
      </c>
      <c r="C10" s="43">
        <v>99.2</v>
      </c>
      <c r="D10" s="44">
        <v>106.1</v>
      </c>
      <c r="F10" s="36" t="s">
        <v>2</v>
      </c>
      <c r="G10" s="74">
        <v>1.4370000000000001</v>
      </c>
      <c r="I10" s="32" t="s">
        <v>37</v>
      </c>
      <c r="J10" s="1">
        <v>15</v>
      </c>
      <c r="K10" s="1">
        <v>39</v>
      </c>
      <c r="AB10">
        <v>100</v>
      </c>
    </row>
    <row r="11" spans="2:28" ht="21" thickTop="1" thickBot="1" x14ac:dyDescent="0.3">
      <c r="B11" s="42" t="s">
        <v>1</v>
      </c>
      <c r="C11" s="43">
        <v>87.7</v>
      </c>
      <c r="D11" s="44">
        <v>81</v>
      </c>
      <c r="F11" s="36" t="s">
        <v>11</v>
      </c>
      <c r="G11" s="38">
        <v>0.31</v>
      </c>
      <c r="I11" s="9"/>
      <c r="J11" s="1"/>
      <c r="K11" s="1"/>
      <c r="AB11">
        <v>200</v>
      </c>
    </row>
    <row r="12" spans="2:28" ht="22" thickTop="1" thickBot="1" x14ac:dyDescent="0.3">
      <c r="B12" s="42" t="s">
        <v>8</v>
      </c>
      <c r="C12" s="43">
        <f>SUM(C10:C11)</f>
        <v>186.9</v>
      </c>
      <c r="D12" s="44">
        <f>SUM(D10:D11)</f>
        <v>187.1</v>
      </c>
      <c r="F12" s="36" t="s">
        <v>12</v>
      </c>
      <c r="G12" s="38">
        <v>0.32</v>
      </c>
      <c r="I12" s="32" t="s">
        <v>28</v>
      </c>
      <c r="J12" s="1">
        <v>11500</v>
      </c>
      <c r="K12" s="1"/>
      <c r="AB12">
        <v>300</v>
      </c>
    </row>
    <row r="13" spans="2:28" ht="22" customHeight="1" thickTop="1" thickBot="1" x14ac:dyDescent="0.3">
      <c r="B13" s="2"/>
      <c r="C13" s="2"/>
      <c r="D13" s="2"/>
      <c r="F13" s="36" t="s">
        <v>3</v>
      </c>
      <c r="G13" s="38">
        <f>AVERAGE(G11:G12)</f>
        <v>0.315</v>
      </c>
      <c r="I13" s="9"/>
      <c r="AB13">
        <v>400</v>
      </c>
    </row>
    <row r="14" spans="2:28" ht="42" thickTop="1" thickBot="1" x14ac:dyDescent="0.25">
      <c r="B14" s="34" t="s">
        <v>9</v>
      </c>
      <c r="C14" s="34" t="s">
        <v>5</v>
      </c>
      <c r="D14" s="34" t="s">
        <v>7</v>
      </c>
      <c r="F14" s="36" t="s">
        <v>4</v>
      </c>
      <c r="G14" s="39">
        <v>72.849999999999994</v>
      </c>
      <c r="I14" s="32" t="s">
        <v>35</v>
      </c>
      <c r="J14" s="32" t="s">
        <v>53</v>
      </c>
      <c r="K14" s="32" t="s">
        <v>54</v>
      </c>
      <c r="L14" s="32" t="s">
        <v>48</v>
      </c>
      <c r="M14" s="52" t="s">
        <v>84</v>
      </c>
      <c r="N14" s="52" t="s">
        <v>85</v>
      </c>
      <c r="AB14">
        <v>500</v>
      </c>
    </row>
    <row r="15" spans="2:28" ht="19" customHeight="1" thickTop="1" thickBot="1" x14ac:dyDescent="0.3">
      <c r="B15" s="42" t="s">
        <v>0</v>
      </c>
      <c r="C15" s="43">
        <v>129.1</v>
      </c>
      <c r="D15" s="44">
        <v>144.1</v>
      </c>
      <c r="F15" s="36" t="s">
        <v>58</v>
      </c>
      <c r="G15" s="40">
        <f>DEGREES(ASIN(G9/G10))</f>
        <v>13.891469081988712</v>
      </c>
      <c r="I15" s="32" t="s">
        <v>29</v>
      </c>
      <c r="J15" s="1">
        <v>15</v>
      </c>
      <c r="K15" s="1">
        <v>37</v>
      </c>
      <c r="L15" s="29">
        <f>SUM(($J$12*60*(J15/K15)*$K$40*PI()*($J$9/$K$9)/1000)*($J$10/$K$10))</f>
        <v>124.70242290920083</v>
      </c>
      <c r="M15" s="14"/>
      <c r="N15" s="14"/>
      <c r="AB15">
        <v>600</v>
      </c>
    </row>
    <row r="16" spans="2:28" ht="21" thickTop="1" thickBot="1" x14ac:dyDescent="0.3">
      <c r="B16" s="42" t="s">
        <v>1</v>
      </c>
      <c r="C16" s="43">
        <v>130.75</v>
      </c>
      <c r="D16" s="44">
        <v>115</v>
      </c>
      <c r="F16" s="36" t="s">
        <v>58</v>
      </c>
      <c r="G16" s="41">
        <f>RADIANS(G15)</f>
        <v>0.24245187341969715</v>
      </c>
      <c r="I16" s="1"/>
      <c r="J16" s="1"/>
      <c r="K16" s="1"/>
      <c r="L16" s="29"/>
      <c r="M16" s="51">
        <f>SUM($J$12-N16)</f>
        <v>2758.4459459459449</v>
      </c>
      <c r="N16" s="51">
        <f>SUM($J$12*(J15/K15)*(K17/J17))</f>
        <v>8741.5540540540551</v>
      </c>
      <c r="AB16">
        <v>700</v>
      </c>
    </row>
    <row r="17" spans="2:28" ht="19" customHeight="1" thickTop="1" thickBot="1" x14ac:dyDescent="0.3">
      <c r="B17" s="42" t="s">
        <v>8</v>
      </c>
      <c r="C17" s="43">
        <f>SUM(C15:C16)</f>
        <v>259.85000000000002</v>
      </c>
      <c r="D17" s="44">
        <f>SUM(D15:D16)</f>
        <v>259.10000000000002</v>
      </c>
      <c r="I17" s="32" t="s">
        <v>30</v>
      </c>
      <c r="J17" s="1">
        <v>16</v>
      </c>
      <c r="K17" s="1">
        <v>30</v>
      </c>
      <c r="L17" s="29">
        <f>SUM(($J$12*60*(J17/K17)*$K$40*PI()*($J$9/$K$9)/1000)*($J$10/$K$10))</f>
        <v>164.05296524943748</v>
      </c>
      <c r="M17" s="30"/>
      <c r="N17" s="30"/>
      <c r="AB17">
        <v>800</v>
      </c>
    </row>
    <row r="18" spans="2:28" ht="19" customHeight="1" thickTop="1" thickBot="1" x14ac:dyDescent="0.25">
      <c r="I18" s="1"/>
      <c r="J18" s="1"/>
      <c r="K18" s="1"/>
      <c r="L18" s="29"/>
      <c r="M18" s="51">
        <f>SUM($J$12-N18)</f>
        <v>2300</v>
      </c>
      <c r="N18" s="51">
        <f>SUM($J$12*(J17/K17)*(K19/J19))</f>
        <v>9200</v>
      </c>
      <c r="AB18">
        <v>900</v>
      </c>
    </row>
    <row r="19" spans="2:28" ht="21" thickTop="1" thickBot="1" x14ac:dyDescent="0.25">
      <c r="B19" s="53"/>
      <c r="C19" s="53"/>
      <c r="D19" s="53"/>
      <c r="E19" s="53"/>
      <c r="F19" s="53"/>
      <c r="G19" s="53"/>
      <c r="I19" s="33" t="s">
        <v>31</v>
      </c>
      <c r="J19" s="1">
        <v>18</v>
      </c>
      <c r="K19" s="1">
        <v>27</v>
      </c>
      <c r="L19" s="29">
        <f>SUM(($J$12*60*(J19/K19)*$K$40*PI()*($J$9/$K$9)/1000)*($J$10/$K$10))</f>
        <v>205.06620656179686</v>
      </c>
      <c r="M19" s="30"/>
      <c r="N19" s="30"/>
      <c r="AB19">
        <v>1000</v>
      </c>
    </row>
    <row r="20" spans="2:28" ht="19" customHeight="1" thickTop="1" thickBot="1" x14ac:dyDescent="0.25">
      <c r="I20" s="1"/>
      <c r="J20" s="1"/>
      <c r="K20" s="1"/>
      <c r="L20" s="29"/>
      <c r="M20" s="51">
        <f>SUM($J$12-N20)</f>
        <v>1916.6666666666679</v>
      </c>
      <c r="N20" s="51">
        <f>SUM($J$12*(J19/K19)*(K21/J21))</f>
        <v>9583.3333333333321</v>
      </c>
      <c r="AB20">
        <v>1100</v>
      </c>
    </row>
    <row r="21" spans="2:28" ht="21" thickTop="1" thickBot="1" x14ac:dyDescent="0.25">
      <c r="B21" s="140" t="s">
        <v>91</v>
      </c>
      <c r="C21" s="140"/>
      <c r="E21" s="105" t="s">
        <v>134</v>
      </c>
      <c r="F21" s="46" t="s">
        <v>25</v>
      </c>
      <c r="G21" s="46" t="s">
        <v>26</v>
      </c>
      <c r="I21" s="33" t="s">
        <v>32</v>
      </c>
      <c r="J21" s="1">
        <v>20</v>
      </c>
      <c r="K21" s="1">
        <v>25</v>
      </c>
      <c r="L21" s="29">
        <f>SUM(($J$12*60*(J21/K21)*$K$40*PI()*($J$9/$K$9)/1000)*($J$10/$K$10))</f>
        <v>246.07944787415627</v>
      </c>
      <c r="M21" s="30"/>
      <c r="N21" s="30"/>
      <c r="AB21">
        <v>1200</v>
      </c>
    </row>
    <row r="22" spans="2:28" ht="21" thickTop="1" thickBot="1" x14ac:dyDescent="0.3">
      <c r="B22" s="42" t="s">
        <v>22</v>
      </c>
      <c r="C22" s="75">
        <f>SUM(C11*G10)/C12</f>
        <v>0.67429052969502412</v>
      </c>
      <c r="E22" s="47" t="s">
        <v>27</v>
      </c>
      <c r="F22" s="109">
        <f>SUM(($G$10-C22)/$G$10)</f>
        <v>0.53076511503477797</v>
      </c>
      <c r="G22" s="109">
        <f>SUM(C22/$G$10)</f>
        <v>0.46923488496522203</v>
      </c>
      <c r="I22" s="1"/>
      <c r="J22" s="1"/>
      <c r="K22" s="1"/>
      <c r="L22" s="29"/>
      <c r="M22" s="51">
        <f>SUM($J$12-N22)</f>
        <v>1463.636363636364</v>
      </c>
      <c r="N22" s="51">
        <f>SUM($J$12*(J21/K21)*(K23/J23))</f>
        <v>10036.363636363636</v>
      </c>
      <c r="AB22">
        <v>1300</v>
      </c>
    </row>
    <row r="23" spans="2:28" ht="21" thickTop="1" thickBot="1" x14ac:dyDescent="0.3">
      <c r="B23" s="42" t="s">
        <v>23</v>
      </c>
      <c r="C23" s="75">
        <f>SUM(C16*G10)/C17</f>
        <v>0.72306234365980371</v>
      </c>
      <c r="E23" s="47" t="s">
        <v>9</v>
      </c>
      <c r="F23" s="110">
        <f>SUM(($G$10-C23)/$G$10)</f>
        <v>0.49682509139888403</v>
      </c>
      <c r="G23" s="110">
        <f>SUM(C23/$G$10)</f>
        <v>0.50317490860111602</v>
      </c>
      <c r="I23" s="33" t="s">
        <v>33</v>
      </c>
      <c r="J23" s="1">
        <v>22</v>
      </c>
      <c r="K23" s="1">
        <v>24</v>
      </c>
      <c r="L23" s="29">
        <f>SUM(($J$12*60*(J23/K23)*$K$40*PI()*($J$9/$K$9)/1000)*($J$10/$K$10))</f>
        <v>281.96603402247069</v>
      </c>
      <c r="M23" s="30"/>
      <c r="N23" s="30"/>
      <c r="AB23">
        <v>1400</v>
      </c>
    </row>
    <row r="24" spans="2:28" ht="19" customHeight="1" thickTop="1" thickBot="1" x14ac:dyDescent="0.25">
      <c r="C24" s="1"/>
      <c r="E24" s="35"/>
      <c r="F24" s="35"/>
      <c r="G24" s="31"/>
      <c r="I24" s="1"/>
      <c r="J24" s="1"/>
      <c r="K24" s="1"/>
      <c r="L24" s="29"/>
      <c r="M24" s="51">
        <f>SUM($J$12-N24)</f>
        <v>1397.5694444444453</v>
      </c>
      <c r="N24" s="51">
        <f>SUM($J$12*(J23/K23)*(K25/J25))</f>
        <v>10102.430555555555</v>
      </c>
      <c r="AB24">
        <v>1500</v>
      </c>
    </row>
    <row r="25" spans="2:28" ht="21" thickTop="1" thickBot="1" x14ac:dyDescent="0.25">
      <c r="B25" s="140" t="s">
        <v>92</v>
      </c>
      <c r="C25" s="140"/>
      <c r="E25" s="140" t="s">
        <v>90</v>
      </c>
      <c r="F25" s="140"/>
      <c r="I25" s="33" t="s">
        <v>34</v>
      </c>
      <c r="J25" s="1">
        <v>24</v>
      </c>
      <c r="K25" s="1">
        <v>23</v>
      </c>
      <c r="L25" s="29">
        <f>SUM(($J$12*60*(J25/K25)*$K$40*PI()*($J$9/$K$9)/1000)*($J$10/$K$10))</f>
        <v>320.97319287933425</v>
      </c>
      <c r="M25" s="29"/>
      <c r="AB25">
        <v>1600</v>
      </c>
    </row>
    <row r="26" spans="2:28" ht="21" thickTop="1" thickBot="1" x14ac:dyDescent="0.3">
      <c r="B26" s="42" t="s">
        <v>19</v>
      </c>
      <c r="C26" s="75">
        <f>SUM(($G$10*($C$11-$D$11))/($C$12*(TAN($G$16))))+($G$13)</f>
        <v>0.52328996328213784</v>
      </c>
      <c r="D26" s="5"/>
      <c r="E26" s="76" t="s">
        <v>20</v>
      </c>
      <c r="F26" s="75">
        <v>0.84799999999999998</v>
      </c>
      <c r="I26" s="99"/>
      <c r="J26" s="100"/>
      <c r="K26" s="100"/>
      <c r="L26" s="101"/>
      <c r="M26" s="101"/>
      <c r="N26" s="100"/>
      <c r="O26" s="1"/>
      <c r="AB26">
        <v>1700</v>
      </c>
    </row>
    <row r="27" spans="2:28" ht="30" customHeight="1" thickTop="1" thickBot="1" x14ac:dyDescent="0.3">
      <c r="B27" s="42" t="s">
        <v>18</v>
      </c>
      <c r="C27" s="50">
        <f>SUM(($G$10*($C$16-$D$16))/($C$17*(TAN($G$16))))+($G$13)</f>
        <v>0.66717674816099248</v>
      </c>
      <c r="D27" s="4"/>
      <c r="E27" s="76" t="s">
        <v>21</v>
      </c>
      <c r="F27" s="50">
        <v>0.41</v>
      </c>
      <c r="I27" s="132" t="s">
        <v>133</v>
      </c>
      <c r="J27" s="133"/>
      <c r="K27" s="133"/>
      <c r="L27" s="133"/>
      <c r="M27" s="133"/>
      <c r="N27" s="134"/>
      <c r="AB27">
        <v>1800</v>
      </c>
    </row>
    <row r="28" spans="2:28" ht="22" thickTop="1" thickBot="1" x14ac:dyDescent="0.25">
      <c r="I28" s="32" t="s">
        <v>93</v>
      </c>
      <c r="J28" s="107">
        <v>0.33</v>
      </c>
      <c r="K28" s="100"/>
      <c r="L28" s="135" t="s">
        <v>130</v>
      </c>
      <c r="M28" s="136"/>
      <c r="N28" s="102">
        <f>L25</f>
        <v>320.97319287933425</v>
      </c>
      <c r="AB28">
        <v>1900</v>
      </c>
    </row>
    <row r="29" spans="2:28" ht="22" thickTop="1" thickBot="1" x14ac:dyDescent="0.25">
      <c r="I29" s="32" t="s">
        <v>135</v>
      </c>
      <c r="J29" s="92">
        <v>0.6</v>
      </c>
      <c r="K29" s="100"/>
      <c r="L29" s="135" t="s">
        <v>131</v>
      </c>
      <c r="M29" s="136"/>
      <c r="N29" s="103">
        <f>'Resistance to Motion Calc'!I10</f>
        <v>918.41416614848617</v>
      </c>
      <c r="AB29">
        <v>2000</v>
      </c>
    </row>
    <row r="30" spans="2:28" ht="23" customHeight="1" thickTop="1" thickBot="1" x14ac:dyDescent="0.25">
      <c r="B30" s="115"/>
      <c r="C30" s="115"/>
      <c r="D30" s="115"/>
      <c r="I30" s="32" t="s">
        <v>120</v>
      </c>
      <c r="J30" s="108">
        <v>0</v>
      </c>
      <c r="K30" s="100"/>
      <c r="L30" s="135" t="s">
        <v>120</v>
      </c>
      <c r="M30" s="136"/>
      <c r="N30" s="103">
        <f>'Resistance to Motion Calc'!I12</f>
        <v>0</v>
      </c>
      <c r="AB30">
        <v>2100</v>
      </c>
    </row>
    <row r="31" spans="2:28" ht="21" customHeight="1" thickTop="1" thickBot="1" x14ac:dyDescent="0.25">
      <c r="B31" s="115"/>
      <c r="C31" s="118"/>
      <c r="D31" s="118"/>
      <c r="K31" s="100"/>
      <c r="L31" s="135" t="s">
        <v>141</v>
      </c>
      <c r="M31" s="136"/>
      <c r="N31" s="103">
        <f>'Resistance to Motion Calc'!I11</f>
        <v>50.992379999999997</v>
      </c>
      <c r="AB31">
        <v>2200</v>
      </c>
    </row>
    <row r="32" spans="2:28" ht="22" customHeight="1" thickTop="1" thickBot="1" x14ac:dyDescent="0.25">
      <c r="B32" s="115"/>
      <c r="C32" s="118"/>
      <c r="D32" s="118"/>
      <c r="K32" s="100"/>
      <c r="L32" s="135" t="s">
        <v>132</v>
      </c>
      <c r="M32" s="136"/>
      <c r="N32" s="104">
        <f>SUM(N29:N31)</f>
        <v>969.4065461484862</v>
      </c>
      <c r="AB32">
        <v>2300</v>
      </c>
    </row>
    <row r="33" spans="2:28" ht="22" customHeight="1" thickTop="1" thickBot="1" x14ac:dyDescent="0.25">
      <c r="B33" s="115"/>
      <c r="C33" s="118"/>
      <c r="D33" s="118"/>
      <c r="I33" s="1"/>
      <c r="AB33">
        <v>2400</v>
      </c>
    </row>
    <row r="34" spans="2:28" ht="22" customHeight="1" thickTop="1" thickBot="1" x14ac:dyDescent="0.25">
      <c r="B34" s="141" t="s">
        <v>24</v>
      </c>
      <c r="C34" s="141"/>
      <c r="D34" s="141"/>
      <c r="E34" s="141"/>
      <c r="F34" s="141"/>
      <c r="G34" s="141"/>
      <c r="I34" s="32" t="s">
        <v>38</v>
      </c>
      <c r="J34" s="32" t="s">
        <v>39</v>
      </c>
      <c r="K34" s="32" t="s">
        <v>40</v>
      </c>
      <c r="M34" s="142" t="s">
        <v>87</v>
      </c>
      <c r="N34" s="143"/>
      <c r="AB34">
        <v>2500</v>
      </c>
    </row>
    <row r="35" spans="2:28" ht="18" customHeight="1" thickTop="1" thickBot="1" x14ac:dyDescent="0.25">
      <c r="B35" s="141"/>
      <c r="C35" s="141"/>
      <c r="D35" s="141"/>
      <c r="E35" s="141"/>
      <c r="F35" s="141"/>
      <c r="G35" s="141"/>
      <c r="I35" s="32" t="s">
        <v>44</v>
      </c>
      <c r="J35" s="10" t="s">
        <v>83</v>
      </c>
      <c r="K35" s="10" t="s">
        <v>83</v>
      </c>
      <c r="M35" s="142"/>
      <c r="N35" s="143"/>
      <c r="AB35">
        <v>2600</v>
      </c>
    </row>
    <row r="36" spans="2:28" ht="22" customHeight="1" thickTop="1" thickBot="1" x14ac:dyDescent="0.3">
      <c r="B36" s="141"/>
      <c r="C36" s="141"/>
      <c r="D36" s="141"/>
      <c r="E36" s="141"/>
      <c r="F36" s="141"/>
      <c r="G36" s="141"/>
      <c r="I36" s="32" t="s">
        <v>45</v>
      </c>
      <c r="J36" s="10" t="s">
        <v>46</v>
      </c>
      <c r="K36" s="10" t="s">
        <v>47</v>
      </c>
      <c r="M36" s="97" t="s">
        <v>61</v>
      </c>
      <c r="N36" s="1">
        <f>5/8</f>
        <v>0.625</v>
      </c>
      <c r="AB36">
        <v>2700</v>
      </c>
    </row>
    <row r="37" spans="2:28" ht="22" customHeight="1" thickTop="1" thickBot="1" x14ac:dyDescent="0.3">
      <c r="I37" s="32" t="s">
        <v>49</v>
      </c>
      <c r="J37" s="10">
        <v>120</v>
      </c>
      <c r="K37" s="10">
        <v>200</v>
      </c>
      <c r="M37" s="97" t="s">
        <v>62</v>
      </c>
      <c r="N37" s="1">
        <v>103</v>
      </c>
      <c r="AB37">
        <v>2800</v>
      </c>
    </row>
    <row r="38" spans="2:28" ht="16" customHeight="1" thickTop="1" thickBot="1" x14ac:dyDescent="0.25">
      <c r="I38" s="32" t="s">
        <v>50</v>
      </c>
      <c r="J38" s="10">
        <v>70</v>
      </c>
      <c r="K38" s="10">
        <v>55</v>
      </c>
      <c r="M38" s="144" t="s">
        <v>63</v>
      </c>
      <c r="N38" s="147">
        <v>80</v>
      </c>
      <c r="AB38">
        <v>2900</v>
      </c>
    </row>
    <row r="39" spans="2:28" ht="16" customHeight="1" thickTop="1" thickBot="1" x14ac:dyDescent="0.25">
      <c r="I39" s="32" t="s">
        <v>51</v>
      </c>
      <c r="J39" s="10">
        <v>17</v>
      </c>
      <c r="K39" s="10">
        <v>17</v>
      </c>
      <c r="M39" s="145"/>
      <c r="N39" s="147"/>
      <c r="AB39">
        <v>3000</v>
      </c>
    </row>
    <row r="40" spans="2:28" ht="24" customHeight="1" thickTop="1" thickBot="1" x14ac:dyDescent="0.25">
      <c r="I40" s="32" t="s">
        <v>52</v>
      </c>
      <c r="J40" s="13">
        <f>SUM(((J37/25.4*J38/100+J39/2)*2*PI()*25.4))/PI()/1000</f>
        <v>0.5998</v>
      </c>
      <c r="K40" s="13">
        <f>SUM(((K37/25.4*K38/100+K39/2)*2*PI()*25.4))/PI()/1000</f>
        <v>0.65179999999999993</v>
      </c>
      <c r="M40" s="146"/>
      <c r="N40" s="147"/>
      <c r="AB40">
        <v>3100</v>
      </c>
    </row>
    <row r="41" spans="2:28" ht="42" thickTop="1" thickBot="1" x14ac:dyDescent="0.3">
      <c r="M41" s="98" t="s">
        <v>64</v>
      </c>
      <c r="N41" s="77">
        <f>SUM(0.5*(N37-0.5*(C7+D7))*25.4*N36-N38)</f>
        <v>737.5625</v>
      </c>
      <c r="AB41">
        <v>3200</v>
      </c>
    </row>
    <row r="42" spans="2:28" ht="17" thickTop="1" x14ac:dyDescent="0.2">
      <c r="AB42">
        <v>3300</v>
      </c>
    </row>
    <row r="43" spans="2:28" x14ac:dyDescent="0.2">
      <c r="AB43">
        <v>3400</v>
      </c>
    </row>
    <row r="44" spans="2:28" x14ac:dyDescent="0.2">
      <c r="AB44">
        <v>3500</v>
      </c>
    </row>
    <row r="45" spans="2:28" x14ac:dyDescent="0.2">
      <c r="AB45">
        <v>3600</v>
      </c>
    </row>
    <row r="46" spans="2:28" x14ac:dyDescent="0.2">
      <c r="AB46">
        <v>3700</v>
      </c>
    </row>
    <row r="47" spans="2:28" x14ac:dyDescent="0.2">
      <c r="AB47">
        <v>3800</v>
      </c>
    </row>
    <row r="48" spans="2:28" x14ac:dyDescent="0.2">
      <c r="AB48">
        <v>3900</v>
      </c>
    </row>
    <row r="49" spans="10:28" x14ac:dyDescent="0.2">
      <c r="AB49">
        <v>4000</v>
      </c>
    </row>
    <row r="50" spans="10:28" x14ac:dyDescent="0.2">
      <c r="AB50">
        <v>4100</v>
      </c>
    </row>
    <row r="51" spans="10:28" x14ac:dyDescent="0.2">
      <c r="AB51">
        <v>4200</v>
      </c>
    </row>
    <row r="52" spans="10:28" x14ac:dyDescent="0.2">
      <c r="AB52">
        <v>4300</v>
      </c>
    </row>
    <row r="53" spans="10:28" x14ac:dyDescent="0.2">
      <c r="AB53">
        <v>4400</v>
      </c>
    </row>
    <row r="54" spans="10:28" ht="19" x14ac:dyDescent="0.25">
      <c r="J54" s="2"/>
      <c r="K54" s="2"/>
      <c r="L54" s="2"/>
      <c r="AB54">
        <v>4500</v>
      </c>
    </row>
    <row r="55" spans="10:28" ht="19" x14ac:dyDescent="0.25">
      <c r="L55" s="2"/>
      <c r="AB55">
        <v>4600</v>
      </c>
    </row>
    <row r="56" spans="10:28" ht="19" x14ac:dyDescent="0.25">
      <c r="L56" s="2"/>
      <c r="AB56">
        <v>4700</v>
      </c>
    </row>
    <row r="57" spans="10:28" ht="19" x14ac:dyDescent="0.25">
      <c r="L57" s="2"/>
      <c r="AB57">
        <v>4800</v>
      </c>
    </row>
    <row r="58" spans="10:28" ht="19" x14ac:dyDescent="0.25">
      <c r="L58" s="2"/>
      <c r="AB58">
        <v>4900</v>
      </c>
    </row>
    <row r="59" spans="10:28" ht="19" x14ac:dyDescent="0.25">
      <c r="L59" s="2"/>
      <c r="AB59">
        <v>5000</v>
      </c>
    </row>
    <row r="60" spans="10:28" ht="19" x14ac:dyDescent="0.25">
      <c r="L60" s="2"/>
      <c r="AB60">
        <v>5100</v>
      </c>
    </row>
    <row r="61" spans="10:28" x14ac:dyDescent="0.2">
      <c r="AB61">
        <v>5200</v>
      </c>
    </row>
    <row r="62" spans="10:28" x14ac:dyDescent="0.2">
      <c r="AB62">
        <v>5300</v>
      </c>
    </row>
    <row r="63" spans="10:28" x14ac:dyDescent="0.2">
      <c r="AB63">
        <v>5400</v>
      </c>
    </row>
    <row r="64" spans="10:28" x14ac:dyDescent="0.2">
      <c r="AB64">
        <v>5500</v>
      </c>
    </row>
    <row r="65" spans="28:28" x14ac:dyDescent="0.2">
      <c r="AB65">
        <v>5600</v>
      </c>
    </row>
    <row r="66" spans="28:28" x14ac:dyDescent="0.2">
      <c r="AB66">
        <v>5700</v>
      </c>
    </row>
    <row r="67" spans="28:28" x14ac:dyDescent="0.2">
      <c r="AB67">
        <v>5800</v>
      </c>
    </row>
    <row r="68" spans="28:28" x14ac:dyDescent="0.2">
      <c r="AB68">
        <v>5900</v>
      </c>
    </row>
    <row r="69" spans="28:28" x14ac:dyDescent="0.2">
      <c r="AB69">
        <v>6000</v>
      </c>
    </row>
    <row r="70" spans="28:28" x14ac:dyDescent="0.2">
      <c r="AB70">
        <v>6100</v>
      </c>
    </row>
    <row r="71" spans="28:28" x14ac:dyDescent="0.2">
      <c r="AB71">
        <v>6200</v>
      </c>
    </row>
    <row r="72" spans="28:28" x14ac:dyDescent="0.2">
      <c r="AB72">
        <v>6300</v>
      </c>
    </row>
    <row r="73" spans="28:28" x14ac:dyDescent="0.2">
      <c r="AB73">
        <v>6400</v>
      </c>
    </row>
    <row r="74" spans="28:28" x14ac:dyDescent="0.2">
      <c r="AB74">
        <v>6500</v>
      </c>
    </row>
    <row r="75" spans="28:28" x14ac:dyDescent="0.2">
      <c r="AB75">
        <v>6600</v>
      </c>
    </row>
    <row r="76" spans="28:28" x14ac:dyDescent="0.2">
      <c r="AB76">
        <v>6700</v>
      </c>
    </row>
    <row r="77" spans="28:28" x14ac:dyDescent="0.2">
      <c r="AB77">
        <v>6800</v>
      </c>
    </row>
    <row r="78" spans="28:28" x14ac:dyDescent="0.2">
      <c r="AB78">
        <v>6900</v>
      </c>
    </row>
    <row r="79" spans="28:28" x14ac:dyDescent="0.2">
      <c r="AB79">
        <v>7000</v>
      </c>
    </row>
    <row r="80" spans="28:28" x14ac:dyDescent="0.2">
      <c r="AB80">
        <v>7100</v>
      </c>
    </row>
    <row r="81" spans="28:28" x14ac:dyDescent="0.2">
      <c r="AB81">
        <v>7200</v>
      </c>
    </row>
    <row r="82" spans="28:28" x14ac:dyDescent="0.2">
      <c r="AB82">
        <v>7300</v>
      </c>
    </row>
    <row r="83" spans="28:28" x14ac:dyDescent="0.2">
      <c r="AB83">
        <v>7400</v>
      </c>
    </row>
    <row r="84" spans="28:28" x14ac:dyDescent="0.2">
      <c r="AB84">
        <v>7500</v>
      </c>
    </row>
    <row r="85" spans="28:28" x14ac:dyDescent="0.2">
      <c r="AB85">
        <v>7600</v>
      </c>
    </row>
    <row r="86" spans="28:28" x14ac:dyDescent="0.2">
      <c r="AB86">
        <v>7700</v>
      </c>
    </row>
    <row r="87" spans="28:28" x14ac:dyDescent="0.2">
      <c r="AB87">
        <v>7800</v>
      </c>
    </row>
    <row r="88" spans="28:28" x14ac:dyDescent="0.2">
      <c r="AB88">
        <v>7900</v>
      </c>
    </row>
    <row r="89" spans="28:28" x14ac:dyDescent="0.2">
      <c r="AB89">
        <v>8000</v>
      </c>
    </row>
    <row r="90" spans="28:28" x14ac:dyDescent="0.2">
      <c r="AB90">
        <v>8100</v>
      </c>
    </row>
    <row r="91" spans="28:28" x14ac:dyDescent="0.2">
      <c r="AB91">
        <v>8200</v>
      </c>
    </row>
    <row r="92" spans="28:28" x14ac:dyDescent="0.2">
      <c r="AB92">
        <v>8300</v>
      </c>
    </row>
    <row r="93" spans="28:28" x14ac:dyDescent="0.2">
      <c r="AB93">
        <v>8400</v>
      </c>
    </row>
    <row r="94" spans="28:28" x14ac:dyDescent="0.2">
      <c r="AB94">
        <v>8500</v>
      </c>
    </row>
    <row r="95" spans="28:28" x14ac:dyDescent="0.2">
      <c r="AB95">
        <v>8600</v>
      </c>
    </row>
    <row r="96" spans="28:28" x14ac:dyDescent="0.2">
      <c r="AB96">
        <v>8700</v>
      </c>
    </row>
    <row r="97" spans="28:28" x14ac:dyDescent="0.2">
      <c r="AB97">
        <v>8800</v>
      </c>
    </row>
    <row r="98" spans="28:28" x14ac:dyDescent="0.2">
      <c r="AB98">
        <v>8900</v>
      </c>
    </row>
    <row r="99" spans="28:28" x14ac:dyDescent="0.2">
      <c r="AB99">
        <v>9000</v>
      </c>
    </row>
    <row r="100" spans="28:28" x14ac:dyDescent="0.2">
      <c r="AB100">
        <v>9100</v>
      </c>
    </row>
    <row r="101" spans="28:28" x14ac:dyDescent="0.2">
      <c r="AB101">
        <v>9200</v>
      </c>
    </row>
    <row r="102" spans="28:28" x14ac:dyDescent="0.2">
      <c r="AB102">
        <v>9300</v>
      </c>
    </row>
    <row r="103" spans="28:28" x14ac:dyDescent="0.2">
      <c r="AB103">
        <v>9400</v>
      </c>
    </row>
    <row r="104" spans="28:28" x14ac:dyDescent="0.2">
      <c r="AB104">
        <v>9500</v>
      </c>
    </row>
    <row r="105" spans="28:28" x14ac:dyDescent="0.2">
      <c r="AB105">
        <v>9600</v>
      </c>
    </row>
    <row r="106" spans="28:28" x14ac:dyDescent="0.2">
      <c r="AB106">
        <v>9700</v>
      </c>
    </row>
    <row r="107" spans="28:28" x14ac:dyDescent="0.2">
      <c r="AB107">
        <v>9800</v>
      </c>
    </row>
    <row r="108" spans="28:28" x14ac:dyDescent="0.2">
      <c r="AB108">
        <v>9900</v>
      </c>
    </row>
    <row r="109" spans="28:28" x14ac:dyDescent="0.2">
      <c r="AB109">
        <v>10000</v>
      </c>
    </row>
    <row r="110" spans="28:28" x14ac:dyDescent="0.2">
      <c r="AB110">
        <v>10100</v>
      </c>
    </row>
    <row r="111" spans="28:28" x14ac:dyDescent="0.2">
      <c r="AB111">
        <v>10200</v>
      </c>
    </row>
    <row r="112" spans="28:28" x14ac:dyDescent="0.2">
      <c r="AB112">
        <v>10300</v>
      </c>
    </row>
    <row r="113" spans="28:28" x14ac:dyDescent="0.2">
      <c r="AB113">
        <v>10400</v>
      </c>
    </row>
    <row r="114" spans="28:28" x14ac:dyDescent="0.2">
      <c r="AB114">
        <v>10500</v>
      </c>
    </row>
    <row r="115" spans="28:28" x14ac:dyDescent="0.2">
      <c r="AB115">
        <v>10600</v>
      </c>
    </row>
    <row r="116" spans="28:28" x14ac:dyDescent="0.2">
      <c r="AB116">
        <v>10700</v>
      </c>
    </row>
    <row r="117" spans="28:28" x14ac:dyDescent="0.2">
      <c r="AB117">
        <v>10800</v>
      </c>
    </row>
    <row r="118" spans="28:28" x14ac:dyDescent="0.2">
      <c r="AB118">
        <v>10900</v>
      </c>
    </row>
    <row r="119" spans="28:28" x14ac:dyDescent="0.2">
      <c r="AB119">
        <v>11000</v>
      </c>
    </row>
    <row r="120" spans="28:28" x14ac:dyDescent="0.2">
      <c r="AB120">
        <v>11100</v>
      </c>
    </row>
    <row r="121" spans="28:28" x14ac:dyDescent="0.2">
      <c r="AB121">
        <v>11200</v>
      </c>
    </row>
    <row r="122" spans="28:28" x14ac:dyDescent="0.2">
      <c r="AB122">
        <v>11300</v>
      </c>
    </row>
    <row r="123" spans="28:28" x14ac:dyDescent="0.2">
      <c r="AB123">
        <v>11400</v>
      </c>
    </row>
    <row r="124" spans="28:28" x14ac:dyDescent="0.2">
      <c r="AB124">
        <v>11500</v>
      </c>
    </row>
    <row r="125" spans="28:28" x14ac:dyDescent="0.2">
      <c r="AB125">
        <v>11600</v>
      </c>
    </row>
    <row r="126" spans="28:28" x14ac:dyDescent="0.2">
      <c r="AB126">
        <v>11700</v>
      </c>
    </row>
    <row r="127" spans="28:28" x14ac:dyDescent="0.2">
      <c r="AB127">
        <v>11800</v>
      </c>
    </row>
    <row r="128" spans="28:28" x14ac:dyDescent="0.2">
      <c r="AB128">
        <v>11900</v>
      </c>
    </row>
    <row r="129" spans="28:28" x14ac:dyDescent="0.2">
      <c r="AB129">
        <v>12000</v>
      </c>
    </row>
    <row r="130" spans="28:28" x14ac:dyDescent="0.2">
      <c r="AB130">
        <v>12100</v>
      </c>
    </row>
    <row r="131" spans="28:28" x14ac:dyDescent="0.2">
      <c r="AB131">
        <v>12200</v>
      </c>
    </row>
    <row r="132" spans="28:28" x14ac:dyDescent="0.2">
      <c r="AB132">
        <v>12300</v>
      </c>
    </row>
    <row r="133" spans="28:28" x14ac:dyDescent="0.2">
      <c r="AB133">
        <v>12400</v>
      </c>
    </row>
  </sheetData>
  <mergeCells count="16">
    <mergeCell ref="L29:M29"/>
    <mergeCell ref="L30:M30"/>
    <mergeCell ref="L31:M31"/>
    <mergeCell ref="L32:M32"/>
    <mergeCell ref="B34:G36"/>
    <mergeCell ref="M34:N35"/>
    <mergeCell ref="M38:M40"/>
    <mergeCell ref="N38:N40"/>
    <mergeCell ref="I27:N27"/>
    <mergeCell ref="L28:M28"/>
    <mergeCell ref="I6:N7"/>
    <mergeCell ref="B2:W4"/>
    <mergeCell ref="B25:C25"/>
    <mergeCell ref="B21:C21"/>
    <mergeCell ref="B6:G7"/>
    <mergeCell ref="E25:F25"/>
  </mergeCells>
  <dataValidations count="1">
    <dataValidation type="list" allowBlank="1" showInputMessage="1" showErrorMessage="1" sqref="J12" xr:uid="{E1F4EBBB-E35E-6840-834C-F575186C5B05}">
      <formula1>$AB$10:$AB$129</formula1>
    </dataValidation>
  </dataValidations>
  <hyperlinks>
    <hyperlink ref="B34:E36" location="Menu!A1" display="RETURN TO MENU" xr:uid="{3043BB3E-58C0-4A45-9A25-D721171FD5BB}"/>
  </hyperlinks>
  <pageMargins left="0.7" right="0.7" top="0.75" bottom="0.75" header="0.3" footer="0.3"/>
  <pageSetup paperSize="9" orientation="portrait" horizontalDpi="0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ACBB2-88F1-A34F-9309-D9565F88F31F}">
  <dimension ref="B2:X37"/>
  <sheetViews>
    <sheetView showGridLines="0" zoomScale="90" zoomScaleNormal="90" workbookViewId="0">
      <selection activeCell="B35" sqref="B35:G37"/>
    </sheetView>
  </sheetViews>
  <sheetFormatPr baseColWidth="10" defaultRowHeight="16" x14ac:dyDescent="0.2"/>
  <cols>
    <col min="1" max="1" width="3.83203125" customWidth="1"/>
    <col min="2" max="2" width="7.6640625" customWidth="1"/>
    <col min="3" max="3" width="11.6640625" bestFit="1" customWidth="1"/>
    <col min="4" max="4" width="11.6640625" customWidth="1"/>
    <col min="5" max="5" width="13.33203125" bestFit="1" customWidth="1"/>
    <col min="6" max="6" width="12.1640625" bestFit="1" customWidth="1"/>
    <col min="7" max="7" width="3.6640625" customWidth="1"/>
    <col min="8" max="8" width="12.6640625" style="1" bestFit="1" customWidth="1"/>
    <col min="9" max="13" width="10.83203125" style="1"/>
    <col min="14" max="14" width="3.83203125" customWidth="1"/>
    <col min="15" max="15" width="11.6640625" bestFit="1" customWidth="1"/>
    <col min="21" max="21" width="4.5" customWidth="1"/>
  </cols>
  <sheetData>
    <row r="2" spans="2:24" x14ac:dyDescent="0.2">
      <c r="B2" s="26"/>
      <c r="C2" s="26"/>
      <c r="D2" s="26"/>
      <c r="E2" s="148" t="s">
        <v>77</v>
      </c>
      <c r="F2" s="148"/>
      <c r="G2" s="23"/>
      <c r="H2" s="149" t="s">
        <v>74</v>
      </c>
      <c r="I2" s="150"/>
      <c r="J2" s="150"/>
      <c r="K2" s="150"/>
      <c r="L2" s="150"/>
      <c r="M2" s="150"/>
      <c r="N2" s="23"/>
      <c r="O2" s="151" t="s">
        <v>79</v>
      </c>
      <c r="P2" s="148"/>
      <c r="Q2" s="148"/>
      <c r="R2" s="148"/>
      <c r="S2" s="148"/>
      <c r="T2" s="148"/>
      <c r="V2" s="194" t="s">
        <v>144</v>
      </c>
      <c r="W2" s="194" t="s">
        <v>147</v>
      </c>
      <c r="X2" s="194" t="s">
        <v>148</v>
      </c>
    </row>
    <row r="3" spans="2:24" ht="16" customHeight="1" x14ac:dyDescent="0.2">
      <c r="B3" s="27"/>
      <c r="C3" s="27"/>
      <c r="D3" s="27"/>
      <c r="E3" s="148"/>
      <c r="F3" s="148"/>
      <c r="G3" s="25"/>
      <c r="H3" s="150"/>
      <c r="I3" s="150"/>
      <c r="J3" s="150"/>
      <c r="K3" s="150"/>
      <c r="L3" s="150"/>
      <c r="M3" s="150"/>
      <c r="N3" s="25"/>
      <c r="O3" s="148"/>
      <c r="P3" s="148"/>
      <c r="Q3" s="148"/>
      <c r="R3" s="148"/>
      <c r="S3" s="148"/>
      <c r="T3" s="148"/>
      <c r="V3" s="194"/>
      <c r="W3" s="194"/>
      <c r="X3" s="194"/>
    </row>
    <row r="4" spans="2:24" x14ac:dyDescent="0.2">
      <c r="B4" s="28" t="s">
        <v>28</v>
      </c>
      <c r="C4" s="28" t="s">
        <v>65</v>
      </c>
      <c r="D4" s="28" t="s">
        <v>75</v>
      </c>
      <c r="E4" s="28" t="s">
        <v>66</v>
      </c>
      <c r="F4" s="28" t="s">
        <v>67</v>
      </c>
      <c r="G4" s="25"/>
      <c r="H4" s="28" t="s">
        <v>68</v>
      </c>
      <c r="I4" s="28" t="s">
        <v>69</v>
      </c>
      <c r="J4" s="28" t="s">
        <v>70</v>
      </c>
      <c r="K4" s="28" t="s">
        <v>71</v>
      </c>
      <c r="L4" s="28" t="s">
        <v>72</v>
      </c>
      <c r="M4" s="28" t="s">
        <v>73</v>
      </c>
      <c r="N4" s="25"/>
      <c r="O4" s="28" t="s">
        <v>68</v>
      </c>
      <c r="P4" s="28" t="s">
        <v>69</v>
      </c>
      <c r="Q4" s="28" t="s">
        <v>70</v>
      </c>
      <c r="R4" s="28" t="s">
        <v>71</v>
      </c>
      <c r="S4" s="28" t="s">
        <v>72</v>
      </c>
      <c r="T4" s="28" t="s">
        <v>73</v>
      </c>
      <c r="V4" s="194"/>
      <c r="W4" s="194"/>
      <c r="X4" s="194"/>
    </row>
    <row r="5" spans="2:24" x14ac:dyDescent="0.2">
      <c r="B5" s="1">
        <v>2500</v>
      </c>
      <c r="C5" s="1">
        <v>25</v>
      </c>
      <c r="D5" s="1">
        <v>51</v>
      </c>
      <c r="E5" s="19">
        <f>SUM(D5*$C$29)</f>
        <v>69.145799999999994</v>
      </c>
      <c r="F5" s="19">
        <f>SUM(0.7457*C5)</f>
        <v>18.642500000000002</v>
      </c>
      <c r="G5" s="1"/>
      <c r="H5" s="19">
        <f>SUM(($B5*60*('Ducati Panigale'!$J$15/'Ducati Panigale'!$K$15)*'Ducati Panigale'!$K$40*PI()*('Ducati Panigale'!$J$9/'Ducati Panigale'!$K$9)/1000)*('Ducati Panigale'!$J$10/'Ducati Panigale'!$K$10))</f>
        <v>27.109222371565398</v>
      </c>
      <c r="I5" s="19">
        <f>SUM(($B5*60*('Ducati Panigale'!$J$17/'Ducati Panigale'!$K$17)*'Ducati Panigale'!$K$40*PI()*('Ducati Panigale'!$J$9/'Ducati Panigale'!$K$9)/1000)*('Ducati Panigale'!$J$10/'Ducati Panigale'!$K$10))</f>
        <v>35.663688097703805</v>
      </c>
      <c r="J5" s="19">
        <f>SUM(($B5*60*('Ducati Panigale'!$J$19/'Ducati Panigale'!$K$19)*'Ducati Panigale'!$K$40*PI()*('Ducati Panigale'!$J$9/'Ducati Panigale'!$K$9)/1000)*('Ducati Panigale'!$J$10/'Ducati Panigale'!$K$10))</f>
        <v>44.579610122129765</v>
      </c>
      <c r="K5" s="19">
        <f>SUM(($B5*60*('Ducati Panigale'!$J$21/'Ducati Panigale'!$K$21)*'Ducati Panigale'!$K$40*PI()*('Ducati Panigale'!$J$9/'Ducati Panigale'!$K$9)/1000)*('Ducati Panigale'!$J$10/'Ducati Panigale'!$K$10))</f>
        <v>53.495532146555696</v>
      </c>
      <c r="L5" s="19">
        <f>SUM(($B5*60*('Ducati Panigale'!$J$23/'Ducati Panigale'!$K$23)*'Ducati Panigale'!$K$40*PI()*('Ducati Panigale'!$J$9/'Ducati Panigale'!$K$9)/1000)*('Ducati Panigale'!$J$10/'Ducati Panigale'!$K$10))</f>
        <v>61.296963917928416</v>
      </c>
      <c r="M5" s="19">
        <f>SUM(($B5*60*('Ducati Panigale'!$J$25/'Ducati Panigale'!$K$25)*'Ducati Panigale'!$K$40*PI()*('Ducati Panigale'!$J$9/'Ducati Panigale'!$K$9)/1000)*('Ducati Panigale'!$J$10/'Ducati Panigale'!$K$10))</f>
        <v>69.776781060724844</v>
      </c>
      <c r="N5" s="1"/>
      <c r="O5" s="20">
        <f>SUM($C5*1000)/(H5*(1000/3600))</f>
        <v>3319.9034176059631</v>
      </c>
      <c r="P5" s="20">
        <f t="shared" ref="P5" si="0">SUM($C5*1000)/(I5*(1000/3600))</f>
        <v>2523.5752329775064</v>
      </c>
      <c r="Q5" s="20">
        <f t="shared" ref="Q5" si="1">SUM($C5*1000)/(J5*(1000/3600))</f>
        <v>2018.8601863820047</v>
      </c>
      <c r="R5" s="20">
        <f t="shared" ref="R5" si="2">SUM($C5*1000)/(K5*(1000/3600))</f>
        <v>1682.3834886516711</v>
      </c>
      <c r="S5" s="20">
        <f t="shared" ref="S5" si="3">SUM($C5*1000)/(L5*(1000/3600))</f>
        <v>1468.2619537323674</v>
      </c>
      <c r="T5" s="20">
        <f t="shared" ref="T5" si="4">SUM($C5*1000)/(M5*(1000/3600))</f>
        <v>1289.8273412996143</v>
      </c>
      <c r="V5" s="1">
        <v>2500</v>
      </c>
      <c r="W5" s="15">
        <v>1289.8273412996143</v>
      </c>
      <c r="X5">
        <v>94.4</v>
      </c>
    </row>
    <row r="6" spans="2:24" x14ac:dyDescent="0.2">
      <c r="B6" s="1">
        <v>3000</v>
      </c>
      <c r="C6" s="1">
        <v>29</v>
      </c>
      <c r="D6" s="1">
        <v>50</v>
      </c>
      <c r="E6" s="19">
        <f>SUM(D6*$C$29)</f>
        <v>67.789999999999992</v>
      </c>
      <c r="F6" s="19">
        <f>SUM(0.7457*C6)</f>
        <v>21.625299999999999</v>
      </c>
      <c r="G6" s="1"/>
      <c r="H6" s="19">
        <f>SUM(($B6*60*('Ducati Panigale'!$J$15/'Ducati Panigale'!$K$15)*'Ducati Panigale'!$K$40*PI()*('Ducati Panigale'!$J$9/'Ducati Panigale'!$K$9)/1000)*('Ducati Panigale'!$J$10/'Ducati Panigale'!$K$10))</f>
        <v>32.531066845878478</v>
      </c>
      <c r="I6" s="19">
        <f>SUM(($B6*60*('Ducati Panigale'!$J$17/'Ducati Panigale'!$K$17)*'Ducati Panigale'!$K$40*PI()*('Ducati Panigale'!$J$9/'Ducati Panigale'!$K$9)/1000)*('Ducati Panigale'!$J$10/'Ducati Panigale'!$K$10))</f>
        <v>42.796425717244567</v>
      </c>
      <c r="J6" s="19">
        <f>SUM(($B6*60*('Ducati Panigale'!$J$19/'Ducati Panigale'!$K$19)*'Ducati Panigale'!$K$40*PI()*('Ducati Panigale'!$J$9/'Ducati Panigale'!$K$9)/1000)*('Ducati Panigale'!$J$10/'Ducati Panigale'!$K$10))</f>
        <v>53.495532146555696</v>
      </c>
      <c r="K6" s="19">
        <f>SUM(($B6*60*('Ducati Panigale'!$J$21/'Ducati Panigale'!$K$21)*'Ducati Panigale'!$K$40*PI()*('Ducati Panigale'!$J$9/'Ducati Panigale'!$K$9)/1000)*('Ducati Panigale'!$J$10/'Ducati Panigale'!$K$10))</f>
        <v>64.194638575866861</v>
      </c>
      <c r="L6" s="19">
        <f>SUM(($B6*60*('Ducati Panigale'!$J$23/'Ducati Panigale'!$K$23)*'Ducati Panigale'!$K$40*PI()*('Ducati Panigale'!$J$9/'Ducati Panigale'!$K$9)/1000)*('Ducati Panigale'!$J$10/'Ducati Panigale'!$K$10))</f>
        <v>73.55635670151409</v>
      </c>
      <c r="M6" s="19">
        <f>SUM(($B6*60*('Ducati Panigale'!$J$25/'Ducati Panigale'!$K$25)*'Ducati Panigale'!$K$40*PI()*('Ducati Panigale'!$J$9/'Ducati Panigale'!$K$9)/1000)*('Ducati Panigale'!$J$10/'Ducati Panigale'!$K$10))</f>
        <v>83.732137272869807</v>
      </c>
      <c r="N6" s="1"/>
      <c r="O6" s="20">
        <f>SUM($C6*1000)/(H6*(1000/3600))</f>
        <v>3209.2399703524306</v>
      </c>
      <c r="P6" s="20">
        <f t="shared" ref="P6:T21" si="5">SUM($C6*1000)/(I6*(1000/3600))</f>
        <v>2439.4560585449226</v>
      </c>
      <c r="Q6" s="20">
        <f t="shared" si="5"/>
        <v>1951.5648468359386</v>
      </c>
      <c r="R6" s="20">
        <f t="shared" si="5"/>
        <v>1626.3040390299482</v>
      </c>
      <c r="S6" s="20">
        <f t="shared" si="5"/>
        <v>1419.3198886079551</v>
      </c>
      <c r="T6" s="20">
        <f t="shared" si="5"/>
        <v>1246.8330965896271</v>
      </c>
      <c r="V6" s="1">
        <v>3000</v>
      </c>
      <c r="W6" s="15">
        <v>1246.8330965896271</v>
      </c>
      <c r="X6">
        <v>113.49</v>
      </c>
    </row>
    <row r="7" spans="2:24" x14ac:dyDescent="0.2">
      <c r="B7" s="1">
        <v>3500</v>
      </c>
      <c r="C7" s="1">
        <v>42</v>
      </c>
      <c r="D7" s="1">
        <v>65</v>
      </c>
      <c r="E7" s="19">
        <f t="shared" ref="E7:E23" si="6">SUM(D7*$C$29)</f>
        <v>88.126999999999995</v>
      </c>
      <c r="F7" s="19">
        <f t="shared" ref="F7:F23" si="7">SUM(0.7457*C7)</f>
        <v>31.319400000000002</v>
      </c>
      <c r="H7" s="19">
        <f>SUM(($B7*60*('Ducati Panigale'!$J$15/'Ducati Panigale'!$K$15)*'Ducati Panigale'!$K$40*PI()*('Ducati Panigale'!$J$9/'Ducati Panigale'!$K$9)/1000)*('Ducati Panigale'!$J$10/'Ducati Panigale'!$K$10))</f>
        <v>37.952911320191554</v>
      </c>
      <c r="I7" s="19">
        <f>SUM(($B7*60*('Ducati Panigale'!$J$17/'Ducati Panigale'!$K$17)*'Ducati Panigale'!$K$40*PI()*('Ducati Panigale'!$J$9/'Ducati Panigale'!$K$9)/1000)*('Ducati Panigale'!$J$10/'Ducati Panigale'!$K$10))</f>
        <v>49.929163336785336</v>
      </c>
      <c r="J7" s="19">
        <f>SUM(($B7*60*('Ducati Panigale'!$J$19/'Ducati Panigale'!$K$19)*'Ducati Panigale'!$K$40*PI()*('Ducati Panigale'!$J$9/'Ducati Panigale'!$K$9)/1000)*('Ducati Panigale'!$J$10/'Ducati Panigale'!$K$10))</f>
        <v>62.411454170981649</v>
      </c>
      <c r="K7" s="19">
        <f>SUM(($B7*60*('Ducati Panigale'!$J$21/'Ducati Panigale'!$K$21)*'Ducati Panigale'!$K$40*PI()*('Ducati Panigale'!$J$9/'Ducati Panigale'!$K$9)/1000)*('Ducati Panigale'!$J$10/'Ducati Panigale'!$K$10))</f>
        <v>74.893745005178005</v>
      </c>
      <c r="L7" s="19">
        <f>SUM(($B7*60*('Ducati Panigale'!$J$23/'Ducati Panigale'!$K$23)*'Ducati Panigale'!$K$40*PI()*('Ducati Panigale'!$J$9/'Ducati Panigale'!$K$9)/1000)*('Ducati Panigale'!$J$10/'Ducati Panigale'!$K$10))</f>
        <v>85.815749485099786</v>
      </c>
      <c r="M7" s="19">
        <f>SUM(($B7*60*('Ducati Panigale'!$J$25/'Ducati Panigale'!$K$25)*'Ducati Panigale'!$K$40*PI()*('Ducati Panigale'!$J$9/'Ducati Panigale'!$K$9)/1000)*('Ducati Panigale'!$J$10/'Ducati Panigale'!$K$10))</f>
        <v>97.687493485014784</v>
      </c>
      <c r="O7" s="20">
        <f t="shared" ref="O7:T23" si="8">SUM($C7*1000)/(H7*(1000/3600))</f>
        <v>3983.8841011271556</v>
      </c>
      <c r="P7" s="20">
        <f t="shared" si="5"/>
        <v>3028.290279573007</v>
      </c>
      <c r="Q7" s="20">
        <f t="shared" si="5"/>
        <v>2422.6322236584065</v>
      </c>
      <c r="R7" s="20">
        <f t="shared" si="5"/>
        <v>2018.8601863820047</v>
      </c>
      <c r="S7" s="20">
        <f t="shared" si="5"/>
        <v>1761.9143444788406</v>
      </c>
      <c r="T7" s="20">
        <f t="shared" si="5"/>
        <v>1547.7928095595369</v>
      </c>
      <c r="V7" s="1">
        <v>3500</v>
      </c>
      <c r="W7" s="15">
        <v>1547.7928095595369</v>
      </c>
      <c r="X7">
        <v>136.06</v>
      </c>
    </row>
    <row r="8" spans="2:24" x14ac:dyDescent="0.2">
      <c r="B8" s="1">
        <v>4000</v>
      </c>
      <c r="C8" s="1">
        <v>53</v>
      </c>
      <c r="D8" s="1">
        <v>70</v>
      </c>
      <c r="E8" s="19">
        <f t="shared" si="6"/>
        <v>94.905999999999992</v>
      </c>
      <c r="F8" s="19">
        <f t="shared" si="7"/>
        <v>39.522100000000002</v>
      </c>
      <c r="H8" s="19">
        <f>SUM(($B8*60*('Ducati Panigale'!$J$15/'Ducati Panigale'!$K$15)*'Ducati Panigale'!$K$40*PI()*('Ducati Panigale'!$J$9/'Ducati Panigale'!$K$9)/1000)*('Ducati Panigale'!$J$10/'Ducati Panigale'!$K$10))</f>
        <v>43.374755794504637</v>
      </c>
      <c r="I8" s="19">
        <f>SUM(($B8*60*('Ducati Panigale'!$J$17/'Ducati Panigale'!$K$17)*'Ducati Panigale'!$K$40*PI()*('Ducati Panigale'!$J$9/'Ducati Panigale'!$K$9)/1000)*('Ducati Panigale'!$J$10/'Ducati Panigale'!$K$10))</f>
        <v>57.061900956326099</v>
      </c>
      <c r="J8" s="19">
        <f>SUM(($B8*60*('Ducati Panigale'!$J$19/'Ducati Panigale'!$K$19)*'Ducati Panigale'!$K$40*PI()*('Ducati Panigale'!$J$9/'Ducati Panigale'!$K$9)/1000)*('Ducati Panigale'!$J$10/'Ducati Panigale'!$K$10))</f>
        <v>71.327376195407609</v>
      </c>
      <c r="K8" s="19">
        <f>SUM(($B8*60*('Ducati Panigale'!$J$21/'Ducati Panigale'!$K$21)*'Ducati Panigale'!$K$40*PI()*('Ducati Panigale'!$J$9/'Ducati Panigale'!$K$9)/1000)*('Ducati Panigale'!$J$10/'Ducati Panigale'!$K$10))</f>
        <v>85.592851434489134</v>
      </c>
      <c r="L8" s="19">
        <f>SUM(($B8*60*('Ducati Panigale'!$J$23/'Ducati Panigale'!$K$23)*'Ducati Panigale'!$K$40*PI()*('Ducati Panigale'!$J$9/'Ducati Panigale'!$K$9)/1000)*('Ducati Panigale'!$J$10/'Ducati Panigale'!$K$10))</f>
        <v>98.075142268685482</v>
      </c>
      <c r="M8" s="19">
        <f>SUM(($B8*60*('Ducati Panigale'!$J$25/'Ducati Panigale'!$K$25)*'Ducati Panigale'!$K$40*PI()*('Ducati Panigale'!$J$9/'Ducati Panigale'!$K$9)/1000)*('Ducati Panigale'!$J$10/'Ducati Panigale'!$K$10))</f>
        <v>111.64284969715976</v>
      </c>
      <c r="O8" s="20">
        <f t="shared" si="8"/>
        <v>4398.8720283279008</v>
      </c>
      <c r="P8" s="20">
        <f t="shared" si="5"/>
        <v>3343.7371836951952</v>
      </c>
      <c r="Q8" s="20">
        <f t="shared" si="5"/>
        <v>2674.989746956157</v>
      </c>
      <c r="R8" s="20">
        <f t="shared" si="5"/>
        <v>2229.1581224634638</v>
      </c>
      <c r="S8" s="20">
        <f t="shared" si="5"/>
        <v>1945.4470886953861</v>
      </c>
      <c r="T8" s="20">
        <f t="shared" si="5"/>
        <v>1709.0212272219887</v>
      </c>
      <c r="V8" s="1">
        <v>4000</v>
      </c>
      <c r="W8" s="15">
        <v>1709.0212272219887</v>
      </c>
      <c r="X8">
        <v>162.1</v>
      </c>
    </row>
    <row r="9" spans="2:24" x14ac:dyDescent="0.2">
      <c r="B9" s="1">
        <v>4500</v>
      </c>
      <c r="C9" s="1">
        <v>58</v>
      </c>
      <c r="D9" s="1">
        <v>67</v>
      </c>
      <c r="E9" s="19">
        <f t="shared" si="6"/>
        <v>90.8386</v>
      </c>
      <c r="F9" s="19">
        <f t="shared" si="7"/>
        <v>43.250599999999999</v>
      </c>
      <c r="H9" s="19">
        <f>SUM(($B9*60*('Ducati Panigale'!$J$15/'Ducati Panigale'!$K$15)*'Ducati Panigale'!$K$40*PI()*('Ducati Panigale'!$J$9/'Ducati Panigale'!$K$9)/1000)*('Ducati Panigale'!$J$10/'Ducati Panigale'!$K$10))</f>
        <v>48.79660026881772</v>
      </c>
      <c r="I9" s="19">
        <f>SUM(($B9*60*('Ducati Panigale'!$J$17/'Ducati Panigale'!$K$17)*'Ducati Panigale'!$K$40*PI()*('Ducati Panigale'!$J$9/'Ducati Panigale'!$K$9)/1000)*('Ducati Panigale'!$J$10/'Ducati Panigale'!$K$10))</f>
        <v>64.194638575866861</v>
      </c>
      <c r="J9" s="19">
        <f>SUM(($B9*60*('Ducati Panigale'!$J$19/'Ducati Panigale'!$K$19)*'Ducati Panigale'!$K$40*PI()*('Ducati Panigale'!$J$9/'Ducati Panigale'!$K$9)/1000)*('Ducati Panigale'!$J$10/'Ducati Panigale'!$K$10))</f>
        <v>80.243298219833562</v>
      </c>
      <c r="K9" s="19">
        <f>SUM(($B9*60*('Ducati Panigale'!$J$21/'Ducati Panigale'!$K$21)*'Ducati Panigale'!$K$40*PI()*('Ducati Panigale'!$J$9/'Ducati Panigale'!$K$9)/1000)*('Ducati Panigale'!$J$10/'Ducati Panigale'!$K$10))</f>
        <v>96.291957863800292</v>
      </c>
      <c r="L9" s="19">
        <f>SUM(($B9*60*('Ducati Panigale'!$J$23/'Ducati Panigale'!$K$23)*'Ducati Panigale'!$K$40*PI()*('Ducati Panigale'!$J$9/'Ducati Panigale'!$K$9)/1000)*('Ducati Panigale'!$J$10/'Ducati Panigale'!$K$10))</f>
        <v>110.33453505227115</v>
      </c>
      <c r="M9" s="19">
        <f>SUM(($B9*60*('Ducati Panigale'!$J$25/'Ducati Panigale'!$K$25)*'Ducati Panigale'!$K$40*PI()*('Ducati Panigale'!$J$9/'Ducati Panigale'!$K$9)/1000)*('Ducati Panigale'!$J$10/'Ducati Panigale'!$K$10))</f>
        <v>125.59820590930471</v>
      </c>
      <c r="O9" s="20">
        <f t="shared" si="8"/>
        <v>4278.9866271365745</v>
      </c>
      <c r="P9" s="20">
        <f t="shared" si="5"/>
        <v>3252.6080780598963</v>
      </c>
      <c r="Q9" s="20">
        <f t="shared" si="5"/>
        <v>2602.0864624479177</v>
      </c>
      <c r="R9" s="20">
        <f t="shared" si="5"/>
        <v>2168.4053853732644</v>
      </c>
      <c r="S9" s="20">
        <f t="shared" si="5"/>
        <v>1892.42651814394</v>
      </c>
      <c r="T9" s="20">
        <f t="shared" si="5"/>
        <v>1662.4441287861694</v>
      </c>
      <c r="V9" s="1">
        <v>4500</v>
      </c>
      <c r="W9" s="15">
        <v>1662.4441287861694</v>
      </c>
      <c r="X9">
        <v>191.62</v>
      </c>
    </row>
    <row r="10" spans="2:24" x14ac:dyDescent="0.2">
      <c r="B10" s="1">
        <v>5000</v>
      </c>
      <c r="C10" s="1">
        <v>60</v>
      </c>
      <c r="D10" s="1">
        <v>62</v>
      </c>
      <c r="E10" s="19">
        <f t="shared" si="6"/>
        <v>84.059599999999989</v>
      </c>
      <c r="F10" s="19">
        <f t="shared" si="7"/>
        <v>44.742000000000004</v>
      </c>
      <c r="H10" s="19">
        <f>SUM(($B10*60*('Ducati Panigale'!$J$15/'Ducati Panigale'!$K$15)*'Ducati Panigale'!$K$40*PI()*('Ducati Panigale'!$J$9/'Ducati Panigale'!$K$9)/1000)*('Ducati Panigale'!$J$10/'Ducati Panigale'!$K$10))</f>
        <v>54.218444743130796</v>
      </c>
      <c r="I10" s="19">
        <f>SUM(($B10*60*('Ducati Panigale'!$J$17/'Ducati Panigale'!$K$17)*'Ducati Panigale'!$K$40*PI()*('Ducati Panigale'!$J$9/'Ducati Panigale'!$K$9)/1000)*('Ducati Panigale'!$J$10/'Ducati Panigale'!$K$10))</f>
        <v>71.327376195407609</v>
      </c>
      <c r="J10" s="19">
        <f>SUM(($B10*60*('Ducati Panigale'!$J$19/'Ducati Panigale'!$K$19)*'Ducati Panigale'!$K$40*PI()*('Ducati Panigale'!$J$9/'Ducati Panigale'!$K$9)/1000)*('Ducati Panigale'!$J$10/'Ducati Panigale'!$K$10))</f>
        <v>89.159220244259529</v>
      </c>
      <c r="K10" s="19">
        <f>SUM(($B10*60*('Ducati Panigale'!$J$21/'Ducati Panigale'!$K$21)*'Ducati Panigale'!$K$40*PI()*('Ducati Panigale'!$J$9/'Ducati Panigale'!$K$9)/1000)*('Ducati Panigale'!$J$10/'Ducati Panigale'!$K$10))</f>
        <v>106.99106429311139</v>
      </c>
      <c r="L10" s="19">
        <f>SUM(($B10*60*('Ducati Panigale'!$J$23/'Ducati Panigale'!$K$23)*'Ducati Panigale'!$K$40*PI()*('Ducati Panigale'!$J$9/'Ducati Panigale'!$K$9)/1000)*('Ducati Panigale'!$J$10/'Ducati Panigale'!$K$10))</f>
        <v>122.59392783585683</v>
      </c>
      <c r="M10" s="19">
        <f>SUM(($B10*60*('Ducati Panigale'!$J$25/'Ducati Panigale'!$K$25)*'Ducati Panigale'!$K$40*PI()*('Ducati Panigale'!$J$9/'Ducati Panigale'!$K$9)/1000)*('Ducati Panigale'!$J$10/'Ducati Panigale'!$K$10))</f>
        <v>139.55356212144969</v>
      </c>
      <c r="O10" s="20">
        <f t="shared" si="8"/>
        <v>3983.8841011271556</v>
      </c>
      <c r="P10" s="20">
        <f t="shared" si="5"/>
        <v>3028.2902795730079</v>
      </c>
      <c r="Q10" s="20">
        <f t="shared" si="5"/>
        <v>2422.6322236584056</v>
      </c>
      <c r="R10" s="20">
        <f t="shared" si="5"/>
        <v>2018.8601863820054</v>
      </c>
      <c r="S10" s="20">
        <f t="shared" si="5"/>
        <v>1761.9143444788408</v>
      </c>
      <c r="T10" s="20">
        <f t="shared" si="5"/>
        <v>1547.7928095595371</v>
      </c>
      <c r="V10" s="1">
        <v>5000</v>
      </c>
      <c r="W10" s="15">
        <v>1547.7928095595371</v>
      </c>
      <c r="X10">
        <v>224.61</v>
      </c>
    </row>
    <row r="11" spans="2:24" x14ac:dyDescent="0.2">
      <c r="B11" s="1">
        <v>5500</v>
      </c>
      <c r="C11" s="1">
        <v>66</v>
      </c>
      <c r="D11" s="1">
        <v>63</v>
      </c>
      <c r="E11" s="19">
        <f t="shared" si="6"/>
        <v>85.415399999999991</v>
      </c>
      <c r="F11" s="19">
        <f t="shared" si="7"/>
        <v>49.216200000000001</v>
      </c>
      <c r="H11" s="19">
        <f>SUM(($B11*60*('Ducati Panigale'!$J$15/'Ducati Panigale'!$K$15)*'Ducati Panigale'!$K$40*PI()*('Ducati Panigale'!$J$9/'Ducati Panigale'!$K$9)/1000)*('Ducati Panigale'!$J$10/'Ducati Panigale'!$K$10))</f>
        <v>59.640289217443865</v>
      </c>
      <c r="I11" s="19">
        <f>SUM(($B11*60*('Ducati Panigale'!$J$17/'Ducati Panigale'!$K$17)*'Ducati Panigale'!$K$40*PI()*('Ducati Panigale'!$J$9/'Ducati Panigale'!$K$9)/1000)*('Ducati Panigale'!$J$10/'Ducati Panigale'!$K$10))</f>
        <v>78.460113814948372</v>
      </c>
      <c r="J11" s="19">
        <f>SUM(($B11*60*('Ducati Panigale'!$J$19/'Ducati Panigale'!$K$19)*'Ducati Panigale'!$K$40*PI()*('Ducati Panigale'!$J$9/'Ducati Panigale'!$K$9)/1000)*('Ducati Panigale'!$J$10/'Ducati Panigale'!$K$10))</f>
        <v>98.075142268685482</v>
      </c>
      <c r="K11" s="19">
        <f>SUM(($B11*60*('Ducati Panigale'!$J$21/'Ducati Panigale'!$K$21)*'Ducati Panigale'!$K$40*PI()*('Ducati Panigale'!$J$9/'Ducati Panigale'!$K$9)/1000)*('Ducati Panigale'!$J$10/'Ducati Panigale'!$K$10))</f>
        <v>117.69017072242258</v>
      </c>
      <c r="L11" s="19">
        <f>SUM(($B11*60*('Ducati Panigale'!$J$23/'Ducati Panigale'!$K$23)*'Ducati Panigale'!$K$40*PI()*('Ducati Panigale'!$J$9/'Ducati Panigale'!$K$9)/1000)*('Ducati Panigale'!$J$10/'Ducati Panigale'!$K$10))</f>
        <v>134.85332061944251</v>
      </c>
      <c r="M11" s="19">
        <f>SUM(($B11*60*('Ducati Panigale'!$J$25/'Ducati Panigale'!$K$25)*'Ducati Panigale'!$K$40*PI()*('Ducati Panigale'!$J$9/'Ducati Panigale'!$K$9)/1000)*('Ducati Panigale'!$J$10/'Ducati Panigale'!$K$10))</f>
        <v>153.50891833359464</v>
      </c>
      <c r="O11" s="20">
        <f t="shared" si="8"/>
        <v>3983.8841011271566</v>
      </c>
      <c r="P11" s="20">
        <f t="shared" si="5"/>
        <v>3028.2902795730074</v>
      </c>
      <c r="Q11" s="20">
        <f t="shared" si="5"/>
        <v>2422.6322236584056</v>
      </c>
      <c r="R11" s="20">
        <f t="shared" si="5"/>
        <v>2018.8601863820047</v>
      </c>
      <c r="S11" s="20">
        <f t="shared" si="5"/>
        <v>1761.9143444788406</v>
      </c>
      <c r="T11" s="20">
        <f t="shared" si="5"/>
        <v>1547.7928095595373</v>
      </c>
      <c r="V11" s="1">
        <v>5500</v>
      </c>
      <c r="W11" s="15">
        <v>1547.7928095595373</v>
      </c>
      <c r="X11">
        <v>261.06</v>
      </c>
    </row>
    <row r="12" spans="2:24" x14ac:dyDescent="0.2">
      <c r="B12" s="1">
        <v>6000</v>
      </c>
      <c r="C12" s="1">
        <v>75</v>
      </c>
      <c r="D12" s="1">
        <v>65</v>
      </c>
      <c r="E12" s="19">
        <f t="shared" si="6"/>
        <v>88.126999999999995</v>
      </c>
      <c r="F12" s="19">
        <f t="shared" si="7"/>
        <v>55.927500000000002</v>
      </c>
      <c r="H12" s="19">
        <f>SUM(($B12*60*('Ducati Panigale'!$J$15/'Ducati Panigale'!$K$15)*'Ducati Panigale'!$K$40*PI()*('Ducati Panigale'!$J$9/'Ducati Panigale'!$K$9)/1000)*('Ducati Panigale'!$J$10/'Ducati Panigale'!$K$10))</f>
        <v>65.062133691756955</v>
      </c>
      <c r="I12" s="19">
        <f>SUM(($B12*60*('Ducati Panigale'!$J$17/'Ducati Panigale'!$K$17)*'Ducati Panigale'!$K$40*PI()*('Ducati Panigale'!$J$9/'Ducati Panigale'!$K$9)/1000)*('Ducati Panigale'!$J$10/'Ducati Panigale'!$K$10))</f>
        <v>85.592851434489134</v>
      </c>
      <c r="J12" s="19">
        <f>SUM(($B12*60*('Ducati Panigale'!$J$19/'Ducati Panigale'!$K$19)*'Ducati Panigale'!$K$40*PI()*('Ducati Panigale'!$J$9/'Ducati Panigale'!$K$9)/1000)*('Ducati Panigale'!$J$10/'Ducati Panigale'!$K$10))</f>
        <v>106.99106429311139</v>
      </c>
      <c r="K12" s="19">
        <f>SUM(($B12*60*('Ducati Panigale'!$J$21/'Ducati Panigale'!$K$21)*'Ducati Panigale'!$K$40*PI()*('Ducati Panigale'!$J$9/'Ducati Panigale'!$K$9)/1000)*('Ducati Panigale'!$J$10/'Ducati Panigale'!$K$10))</f>
        <v>128.38927715173372</v>
      </c>
      <c r="L12" s="19">
        <f>SUM(($B12*60*('Ducati Panigale'!$J$23/'Ducati Panigale'!$K$23)*'Ducati Panigale'!$K$40*PI()*('Ducati Panigale'!$J$9/'Ducati Panigale'!$K$9)/1000)*('Ducati Panigale'!$J$10/'Ducati Panigale'!$K$10))</f>
        <v>147.11271340302818</v>
      </c>
      <c r="M12" s="19">
        <f>SUM(($B12*60*('Ducati Panigale'!$J$25/'Ducati Panigale'!$K$25)*'Ducati Panigale'!$K$40*PI()*('Ducati Panigale'!$J$9/'Ducati Panigale'!$K$9)/1000)*('Ducati Panigale'!$J$10/'Ducati Panigale'!$K$10))</f>
        <v>167.46427454573961</v>
      </c>
      <c r="O12" s="20">
        <f t="shared" si="8"/>
        <v>4149.8792720074534</v>
      </c>
      <c r="P12" s="20">
        <f t="shared" si="5"/>
        <v>3154.4690412218829</v>
      </c>
      <c r="Q12" s="20">
        <f t="shared" si="5"/>
        <v>2523.5752329775069</v>
      </c>
      <c r="R12" s="20">
        <f t="shared" si="5"/>
        <v>2102.9793608145883</v>
      </c>
      <c r="S12" s="20">
        <f t="shared" si="5"/>
        <v>1835.3274421654592</v>
      </c>
      <c r="T12" s="20">
        <f t="shared" si="5"/>
        <v>1612.2841766245178</v>
      </c>
      <c r="V12" s="1">
        <v>6000</v>
      </c>
      <c r="W12" s="15">
        <v>1612.2841766245178</v>
      </c>
      <c r="X12">
        <v>301</v>
      </c>
    </row>
    <row r="13" spans="2:24" x14ac:dyDescent="0.2">
      <c r="B13" s="1">
        <v>6500</v>
      </c>
      <c r="C13" s="1">
        <v>75</v>
      </c>
      <c r="D13" s="1">
        <v>63</v>
      </c>
      <c r="E13" s="19">
        <f t="shared" si="6"/>
        <v>85.415399999999991</v>
      </c>
      <c r="F13" s="19">
        <f t="shared" si="7"/>
        <v>55.927500000000002</v>
      </c>
      <c r="H13" s="19">
        <f>SUM(($B13*60*('Ducati Panigale'!$J$15/'Ducati Panigale'!$K$15)*'Ducati Panigale'!$K$40*PI()*('Ducati Panigale'!$J$9/'Ducati Panigale'!$K$9)/1000)*('Ducati Panigale'!$J$10/'Ducati Panigale'!$K$10))</f>
        <v>70.483978166070017</v>
      </c>
      <c r="I13" s="19">
        <f>SUM(($B13*60*('Ducati Panigale'!$J$17/'Ducati Panigale'!$K$17)*'Ducati Panigale'!$K$40*PI()*('Ducati Panigale'!$J$9/'Ducati Panigale'!$K$9)/1000)*('Ducati Panigale'!$J$10/'Ducati Panigale'!$K$10))</f>
        <v>92.725589054029896</v>
      </c>
      <c r="J13" s="19">
        <f>SUM(($B13*60*('Ducati Panigale'!$J$19/'Ducati Panigale'!$K$19)*'Ducati Panigale'!$K$40*PI()*('Ducati Panigale'!$J$9/'Ducati Panigale'!$K$9)/1000)*('Ducati Panigale'!$J$10/'Ducati Panigale'!$K$10))</f>
        <v>115.90698631753736</v>
      </c>
      <c r="K13" s="19">
        <f>SUM(($B13*60*('Ducati Panigale'!$J$21/'Ducati Panigale'!$K$21)*'Ducati Panigale'!$K$40*PI()*('Ducati Panigale'!$J$9/'Ducati Panigale'!$K$9)/1000)*('Ducati Panigale'!$J$10/'Ducati Panigale'!$K$10))</f>
        <v>139.08838358104484</v>
      </c>
      <c r="L13" s="19">
        <f>SUM(($B13*60*('Ducati Panigale'!$J$23/'Ducati Panigale'!$K$23)*'Ducati Panigale'!$K$40*PI()*('Ducati Panigale'!$J$9/'Ducati Panigale'!$K$9)/1000)*('Ducati Panigale'!$J$10/'Ducati Panigale'!$K$10))</f>
        <v>159.37210618661388</v>
      </c>
      <c r="M13" s="19">
        <f>SUM(($B13*60*('Ducati Panigale'!$J$25/'Ducati Panigale'!$K$25)*'Ducati Panigale'!$K$40*PI()*('Ducati Panigale'!$J$9/'Ducati Panigale'!$K$9)/1000)*('Ducati Panigale'!$J$10/'Ducati Panigale'!$K$10))</f>
        <v>181.41963075788459</v>
      </c>
      <c r="O13" s="20">
        <f t="shared" si="8"/>
        <v>3830.6577895453433</v>
      </c>
      <c r="P13" s="20">
        <f t="shared" si="5"/>
        <v>2911.817576512507</v>
      </c>
      <c r="Q13" s="20">
        <f t="shared" si="5"/>
        <v>2329.4540612100063</v>
      </c>
      <c r="R13" s="20">
        <f t="shared" si="5"/>
        <v>1941.2117176750048</v>
      </c>
      <c r="S13" s="20">
        <f t="shared" si="5"/>
        <v>1694.1484081527315</v>
      </c>
      <c r="T13" s="20">
        <f t="shared" si="5"/>
        <v>1488.2623168841703</v>
      </c>
      <c r="V13" s="1">
        <v>6500</v>
      </c>
      <c r="W13" s="15">
        <v>1488.2623168841703</v>
      </c>
      <c r="X13">
        <v>344.4</v>
      </c>
    </row>
    <row r="14" spans="2:24" x14ac:dyDescent="0.2">
      <c r="B14" s="1">
        <v>7000</v>
      </c>
      <c r="C14" s="1">
        <v>90</v>
      </c>
      <c r="D14" s="1">
        <v>66</v>
      </c>
      <c r="E14" s="19">
        <f t="shared" si="6"/>
        <v>89.482799999999997</v>
      </c>
      <c r="F14" s="19">
        <f t="shared" si="7"/>
        <v>67.113</v>
      </c>
      <c r="H14" s="19">
        <f>SUM(($B14*60*('Ducati Panigale'!$J$15/'Ducati Panigale'!$K$15)*'Ducati Panigale'!$K$40*PI()*('Ducati Panigale'!$J$9/'Ducati Panigale'!$K$9)/1000)*('Ducati Panigale'!$J$10/'Ducati Panigale'!$K$10))</f>
        <v>75.905822640383107</v>
      </c>
      <c r="I14" s="19">
        <f>SUM(($B14*60*('Ducati Panigale'!$J$17/'Ducati Panigale'!$K$17)*'Ducati Panigale'!$K$40*PI()*('Ducati Panigale'!$J$9/'Ducati Panigale'!$K$9)/1000)*('Ducati Panigale'!$J$10/'Ducati Panigale'!$K$10))</f>
        <v>99.858326673570673</v>
      </c>
      <c r="J14" s="19">
        <f>SUM(($B14*60*('Ducati Panigale'!$J$19/'Ducati Panigale'!$K$19)*'Ducati Panigale'!$K$40*PI()*('Ducati Panigale'!$J$9/'Ducati Panigale'!$K$9)/1000)*('Ducati Panigale'!$J$10/'Ducati Panigale'!$K$10))</f>
        <v>124.8229083419633</v>
      </c>
      <c r="K14" s="19">
        <f>SUM(($B14*60*('Ducati Panigale'!$J$21/'Ducati Panigale'!$K$21)*'Ducati Panigale'!$K$40*PI()*('Ducati Panigale'!$J$9/'Ducati Panigale'!$K$9)/1000)*('Ducati Panigale'!$J$10/'Ducati Panigale'!$K$10))</f>
        <v>149.78749001035601</v>
      </c>
      <c r="L14" s="19">
        <f>SUM(($B14*60*('Ducati Panigale'!$J$23/'Ducati Panigale'!$K$23)*'Ducati Panigale'!$K$40*PI()*('Ducati Panigale'!$J$9/'Ducati Panigale'!$K$9)/1000)*('Ducati Panigale'!$J$10/'Ducati Panigale'!$K$10))</f>
        <v>171.63149897019957</v>
      </c>
      <c r="M14" s="19">
        <f>SUM(($B14*60*('Ducati Panigale'!$J$25/'Ducati Panigale'!$K$25)*'Ducati Panigale'!$K$40*PI()*('Ducati Panigale'!$J$9/'Ducati Panigale'!$K$9)/1000)*('Ducati Panigale'!$J$10/'Ducati Panigale'!$K$10))</f>
        <v>195.37498697002957</v>
      </c>
      <c r="O14" s="20">
        <f t="shared" si="8"/>
        <v>4268.4472512076673</v>
      </c>
      <c r="P14" s="20">
        <f t="shared" si="5"/>
        <v>3244.596728113936</v>
      </c>
      <c r="Q14" s="20">
        <f t="shared" si="5"/>
        <v>2595.6773824911497</v>
      </c>
      <c r="R14" s="20">
        <f t="shared" si="5"/>
        <v>2163.0644854092907</v>
      </c>
      <c r="S14" s="20">
        <f t="shared" si="5"/>
        <v>1887.765369084472</v>
      </c>
      <c r="T14" s="20">
        <f t="shared" si="5"/>
        <v>1658.3494388137894</v>
      </c>
      <c r="V14" s="1">
        <v>7000</v>
      </c>
      <c r="W14" s="15">
        <v>1658.3494388137894</v>
      </c>
      <c r="X14">
        <v>391.27</v>
      </c>
    </row>
    <row r="15" spans="2:24" x14ac:dyDescent="0.2">
      <c r="B15" s="1">
        <v>7500</v>
      </c>
      <c r="C15" s="1">
        <v>102</v>
      </c>
      <c r="D15" s="1">
        <v>70</v>
      </c>
      <c r="E15" s="19">
        <f t="shared" si="6"/>
        <v>94.905999999999992</v>
      </c>
      <c r="F15" s="19">
        <f t="shared" si="7"/>
        <v>76.061400000000006</v>
      </c>
      <c r="H15" s="19">
        <f>SUM(($B15*60*('Ducati Panigale'!$J$15/'Ducati Panigale'!$K$15)*'Ducati Panigale'!$K$40*PI()*('Ducati Panigale'!$J$9/'Ducati Panigale'!$K$9)/1000)*('Ducati Panigale'!$J$10/'Ducati Panigale'!$K$10))</f>
        <v>81.327667114696197</v>
      </c>
      <c r="I15" s="19">
        <f>SUM(($B15*60*('Ducati Panigale'!$J$17/'Ducati Panigale'!$K$17)*'Ducati Panigale'!$K$40*PI()*('Ducati Panigale'!$J$9/'Ducati Panigale'!$K$9)/1000)*('Ducati Panigale'!$J$10/'Ducati Panigale'!$K$10))</f>
        <v>106.99106429311139</v>
      </c>
      <c r="J15" s="19">
        <f>SUM(($B15*60*('Ducati Panigale'!$J$19/'Ducati Panigale'!$K$19)*'Ducati Panigale'!$K$40*PI()*('Ducati Panigale'!$J$9/'Ducati Panigale'!$K$9)/1000)*('Ducati Panigale'!$J$10/'Ducati Panigale'!$K$10))</f>
        <v>133.73883036638927</v>
      </c>
      <c r="K15" s="19">
        <f>SUM(($B15*60*('Ducati Panigale'!$J$21/'Ducati Panigale'!$K$21)*'Ducati Panigale'!$K$40*PI()*('Ducati Panigale'!$J$9/'Ducati Panigale'!$K$9)/1000)*('Ducati Panigale'!$J$10/'Ducati Panigale'!$K$10))</f>
        <v>160.48659643966712</v>
      </c>
      <c r="L15" s="19">
        <f>SUM(($B15*60*('Ducati Panigale'!$J$23/'Ducati Panigale'!$K$23)*'Ducati Panigale'!$K$40*PI()*('Ducati Panigale'!$J$9/'Ducati Panigale'!$K$9)/1000)*('Ducati Panigale'!$J$10/'Ducati Panigale'!$K$10))</f>
        <v>183.8908917537853</v>
      </c>
      <c r="M15" s="19">
        <f>SUM(($B15*60*('Ducati Panigale'!$J$25/'Ducati Panigale'!$K$25)*'Ducati Panigale'!$K$40*PI()*('Ducati Panigale'!$J$9/'Ducati Panigale'!$K$9)/1000)*('Ducati Panigale'!$J$10/'Ducati Panigale'!$K$10))</f>
        <v>209.33034318217446</v>
      </c>
      <c r="O15" s="20">
        <f t="shared" si="8"/>
        <v>4515.0686479441092</v>
      </c>
      <c r="P15" s="20">
        <f t="shared" si="5"/>
        <v>3432.0623168494094</v>
      </c>
      <c r="Q15" s="20">
        <f t="shared" si="5"/>
        <v>2745.6498534795269</v>
      </c>
      <c r="R15" s="20">
        <f t="shared" si="5"/>
        <v>2288.0415445662725</v>
      </c>
      <c r="S15" s="20">
        <f t="shared" si="5"/>
        <v>1996.8362570760189</v>
      </c>
      <c r="T15" s="20">
        <f t="shared" si="5"/>
        <v>1754.1651841674757</v>
      </c>
      <c r="V15" s="1">
        <v>7500</v>
      </c>
      <c r="W15" s="15">
        <v>1754.1651841674757</v>
      </c>
      <c r="X15">
        <v>441.62</v>
      </c>
    </row>
    <row r="16" spans="2:24" x14ac:dyDescent="0.2">
      <c r="B16" s="1">
        <v>8000</v>
      </c>
      <c r="C16" s="1">
        <v>120</v>
      </c>
      <c r="D16" s="1">
        <v>80</v>
      </c>
      <c r="E16" s="19">
        <f t="shared" si="6"/>
        <v>108.464</v>
      </c>
      <c r="F16" s="19">
        <f t="shared" si="7"/>
        <v>89.484000000000009</v>
      </c>
      <c r="H16" s="19">
        <f>SUM(($B16*60*('Ducati Panigale'!$J$15/'Ducati Panigale'!$K$15)*'Ducati Panigale'!$K$40*PI()*('Ducati Panigale'!$J$9/'Ducati Panigale'!$K$9)/1000)*('Ducati Panigale'!$J$10/'Ducati Panigale'!$K$10))</f>
        <v>86.749511589009273</v>
      </c>
      <c r="I16" s="19">
        <f>SUM(($B16*60*('Ducati Panigale'!$J$17/'Ducati Panigale'!$K$17)*'Ducati Panigale'!$K$40*PI()*('Ducati Panigale'!$J$9/'Ducati Panigale'!$K$9)/1000)*('Ducati Panigale'!$J$10/'Ducati Panigale'!$K$10))</f>
        <v>114.1238019126522</v>
      </c>
      <c r="J16" s="19">
        <f>SUM(($B16*60*('Ducati Panigale'!$J$19/'Ducati Panigale'!$K$19)*'Ducati Panigale'!$K$40*PI()*('Ducati Panigale'!$J$9/'Ducati Panigale'!$K$9)/1000)*('Ducati Panigale'!$J$10/'Ducati Panigale'!$K$10))</f>
        <v>142.65475239081522</v>
      </c>
      <c r="K16" s="19">
        <f>SUM(($B16*60*('Ducati Panigale'!$J$21/'Ducati Panigale'!$K$21)*'Ducati Panigale'!$K$40*PI()*('Ducati Panigale'!$J$9/'Ducati Panigale'!$K$9)/1000)*('Ducati Panigale'!$J$10/'Ducati Panigale'!$K$10))</f>
        <v>171.18570286897827</v>
      </c>
      <c r="L16" s="19">
        <f>SUM(($B16*60*('Ducati Panigale'!$J$23/'Ducati Panigale'!$K$23)*'Ducati Panigale'!$K$40*PI()*('Ducati Panigale'!$J$9/'Ducati Panigale'!$K$9)/1000)*('Ducati Panigale'!$J$10/'Ducati Panigale'!$K$10))</f>
        <v>196.15028453737096</v>
      </c>
      <c r="M16" s="19">
        <f>SUM(($B16*60*('Ducati Panigale'!$J$25/'Ducati Panigale'!$K$25)*'Ducati Panigale'!$K$40*PI()*('Ducati Panigale'!$J$9/'Ducati Panigale'!$K$9)/1000)*('Ducati Panigale'!$J$10/'Ducati Panigale'!$K$10))</f>
        <v>223.28569939431952</v>
      </c>
      <c r="O16" s="20">
        <f t="shared" si="8"/>
        <v>4979.8551264089447</v>
      </c>
      <c r="P16" s="20">
        <f t="shared" si="5"/>
        <v>3785.3628494662585</v>
      </c>
      <c r="Q16" s="20">
        <f t="shared" si="5"/>
        <v>3028.2902795730079</v>
      </c>
      <c r="R16" s="20">
        <f t="shared" si="5"/>
        <v>2523.5752329775064</v>
      </c>
      <c r="S16" s="20">
        <f t="shared" si="5"/>
        <v>2202.3929305985503</v>
      </c>
      <c r="T16" s="20">
        <f t="shared" si="5"/>
        <v>1934.7410119494211</v>
      </c>
      <c r="V16" s="1">
        <v>8000</v>
      </c>
      <c r="W16" s="15">
        <v>1934.7410119494211</v>
      </c>
      <c r="X16">
        <v>495.44</v>
      </c>
    </row>
    <row r="17" spans="2:24" x14ac:dyDescent="0.2">
      <c r="B17" s="1">
        <v>8500</v>
      </c>
      <c r="C17" s="1">
        <v>135</v>
      </c>
      <c r="D17" s="1">
        <v>83</v>
      </c>
      <c r="E17" s="19">
        <f t="shared" si="6"/>
        <v>112.53139999999999</v>
      </c>
      <c r="F17" s="19">
        <f t="shared" si="7"/>
        <v>100.6695</v>
      </c>
      <c r="H17" s="19">
        <f>SUM(($B17*60*('Ducati Panigale'!$J$15/'Ducati Panigale'!$K$15)*'Ducati Panigale'!$K$40*PI()*('Ducati Panigale'!$J$9/'Ducati Panigale'!$K$9)/1000)*('Ducati Panigale'!$J$10/'Ducati Panigale'!$K$10))</f>
        <v>92.171356063322349</v>
      </c>
      <c r="I17" s="19">
        <f>SUM(($B17*60*('Ducati Panigale'!$J$17/'Ducati Panigale'!$K$17)*'Ducati Panigale'!$K$40*PI()*('Ducati Panigale'!$J$9/'Ducati Panigale'!$K$9)/1000)*('Ducati Panigale'!$J$10/'Ducati Panigale'!$K$10))</f>
        <v>121.25653953219295</v>
      </c>
      <c r="J17" s="19">
        <f>SUM(($B17*60*('Ducati Panigale'!$J$19/'Ducati Panigale'!$K$19)*'Ducati Panigale'!$K$40*PI()*('Ducati Panigale'!$J$9/'Ducati Panigale'!$K$9)/1000)*('Ducati Panigale'!$J$10/'Ducati Panigale'!$K$10))</f>
        <v>151.57067441524117</v>
      </c>
      <c r="K17" s="19">
        <f>SUM(($B17*60*('Ducati Panigale'!$J$21/'Ducati Panigale'!$K$21)*'Ducati Panigale'!$K$40*PI()*('Ducati Panigale'!$J$9/'Ducati Panigale'!$K$9)/1000)*('Ducati Panigale'!$J$10/'Ducati Panigale'!$K$10))</f>
        <v>181.88480929828944</v>
      </c>
      <c r="L17" s="19">
        <f>SUM(($B17*60*('Ducati Panigale'!$J$23/'Ducati Panigale'!$K$23)*'Ducati Panigale'!$K$40*PI()*('Ducati Panigale'!$J$9/'Ducati Panigale'!$K$9)/1000)*('Ducati Panigale'!$J$10/'Ducati Panigale'!$K$10))</f>
        <v>208.40967732095663</v>
      </c>
      <c r="M17" s="19">
        <f>SUM(($B17*60*('Ducati Panigale'!$J$25/'Ducati Panigale'!$K$25)*'Ducati Panigale'!$K$40*PI()*('Ducati Panigale'!$J$9/'Ducati Panigale'!$K$9)/1000)*('Ducati Panigale'!$J$10/'Ducati Panigale'!$K$10))</f>
        <v>237.24105560646444</v>
      </c>
      <c r="O17" s="20">
        <f t="shared" si="8"/>
        <v>5272.7877809035881</v>
      </c>
      <c r="P17" s="20">
        <f t="shared" si="5"/>
        <v>4008.031252376039</v>
      </c>
      <c r="Q17" s="20">
        <f t="shared" si="5"/>
        <v>3206.4250019008314</v>
      </c>
      <c r="R17" s="20">
        <f t="shared" si="5"/>
        <v>2672.020834917359</v>
      </c>
      <c r="S17" s="20">
        <f t="shared" si="5"/>
        <v>2331.945455927877</v>
      </c>
      <c r="T17" s="20">
        <f t="shared" si="5"/>
        <v>2048.5493067699758</v>
      </c>
      <c r="V17" s="1">
        <v>8500</v>
      </c>
      <c r="W17" s="15">
        <v>2048.5493067699758</v>
      </c>
      <c r="X17">
        <v>552.73</v>
      </c>
    </row>
    <row r="18" spans="2:24" x14ac:dyDescent="0.2">
      <c r="B18" s="1">
        <v>9000</v>
      </c>
      <c r="C18" s="1">
        <v>150</v>
      </c>
      <c r="D18" s="1">
        <v>87</v>
      </c>
      <c r="E18" s="19">
        <f t="shared" si="6"/>
        <v>117.95459999999999</v>
      </c>
      <c r="F18" s="19">
        <f t="shared" si="7"/>
        <v>111.855</v>
      </c>
      <c r="H18" s="19">
        <f>SUM(($B18*60*('Ducati Panigale'!$J$15/'Ducati Panigale'!$K$15)*'Ducati Panigale'!$K$40*PI()*('Ducati Panigale'!$J$9/'Ducati Panigale'!$K$9)/1000)*('Ducati Panigale'!$J$10/'Ducati Panigale'!$K$10))</f>
        <v>97.59320053763544</v>
      </c>
      <c r="I18" s="19">
        <f>SUM(($B18*60*('Ducati Panigale'!$J$17/'Ducati Panigale'!$K$17)*'Ducati Panigale'!$K$40*PI()*('Ducati Panigale'!$J$9/'Ducati Panigale'!$K$9)/1000)*('Ducati Panigale'!$J$10/'Ducati Panigale'!$K$10))</f>
        <v>128.38927715173372</v>
      </c>
      <c r="J18" s="19">
        <f>SUM(($B18*60*('Ducati Panigale'!$J$19/'Ducati Panigale'!$K$19)*'Ducati Panigale'!$K$40*PI()*('Ducati Panigale'!$J$9/'Ducati Panigale'!$K$9)/1000)*('Ducati Panigale'!$J$10/'Ducati Panigale'!$K$10))</f>
        <v>160.48659643966712</v>
      </c>
      <c r="K18" s="19">
        <f>SUM(($B18*60*('Ducati Panigale'!$J$21/'Ducati Panigale'!$K$21)*'Ducati Panigale'!$K$40*PI()*('Ducati Panigale'!$J$9/'Ducati Panigale'!$K$9)/1000)*('Ducati Panigale'!$J$10/'Ducati Panigale'!$K$10))</f>
        <v>192.58391572760058</v>
      </c>
      <c r="L18" s="19">
        <f>SUM(($B18*60*('Ducati Panigale'!$J$23/'Ducati Panigale'!$K$23)*'Ducati Panigale'!$K$40*PI()*('Ducati Panigale'!$J$9/'Ducati Panigale'!$K$9)/1000)*('Ducati Panigale'!$J$10/'Ducati Panigale'!$K$10))</f>
        <v>220.6690701045423</v>
      </c>
      <c r="M18" s="19">
        <f>SUM(($B18*60*('Ducati Panigale'!$J$25/'Ducati Panigale'!$K$25)*'Ducati Panigale'!$K$40*PI()*('Ducati Panigale'!$J$9/'Ducati Panigale'!$K$9)/1000)*('Ducati Panigale'!$J$10/'Ducati Panigale'!$K$10))</f>
        <v>251.19641181860942</v>
      </c>
      <c r="O18" s="20">
        <f t="shared" si="8"/>
        <v>5533.1723626766043</v>
      </c>
      <c r="P18" s="20">
        <f t="shared" si="5"/>
        <v>4205.9587216291766</v>
      </c>
      <c r="Q18" s="20">
        <f t="shared" si="5"/>
        <v>3364.7669773033417</v>
      </c>
      <c r="R18" s="20">
        <f t="shared" si="5"/>
        <v>2803.9724810861176</v>
      </c>
      <c r="S18" s="20">
        <f t="shared" si="5"/>
        <v>2447.1032562206124</v>
      </c>
      <c r="T18" s="20">
        <f t="shared" si="5"/>
        <v>2149.7122354993571</v>
      </c>
      <c r="V18" s="1">
        <v>9000</v>
      </c>
      <c r="W18" s="15">
        <v>2149.7122354993571</v>
      </c>
      <c r="X18">
        <v>613.5</v>
      </c>
    </row>
    <row r="19" spans="2:24" x14ac:dyDescent="0.2">
      <c r="B19" s="1">
        <v>9500</v>
      </c>
      <c r="C19" s="1">
        <v>155</v>
      </c>
      <c r="D19" s="1">
        <v>85</v>
      </c>
      <c r="E19" s="19">
        <f t="shared" si="6"/>
        <v>115.24299999999999</v>
      </c>
      <c r="F19" s="19">
        <f t="shared" si="7"/>
        <v>115.5835</v>
      </c>
      <c r="H19" s="19">
        <f>SUM(($B19*60*('Ducati Panigale'!$J$15/'Ducati Panigale'!$K$15)*'Ducati Panigale'!$K$40*PI()*('Ducati Panigale'!$J$9/'Ducati Panigale'!$K$9)/1000)*('Ducati Panigale'!$J$10/'Ducati Panigale'!$K$10))</f>
        <v>103.01504501194852</v>
      </c>
      <c r="I19" s="19">
        <f>SUM(($B19*60*('Ducati Panigale'!$J$17/'Ducati Panigale'!$K$17)*'Ducati Panigale'!$K$40*PI()*('Ducati Panigale'!$J$9/'Ducati Panigale'!$K$9)/1000)*('Ducati Panigale'!$J$10/'Ducati Panigale'!$K$10))</f>
        <v>135.52201477127448</v>
      </c>
      <c r="J19" s="19">
        <f>SUM(($B19*60*('Ducati Panigale'!$J$19/'Ducati Panigale'!$K$19)*'Ducati Panigale'!$K$40*PI()*('Ducati Panigale'!$J$9/'Ducati Panigale'!$K$9)/1000)*('Ducati Panigale'!$J$10/'Ducati Panigale'!$K$10))</f>
        <v>169.40251846409308</v>
      </c>
      <c r="K19" s="19">
        <f>SUM(($B19*60*('Ducati Panigale'!$J$21/'Ducati Panigale'!$K$21)*'Ducati Panigale'!$K$40*PI()*('Ducati Panigale'!$J$9/'Ducati Panigale'!$K$9)/1000)*('Ducati Panigale'!$J$10/'Ducati Panigale'!$K$10))</f>
        <v>203.28302215691173</v>
      </c>
      <c r="L19" s="19">
        <f>SUM(($B19*60*('Ducati Panigale'!$J$23/'Ducati Panigale'!$K$23)*'Ducati Panigale'!$K$40*PI()*('Ducati Panigale'!$J$9/'Ducati Panigale'!$K$9)/1000)*('Ducati Panigale'!$J$10/'Ducati Panigale'!$K$10))</f>
        <v>232.928462888128</v>
      </c>
      <c r="M19" s="19">
        <f>SUM(($B19*60*('Ducati Panigale'!$J$25/'Ducati Panigale'!$K$25)*'Ducati Panigale'!$K$40*PI()*('Ducati Panigale'!$J$9/'Ducati Panigale'!$K$9)/1000)*('Ducati Panigale'!$J$10/'Ducati Panigale'!$K$10))</f>
        <v>265.1517680307544</v>
      </c>
      <c r="O19" s="20">
        <f t="shared" si="8"/>
        <v>5416.6845234623606</v>
      </c>
      <c r="P19" s="20">
        <f t="shared" si="5"/>
        <v>4117.4122222264568</v>
      </c>
      <c r="Q19" s="20">
        <f t="shared" si="5"/>
        <v>3293.9297777811657</v>
      </c>
      <c r="R19" s="20">
        <f t="shared" si="5"/>
        <v>2744.9414814843049</v>
      </c>
      <c r="S19" s="20">
        <f t="shared" si="5"/>
        <v>2395.5852929317566</v>
      </c>
      <c r="T19" s="20">
        <f t="shared" si="5"/>
        <v>2104.4551358046333</v>
      </c>
      <c r="V19" s="1">
        <v>9500</v>
      </c>
      <c r="W19" s="15">
        <v>2104.4551358046333</v>
      </c>
      <c r="X19">
        <v>677.74</v>
      </c>
    </row>
    <row r="20" spans="2:24" x14ac:dyDescent="0.2">
      <c r="B20" s="1">
        <v>10000</v>
      </c>
      <c r="C20" s="1">
        <v>160</v>
      </c>
      <c r="D20" s="1">
        <v>83</v>
      </c>
      <c r="E20" s="19">
        <f t="shared" si="6"/>
        <v>112.53139999999999</v>
      </c>
      <c r="F20" s="19">
        <f t="shared" si="7"/>
        <v>119.31200000000001</v>
      </c>
      <c r="H20" s="19">
        <f>SUM(($B20*60*('Ducati Panigale'!$J$15/'Ducati Panigale'!$K$15)*'Ducati Panigale'!$K$40*PI()*('Ducati Panigale'!$J$9/'Ducati Panigale'!$K$9)/1000)*('Ducati Panigale'!$J$10/'Ducati Panigale'!$K$10))</f>
        <v>108.43688948626159</v>
      </c>
      <c r="I20" s="19">
        <f>SUM(($B20*60*('Ducati Panigale'!$J$17/'Ducati Panigale'!$K$17)*'Ducati Panigale'!$K$40*PI()*('Ducati Panigale'!$J$9/'Ducati Panigale'!$K$9)/1000)*('Ducati Panigale'!$J$10/'Ducati Panigale'!$K$10))</f>
        <v>142.65475239081522</v>
      </c>
      <c r="J20" s="19">
        <f>SUM(($B20*60*('Ducati Panigale'!$J$19/'Ducati Panigale'!$K$19)*'Ducati Panigale'!$K$40*PI()*('Ducati Panigale'!$J$9/'Ducati Panigale'!$K$9)/1000)*('Ducati Panigale'!$J$10/'Ducati Panigale'!$K$10))</f>
        <v>178.31844048851906</v>
      </c>
      <c r="K20" s="19">
        <f>SUM(($B20*60*('Ducati Panigale'!$J$21/'Ducati Panigale'!$K$21)*'Ducati Panigale'!$K$40*PI()*('Ducati Panigale'!$J$9/'Ducati Panigale'!$K$9)/1000)*('Ducati Panigale'!$J$10/'Ducati Panigale'!$K$10))</f>
        <v>213.98212858622279</v>
      </c>
      <c r="L20" s="19">
        <f>SUM(($B20*60*('Ducati Panigale'!$J$23/'Ducati Panigale'!$K$23)*'Ducati Panigale'!$K$40*PI()*('Ducati Panigale'!$J$9/'Ducati Panigale'!$K$9)/1000)*('Ducati Panigale'!$J$10/'Ducati Panigale'!$K$10))</f>
        <v>245.18785567171366</v>
      </c>
      <c r="M20" s="19">
        <f>SUM(($B20*60*('Ducati Panigale'!$J$25/'Ducati Panigale'!$K$25)*'Ducati Panigale'!$K$40*PI()*('Ducati Panigale'!$J$9/'Ducati Panigale'!$K$9)/1000)*('Ducati Panigale'!$J$10/'Ducati Panigale'!$K$10))</f>
        <v>279.10712424289937</v>
      </c>
      <c r="O20" s="20">
        <f t="shared" si="8"/>
        <v>5311.8454681695412</v>
      </c>
      <c r="P20" s="20">
        <f t="shared" si="5"/>
        <v>4037.7203727640103</v>
      </c>
      <c r="Q20" s="20">
        <f t="shared" si="5"/>
        <v>3230.1762982112073</v>
      </c>
      <c r="R20" s="20">
        <f t="shared" si="5"/>
        <v>2691.813581842674</v>
      </c>
      <c r="S20" s="20">
        <f t="shared" si="5"/>
        <v>2349.2191259717879</v>
      </c>
      <c r="T20" s="20">
        <f t="shared" si="5"/>
        <v>2063.7237460793826</v>
      </c>
      <c r="V20" s="1">
        <v>10000</v>
      </c>
      <c r="W20" s="15">
        <v>2063.7237460793826</v>
      </c>
      <c r="X20">
        <v>745.45</v>
      </c>
    </row>
    <row r="21" spans="2:24" x14ac:dyDescent="0.2">
      <c r="B21" s="1">
        <v>10500</v>
      </c>
      <c r="C21" s="1">
        <v>172</v>
      </c>
      <c r="D21" s="1">
        <v>85</v>
      </c>
      <c r="E21" s="19">
        <f t="shared" si="6"/>
        <v>115.24299999999999</v>
      </c>
      <c r="F21" s="19">
        <f t="shared" si="7"/>
        <v>128.2604</v>
      </c>
      <c r="H21" s="19">
        <f>SUM(($B21*60*('Ducati Panigale'!$J$15/'Ducati Panigale'!$K$15)*'Ducati Panigale'!$K$40*PI()*('Ducati Panigale'!$J$9/'Ducati Panigale'!$K$9)/1000)*('Ducati Panigale'!$J$10/'Ducati Panigale'!$K$10))</f>
        <v>113.85873396057465</v>
      </c>
      <c r="I21" s="19">
        <f>SUM(($B21*60*('Ducati Panigale'!$J$17/'Ducati Panigale'!$K$17)*'Ducati Panigale'!$K$40*PI()*('Ducati Panigale'!$J$9/'Ducati Panigale'!$K$9)/1000)*('Ducati Panigale'!$J$10/'Ducati Panigale'!$K$10))</f>
        <v>149.78749001035601</v>
      </c>
      <c r="J21" s="19">
        <f>SUM(($B21*60*('Ducati Panigale'!$J$19/'Ducati Panigale'!$K$19)*'Ducati Panigale'!$K$40*PI()*('Ducati Panigale'!$J$9/'Ducati Panigale'!$K$9)/1000)*('Ducati Panigale'!$J$10/'Ducati Panigale'!$K$10))</f>
        <v>187.23436251294501</v>
      </c>
      <c r="K21" s="19">
        <f>SUM(($B21*60*('Ducati Panigale'!$J$21/'Ducati Panigale'!$K$21)*'Ducati Panigale'!$K$40*PI()*('Ducati Panigale'!$J$9/'Ducati Panigale'!$K$9)/1000)*('Ducati Panigale'!$J$10/'Ducati Panigale'!$K$10))</f>
        <v>224.68123501553399</v>
      </c>
      <c r="L21" s="19">
        <f>SUM(($B21*60*('Ducati Panigale'!$J$23/'Ducati Panigale'!$K$23)*'Ducati Panigale'!$K$40*PI()*('Ducati Panigale'!$J$9/'Ducati Panigale'!$K$9)/1000)*('Ducati Panigale'!$J$10/'Ducati Panigale'!$K$10))</f>
        <v>257.44724845529936</v>
      </c>
      <c r="M21" s="19">
        <f>SUM(($B21*60*('Ducati Panigale'!$J$25/'Ducati Panigale'!$K$25)*'Ducati Panigale'!$K$40*PI()*('Ducati Panigale'!$J$9/'Ducati Panigale'!$K$9)/1000)*('Ducati Panigale'!$J$10/'Ducati Panigale'!$K$10))</f>
        <v>293.06248045504435</v>
      </c>
      <c r="O21" s="20">
        <f t="shared" si="8"/>
        <v>5438.3179793164354</v>
      </c>
      <c r="P21" s="20">
        <f t="shared" si="5"/>
        <v>4133.8565721155337</v>
      </c>
      <c r="Q21" s="20">
        <f t="shared" si="5"/>
        <v>3307.0852576924267</v>
      </c>
      <c r="R21" s="20">
        <f t="shared" si="5"/>
        <v>2755.9043814103561</v>
      </c>
      <c r="S21" s="20">
        <f t="shared" si="5"/>
        <v>2405.1529146854014</v>
      </c>
      <c r="T21" s="20">
        <f t="shared" si="5"/>
        <v>2112.8600257479393</v>
      </c>
      <c r="V21" s="1">
        <v>10500</v>
      </c>
      <c r="W21" s="15">
        <v>2112.8600257479393</v>
      </c>
      <c r="X21">
        <v>816.63</v>
      </c>
    </row>
    <row r="22" spans="2:24" x14ac:dyDescent="0.2">
      <c r="B22" s="1">
        <v>11000</v>
      </c>
      <c r="C22" s="1">
        <v>171</v>
      </c>
      <c r="D22" s="1">
        <v>81</v>
      </c>
      <c r="E22" s="19">
        <f t="shared" si="6"/>
        <v>109.81979999999999</v>
      </c>
      <c r="F22" s="19">
        <f t="shared" si="7"/>
        <v>127.5147</v>
      </c>
      <c r="H22" s="19">
        <f>SUM(($B22*60*('Ducati Panigale'!$J$15/'Ducati Panigale'!$K$15)*'Ducati Panigale'!$K$40*PI()*('Ducati Panigale'!$J$9/'Ducati Panigale'!$K$9)/1000)*('Ducati Panigale'!$J$10/'Ducati Panigale'!$K$10))</f>
        <v>119.28057843488773</v>
      </c>
      <c r="I22" s="19">
        <f>SUM(($B22*60*('Ducati Panigale'!$J$17/'Ducati Panigale'!$K$17)*'Ducati Panigale'!$K$40*PI()*('Ducati Panigale'!$J$9/'Ducati Panigale'!$K$9)/1000)*('Ducati Panigale'!$J$10/'Ducati Panigale'!$K$10))</f>
        <v>156.92022762989674</v>
      </c>
      <c r="J22" s="19">
        <f>SUM(($B22*60*('Ducati Panigale'!$J$19/'Ducati Panigale'!$K$19)*'Ducati Panigale'!$K$40*PI()*('Ducati Panigale'!$J$9/'Ducati Panigale'!$K$9)/1000)*('Ducati Panigale'!$J$10/'Ducati Panigale'!$K$10))</f>
        <v>196.15028453737096</v>
      </c>
      <c r="K22" s="19">
        <f>SUM(($B22*60*('Ducati Panigale'!$J$21/'Ducati Panigale'!$K$21)*'Ducati Panigale'!$K$40*PI()*('Ducati Panigale'!$J$9/'Ducati Panigale'!$K$9)/1000)*('Ducati Panigale'!$J$10/'Ducati Panigale'!$K$10))</f>
        <v>235.38034144484516</v>
      </c>
      <c r="L22" s="19">
        <f>SUM(($B22*60*('Ducati Panigale'!$J$23/'Ducati Panigale'!$K$23)*'Ducati Panigale'!$K$40*PI()*('Ducati Panigale'!$J$9/'Ducati Panigale'!$K$9)/1000)*('Ducati Panigale'!$J$10/'Ducati Panigale'!$K$10))</f>
        <v>269.70664123888503</v>
      </c>
      <c r="M22" s="19">
        <f>SUM(($B22*60*('Ducati Panigale'!$J$25/'Ducati Panigale'!$K$25)*'Ducati Panigale'!$K$40*PI()*('Ducati Panigale'!$J$9/'Ducati Panigale'!$K$9)/1000)*('Ducati Panigale'!$J$10/'Ducati Panigale'!$K$10))</f>
        <v>307.01783666718927</v>
      </c>
      <c r="O22" s="20">
        <f t="shared" si="8"/>
        <v>5160.9407673692713</v>
      </c>
      <c r="P22" s="20">
        <f t="shared" si="8"/>
        <v>3923.0124076286688</v>
      </c>
      <c r="Q22" s="20">
        <f t="shared" si="8"/>
        <v>3138.4099261029342</v>
      </c>
      <c r="R22" s="20">
        <f t="shared" si="8"/>
        <v>2615.3416050857786</v>
      </c>
      <c r="S22" s="20">
        <f t="shared" si="8"/>
        <v>2282.4799462566798</v>
      </c>
      <c r="T22" s="20">
        <f t="shared" si="8"/>
        <v>2005.0952305657643</v>
      </c>
      <c r="V22" s="1">
        <v>11000</v>
      </c>
      <c r="W22" s="15">
        <v>2005.0952305657643</v>
      </c>
      <c r="X22">
        <v>891.28</v>
      </c>
    </row>
    <row r="23" spans="2:24" x14ac:dyDescent="0.2">
      <c r="B23" s="1">
        <v>11500</v>
      </c>
      <c r="C23" s="1">
        <v>170</v>
      </c>
      <c r="D23" s="1">
        <v>79</v>
      </c>
      <c r="E23" s="19">
        <f t="shared" si="6"/>
        <v>107.1082</v>
      </c>
      <c r="F23" s="19">
        <f t="shared" si="7"/>
        <v>126.76900000000001</v>
      </c>
      <c r="H23" s="19">
        <f>SUM(($B23*60*('Ducati Panigale'!$J$15/'Ducati Panigale'!$K$15)*'Ducati Panigale'!$K$40*PI()*('Ducati Panigale'!$J$9/'Ducati Panigale'!$K$9)/1000)*('Ducati Panigale'!$J$10/'Ducati Panigale'!$K$10))</f>
        <v>124.70242290920083</v>
      </c>
      <c r="I23" s="19">
        <f>SUM(($B23*60*('Ducati Panigale'!$J$17/'Ducati Panigale'!$K$17)*'Ducati Panigale'!$K$40*PI()*('Ducati Panigale'!$J$9/'Ducati Panigale'!$K$9)/1000)*('Ducati Panigale'!$J$10/'Ducati Panigale'!$K$10))</f>
        <v>164.05296524943748</v>
      </c>
      <c r="J23" s="19">
        <f>SUM(($B23*60*('Ducati Panigale'!$J$19/'Ducati Panigale'!$K$19)*'Ducati Panigale'!$K$40*PI()*('Ducati Panigale'!$J$9/'Ducati Panigale'!$K$9)/1000)*('Ducati Panigale'!$J$10/'Ducati Panigale'!$K$10))</f>
        <v>205.06620656179686</v>
      </c>
      <c r="K23" s="19">
        <f>SUM(($B23*60*('Ducati Panigale'!$J$21/'Ducati Panigale'!$K$21)*'Ducati Panigale'!$K$40*PI()*('Ducati Panigale'!$J$9/'Ducati Panigale'!$K$9)/1000)*('Ducati Panigale'!$J$10/'Ducati Panigale'!$K$10))</f>
        <v>246.07944787415627</v>
      </c>
      <c r="L23" s="19">
        <f>SUM(($B23*60*('Ducati Panigale'!$J$23/'Ducati Panigale'!$K$23)*'Ducati Panigale'!$K$40*PI()*('Ducati Panigale'!$J$9/'Ducati Panigale'!$K$9)/1000)*('Ducati Panigale'!$J$10/'Ducati Panigale'!$K$10))</f>
        <v>281.96603402247069</v>
      </c>
      <c r="M23" s="19">
        <f>SUM(($B23*60*('Ducati Panigale'!$J$25/'Ducati Panigale'!$K$25)*'Ducati Panigale'!$K$40*PI()*('Ducati Panigale'!$J$9/'Ducati Panigale'!$K$9)/1000)*('Ducati Panigale'!$J$10/'Ducati Panigale'!$K$10))</f>
        <v>320.97319287933425</v>
      </c>
      <c r="O23" s="20">
        <f t="shared" si="8"/>
        <v>4907.6833129827273</v>
      </c>
      <c r="P23" s="20">
        <f t="shared" si="8"/>
        <v>3730.5025183145754</v>
      </c>
      <c r="Q23" s="20">
        <f t="shared" si="8"/>
        <v>2984.4020146516596</v>
      </c>
      <c r="R23" s="20">
        <f t="shared" si="8"/>
        <v>2487.0016788763828</v>
      </c>
      <c r="S23" s="20">
        <f t="shared" si="8"/>
        <v>2170.4741924739342</v>
      </c>
      <c r="T23" s="20">
        <f t="shared" si="8"/>
        <v>1906.7012871385602</v>
      </c>
      <c r="V23" s="1">
        <v>11500</v>
      </c>
      <c r="W23" s="15">
        <v>1906.7012871385602</v>
      </c>
      <c r="X23">
        <v>969.41</v>
      </c>
    </row>
    <row r="24" spans="2:24" x14ac:dyDescent="0.2">
      <c r="B24" s="1">
        <v>12000</v>
      </c>
      <c r="C24" s="1">
        <v>170</v>
      </c>
      <c r="D24" s="1">
        <v>79</v>
      </c>
      <c r="E24" s="19">
        <f t="shared" ref="E24" si="9">SUM(D24*$C$29)</f>
        <v>107.1082</v>
      </c>
      <c r="F24" s="19">
        <f t="shared" ref="F24" si="10">SUM(0.7457*C24)</f>
        <v>126.76900000000001</v>
      </c>
      <c r="H24" s="19">
        <f>SUM(($B24*60*('Ducati Panigale'!$J$15/'Ducati Panigale'!$K$15)*'Ducati Panigale'!$K$40*PI()*('Ducati Panigale'!$J$9/'Ducati Panigale'!$K$9)/1000)*('Ducati Panigale'!$J$10/'Ducati Panigale'!$K$10))</f>
        <v>130.12426738351391</v>
      </c>
      <c r="I24" s="19">
        <f>SUM(($B24*60*('Ducati Panigale'!$J$17/'Ducati Panigale'!$K$17)*'Ducati Panigale'!$K$40*PI()*('Ducati Panigale'!$J$9/'Ducati Panigale'!$K$9)/1000)*('Ducati Panigale'!$J$10/'Ducati Panigale'!$K$10))</f>
        <v>171.18570286897827</v>
      </c>
      <c r="J24" s="19">
        <f>SUM(($B24*60*('Ducati Panigale'!$J$19/'Ducati Panigale'!$K$19)*'Ducati Panigale'!$K$40*PI()*('Ducati Panigale'!$J$9/'Ducati Panigale'!$K$9)/1000)*('Ducati Panigale'!$J$10/'Ducati Panigale'!$K$10))</f>
        <v>213.98212858622279</v>
      </c>
      <c r="K24" s="19">
        <f>SUM(($B24*60*('Ducati Panigale'!$J$21/'Ducati Panigale'!$K$21)*'Ducati Panigale'!$K$40*PI()*('Ducati Panigale'!$J$9/'Ducati Panigale'!$K$9)/1000)*('Ducati Panigale'!$J$10/'Ducati Panigale'!$K$10))</f>
        <v>256.77855430346744</v>
      </c>
      <c r="L24" s="19">
        <f>SUM(($B24*60*('Ducati Panigale'!$J$23/'Ducati Panigale'!$K$23)*'Ducati Panigale'!$K$40*PI()*('Ducati Panigale'!$J$9/'Ducati Panigale'!$K$9)/1000)*('Ducati Panigale'!$J$10/'Ducati Panigale'!$K$10))</f>
        <v>294.22542680605636</v>
      </c>
      <c r="M24" s="19">
        <f>SUM(($B24*60*('Ducati Panigale'!$J$25/'Ducati Panigale'!$K$25)*'Ducati Panigale'!$K$40*PI()*('Ducati Panigale'!$J$9/'Ducati Panigale'!$K$9)/1000)*('Ducati Panigale'!$J$10/'Ducati Panigale'!$K$10))</f>
        <v>334.92854909147923</v>
      </c>
      <c r="O24" s="20">
        <f t="shared" ref="O24" si="11">SUM($C24*1000)/(H24*(1000/3600))</f>
        <v>4703.196508275114</v>
      </c>
      <c r="P24" s="20">
        <f t="shared" ref="P24" si="12">SUM($C24*1000)/(I24*(1000/3600))</f>
        <v>3575.0649133848005</v>
      </c>
      <c r="Q24" s="20">
        <f t="shared" ref="Q24" si="13">SUM($C24*1000)/(J24*(1000/3600))</f>
        <v>2860.0519307078412</v>
      </c>
      <c r="R24" s="20">
        <f t="shared" ref="R24" si="14">SUM($C24*1000)/(K24*(1000/3600))</f>
        <v>2383.3766089231999</v>
      </c>
      <c r="S24" s="20">
        <f t="shared" ref="S24" si="15">SUM($C24*1000)/(L24*(1000/3600))</f>
        <v>2080.0377677875204</v>
      </c>
      <c r="T24" s="20">
        <f t="shared" ref="T24" si="16">SUM($C24*1000)/(M24*(1000/3600))</f>
        <v>1827.2554001744534</v>
      </c>
      <c r="V24" s="1">
        <v>12000</v>
      </c>
      <c r="W24" s="15">
        <v>1827.2554001744534</v>
      </c>
      <c r="X24">
        <v>1051</v>
      </c>
    </row>
    <row r="29" spans="2:24" x14ac:dyDescent="0.2">
      <c r="B29" t="s">
        <v>76</v>
      </c>
      <c r="C29">
        <v>1.3557999999999999</v>
      </c>
    </row>
    <row r="35" spans="2:7" x14ac:dyDescent="0.2">
      <c r="B35" s="141" t="s">
        <v>24</v>
      </c>
      <c r="C35" s="141"/>
      <c r="D35" s="141"/>
      <c r="E35" s="141"/>
      <c r="F35" s="141"/>
      <c r="G35" s="141"/>
    </row>
    <row r="36" spans="2:7" x14ac:dyDescent="0.2">
      <c r="B36" s="141"/>
      <c r="C36" s="141"/>
      <c r="D36" s="141"/>
      <c r="E36" s="141"/>
      <c r="F36" s="141"/>
      <c r="G36" s="141"/>
    </row>
    <row r="37" spans="2:7" x14ac:dyDescent="0.2">
      <c r="B37" s="141"/>
      <c r="C37" s="141"/>
      <c r="D37" s="141"/>
      <c r="E37" s="141"/>
      <c r="F37" s="141"/>
      <c r="G37" s="141"/>
    </row>
  </sheetData>
  <mergeCells count="7">
    <mergeCell ref="B35:G37"/>
    <mergeCell ref="E2:F3"/>
    <mergeCell ref="H2:M3"/>
    <mergeCell ref="O2:T3"/>
    <mergeCell ref="X2:X4"/>
    <mergeCell ref="W2:W4"/>
    <mergeCell ref="V2:V4"/>
  </mergeCells>
  <hyperlinks>
    <hyperlink ref="B35:E37" location="Menu!A1" display="RETURN TO MENU" xr:uid="{D8F1B74A-352C-C14B-9893-70D98478F7A5}"/>
  </hyperlink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2C7AC-6AA9-8149-BDC6-A2F330E1DC0E}">
  <dimension ref="B2:AG132"/>
  <sheetViews>
    <sheetView showGridLines="0" zoomScale="80" zoomScaleNormal="80" workbookViewId="0">
      <selection activeCell="Z47" sqref="Z47"/>
    </sheetView>
  </sheetViews>
  <sheetFormatPr baseColWidth="10" defaultRowHeight="16" x14ac:dyDescent="0.2"/>
  <cols>
    <col min="1" max="1" width="2" customWidth="1"/>
    <col min="2" max="2" width="18.1640625" bestFit="1" customWidth="1"/>
    <col min="3" max="3" width="10.83203125" style="1"/>
    <col min="5" max="5" width="13.1640625" bestFit="1" customWidth="1"/>
    <col min="6" max="6" width="19" bestFit="1" customWidth="1"/>
    <col min="7" max="7" width="11.83203125" style="16" bestFit="1" customWidth="1"/>
    <col min="8" max="8" width="2.83203125" customWidth="1"/>
    <col min="9" max="9" width="20.33203125" style="1" bestFit="1" customWidth="1"/>
    <col min="10" max="10" width="18.6640625" bestFit="1" customWidth="1"/>
    <col min="11" max="11" width="18.5" bestFit="1" customWidth="1"/>
    <col min="12" max="12" width="14.83203125" bestFit="1" customWidth="1"/>
    <col min="13" max="13" width="21.1640625" customWidth="1"/>
    <col min="14" max="14" width="12.1640625" bestFit="1" customWidth="1"/>
    <col min="23" max="24" width="10.83203125" hidden="1" customWidth="1"/>
  </cols>
  <sheetData>
    <row r="2" spans="2:33" ht="18" customHeight="1" x14ac:dyDescent="0.2">
      <c r="B2" s="159" t="s">
        <v>88</v>
      </c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89"/>
      <c r="X2" s="189"/>
      <c r="Y2" s="193"/>
      <c r="Z2" s="193"/>
      <c r="AA2" s="193"/>
      <c r="AB2" s="193"/>
      <c r="AC2" s="193"/>
      <c r="AD2" s="193"/>
      <c r="AE2" s="193"/>
      <c r="AF2" s="193"/>
      <c r="AG2" s="11"/>
    </row>
    <row r="3" spans="2:33" ht="16" customHeight="1" x14ac:dyDescent="0.2"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89"/>
      <c r="X3" s="189"/>
      <c r="Y3" s="193"/>
      <c r="Z3" s="193"/>
      <c r="AA3" s="193"/>
      <c r="AB3" s="193"/>
      <c r="AC3" s="193"/>
      <c r="AD3" s="193"/>
      <c r="AE3" s="193"/>
      <c r="AF3" s="193"/>
      <c r="AG3" s="11"/>
    </row>
    <row r="4" spans="2:33" ht="17" customHeight="1" x14ac:dyDescent="0.2"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89"/>
      <c r="X4" s="189"/>
      <c r="Y4" s="193"/>
      <c r="Z4" s="193"/>
      <c r="AA4" s="193"/>
      <c r="AB4" s="193"/>
      <c r="AC4" s="193"/>
      <c r="AD4" s="193"/>
      <c r="AE4" s="193"/>
      <c r="AF4" s="193"/>
      <c r="AG4" s="11"/>
    </row>
    <row r="5" spans="2:33" ht="17" thickBot="1" x14ac:dyDescent="0.25"/>
    <row r="6" spans="2:33" ht="19" customHeight="1" thickTop="1" x14ac:dyDescent="0.2">
      <c r="B6" s="165" t="s">
        <v>81</v>
      </c>
      <c r="C6" s="166"/>
      <c r="D6" s="166"/>
      <c r="E6" s="166"/>
      <c r="F6" s="166"/>
      <c r="G6" s="167"/>
      <c r="I6" s="171" t="s">
        <v>82</v>
      </c>
      <c r="J6" s="172"/>
      <c r="K6" s="172"/>
      <c r="L6" s="172"/>
      <c r="M6" s="172"/>
      <c r="N6" s="172"/>
    </row>
    <row r="7" spans="2:33" ht="19" customHeight="1" thickBot="1" x14ac:dyDescent="0.25">
      <c r="B7" s="168"/>
      <c r="C7" s="169"/>
      <c r="D7" s="169"/>
      <c r="E7" s="169"/>
      <c r="F7" s="169"/>
      <c r="G7" s="170"/>
      <c r="I7" s="171"/>
      <c r="J7" s="172"/>
      <c r="K7" s="172"/>
      <c r="L7" s="172"/>
      <c r="M7" s="172"/>
      <c r="N7" s="172"/>
    </row>
    <row r="8" spans="2:33" ht="21" thickTop="1" thickBot="1" x14ac:dyDescent="0.3">
      <c r="B8" s="2"/>
      <c r="C8" s="6"/>
      <c r="D8" s="2"/>
      <c r="E8" s="2"/>
      <c r="F8" s="2"/>
      <c r="G8" s="17"/>
      <c r="W8">
        <v>100</v>
      </c>
      <c r="X8">
        <v>48</v>
      </c>
    </row>
    <row r="9" spans="2:33" ht="21" thickTop="1" thickBot="1" x14ac:dyDescent="0.3">
      <c r="B9" s="55" t="s">
        <v>6</v>
      </c>
      <c r="C9" s="55" t="s">
        <v>5</v>
      </c>
      <c r="D9" s="55" t="s">
        <v>7</v>
      </c>
      <c r="E9" s="2"/>
      <c r="F9" s="54" t="s">
        <v>10</v>
      </c>
      <c r="G9" s="63">
        <v>0.39400000000000002</v>
      </c>
      <c r="I9" s="54" t="s">
        <v>36</v>
      </c>
      <c r="J9" s="1">
        <v>24</v>
      </c>
      <c r="K9" s="1">
        <v>73</v>
      </c>
      <c r="W9">
        <v>200</v>
      </c>
      <c r="X9">
        <v>50</v>
      </c>
    </row>
    <row r="10" spans="2:33" ht="21" thickTop="1" thickBot="1" x14ac:dyDescent="0.3">
      <c r="B10" s="42" t="s">
        <v>0</v>
      </c>
      <c r="C10" s="43">
        <v>55.5</v>
      </c>
      <c r="D10" s="44">
        <v>60.85</v>
      </c>
      <c r="E10" s="2"/>
      <c r="F10" s="54" t="s">
        <v>2</v>
      </c>
      <c r="G10" s="64">
        <v>1.5</v>
      </c>
      <c r="I10" s="54" t="s">
        <v>37</v>
      </c>
      <c r="J10" s="1">
        <v>14</v>
      </c>
      <c r="K10" s="1">
        <v>52</v>
      </c>
      <c r="W10">
        <v>300</v>
      </c>
      <c r="X10">
        <v>52</v>
      </c>
    </row>
    <row r="11" spans="2:33" ht="21" thickTop="1" thickBot="1" x14ac:dyDescent="0.3">
      <c r="B11" s="42" t="s">
        <v>1</v>
      </c>
      <c r="C11" s="43">
        <v>57.75</v>
      </c>
      <c r="D11" s="44">
        <v>52.3</v>
      </c>
      <c r="E11" s="2"/>
      <c r="F11" s="54" t="s">
        <v>11</v>
      </c>
      <c r="G11" s="64">
        <v>0.34399999999999997</v>
      </c>
      <c r="I11" s="9"/>
      <c r="J11" s="1"/>
      <c r="K11" s="1"/>
      <c r="W11">
        <v>400</v>
      </c>
    </row>
    <row r="12" spans="2:33" ht="23" thickTop="1" thickBot="1" x14ac:dyDescent="0.3">
      <c r="B12" s="42" t="s">
        <v>8</v>
      </c>
      <c r="C12" s="43">
        <f>SUM(C10:C11)</f>
        <v>113.25</v>
      </c>
      <c r="D12" s="44">
        <f>SUM(D10:D11)</f>
        <v>113.15</v>
      </c>
      <c r="E12" s="2"/>
      <c r="F12" s="54" t="s">
        <v>12</v>
      </c>
      <c r="G12" s="64">
        <v>0.33500000000000002</v>
      </c>
      <c r="I12" s="54" t="s">
        <v>28</v>
      </c>
      <c r="J12" s="73">
        <v>3000</v>
      </c>
      <c r="K12" s="1"/>
      <c r="W12">
        <v>500</v>
      </c>
    </row>
    <row r="13" spans="2:33" ht="21" thickTop="1" thickBot="1" x14ac:dyDescent="0.3">
      <c r="B13" s="2"/>
      <c r="C13" s="6"/>
      <c r="D13" s="2"/>
      <c r="E13" s="2"/>
      <c r="F13" s="54" t="s">
        <v>3</v>
      </c>
      <c r="G13" s="64">
        <f>AVERAGE(G11:G12)</f>
        <v>0.33950000000000002</v>
      </c>
      <c r="W13">
        <v>600</v>
      </c>
    </row>
    <row r="14" spans="2:33" ht="21" thickTop="1" thickBot="1" x14ac:dyDescent="0.3">
      <c r="B14" s="54" t="s">
        <v>9</v>
      </c>
      <c r="C14" s="54" t="s">
        <v>5</v>
      </c>
      <c r="D14" s="54" t="s">
        <v>7</v>
      </c>
      <c r="E14" s="2"/>
      <c r="F14" s="54" t="s">
        <v>4</v>
      </c>
      <c r="G14" s="65">
        <v>87.75</v>
      </c>
      <c r="I14" s="55" t="s">
        <v>57</v>
      </c>
      <c r="J14" s="55" t="s">
        <v>53</v>
      </c>
      <c r="K14" s="55" t="s">
        <v>54</v>
      </c>
      <c r="L14" s="55" t="s">
        <v>48</v>
      </c>
      <c r="M14" s="62" t="s">
        <v>56</v>
      </c>
      <c r="N14" s="62" t="s">
        <v>85</v>
      </c>
      <c r="W14">
        <v>700</v>
      </c>
    </row>
    <row r="15" spans="2:33" ht="21" thickTop="1" thickBot="1" x14ac:dyDescent="0.3">
      <c r="B15" s="42" t="s">
        <v>0</v>
      </c>
      <c r="C15" s="43">
        <v>86.2</v>
      </c>
      <c r="D15" s="44">
        <v>104.27</v>
      </c>
      <c r="E15" s="2"/>
      <c r="F15" s="54" t="s">
        <v>58</v>
      </c>
      <c r="G15" s="66">
        <f>DEGREES(ASIN(G9/G10))</f>
        <v>15.228351731900309</v>
      </c>
      <c r="I15" s="55" t="s">
        <v>29</v>
      </c>
      <c r="J15" s="56">
        <v>14</v>
      </c>
      <c r="K15" s="56">
        <v>32</v>
      </c>
      <c r="L15" s="58">
        <f>SUM(($J$12*60*(J15/K15)*$K$43*PI()*($J$9/$K$9)/1000)*($J$10/$K$10))</f>
        <v>14.917228700591989</v>
      </c>
      <c r="M15" s="45"/>
      <c r="N15" s="57"/>
      <c r="W15">
        <v>800</v>
      </c>
    </row>
    <row r="16" spans="2:33" ht="21" thickTop="1" thickBot="1" x14ac:dyDescent="0.3">
      <c r="B16" s="42" t="s">
        <v>1</v>
      </c>
      <c r="C16" s="43">
        <v>114.5</v>
      </c>
      <c r="D16" s="44">
        <v>96.24</v>
      </c>
      <c r="E16" s="2"/>
      <c r="F16" s="54" t="s">
        <v>58</v>
      </c>
      <c r="G16" s="67">
        <f>RADIANS(G15)</f>
        <v>0.2657848773734412</v>
      </c>
      <c r="I16" s="59"/>
      <c r="J16" s="56"/>
      <c r="K16" s="56"/>
      <c r="L16" s="58"/>
      <c r="M16" s="60">
        <f>SUM($J$12-N16)</f>
        <v>867.1875</v>
      </c>
      <c r="N16" s="60">
        <f>SUM($J$12*(J15/K15)*(K17/J17))</f>
        <v>2132.8125</v>
      </c>
      <c r="W16">
        <v>900</v>
      </c>
    </row>
    <row r="17" spans="2:23" ht="21" thickTop="1" thickBot="1" x14ac:dyDescent="0.3">
      <c r="B17" s="42" t="s">
        <v>8</v>
      </c>
      <c r="C17" s="43">
        <f>SUM(C15:C16)</f>
        <v>200.7</v>
      </c>
      <c r="D17" s="44">
        <f>SUM(D15:D16)</f>
        <v>200.51</v>
      </c>
      <c r="E17" s="2"/>
      <c r="F17" s="2"/>
      <c r="G17" s="17"/>
      <c r="I17" s="55" t="s">
        <v>30</v>
      </c>
      <c r="J17" s="56">
        <v>16</v>
      </c>
      <c r="K17" s="56">
        <v>26</v>
      </c>
      <c r="L17" s="58">
        <f>SUM(($J$12*60*(J17/K17)*$K$43*PI()*($J$9/$K$9)/1000)*($J$10/$K$10))</f>
        <v>20.982475534898622</v>
      </c>
      <c r="M17" s="61"/>
      <c r="N17" s="61"/>
      <c r="W17">
        <v>1000</v>
      </c>
    </row>
    <row r="18" spans="2:23" ht="21" thickTop="1" thickBot="1" x14ac:dyDescent="0.3">
      <c r="I18" s="59"/>
      <c r="J18" s="56"/>
      <c r="K18" s="56"/>
      <c r="L18" s="58"/>
      <c r="M18" s="60">
        <f>SUM($J$12-N18)</f>
        <v>692.30769230769238</v>
      </c>
      <c r="N18" s="60">
        <f>SUM($J$12*(J17/K17)*(K19/J19))</f>
        <v>2307.6923076923076</v>
      </c>
      <c r="W18">
        <v>1100</v>
      </c>
    </row>
    <row r="19" spans="2:23" ht="21" thickTop="1" thickBot="1" x14ac:dyDescent="0.3">
      <c r="B19" s="162" t="s">
        <v>55</v>
      </c>
      <c r="C19" s="163"/>
      <c r="D19" s="163"/>
      <c r="E19" s="163"/>
      <c r="F19" s="163"/>
      <c r="G19" s="164"/>
      <c r="I19" s="55" t="s">
        <v>31</v>
      </c>
      <c r="J19" s="56">
        <v>20</v>
      </c>
      <c r="K19" s="56">
        <v>25</v>
      </c>
      <c r="L19" s="58">
        <f>SUM(($J$12*60*(J19/K19)*$K$43*PI()*($J$9/$K$9)/1000)*($J$10/$K$10))</f>
        <v>27.27721819536821</v>
      </c>
      <c r="M19" s="61"/>
      <c r="N19" s="61"/>
      <c r="W19">
        <v>1200</v>
      </c>
    </row>
    <row r="20" spans="2:23" ht="21" thickTop="1" thickBot="1" x14ac:dyDescent="0.3">
      <c r="I20" s="59"/>
      <c r="J20" s="56"/>
      <c r="K20" s="56"/>
      <c r="L20" s="58"/>
      <c r="M20" s="60">
        <f>SUM($J$12-N20)</f>
        <v>490.90909090909099</v>
      </c>
      <c r="N20" s="60">
        <f>SUM($J$12*(J19/K19)*(K21/J21))</f>
        <v>2509.090909090909</v>
      </c>
      <c r="O20" s="59"/>
      <c r="W20">
        <v>1300</v>
      </c>
    </row>
    <row r="21" spans="2:23" ht="21" thickTop="1" thickBot="1" x14ac:dyDescent="0.3">
      <c r="B21" s="162" t="s">
        <v>20</v>
      </c>
      <c r="C21" s="164"/>
      <c r="E21" s="195" t="s">
        <v>134</v>
      </c>
      <c r="F21" s="55" t="s">
        <v>25</v>
      </c>
      <c r="G21" s="55" t="s">
        <v>26</v>
      </c>
      <c r="I21" s="55" t="s">
        <v>32</v>
      </c>
      <c r="J21" s="56">
        <v>22</v>
      </c>
      <c r="K21" s="56">
        <v>23</v>
      </c>
      <c r="L21" s="58">
        <f>SUM(($J$12*60*(J21/K21)*$K$43*PI()*($J$9/$K$9)/1000)*($J$10/$K$10))</f>
        <v>32.61406523359242</v>
      </c>
      <c r="M21" s="61"/>
      <c r="N21" s="61"/>
      <c r="W21">
        <v>1400</v>
      </c>
    </row>
    <row r="22" spans="2:23" ht="21" thickTop="1" thickBot="1" x14ac:dyDescent="0.3">
      <c r="B22" s="42" t="s">
        <v>22</v>
      </c>
      <c r="C22" s="68">
        <f>SUM(C11*G10)/C12</f>
        <v>0.76490066225165565</v>
      </c>
      <c r="E22" s="54" t="s">
        <v>27</v>
      </c>
      <c r="F22" s="48">
        <f>SUM(($G$10-C22)/$G$10)</f>
        <v>0.49006622516556292</v>
      </c>
      <c r="G22" s="69">
        <f>SUM(C22/$G$10)</f>
        <v>0.50993377483443714</v>
      </c>
      <c r="I22" s="59"/>
      <c r="J22" s="56"/>
      <c r="K22" s="56"/>
      <c r="L22" s="58"/>
      <c r="M22" s="60">
        <f>SUM($J$12-N22)</f>
        <v>474.78260869565202</v>
      </c>
      <c r="N22" s="60">
        <f>SUM($J$12*(J21/K21)*(K23/J23))</f>
        <v>2525.217391304348</v>
      </c>
      <c r="W22">
        <v>1500</v>
      </c>
    </row>
    <row r="23" spans="2:23" ht="21" thickTop="1" thickBot="1" x14ac:dyDescent="0.3">
      <c r="B23" s="71" t="s">
        <v>23</v>
      </c>
      <c r="C23" s="72">
        <f>SUM(C16*G10)/C17</f>
        <v>0.85575485799701057</v>
      </c>
      <c r="E23" s="54" t="s">
        <v>9</v>
      </c>
      <c r="F23" s="49">
        <f>SUM(($G$10-C23)/$G$10)</f>
        <v>0.42949676133532627</v>
      </c>
      <c r="G23" s="70">
        <f>SUM(C23/$G$10)</f>
        <v>0.57050323866467367</v>
      </c>
      <c r="I23" s="55" t="s">
        <v>33</v>
      </c>
      <c r="J23" s="56">
        <v>25</v>
      </c>
      <c r="K23" s="56">
        <v>22</v>
      </c>
      <c r="L23" s="58">
        <f>SUM(($J$12*60*(J23/K23)*$K$43*PI()*($J$9/$K$9)/1000)*($J$10/$K$10))</f>
        <v>38.746048572966217</v>
      </c>
      <c r="M23" s="61"/>
      <c r="N23" s="61"/>
      <c r="W23">
        <v>1600</v>
      </c>
    </row>
    <row r="24" spans="2:23" ht="21" thickTop="1" thickBot="1" x14ac:dyDescent="0.3">
      <c r="I24" s="59"/>
      <c r="J24" s="56"/>
      <c r="K24" s="56"/>
      <c r="L24" s="58"/>
      <c r="M24" s="60">
        <f>SUM($J$12-N24)</f>
        <v>377.62237762237737</v>
      </c>
      <c r="N24" s="60">
        <f>SUM($J$12*(J23/K23)*(K25/J25))</f>
        <v>2622.3776223776226</v>
      </c>
      <c r="W24">
        <v>1700</v>
      </c>
    </row>
    <row r="25" spans="2:23" ht="21" thickTop="1" thickBot="1" x14ac:dyDescent="0.3">
      <c r="B25" s="162" t="s">
        <v>21</v>
      </c>
      <c r="C25" s="164"/>
      <c r="I25" s="55" t="s">
        <v>34</v>
      </c>
      <c r="J25" s="56">
        <v>26</v>
      </c>
      <c r="K25" s="56">
        <v>20</v>
      </c>
      <c r="L25" s="58">
        <f>SUM(($J$12*60*(J25/K25)*$K$43*PI()*($J$9/$K$9)/1000)*($J$10/$K$10))</f>
        <v>44.325479567473337</v>
      </c>
      <c r="M25" s="45"/>
      <c r="N25" s="45"/>
      <c r="W25">
        <v>1800</v>
      </c>
    </row>
    <row r="26" spans="2:23" ht="21" thickTop="1" thickBot="1" x14ac:dyDescent="0.3">
      <c r="B26" s="42" t="s">
        <v>19</v>
      </c>
      <c r="C26" s="68">
        <f>SUM(($G$10*($C$11-$D$11))/($C$12*(TAN($G$16))))+($G$13)</f>
        <v>0.60466785750865681</v>
      </c>
      <c r="D26" s="5"/>
      <c r="I26" s="111"/>
      <c r="J26" s="112"/>
      <c r="K26" s="112"/>
      <c r="L26" s="113"/>
      <c r="M26" s="114"/>
      <c r="N26" s="114"/>
      <c r="W26">
        <v>1900</v>
      </c>
    </row>
    <row r="27" spans="2:23" ht="24" customHeight="1" thickTop="1" thickBot="1" x14ac:dyDescent="0.3">
      <c r="B27" s="71" t="s">
        <v>18</v>
      </c>
      <c r="C27" s="72">
        <f>SUM(($G$10*($C$16-$D$16))/($C$17*(TAN($G$16))))+($G$13)</f>
        <v>0.84082110557611578</v>
      </c>
      <c r="D27" s="4"/>
      <c r="E27" s="7"/>
      <c r="I27" s="176" t="s">
        <v>133</v>
      </c>
      <c r="J27" s="177"/>
      <c r="K27" s="177"/>
      <c r="L27" s="177"/>
      <c r="M27" s="177"/>
      <c r="N27" s="178"/>
      <c r="W27">
        <v>2000</v>
      </c>
    </row>
    <row r="28" spans="2:23" ht="19" customHeight="1" thickTop="1" thickBot="1" x14ac:dyDescent="0.3">
      <c r="B28" s="8"/>
      <c r="C28" s="18"/>
      <c r="D28" s="4"/>
      <c r="E28" s="7"/>
      <c r="I28" s="116" t="s">
        <v>93</v>
      </c>
      <c r="J28" s="107">
        <v>0.49</v>
      </c>
      <c r="K28" s="100"/>
      <c r="L28" s="157" t="s">
        <v>130</v>
      </c>
      <c r="M28" s="158"/>
      <c r="N28" s="102">
        <f>L25</f>
        <v>44.325479567473337</v>
      </c>
      <c r="W28">
        <v>2100</v>
      </c>
    </row>
    <row r="29" spans="2:23" ht="19" customHeight="1" thickTop="1" thickBot="1" x14ac:dyDescent="0.3">
      <c r="B29" s="8"/>
      <c r="C29" s="18"/>
      <c r="D29" s="4"/>
      <c r="E29" s="7"/>
      <c r="I29" s="116" t="s">
        <v>135</v>
      </c>
      <c r="J29" s="92">
        <v>1</v>
      </c>
      <c r="K29" s="100"/>
      <c r="L29" s="157" t="s">
        <v>131</v>
      </c>
      <c r="M29" s="158"/>
      <c r="N29" s="103">
        <f>'Resistance to Motion Calc'!I27</f>
        <v>43.344981800133702</v>
      </c>
      <c r="W29">
        <v>2200</v>
      </c>
    </row>
    <row r="30" spans="2:23" ht="19" customHeight="1" thickTop="1" thickBot="1" x14ac:dyDescent="0.3">
      <c r="B30" s="8"/>
      <c r="C30" s="18"/>
      <c r="D30" s="4"/>
      <c r="E30" s="7"/>
      <c r="I30" s="116" t="s">
        <v>120</v>
      </c>
      <c r="J30" s="108">
        <v>0</v>
      </c>
      <c r="K30" s="100"/>
      <c r="L30" s="157" t="s">
        <v>120</v>
      </c>
      <c r="M30" s="158"/>
      <c r="N30" s="103">
        <f>'Resistance to Motion Calc'!I29</f>
        <v>0</v>
      </c>
      <c r="W30">
        <v>2300</v>
      </c>
    </row>
    <row r="31" spans="2:23" ht="21" thickTop="1" thickBot="1" x14ac:dyDescent="0.25">
      <c r="I31"/>
      <c r="K31" s="100"/>
      <c r="L31" s="157" t="s">
        <v>141</v>
      </c>
      <c r="M31" s="158"/>
      <c r="N31" s="103">
        <f>'Resistance to Motion Calc'!I28</f>
        <v>39.377340000000004</v>
      </c>
      <c r="W31">
        <v>2400</v>
      </c>
    </row>
    <row r="32" spans="2:23" ht="21" thickTop="1" thickBot="1" x14ac:dyDescent="0.25">
      <c r="I32"/>
      <c r="K32" s="100"/>
      <c r="L32" s="157" t="s">
        <v>132</v>
      </c>
      <c r="M32" s="158"/>
      <c r="N32" s="117">
        <f>SUM(N29:N31)</f>
        <v>82.722321800133699</v>
      </c>
      <c r="W32">
        <v>2500</v>
      </c>
    </row>
    <row r="33" spans="2:23" ht="17" thickTop="1" x14ac:dyDescent="0.2">
      <c r="W33">
        <v>2600</v>
      </c>
    </row>
    <row r="34" spans="2:23" ht="16" customHeight="1" x14ac:dyDescent="0.2">
      <c r="B34" s="152" t="s">
        <v>24</v>
      </c>
      <c r="C34" s="152"/>
      <c r="D34" s="152"/>
      <c r="E34" s="152"/>
      <c r="F34" s="152"/>
      <c r="G34" s="152"/>
      <c r="I34" s="160" t="s">
        <v>86</v>
      </c>
      <c r="J34" s="161"/>
      <c r="K34" s="161"/>
      <c r="M34" s="160" t="s">
        <v>87</v>
      </c>
      <c r="N34" s="161"/>
      <c r="W34">
        <v>2700</v>
      </c>
    </row>
    <row r="35" spans="2:23" ht="16" customHeight="1" x14ac:dyDescent="0.2">
      <c r="B35" s="152"/>
      <c r="C35" s="152"/>
      <c r="D35" s="152"/>
      <c r="E35" s="152"/>
      <c r="F35" s="152"/>
      <c r="G35" s="152"/>
      <c r="I35" s="160"/>
      <c r="J35" s="161"/>
      <c r="K35" s="161"/>
      <c r="M35" s="160"/>
      <c r="N35" s="161"/>
      <c r="W35">
        <v>2800</v>
      </c>
    </row>
    <row r="36" spans="2:23" ht="17" customHeight="1" thickBot="1" x14ac:dyDescent="0.25">
      <c r="B36" s="152"/>
      <c r="C36" s="152"/>
      <c r="D36" s="152"/>
      <c r="E36" s="152"/>
      <c r="F36" s="152"/>
      <c r="G36" s="152"/>
      <c r="W36">
        <v>2900</v>
      </c>
    </row>
    <row r="37" spans="2:23" ht="21" thickTop="1" thickBot="1" x14ac:dyDescent="0.3">
      <c r="B37" s="152"/>
      <c r="C37" s="152"/>
      <c r="D37" s="152"/>
      <c r="E37" s="152"/>
      <c r="F37" s="152"/>
      <c r="G37" s="152"/>
      <c r="I37" s="54" t="s">
        <v>38</v>
      </c>
      <c r="J37" s="55" t="s">
        <v>39</v>
      </c>
      <c r="K37" s="55" t="s">
        <v>40</v>
      </c>
      <c r="M37" s="54" t="s">
        <v>61</v>
      </c>
      <c r="N37" s="1">
        <v>15.875</v>
      </c>
      <c r="W37">
        <v>3000</v>
      </c>
    </row>
    <row r="38" spans="2:23" ht="21" thickTop="1" thickBot="1" x14ac:dyDescent="0.3">
      <c r="B38" s="152"/>
      <c r="C38" s="152"/>
      <c r="D38" s="152"/>
      <c r="E38" s="152"/>
      <c r="F38" s="152"/>
      <c r="G38" s="152"/>
      <c r="I38" s="54" t="s">
        <v>44</v>
      </c>
      <c r="J38" s="10" t="s">
        <v>41</v>
      </c>
      <c r="K38" s="10" t="s">
        <v>41</v>
      </c>
      <c r="M38" s="54" t="s">
        <v>62</v>
      </c>
      <c r="N38" s="1">
        <v>118</v>
      </c>
      <c r="W38">
        <v>3100</v>
      </c>
    </row>
    <row r="39" spans="2:23" ht="21" thickTop="1" thickBot="1" x14ac:dyDescent="0.3">
      <c r="I39" s="54" t="s">
        <v>45</v>
      </c>
      <c r="J39" s="10" t="s">
        <v>42</v>
      </c>
      <c r="K39" s="10" t="s">
        <v>43</v>
      </c>
      <c r="M39" s="173" t="s">
        <v>63</v>
      </c>
      <c r="N39" s="147">
        <v>65</v>
      </c>
      <c r="W39">
        <v>3200</v>
      </c>
    </row>
    <row r="40" spans="2:23" ht="21" thickTop="1" thickBot="1" x14ac:dyDescent="0.3">
      <c r="I40" s="54" t="s">
        <v>49</v>
      </c>
      <c r="J40" s="10">
        <v>80</v>
      </c>
      <c r="K40" s="10">
        <v>140</v>
      </c>
      <c r="M40" s="174"/>
      <c r="N40" s="147"/>
      <c r="W40">
        <v>3300</v>
      </c>
    </row>
    <row r="41" spans="2:23" ht="21" thickTop="1" thickBot="1" x14ac:dyDescent="0.3">
      <c r="I41" s="54" t="s">
        <v>50</v>
      </c>
      <c r="J41" s="10">
        <v>100</v>
      </c>
      <c r="K41" s="10">
        <v>80</v>
      </c>
      <c r="M41" s="175"/>
      <c r="N41" s="147"/>
      <c r="W41">
        <v>3400</v>
      </c>
    </row>
    <row r="42" spans="2:23" ht="21" thickTop="1" thickBot="1" x14ac:dyDescent="0.3">
      <c r="I42" s="54" t="s">
        <v>51</v>
      </c>
      <c r="J42" s="10">
        <v>21</v>
      </c>
      <c r="K42" s="10">
        <v>18</v>
      </c>
      <c r="M42" s="54" t="s">
        <v>64</v>
      </c>
      <c r="N42" s="77">
        <f>SUM(0.5*(N38-0.5*(J10+K10))*N37-N39)</f>
        <v>609.6875</v>
      </c>
      <c r="W42">
        <v>3500</v>
      </c>
    </row>
    <row r="43" spans="2:23" ht="21" thickTop="1" thickBot="1" x14ac:dyDescent="0.3">
      <c r="I43" s="54" t="s">
        <v>52</v>
      </c>
      <c r="J43" s="13">
        <f>SUM(((J40/25.4*J41/100+J42/2)*2*PI()*25.4))/PI()/1000</f>
        <v>0.69339999999999991</v>
      </c>
      <c r="K43" s="13">
        <f>SUM(((K40/25.4*K41/100+K42/2)*2*PI()*25.4))/PI()/1000</f>
        <v>0.68119999999999981</v>
      </c>
      <c r="W43">
        <v>3600</v>
      </c>
    </row>
    <row r="44" spans="2:23" ht="17" thickTop="1" x14ac:dyDescent="0.2">
      <c r="W44">
        <v>3700</v>
      </c>
    </row>
    <row r="45" spans="2:23" ht="17" thickBot="1" x14ac:dyDescent="0.25">
      <c r="W45">
        <v>3800</v>
      </c>
    </row>
    <row r="46" spans="2:23" ht="21" thickTop="1" thickBot="1" x14ac:dyDescent="0.3">
      <c r="I46" s="121"/>
      <c r="J46" s="11"/>
      <c r="W46">
        <v>3900</v>
      </c>
    </row>
    <row r="47" spans="2:23" ht="17" thickTop="1" x14ac:dyDescent="0.2">
      <c r="W47">
        <v>4000</v>
      </c>
    </row>
    <row r="48" spans="2:23" x14ac:dyDescent="0.2">
      <c r="W48">
        <v>4100</v>
      </c>
    </row>
    <row r="49" spans="23:23" x14ac:dyDescent="0.2">
      <c r="W49">
        <v>4200</v>
      </c>
    </row>
    <row r="50" spans="23:23" x14ac:dyDescent="0.2">
      <c r="W50">
        <v>4300</v>
      </c>
    </row>
    <row r="51" spans="23:23" x14ac:dyDescent="0.2">
      <c r="W51">
        <v>4400</v>
      </c>
    </row>
    <row r="52" spans="23:23" x14ac:dyDescent="0.2">
      <c r="W52">
        <v>4500</v>
      </c>
    </row>
    <row r="53" spans="23:23" x14ac:dyDescent="0.2">
      <c r="W53">
        <v>4600</v>
      </c>
    </row>
    <row r="54" spans="23:23" x14ac:dyDescent="0.2">
      <c r="W54">
        <v>4700</v>
      </c>
    </row>
    <row r="55" spans="23:23" x14ac:dyDescent="0.2">
      <c r="W55">
        <v>4800</v>
      </c>
    </row>
    <row r="56" spans="23:23" x14ac:dyDescent="0.2">
      <c r="W56">
        <v>4900</v>
      </c>
    </row>
    <row r="57" spans="23:23" x14ac:dyDescent="0.2">
      <c r="W57">
        <v>5000</v>
      </c>
    </row>
    <row r="58" spans="23:23" x14ac:dyDescent="0.2">
      <c r="W58">
        <v>5100</v>
      </c>
    </row>
    <row r="59" spans="23:23" x14ac:dyDescent="0.2">
      <c r="W59">
        <v>5200</v>
      </c>
    </row>
    <row r="60" spans="23:23" x14ac:dyDescent="0.2">
      <c r="W60">
        <v>5300</v>
      </c>
    </row>
    <row r="61" spans="23:23" x14ac:dyDescent="0.2">
      <c r="W61">
        <v>5400</v>
      </c>
    </row>
    <row r="62" spans="23:23" x14ac:dyDescent="0.2">
      <c r="W62">
        <v>5500</v>
      </c>
    </row>
    <row r="63" spans="23:23" x14ac:dyDescent="0.2">
      <c r="W63">
        <v>5600</v>
      </c>
    </row>
    <row r="64" spans="23:23" x14ac:dyDescent="0.2">
      <c r="W64">
        <v>5700</v>
      </c>
    </row>
    <row r="65" spans="23:23" x14ac:dyDescent="0.2">
      <c r="W65">
        <v>5800</v>
      </c>
    </row>
    <row r="66" spans="23:23" x14ac:dyDescent="0.2">
      <c r="W66">
        <v>5900</v>
      </c>
    </row>
    <row r="67" spans="23:23" x14ac:dyDescent="0.2">
      <c r="W67">
        <v>6000</v>
      </c>
    </row>
    <row r="68" spans="23:23" x14ac:dyDescent="0.2">
      <c r="W68">
        <v>6100</v>
      </c>
    </row>
    <row r="69" spans="23:23" x14ac:dyDescent="0.2">
      <c r="W69">
        <v>6200</v>
      </c>
    </row>
    <row r="70" spans="23:23" x14ac:dyDescent="0.2">
      <c r="W70">
        <v>6300</v>
      </c>
    </row>
    <row r="71" spans="23:23" x14ac:dyDescent="0.2">
      <c r="W71">
        <v>6400</v>
      </c>
    </row>
    <row r="72" spans="23:23" x14ac:dyDescent="0.2">
      <c r="W72">
        <v>6500</v>
      </c>
    </row>
    <row r="73" spans="23:23" x14ac:dyDescent="0.2">
      <c r="W73">
        <v>6600</v>
      </c>
    </row>
    <row r="74" spans="23:23" x14ac:dyDescent="0.2">
      <c r="W74">
        <v>6700</v>
      </c>
    </row>
    <row r="75" spans="23:23" x14ac:dyDescent="0.2">
      <c r="W75">
        <v>6800</v>
      </c>
    </row>
    <row r="76" spans="23:23" x14ac:dyDescent="0.2">
      <c r="W76">
        <v>6900</v>
      </c>
    </row>
    <row r="77" spans="23:23" x14ac:dyDescent="0.2">
      <c r="W77">
        <v>7000</v>
      </c>
    </row>
    <row r="78" spans="23:23" x14ac:dyDescent="0.2">
      <c r="W78">
        <v>7100</v>
      </c>
    </row>
    <row r="79" spans="23:23" x14ac:dyDescent="0.2">
      <c r="W79">
        <v>7200</v>
      </c>
    </row>
    <row r="80" spans="23:23" x14ac:dyDescent="0.2">
      <c r="W80">
        <v>7300</v>
      </c>
    </row>
    <row r="81" spans="23:23" x14ac:dyDescent="0.2">
      <c r="W81">
        <v>7400</v>
      </c>
    </row>
    <row r="82" spans="23:23" x14ac:dyDescent="0.2">
      <c r="W82">
        <v>7500</v>
      </c>
    </row>
    <row r="83" spans="23:23" x14ac:dyDescent="0.2">
      <c r="W83">
        <v>7600</v>
      </c>
    </row>
    <row r="84" spans="23:23" x14ac:dyDescent="0.2">
      <c r="W84">
        <v>7700</v>
      </c>
    </row>
    <row r="85" spans="23:23" x14ac:dyDescent="0.2">
      <c r="W85">
        <v>7800</v>
      </c>
    </row>
    <row r="86" spans="23:23" x14ac:dyDescent="0.2">
      <c r="W86">
        <v>7900</v>
      </c>
    </row>
    <row r="87" spans="23:23" x14ac:dyDescent="0.2">
      <c r="W87">
        <v>8000</v>
      </c>
    </row>
    <row r="88" spans="23:23" x14ac:dyDescent="0.2">
      <c r="W88">
        <v>8100</v>
      </c>
    </row>
    <row r="89" spans="23:23" x14ac:dyDescent="0.2">
      <c r="W89">
        <v>8200</v>
      </c>
    </row>
    <row r="90" spans="23:23" x14ac:dyDescent="0.2">
      <c r="W90">
        <v>8300</v>
      </c>
    </row>
    <row r="91" spans="23:23" x14ac:dyDescent="0.2">
      <c r="W91">
        <v>8400</v>
      </c>
    </row>
    <row r="92" spans="23:23" x14ac:dyDescent="0.2">
      <c r="W92">
        <v>8500</v>
      </c>
    </row>
    <row r="93" spans="23:23" x14ac:dyDescent="0.2">
      <c r="W93">
        <v>8600</v>
      </c>
    </row>
    <row r="94" spans="23:23" x14ac:dyDescent="0.2">
      <c r="W94">
        <v>8700</v>
      </c>
    </row>
    <row r="95" spans="23:23" x14ac:dyDescent="0.2">
      <c r="W95">
        <v>8800</v>
      </c>
    </row>
    <row r="96" spans="23:23" x14ac:dyDescent="0.2">
      <c r="W96">
        <v>8900</v>
      </c>
    </row>
    <row r="97" spans="23:23" x14ac:dyDescent="0.2">
      <c r="W97">
        <v>9000</v>
      </c>
    </row>
    <row r="98" spans="23:23" x14ac:dyDescent="0.2">
      <c r="W98">
        <v>9100</v>
      </c>
    </row>
    <row r="99" spans="23:23" x14ac:dyDescent="0.2">
      <c r="W99">
        <v>9200</v>
      </c>
    </row>
    <row r="100" spans="23:23" x14ac:dyDescent="0.2">
      <c r="W100">
        <v>9300</v>
      </c>
    </row>
    <row r="101" spans="23:23" x14ac:dyDescent="0.2">
      <c r="W101">
        <v>9400</v>
      </c>
    </row>
    <row r="102" spans="23:23" x14ac:dyDescent="0.2">
      <c r="W102">
        <v>9500</v>
      </c>
    </row>
    <row r="103" spans="23:23" x14ac:dyDescent="0.2">
      <c r="W103">
        <v>9600</v>
      </c>
    </row>
    <row r="104" spans="23:23" x14ac:dyDescent="0.2">
      <c r="W104">
        <v>9700</v>
      </c>
    </row>
    <row r="105" spans="23:23" x14ac:dyDescent="0.2">
      <c r="W105">
        <v>9800</v>
      </c>
    </row>
    <row r="106" spans="23:23" x14ac:dyDescent="0.2">
      <c r="W106">
        <v>9900</v>
      </c>
    </row>
    <row r="107" spans="23:23" x14ac:dyDescent="0.2">
      <c r="W107">
        <v>10000</v>
      </c>
    </row>
    <row r="108" spans="23:23" x14ac:dyDescent="0.2">
      <c r="W108">
        <v>10100</v>
      </c>
    </row>
    <row r="109" spans="23:23" x14ac:dyDescent="0.2">
      <c r="W109">
        <v>10200</v>
      </c>
    </row>
    <row r="110" spans="23:23" x14ac:dyDescent="0.2">
      <c r="W110">
        <v>10300</v>
      </c>
    </row>
    <row r="111" spans="23:23" x14ac:dyDescent="0.2">
      <c r="W111">
        <v>10400</v>
      </c>
    </row>
    <row r="112" spans="23:23" x14ac:dyDescent="0.2">
      <c r="W112">
        <v>10500</v>
      </c>
    </row>
    <row r="113" spans="23:23" x14ac:dyDescent="0.2">
      <c r="W113">
        <v>10600</v>
      </c>
    </row>
    <row r="114" spans="23:23" x14ac:dyDescent="0.2">
      <c r="W114">
        <v>10700</v>
      </c>
    </row>
    <row r="115" spans="23:23" x14ac:dyDescent="0.2">
      <c r="W115">
        <v>10800</v>
      </c>
    </row>
    <row r="116" spans="23:23" x14ac:dyDescent="0.2">
      <c r="W116">
        <v>10900</v>
      </c>
    </row>
    <row r="117" spans="23:23" x14ac:dyDescent="0.2">
      <c r="W117">
        <v>11000</v>
      </c>
    </row>
    <row r="118" spans="23:23" x14ac:dyDescent="0.2">
      <c r="W118">
        <v>11100</v>
      </c>
    </row>
    <row r="119" spans="23:23" x14ac:dyDescent="0.2">
      <c r="W119">
        <v>11200</v>
      </c>
    </row>
    <row r="120" spans="23:23" x14ac:dyDescent="0.2">
      <c r="W120">
        <v>11300</v>
      </c>
    </row>
    <row r="121" spans="23:23" x14ac:dyDescent="0.2">
      <c r="W121">
        <v>11400</v>
      </c>
    </row>
    <row r="122" spans="23:23" x14ac:dyDescent="0.2">
      <c r="W122">
        <v>11500</v>
      </c>
    </row>
    <row r="123" spans="23:23" x14ac:dyDescent="0.2">
      <c r="W123">
        <v>11600</v>
      </c>
    </row>
    <row r="124" spans="23:23" x14ac:dyDescent="0.2">
      <c r="W124">
        <v>11700</v>
      </c>
    </row>
    <row r="125" spans="23:23" x14ac:dyDescent="0.2">
      <c r="W125">
        <v>11800</v>
      </c>
    </row>
    <row r="126" spans="23:23" x14ac:dyDescent="0.2">
      <c r="W126">
        <v>11900</v>
      </c>
    </row>
    <row r="127" spans="23:23" x14ac:dyDescent="0.2">
      <c r="W127">
        <v>12000</v>
      </c>
    </row>
    <row r="128" spans="23:23" x14ac:dyDescent="0.2">
      <c r="W128">
        <v>12100</v>
      </c>
    </row>
    <row r="129" spans="23:23" x14ac:dyDescent="0.2">
      <c r="W129">
        <v>12200</v>
      </c>
    </row>
    <row r="130" spans="23:23" x14ac:dyDescent="0.2">
      <c r="W130">
        <v>12300</v>
      </c>
    </row>
    <row r="131" spans="23:23" x14ac:dyDescent="0.2">
      <c r="W131">
        <v>12400</v>
      </c>
    </row>
    <row r="132" spans="23:23" x14ac:dyDescent="0.2">
      <c r="W132">
        <v>12500</v>
      </c>
    </row>
  </sheetData>
  <mergeCells count="17">
    <mergeCell ref="M39:M41"/>
    <mergeCell ref="N39:N41"/>
    <mergeCell ref="I27:N27"/>
    <mergeCell ref="L28:M28"/>
    <mergeCell ref="L29:M29"/>
    <mergeCell ref="L30:M30"/>
    <mergeCell ref="L31:M31"/>
    <mergeCell ref="L32:M32"/>
    <mergeCell ref="B2:V4"/>
    <mergeCell ref="I34:K35"/>
    <mergeCell ref="M34:N35"/>
    <mergeCell ref="B19:G19"/>
    <mergeCell ref="B21:C21"/>
    <mergeCell ref="B25:C25"/>
    <mergeCell ref="B6:G7"/>
    <mergeCell ref="I6:N7"/>
    <mergeCell ref="B34:G38"/>
  </mergeCells>
  <dataValidations disablePrompts="1" count="2">
    <dataValidation type="list" allowBlank="1" showInputMessage="1" showErrorMessage="1" sqref="K10" xr:uid="{D21DEB8F-395C-0D41-A4B2-DCC65631B09B}">
      <formula1>$X$8:$X$10</formula1>
    </dataValidation>
    <dataValidation type="list" allowBlank="1" showInputMessage="1" showErrorMessage="1" sqref="J12" xr:uid="{1F25819E-390C-5E4D-86AC-8C4150E396D2}">
      <formula1>$W$8:$W$132</formula1>
    </dataValidation>
  </dataValidations>
  <hyperlinks>
    <hyperlink ref="B34:E36" location="Menu!A1" display="RETURN TO MENU" xr:uid="{63854728-DB56-5948-A7EB-ACFF4D695201}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C1A27-C1A5-0340-8CFD-E6FFF6A6B53C}">
  <dimension ref="B2:X35"/>
  <sheetViews>
    <sheetView showGridLines="0" zoomScale="90" zoomScaleNormal="90" workbookViewId="0">
      <selection activeCell="B31" sqref="B31:G35"/>
    </sheetView>
  </sheetViews>
  <sheetFormatPr baseColWidth="10" defaultRowHeight="16" x14ac:dyDescent="0.2"/>
  <cols>
    <col min="1" max="1" width="3.83203125" customWidth="1"/>
    <col min="2" max="2" width="7.6640625" customWidth="1"/>
    <col min="3" max="3" width="11.6640625" bestFit="1" customWidth="1"/>
    <col min="4" max="4" width="11.6640625" hidden="1" customWidth="1"/>
    <col min="5" max="5" width="13.33203125" bestFit="1" customWidth="1"/>
    <col min="6" max="6" width="12.1640625" bestFit="1" customWidth="1"/>
    <col min="7" max="7" width="4.6640625" customWidth="1"/>
    <col min="8" max="8" width="12.6640625" style="1" bestFit="1" customWidth="1"/>
    <col min="9" max="13" width="10.83203125" style="1"/>
    <col min="14" max="14" width="3.83203125" customWidth="1"/>
    <col min="15" max="15" width="11.6640625" bestFit="1" customWidth="1"/>
    <col min="21" max="21" width="5.1640625" customWidth="1"/>
    <col min="24" max="24" width="16.83203125" customWidth="1"/>
  </cols>
  <sheetData>
    <row r="2" spans="2:24" x14ac:dyDescent="0.2">
      <c r="B2" s="22"/>
      <c r="C2" s="22"/>
      <c r="D2" s="22"/>
      <c r="E2" s="153" t="s">
        <v>78</v>
      </c>
      <c r="F2" s="154"/>
      <c r="G2" s="23"/>
      <c r="H2" s="155" t="s">
        <v>80</v>
      </c>
      <c r="I2" s="156"/>
      <c r="J2" s="156"/>
      <c r="K2" s="156"/>
      <c r="L2" s="156"/>
      <c r="M2" s="156"/>
      <c r="N2" s="23"/>
      <c r="O2" s="153" t="s">
        <v>79</v>
      </c>
      <c r="P2" s="154"/>
      <c r="Q2" s="154"/>
      <c r="R2" s="154"/>
      <c r="S2" s="154"/>
      <c r="T2" s="154"/>
      <c r="V2" s="191" t="s">
        <v>144</v>
      </c>
      <c r="W2" s="192" t="s">
        <v>145</v>
      </c>
      <c r="X2" s="192" t="s">
        <v>146</v>
      </c>
    </row>
    <row r="3" spans="2:24" ht="16" customHeight="1" x14ac:dyDescent="0.2">
      <c r="B3" s="24"/>
      <c r="C3" s="24"/>
      <c r="D3" s="24"/>
      <c r="E3" s="154"/>
      <c r="F3" s="154"/>
      <c r="G3" s="25"/>
      <c r="H3" s="156"/>
      <c r="I3" s="156"/>
      <c r="J3" s="156"/>
      <c r="K3" s="156"/>
      <c r="L3" s="156"/>
      <c r="M3" s="156"/>
      <c r="N3" s="25"/>
      <c r="O3" s="154"/>
      <c r="P3" s="154"/>
      <c r="Q3" s="154"/>
      <c r="R3" s="154"/>
      <c r="S3" s="154"/>
      <c r="T3" s="154"/>
      <c r="V3" s="191"/>
      <c r="W3" s="192"/>
      <c r="X3" s="192"/>
    </row>
    <row r="4" spans="2:24" x14ac:dyDescent="0.2">
      <c r="B4" s="21" t="s">
        <v>28</v>
      </c>
      <c r="C4" s="21" t="s">
        <v>65</v>
      </c>
      <c r="D4" s="21" t="s">
        <v>75</v>
      </c>
      <c r="E4" s="21" t="s">
        <v>66</v>
      </c>
      <c r="F4" s="21" t="s">
        <v>67</v>
      </c>
      <c r="G4" s="25"/>
      <c r="H4" s="21" t="s">
        <v>68</v>
      </c>
      <c r="I4" s="21" t="s">
        <v>69</v>
      </c>
      <c r="J4" s="21" t="s">
        <v>70</v>
      </c>
      <c r="K4" s="21" t="s">
        <v>71</v>
      </c>
      <c r="L4" s="21" t="s">
        <v>72</v>
      </c>
      <c r="M4" s="21" t="s">
        <v>73</v>
      </c>
      <c r="N4" s="25"/>
      <c r="O4" s="21" t="s">
        <v>68</v>
      </c>
      <c r="P4" s="21" t="s">
        <v>69</v>
      </c>
      <c r="Q4" s="21" t="s">
        <v>70</v>
      </c>
      <c r="R4" s="21" t="s">
        <v>71</v>
      </c>
      <c r="S4" s="21" t="s">
        <v>72</v>
      </c>
      <c r="T4" s="21" t="s">
        <v>73</v>
      </c>
      <c r="V4" s="191"/>
      <c r="W4" s="192"/>
      <c r="X4" s="192"/>
    </row>
    <row r="5" spans="2:24" x14ac:dyDescent="0.2">
      <c r="B5" s="1">
        <v>3000</v>
      </c>
      <c r="C5" s="1">
        <v>10</v>
      </c>
      <c r="D5" s="1">
        <v>17.5</v>
      </c>
      <c r="E5" s="19">
        <f>SUM(D5*$C$27)</f>
        <v>23.726499999999998</v>
      </c>
      <c r="F5" s="19">
        <f>SUM(0.7457*C5)</f>
        <v>7.4570000000000007</v>
      </c>
      <c r="G5" s="1"/>
      <c r="H5" s="19">
        <f>SUM(($B5*60*('KTM 350 EXC-f'!$J$15/'KTM 350 EXC-f'!$K$15)*'KTM 350 EXC-f'!$K$43*PI()*('KTM 350 EXC-f'!$J$9/'KTM 350 EXC-f'!$K$9)/1000)*('KTM 350 EXC-f'!$J$10/'KTM 350 EXC-f'!$K$10))</f>
        <v>14.917228700591989</v>
      </c>
      <c r="I5" s="19">
        <f>SUM(($B5*60*('KTM 350 EXC-f'!$J$17/'KTM 350 EXC-f'!$K$17)*'KTM 350 EXC-f'!$K$43*PI()*('KTM 350 EXC-f'!$J$9/'KTM 350 EXC-f'!$K$9)/1000)*('KTM 350 EXC-f'!$J$10/'KTM 350 EXC-f'!$K$10))</f>
        <v>20.982475534898622</v>
      </c>
      <c r="J5" s="19">
        <f>SUM(($B5*60*('KTM 350 EXC-f'!$J$19/'KTM 350 EXC-f'!$K$19)*'KTM 350 EXC-f'!$K$43*PI()*('KTM 350 EXC-f'!$J$9/'KTM 350 EXC-f'!$K$9)/1000)*('KTM 350 EXC-f'!$J$10/'KTM 350 EXC-f'!$K$10))</f>
        <v>27.27721819536821</v>
      </c>
      <c r="K5" s="19">
        <f>SUM(($B5*60*('KTM 350 EXC-f'!$J$21/'KTM 350 EXC-f'!$K$21)*'KTM 350 EXC-f'!$K$43*PI()*('KTM 350 EXC-f'!$J$9/'KTM 350 EXC-f'!$K$9)/1000)*('KTM 350 EXC-f'!$J$10/'KTM 350 EXC-f'!$K$10))</f>
        <v>32.61406523359242</v>
      </c>
      <c r="L5" s="19">
        <f>SUM(($B5*60*('KTM 350 EXC-f'!$J$23/'KTM 350 EXC-f'!$K$23)*'KTM 350 EXC-f'!$K$43*PI()*('KTM 350 EXC-f'!$J$9/'KTM 350 EXC-f'!$K$9)/1000)*('KTM 350 EXC-f'!$J$10/'KTM 350 EXC-f'!$K$10))</f>
        <v>38.746048572966217</v>
      </c>
      <c r="M5" s="19">
        <f>SUM(($B5*60*('KTM 350 EXC-f'!$J$25/'KTM 350 EXC-f'!$K$25)*'KTM 350 EXC-f'!$K$43*PI()*('KTM 350 EXC-f'!$J$9/'KTM 350 EXC-f'!$K$9)/1000)*('KTM 350 EXC-f'!$J$10/'KTM 350 EXC-f'!$K$10))</f>
        <v>44.325479567473337</v>
      </c>
      <c r="N5" s="1"/>
      <c r="O5" s="20">
        <f>SUM($C5*1000)/(H5*(1000/3600))</f>
        <v>2413.3168916671057</v>
      </c>
      <c r="P5" s="20">
        <f t="shared" ref="P5:T20" si="0">SUM($C5*1000)/(I5*(1000/3600))</f>
        <v>1715.7174776695831</v>
      </c>
      <c r="Q5" s="20">
        <f t="shared" si="0"/>
        <v>1319.7826751304485</v>
      </c>
      <c r="R5" s="20">
        <f t="shared" si="0"/>
        <v>1103.8182373818297</v>
      </c>
      <c r="S5" s="20">
        <f t="shared" si="0"/>
        <v>929.12700329183542</v>
      </c>
      <c r="T5" s="20">
        <f t="shared" si="0"/>
        <v>812.17395392642982</v>
      </c>
      <c r="V5" s="16">
        <v>3000</v>
      </c>
      <c r="W5" s="190">
        <v>812.17395392642982</v>
      </c>
      <c r="X5" s="16">
        <v>82.72</v>
      </c>
    </row>
    <row r="6" spans="2:24" x14ac:dyDescent="0.2">
      <c r="B6" s="1">
        <v>3500</v>
      </c>
      <c r="C6" s="1">
        <v>12</v>
      </c>
      <c r="D6" s="1">
        <v>17</v>
      </c>
      <c r="E6" s="19">
        <f t="shared" ref="E6:E22" si="1">SUM(D6*$C$27)</f>
        <v>23.048599999999997</v>
      </c>
      <c r="F6" s="19">
        <f t="shared" ref="F6:F22" si="2">SUM(0.7457*C6)</f>
        <v>8.9483999999999995</v>
      </c>
      <c r="H6" s="19">
        <f>SUM(($B6*60*('KTM 350 EXC-f'!$J$15/'KTM 350 EXC-f'!$K$15)*'KTM 350 EXC-f'!$K$43*PI()*('KTM 350 EXC-f'!$J$9/'KTM 350 EXC-f'!$K$9)/1000)*('KTM 350 EXC-f'!$J$10/'KTM 350 EXC-f'!$K$10))</f>
        <v>17.403433484023985</v>
      </c>
      <c r="I6" s="19">
        <f>SUM(($B6*60*('KTM 350 EXC-f'!$J$17/'KTM 350 EXC-f'!$K$17)*'KTM 350 EXC-f'!$K$43*PI()*('KTM 350 EXC-f'!$J$9/'KTM 350 EXC-f'!$K$9)/1000)*('KTM 350 EXC-f'!$J$10/'KTM 350 EXC-f'!$K$10))</f>
        <v>24.47955479071506</v>
      </c>
      <c r="J6" s="19">
        <f>SUM(($B6*60*('KTM 350 EXC-f'!$J$19/'KTM 350 EXC-f'!$K$19)*'KTM 350 EXC-f'!$K$43*PI()*('KTM 350 EXC-f'!$J$9/'KTM 350 EXC-f'!$K$9)/1000)*('KTM 350 EXC-f'!$J$10/'KTM 350 EXC-f'!$K$10))</f>
        <v>31.823421227929575</v>
      </c>
      <c r="K6" s="19">
        <f>SUM(($B6*60*('KTM 350 EXC-f'!$J$21/'KTM 350 EXC-f'!$K$21)*'KTM 350 EXC-f'!$K$43*PI()*('KTM 350 EXC-f'!$J$9/'KTM 350 EXC-f'!$K$9)/1000)*('KTM 350 EXC-f'!$J$10/'KTM 350 EXC-f'!$K$10))</f>
        <v>38.049742772524496</v>
      </c>
      <c r="L6" s="19">
        <f>SUM(($B6*60*('KTM 350 EXC-f'!$J$23/'KTM 350 EXC-f'!$K$23)*'KTM 350 EXC-f'!$K$43*PI()*('KTM 350 EXC-f'!$J$9/'KTM 350 EXC-f'!$K$9)/1000)*('KTM 350 EXC-f'!$J$10/'KTM 350 EXC-f'!$K$10))</f>
        <v>45.20372333512725</v>
      </c>
      <c r="M6" s="19">
        <f>SUM(($B6*60*('KTM 350 EXC-f'!$J$25/'KTM 350 EXC-f'!$K$25)*'KTM 350 EXC-f'!$K$43*PI()*('KTM 350 EXC-f'!$J$9/'KTM 350 EXC-f'!$K$9)/1000)*('KTM 350 EXC-f'!$J$10/'KTM 350 EXC-f'!$K$10))</f>
        <v>51.713059495385551</v>
      </c>
      <c r="O6" s="20">
        <f t="shared" ref="O6:O22" si="3">SUM($C6*1000)/(H6*(1000/3600))</f>
        <v>2482.2688028575949</v>
      </c>
      <c r="P6" s="20">
        <f t="shared" si="0"/>
        <v>1764.7379770315711</v>
      </c>
      <c r="Q6" s="20">
        <f t="shared" si="0"/>
        <v>1357.4907515627472</v>
      </c>
      <c r="R6" s="20">
        <f t="shared" si="0"/>
        <v>1135.3559013070249</v>
      </c>
      <c r="S6" s="20">
        <f t="shared" si="0"/>
        <v>955.67348910017358</v>
      </c>
      <c r="T6" s="20">
        <f t="shared" si="0"/>
        <v>835.37892403861372</v>
      </c>
      <c r="V6" s="16">
        <v>3500</v>
      </c>
      <c r="W6" s="190">
        <v>835.37892403861372</v>
      </c>
      <c r="X6" s="16">
        <v>98.37</v>
      </c>
    </row>
    <row r="7" spans="2:24" x14ac:dyDescent="0.2">
      <c r="B7" s="1">
        <v>4000</v>
      </c>
      <c r="C7" s="1">
        <v>14</v>
      </c>
      <c r="D7" s="1">
        <v>17.5</v>
      </c>
      <c r="E7" s="19">
        <f t="shared" si="1"/>
        <v>23.726499999999998</v>
      </c>
      <c r="F7" s="19">
        <f t="shared" si="2"/>
        <v>10.4398</v>
      </c>
      <c r="H7" s="19">
        <f>SUM(($B7*60*('KTM 350 EXC-f'!$J$15/'KTM 350 EXC-f'!$K$15)*'KTM 350 EXC-f'!$K$43*PI()*('KTM 350 EXC-f'!$J$9/'KTM 350 EXC-f'!$K$9)/1000)*('KTM 350 EXC-f'!$J$10/'KTM 350 EXC-f'!$K$10))</f>
        <v>19.88963826745599</v>
      </c>
      <c r="I7" s="19">
        <f>SUM(($B7*60*('KTM 350 EXC-f'!$J$17/'KTM 350 EXC-f'!$K$17)*'KTM 350 EXC-f'!$K$43*PI()*('KTM 350 EXC-f'!$J$9/'KTM 350 EXC-f'!$K$9)/1000)*('KTM 350 EXC-f'!$J$10/'KTM 350 EXC-f'!$K$10))</f>
        <v>27.976634046531494</v>
      </c>
      <c r="J7" s="19">
        <f>SUM(($B7*60*('KTM 350 EXC-f'!$J$19/'KTM 350 EXC-f'!$K$19)*'KTM 350 EXC-f'!$K$43*PI()*('KTM 350 EXC-f'!$J$9/'KTM 350 EXC-f'!$K$9)/1000)*('KTM 350 EXC-f'!$J$10/'KTM 350 EXC-f'!$K$10))</f>
        <v>36.369624260490944</v>
      </c>
      <c r="K7" s="19">
        <f>SUM(($B7*60*('KTM 350 EXC-f'!$J$21/'KTM 350 EXC-f'!$K$21)*'KTM 350 EXC-f'!$K$43*PI()*('KTM 350 EXC-f'!$J$9/'KTM 350 EXC-f'!$K$9)/1000)*('KTM 350 EXC-f'!$J$10/'KTM 350 EXC-f'!$K$10))</f>
        <v>43.485420311456558</v>
      </c>
      <c r="L7" s="19">
        <f>SUM(($B7*60*('KTM 350 EXC-f'!$J$23/'KTM 350 EXC-f'!$K$23)*'KTM 350 EXC-f'!$K$43*PI()*('KTM 350 EXC-f'!$J$9/'KTM 350 EXC-f'!$K$9)/1000)*('KTM 350 EXC-f'!$J$10/'KTM 350 EXC-f'!$K$10))</f>
        <v>51.661398097288284</v>
      </c>
      <c r="M7" s="19">
        <f>SUM(($B7*60*('KTM 350 EXC-f'!$J$25/'KTM 350 EXC-f'!$K$25)*'KTM 350 EXC-f'!$K$43*PI()*('KTM 350 EXC-f'!$J$9/'KTM 350 EXC-f'!$K$9)/1000)*('KTM 350 EXC-f'!$J$10/'KTM 350 EXC-f'!$K$10))</f>
        <v>59.100639423297785</v>
      </c>
      <c r="O7" s="20">
        <f t="shared" si="3"/>
        <v>2533.9827362504607</v>
      </c>
      <c r="P7" s="20">
        <f t="shared" si="0"/>
        <v>1801.5033515530624</v>
      </c>
      <c r="Q7" s="20">
        <f t="shared" si="0"/>
        <v>1385.771808886971</v>
      </c>
      <c r="R7" s="20">
        <f t="shared" si="0"/>
        <v>1159.0091492509212</v>
      </c>
      <c r="S7" s="20">
        <f t="shared" si="0"/>
        <v>975.58335345642729</v>
      </c>
      <c r="T7" s="20">
        <f t="shared" si="0"/>
        <v>852.78265162275125</v>
      </c>
      <c r="V7" s="16">
        <v>4000</v>
      </c>
      <c r="W7" s="190">
        <v>852.78265162275125</v>
      </c>
      <c r="X7" s="16">
        <v>116.44</v>
      </c>
    </row>
    <row r="8" spans="2:24" x14ac:dyDescent="0.2">
      <c r="B8" s="1">
        <v>4500</v>
      </c>
      <c r="C8" s="1">
        <v>17</v>
      </c>
      <c r="D8" s="1">
        <v>19.5</v>
      </c>
      <c r="E8" s="19">
        <f t="shared" si="1"/>
        <v>26.438099999999999</v>
      </c>
      <c r="F8" s="19">
        <f t="shared" si="2"/>
        <v>12.6769</v>
      </c>
      <c r="H8" s="19">
        <f>SUM(($B8*60*('KTM 350 EXC-f'!$J$15/'KTM 350 EXC-f'!$K$15)*'KTM 350 EXC-f'!$K$43*PI()*('KTM 350 EXC-f'!$J$9/'KTM 350 EXC-f'!$K$9)/1000)*('KTM 350 EXC-f'!$J$10/'KTM 350 EXC-f'!$K$10))</f>
        <v>22.37584305088798</v>
      </c>
      <c r="I8" s="19">
        <f>SUM(($B8*60*('KTM 350 EXC-f'!$J$17/'KTM 350 EXC-f'!$K$17)*'KTM 350 EXC-f'!$K$43*PI()*('KTM 350 EXC-f'!$J$9/'KTM 350 EXC-f'!$K$9)/1000)*('KTM 350 EXC-f'!$J$10/'KTM 350 EXC-f'!$K$10))</f>
        <v>31.473713302347935</v>
      </c>
      <c r="J8" s="19">
        <f>SUM(($B8*60*('KTM 350 EXC-f'!$J$19/'KTM 350 EXC-f'!$K$19)*'KTM 350 EXC-f'!$K$43*PI()*('KTM 350 EXC-f'!$J$9/'KTM 350 EXC-f'!$K$9)/1000)*('KTM 350 EXC-f'!$J$10/'KTM 350 EXC-f'!$K$10))</f>
        <v>40.91582729305231</v>
      </c>
      <c r="K8" s="19">
        <f>SUM(($B8*60*('KTM 350 EXC-f'!$J$21/'KTM 350 EXC-f'!$K$21)*'KTM 350 EXC-f'!$K$43*PI()*('KTM 350 EXC-f'!$J$9/'KTM 350 EXC-f'!$K$9)/1000)*('KTM 350 EXC-f'!$J$10/'KTM 350 EXC-f'!$K$10))</f>
        <v>48.921097850388641</v>
      </c>
      <c r="L8" s="19">
        <f>SUM(($B8*60*('KTM 350 EXC-f'!$J$23/'KTM 350 EXC-f'!$K$23)*'KTM 350 EXC-f'!$K$43*PI()*('KTM 350 EXC-f'!$J$9/'KTM 350 EXC-f'!$K$9)/1000)*('KTM 350 EXC-f'!$J$10/'KTM 350 EXC-f'!$K$10))</f>
        <v>58.119072859449318</v>
      </c>
      <c r="M8" s="19">
        <f>SUM(($B8*60*('KTM 350 EXC-f'!$J$25/'KTM 350 EXC-f'!$K$25)*'KTM 350 EXC-f'!$K$43*PI()*('KTM 350 EXC-f'!$J$9/'KTM 350 EXC-f'!$K$9)/1000)*('KTM 350 EXC-f'!$J$10/'KTM 350 EXC-f'!$K$10))</f>
        <v>66.488219351210006</v>
      </c>
      <c r="O8" s="20">
        <f t="shared" si="3"/>
        <v>2735.0924772227204</v>
      </c>
      <c r="P8" s="20">
        <f t="shared" si="0"/>
        <v>1944.4798080255271</v>
      </c>
      <c r="Q8" s="20">
        <f t="shared" si="0"/>
        <v>1495.753698481175</v>
      </c>
      <c r="R8" s="20">
        <f t="shared" si="0"/>
        <v>1250.9940023660733</v>
      </c>
      <c r="S8" s="20">
        <f t="shared" si="0"/>
        <v>1053.0106037307471</v>
      </c>
      <c r="T8" s="20">
        <f t="shared" si="0"/>
        <v>920.46381444995382</v>
      </c>
      <c r="V8" s="16">
        <v>4500</v>
      </c>
      <c r="W8" s="190">
        <v>920.46381444995382</v>
      </c>
      <c r="X8" s="16">
        <v>136.9</v>
      </c>
    </row>
    <row r="9" spans="2:24" x14ac:dyDescent="0.2">
      <c r="B9" s="1">
        <v>5000</v>
      </c>
      <c r="C9" s="1">
        <v>19</v>
      </c>
      <c r="D9" s="1">
        <v>20.5</v>
      </c>
      <c r="E9" s="19">
        <f t="shared" si="1"/>
        <v>27.793899999999997</v>
      </c>
      <c r="F9" s="19">
        <f t="shared" si="2"/>
        <v>14.1683</v>
      </c>
      <c r="H9" s="19">
        <f>SUM(($B9*60*('KTM 350 EXC-f'!$J$15/'KTM 350 EXC-f'!$K$15)*'KTM 350 EXC-f'!$K$43*PI()*('KTM 350 EXC-f'!$J$9/'KTM 350 EXC-f'!$K$9)/1000)*('KTM 350 EXC-f'!$J$10/'KTM 350 EXC-f'!$K$10))</f>
        <v>24.862047834319977</v>
      </c>
      <c r="I9" s="19">
        <f>SUM(($B9*60*('KTM 350 EXC-f'!$J$17/'KTM 350 EXC-f'!$K$17)*'KTM 350 EXC-f'!$K$43*PI()*('KTM 350 EXC-f'!$J$9/'KTM 350 EXC-f'!$K$9)/1000)*('KTM 350 EXC-f'!$J$10/'KTM 350 EXC-f'!$K$10))</f>
        <v>34.970792558164376</v>
      </c>
      <c r="J9" s="19">
        <f>SUM(($B9*60*('KTM 350 EXC-f'!$J$19/'KTM 350 EXC-f'!$K$19)*'KTM 350 EXC-f'!$K$43*PI()*('KTM 350 EXC-f'!$J$9/'KTM 350 EXC-f'!$K$9)/1000)*('KTM 350 EXC-f'!$J$10/'KTM 350 EXC-f'!$K$10))</f>
        <v>45.462030325613675</v>
      </c>
      <c r="K9" s="19">
        <f>SUM(($B9*60*('KTM 350 EXC-f'!$J$21/'KTM 350 EXC-f'!$K$21)*'KTM 350 EXC-f'!$K$43*PI()*('KTM 350 EXC-f'!$J$9/'KTM 350 EXC-f'!$K$9)/1000)*('KTM 350 EXC-f'!$J$10/'KTM 350 EXC-f'!$K$10))</f>
        <v>54.356775389320703</v>
      </c>
      <c r="L9" s="19">
        <f>SUM(($B9*60*('KTM 350 EXC-f'!$J$23/'KTM 350 EXC-f'!$K$23)*'KTM 350 EXC-f'!$K$43*PI()*('KTM 350 EXC-f'!$J$9/'KTM 350 EXC-f'!$K$9)/1000)*('KTM 350 EXC-f'!$J$10/'KTM 350 EXC-f'!$K$10))</f>
        <v>64.576747621610352</v>
      </c>
      <c r="M9" s="19">
        <f>SUM(($B9*60*('KTM 350 EXC-f'!$J$25/'KTM 350 EXC-f'!$K$25)*'KTM 350 EXC-f'!$K$43*PI()*('KTM 350 EXC-f'!$J$9/'KTM 350 EXC-f'!$K$9)/1000)*('KTM 350 EXC-f'!$J$10/'KTM 350 EXC-f'!$K$10))</f>
        <v>73.875799279122234</v>
      </c>
      <c r="O9" s="20">
        <f t="shared" si="3"/>
        <v>2751.1812565005011</v>
      </c>
      <c r="P9" s="20">
        <f t="shared" si="0"/>
        <v>1955.9179245433243</v>
      </c>
      <c r="Q9" s="20">
        <f t="shared" si="0"/>
        <v>1504.5522496487115</v>
      </c>
      <c r="R9" s="20">
        <f t="shared" si="0"/>
        <v>1258.3527906152858</v>
      </c>
      <c r="S9" s="20">
        <f t="shared" si="0"/>
        <v>1059.2047837526925</v>
      </c>
      <c r="T9" s="20">
        <f t="shared" si="0"/>
        <v>925.87830747613009</v>
      </c>
      <c r="V9" s="16">
        <v>5000</v>
      </c>
      <c r="W9" s="190">
        <v>925.87830747613009</v>
      </c>
      <c r="X9" s="16">
        <v>159.78</v>
      </c>
    </row>
    <row r="10" spans="2:24" x14ac:dyDescent="0.2">
      <c r="B10" s="1">
        <v>5500</v>
      </c>
      <c r="C10" s="1">
        <v>23</v>
      </c>
      <c r="D10" s="1">
        <v>21.5</v>
      </c>
      <c r="E10" s="19">
        <f t="shared" si="1"/>
        <v>29.149699999999999</v>
      </c>
      <c r="F10" s="19">
        <f t="shared" si="2"/>
        <v>17.1511</v>
      </c>
      <c r="H10" s="19">
        <f>SUM(($B10*60*('KTM 350 EXC-f'!$J$15/'KTM 350 EXC-f'!$K$15)*'KTM 350 EXC-f'!$K$43*PI()*('KTM 350 EXC-f'!$J$9/'KTM 350 EXC-f'!$K$9)/1000)*('KTM 350 EXC-f'!$J$10/'KTM 350 EXC-f'!$K$10))</f>
        <v>27.348252617751982</v>
      </c>
      <c r="I10" s="19">
        <f>SUM(($B10*60*('KTM 350 EXC-f'!$J$17/'KTM 350 EXC-f'!$K$17)*'KTM 350 EXC-f'!$K$43*PI()*('KTM 350 EXC-f'!$J$9/'KTM 350 EXC-f'!$K$9)/1000)*('KTM 350 EXC-f'!$J$10/'KTM 350 EXC-f'!$K$10))</f>
        <v>38.467871813980814</v>
      </c>
      <c r="J10" s="19">
        <f>SUM(($B10*60*('KTM 350 EXC-f'!$J$19/'KTM 350 EXC-f'!$K$19)*'KTM 350 EXC-f'!$K$43*PI()*('KTM 350 EXC-f'!$J$9/'KTM 350 EXC-f'!$K$9)/1000)*('KTM 350 EXC-f'!$J$10/'KTM 350 EXC-f'!$K$10))</f>
        <v>50.008233358175055</v>
      </c>
      <c r="K10" s="19">
        <f>SUM(($B10*60*('KTM 350 EXC-f'!$J$21/'KTM 350 EXC-f'!$K$21)*'KTM 350 EXC-f'!$K$43*PI()*('KTM 350 EXC-f'!$J$9/'KTM 350 EXC-f'!$K$9)/1000)*('KTM 350 EXC-f'!$J$10/'KTM 350 EXC-f'!$K$10))</f>
        <v>59.792452928252786</v>
      </c>
      <c r="L10" s="19">
        <f>SUM(($B10*60*('KTM 350 EXC-f'!$J$23/'KTM 350 EXC-f'!$K$23)*'KTM 350 EXC-f'!$K$43*PI()*('KTM 350 EXC-f'!$J$9/'KTM 350 EXC-f'!$K$9)/1000)*('KTM 350 EXC-f'!$J$10/'KTM 350 EXC-f'!$K$10))</f>
        <v>71.034422383771386</v>
      </c>
      <c r="M10" s="19">
        <f>SUM(($B10*60*('KTM 350 EXC-f'!$J$25/'KTM 350 EXC-f'!$K$25)*'KTM 350 EXC-f'!$K$43*PI()*('KTM 350 EXC-f'!$J$9/'KTM 350 EXC-f'!$K$9)/1000)*('KTM 350 EXC-f'!$J$10/'KTM 350 EXC-f'!$K$10))</f>
        <v>81.263379207034447</v>
      </c>
      <c r="O10" s="20">
        <f t="shared" si="3"/>
        <v>3027.6157368187323</v>
      </c>
      <c r="P10" s="20">
        <f t="shared" si="0"/>
        <v>2152.4455628945675</v>
      </c>
      <c r="Q10" s="20">
        <f t="shared" si="0"/>
        <v>1655.7273560727442</v>
      </c>
      <c r="R10" s="20">
        <f t="shared" si="0"/>
        <v>1384.7901523517496</v>
      </c>
      <c r="S10" s="20">
        <f t="shared" si="0"/>
        <v>1165.632058675212</v>
      </c>
      <c r="T10" s="20">
        <f t="shared" si="0"/>
        <v>1018.909142198612</v>
      </c>
      <c r="V10" s="16">
        <v>5500</v>
      </c>
      <c r="W10" s="190">
        <v>1018.909142198612</v>
      </c>
      <c r="X10" s="16">
        <v>185.06</v>
      </c>
    </row>
    <row r="11" spans="2:24" x14ac:dyDescent="0.2">
      <c r="B11" s="1">
        <v>6000</v>
      </c>
      <c r="C11" s="1">
        <v>25</v>
      </c>
      <c r="D11" s="1">
        <v>22</v>
      </c>
      <c r="E11" s="19">
        <f t="shared" si="1"/>
        <v>29.827599999999997</v>
      </c>
      <c r="F11" s="19">
        <f t="shared" si="2"/>
        <v>18.642500000000002</v>
      </c>
      <c r="H11" s="19">
        <f>SUM(($B11*60*('KTM 350 EXC-f'!$J$15/'KTM 350 EXC-f'!$K$15)*'KTM 350 EXC-f'!$K$43*PI()*('KTM 350 EXC-f'!$J$9/'KTM 350 EXC-f'!$K$9)/1000)*('KTM 350 EXC-f'!$J$10/'KTM 350 EXC-f'!$K$10))</f>
        <v>29.834457401183979</v>
      </c>
      <c r="I11" s="19">
        <f>SUM(($B11*60*('KTM 350 EXC-f'!$J$17/'KTM 350 EXC-f'!$K$17)*'KTM 350 EXC-f'!$K$43*PI()*('KTM 350 EXC-f'!$J$9/'KTM 350 EXC-f'!$K$9)/1000)*('KTM 350 EXC-f'!$J$10/'KTM 350 EXC-f'!$K$10))</f>
        <v>41.964951069797245</v>
      </c>
      <c r="J11" s="19">
        <f>SUM(($B11*60*('KTM 350 EXC-f'!$J$19/'KTM 350 EXC-f'!$K$19)*'KTM 350 EXC-f'!$K$43*PI()*('KTM 350 EXC-f'!$J$9/'KTM 350 EXC-f'!$K$9)/1000)*('KTM 350 EXC-f'!$J$10/'KTM 350 EXC-f'!$K$10))</f>
        <v>54.55443639073642</v>
      </c>
      <c r="K11" s="19">
        <f>SUM(($B11*60*('KTM 350 EXC-f'!$J$21/'KTM 350 EXC-f'!$K$21)*'KTM 350 EXC-f'!$K$43*PI()*('KTM 350 EXC-f'!$J$9/'KTM 350 EXC-f'!$K$9)/1000)*('KTM 350 EXC-f'!$J$10/'KTM 350 EXC-f'!$K$10))</f>
        <v>65.22813046718484</v>
      </c>
      <c r="L11" s="19">
        <f>SUM(($B11*60*('KTM 350 EXC-f'!$J$23/'KTM 350 EXC-f'!$K$23)*'KTM 350 EXC-f'!$K$43*PI()*('KTM 350 EXC-f'!$J$9/'KTM 350 EXC-f'!$K$9)/1000)*('KTM 350 EXC-f'!$J$10/'KTM 350 EXC-f'!$K$10))</f>
        <v>77.492097145932433</v>
      </c>
      <c r="M11" s="19">
        <f>SUM(($B11*60*('KTM 350 EXC-f'!$J$25/'KTM 350 EXC-f'!$K$25)*'KTM 350 EXC-f'!$K$43*PI()*('KTM 350 EXC-f'!$J$9/'KTM 350 EXC-f'!$K$9)/1000)*('KTM 350 EXC-f'!$J$10/'KTM 350 EXC-f'!$K$10))</f>
        <v>88.650959134946675</v>
      </c>
      <c r="O11" s="20">
        <f t="shared" si="3"/>
        <v>3016.6461145838816</v>
      </c>
      <c r="P11" s="20">
        <f t="shared" si="0"/>
        <v>2144.6468470869786</v>
      </c>
      <c r="Q11" s="20">
        <f t="shared" si="0"/>
        <v>1649.7283439130606</v>
      </c>
      <c r="R11" s="20">
        <f t="shared" si="0"/>
        <v>1379.7727967272872</v>
      </c>
      <c r="S11" s="20">
        <f t="shared" si="0"/>
        <v>1161.4087541147942</v>
      </c>
      <c r="T11" s="20">
        <f t="shared" si="0"/>
        <v>1015.2174424080373</v>
      </c>
      <c r="V11" s="16">
        <v>6000</v>
      </c>
      <c r="W11" s="190">
        <v>1015.2174424080373</v>
      </c>
      <c r="X11" s="16">
        <v>212.76</v>
      </c>
    </row>
    <row r="12" spans="2:24" x14ac:dyDescent="0.2">
      <c r="B12" s="1">
        <v>6500</v>
      </c>
      <c r="C12" s="1">
        <v>27</v>
      </c>
      <c r="D12" s="1">
        <v>23</v>
      </c>
      <c r="E12" s="19">
        <f t="shared" si="1"/>
        <v>31.183399999999999</v>
      </c>
      <c r="F12" s="19">
        <f t="shared" si="2"/>
        <v>20.133900000000001</v>
      </c>
      <c r="H12" s="19">
        <f>SUM(($B12*60*('KTM 350 EXC-f'!$J$15/'KTM 350 EXC-f'!$K$15)*'KTM 350 EXC-f'!$K$43*PI()*('KTM 350 EXC-f'!$J$9/'KTM 350 EXC-f'!$K$9)/1000)*('KTM 350 EXC-f'!$J$10/'KTM 350 EXC-f'!$K$10))</f>
        <v>32.320662184615976</v>
      </c>
      <c r="I12" s="19">
        <f>SUM(($B12*60*('KTM 350 EXC-f'!$J$17/'KTM 350 EXC-f'!$K$17)*'KTM 350 EXC-f'!$K$43*PI()*('KTM 350 EXC-f'!$J$9/'KTM 350 EXC-f'!$K$9)/1000)*('KTM 350 EXC-f'!$J$10/'KTM 350 EXC-f'!$K$10))</f>
        <v>45.462030325613675</v>
      </c>
      <c r="J12" s="19">
        <f>SUM(($B12*60*('KTM 350 EXC-f'!$J$19/'KTM 350 EXC-f'!$K$19)*'KTM 350 EXC-f'!$K$43*PI()*('KTM 350 EXC-f'!$J$9/'KTM 350 EXC-f'!$K$9)/1000)*('KTM 350 EXC-f'!$J$10/'KTM 350 EXC-f'!$K$10))</f>
        <v>59.100639423297785</v>
      </c>
      <c r="K12" s="19">
        <f>SUM(($B12*60*('KTM 350 EXC-f'!$J$21/'KTM 350 EXC-f'!$K$21)*'KTM 350 EXC-f'!$K$43*PI()*('KTM 350 EXC-f'!$J$9/'KTM 350 EXC-f'!$K$9)/1000)*('KTM 350 EXC-f'!$J$10/'KTM 350 EXC-f'!$K$10))</f>
        <v>70.663808006116923</v>
      </c>
      <c r="L12" s="19">
        <f>SUM(($B12*60*('KTM 350 EXC-f'!$J$23/'KTM 350 EXC-f'!$K$23)*'KTM 350 EXC-f'!$K$43*PI()*('KTM 350 EXC-f'!$J$9/'KTM 350 EXC-f'!$K$9)/1000)*('KTM 350 EXC-f'!$J$10/'KTM 350 EXC-f'!$K$10))</f>
        <v>83.949771908093453</v>
      </c>
      <c r="M12" s="19">
        <f>SUM(($B12*60*('KTM 350 EXC-f'!$J$25/'KTM 350 EXC-f'!$K$25)*'KTM 350 EXC-f'!$K$43*PI()*('KTM 350 EXC-f'!$J$9/'KTM 350 EXC-f'!$K$9)/1000)*('KTM 350 EXC-f'!$J$10/'KTM 350 EXC-f'!$K$10))</f>
        <v>96.038539062858902</v>
      </c>
      <c r="O12" s="20">
        <f t="shared" si="3"/>
        <v>3007.3641265390088</v>
      </c>
      <c r="P12" s="20">
        <f t="shared" si="0"/>
        <v>2138.047933711327</v>
      </c>
      <c r="Q12" s="20">
        <f t="shared" si="0"/>
        <v>1644.6522567010204</v>
      </c>
      <c r="R12" s="20">
        <f t="shared" si="0"/>
        <v>1375.5273419681259</v>
      </c>
      <c r="S12" s="20">
        <f t="shared" si="0"/>
        <v>1157.8351887175183</v>
      </c>
      <c r="T12" s="20">
        <f t="shared" si="0"/>
        <v>1012.0936964313971</v>
      </c>
      <c r="V12" s="16">
        <v>6500</v>
      </c>
      <c r="W12" s="190">
        <v>1012.0936964313971</v>
      </c>
      <c r="X12" s="16">
        <v>242.86</v>
      </c>
    </row>
    <row r="13" spans="2:24" x14ac:dyDescent="0.2">
      <c r="B13" s="1">
        <v>7000</v>
      </c>
      <c r="C13" s="1">
        <v>30</v>
      </c>
      <c r="D13" s="1">
        <v>23</v>
      </c>
      <c r="E13" s="19">
        <f t="shared" si="1"/>
        <v>31.183399999999999</v>
      </c>
      <c r="F13" s="19">
        <f t="shared" si="2"/>
        <v>22.371000000000002</v>
      </c>
      <c r="H13" s="19">
        <f>SUM(($B13*60*('KTM 350 EXC-f'!$J$15/'KTM 350 EXC-f'!$K$15)*'KTM 350 EXC-f'!$K$43*PI()*('KTM 350 EXC-f'!$J$9/'KTM 350 EXC-f'!$K$9)/1000)*('KTM 350 EXC-f'!$J$10/'KTM 350 EXC-f'!$K$10))</f>
        <v>34.80686696804797</v>
      </c>
      <c r="I13" s="19">
        <f>SUM(($B13*60*('KTM 350 EXC-f'!$J$17/'KTM 350 EXC-f'!$K$17)*'KTM 350 EXC-f'!$K$43*PI()*('KTM 350 EXC-f'!$J$9/'KTM 350 EXC-f'!$K$9)/1000)*('KTM 350 EXC-f'!$J$10/'KTM 350 EXC-f'!$K$10))</f>
        <v>48.95910958143012</v>
      </c>
      <c r="J13" s="19">
        <f>SUM(($B13*60*('KTM 350 EXC-f'!$J$19/'KTM 350 EXC-f'!$K$19)*'KTM 350 EXC-f'!$K$43*PI()*('KTM 350 EXC-f'!$J$9/'KTM 350 EXC-f'!$K$9)/1000)*('KTM 350 EXC-f'!$J$10/'KTM 350 EXC-f'!$K$10))</f>
        <v>63.646842455859151</v>
      </c>
      <c r="K13" s="19">
        <f>SUM(($B13*60*('KTM 350 EXC-f'!$J$21/'KTM 350 EXC-f'!$K$21)*'KTM 350 EXC-f'!$K$43*PI()*('KTM 350 EXC-f'!$J$9/'KTM 350 EXC-f'!$K$9)/1000)*('KTM 350 EXC-f'!$J$10/'KTM 350 EXC-f'!$K$10))</f>
        <v>76.099485545048992</v>
      </c>
      <c r="L13" s="19">
        <f>SUM(($B13*60*('KTM 350 EXC-f'!$J$23/'KTM 350 EXC-f'!$K$23)*'KTM 350 EXC-f'!$K$43*PI()*('KTM 350 EXC-f'!$J$9/'KTM 350 EXC-f'!$K$9)/1000)*('KTM 350 EXC-f'!$J$10/'KTM 350 EXC-f'!$K$10))</f>
        <v>90.407446670254501</v>
      </c>
      <c r="M13" s="19">
        <f>SUM(($B13*60*('KTM 350 EXC-f'!$J$25/'KTM 350 EXC-f'!$K$25)*'KTM 350 EXC-f'!$K$43*PI()*('KTM 350 EXC-f'!$J$9/'KTM 350 EXC-f'!$K$9)/1000)*('KTM 350 EXC-f'!$J$10/'KTM 350 EXC-f'!$K$10))</f>
        <v>103.4261189907711</v>
      </c>
      <c r="O13" s="20">
        <f t="shared" si="3"/>
        <v>3102.8360035719938</v>
      </c>
      <c r="P13" s="20">
        <f t="shared" si="0"/>
        <v>2205.9224712894638</v>
      </c>
      <c r="Q13" s="20">
        <f t="shared" si="0"/>
        <v>1696.8634394534338</v>
      </c>
      <c r="R13" s="20">
        <f t="shared" si="0"/>
        <v>1419.194876633781</v>
      </c>
      <c r="S13" s="20">
        <f t="shared" si="0"/>
        <v>1194.5918613752169</v>
      </c>
      <c r="T13" s="20">
        <f t="shared" si="0"/>
        <v>1044.2236550482671</v>
      </c>
      <c r="V13" s="16">
        <v>7000</v>
      </c>
      <c r="W13" s="190">
        <v>1044.2236550482671</v>
      </c>
      <c r="X13" s="16">
        <v>275.37</v>
      </c>
    </row>
    <row r="14" spans="2:24" x14ac:dyDescent="0.2">
      <c r="B14" s="1">
        <v>7500</v>
      </c>
      <c r="C14" s="1">
        <v>33</v>
      </c>
      <c r="D14" s="1">
        <v>23.2</v>
      </c>
      <c r="E14" s="19">
        <f t="shared" si="1"/>
        <v>31.454559999999997</v>
      </c>
      <c r="F14" s="19">
        <f t="shared" si="2"/>
        <v>24.6081</v>
      </c>
      <c r="H14" s="19">
        <f>SUM(($B14*60*('KTM 350 EXC-f'!$J$15/'KTM 350 EXC-f'!$K$15)*'KTM 350 EXC-f'!$K$43*PI()*('KTM 350 EXC-f'!$J$9/'KTM 350 EXC-f'!$K$9)/1000)*('KTM 350 EXC-f'!$J$10/'KTM 350 EXC-f'!$K$10))</f>
        <v>37.293071751479978</v>
      </c>
      <c r="I14" s="19">
        <f>SUM(($B14*60*('KTM 350 EXC-f'!$J$17/'KTM 350 EXC-f'!$K$17)*'KTM 350 EXC-f'!$K$43*PI()*('KTM 350 EXC-f'!$J$9/'KTM 350 EXC-f'!$K$9)/1000)*('KTM 350 EXC-f'!$J$10/'KTM 350 EXC-f'!$K$10))</f>
        <v>52.456188837246557</v>
      </c>
      <c r="J14" s="19">
        <f>SUM(($B14*60*('KTM 350 EXC-f'!$J$19/'KTM 350 EXC-f'!$K$19)*'KTM 350 EXC-f'!$K$43*PI()*('KTM 350 EXC-f'!$J$9/'KTM 350 EXC-f'!$K$9)/1000)*('KTM 350 EXC-f'!$J$10/'KTM 350 EXC-f'!$K$10))</f>
        <v>68.193045488420537</v>
      </c>
      <c r="K14" s="19">
        <f>SUM(($B14*60*('KTM 350 EXC-f'!$J$21/'KTM 350 EXC-f'!$K$21)*'KTM 350 EXC-f'!$K$43*PI()*('KTM 350 EXC-f'!$J$9/'KTM 350 EXC-f'!$K$9)/1000)*('KTM 350 EXC-f'!$J$10/'KTM 350 EXC-f'!$K$10))</f>
        <v>81.535163083981061</v>
      </c>
      <c r="L14" s="19">
        <f>SUM(($B14*60*('KTM 350 EXC-f'!$J$23/'KTM 350 EXC-f'!$K$23)*'KTM 350 EXC-f'!$K$43*PI()*('KTM 350 EXC-f'!$J$9/'KTM 350 EXC-f'!$K$9)/1000)*('KTM 350 EXC-f'!$J$10/'KTM 350 EXC-f'!$K$10))</f>
        <v>96.865121432415506</v>
      </c>
      <c r="M14" s="19">
        <f>SUM(($B14*60*('KTM 350 EXC-f'!$J$25/'KTM 350 EXC-f'!$K$25)*'KTM 350 EXC-f'!$K$43*PI()*('KTM 350 EXC-f'!$J$9/'KTM 350 EXC-f'!$K$9)/1000)*('KTM 350 EXC-f'!$J$10/'KTM 350 EXC-f'!$K$10))</f>
        <v>110.81369891868336</v>
      </c>
      <c r="O14" s="20">
        <f t="shared" si="3"/>
        <v>3185.5782970005794</v>
      </c>
      <c r="P14" s="20">
        <f t="shared" si="0"/>
        <v>2264.7470705238497</v>
      </c>
      <c r="Q14" s="20">
        <f t="shared" si="0"/>
        <v>1742.1131311721915</v>
      </c>
      <c r="R14" s="20">
        <f t="shared" si="0"/>
        <v>1457.0400733440151</v>
      </c>
      <c r="S14" s="20">
        <f t="shared" si="0"/>
        <v>1226.4476443452234</v>
      </c>
      <c r="T14" s="20">
        <f t="shared" si="0"/>
        <v>1072.0696191828872</v>
      </c>
      <c r="V14" s="16">
        <v>7500</v>
      </c>
      <c r="W14" s="190">
        <v>1072.0696191828872</v>
      </c>
      <c r="X14" s="16">
        <v>310.27999999999997</v>
      </c>
    </row>
    <row r="15" spans="2:24" x14ac:dyDescent="0.2">
      <c r="B15" s="1">
        <v>8000</v>
      </c>
      <c r="C15" s="1">
        <v>34</v>
      </c>
      <c r="D15" s="1">
        <v>23</v>
      </c>
      <c r="E15" s="19">
        <f t="shared" si="1"/>
        <v>31.183399999999999</v>
      </c>
      <c r="F15" s="19">
        <f t="shared" si="2"/>
        <v>25.3538</v>
      </c>
      <c r="H15" s="19">
        <f>SUM(($B15*60*('KTM 350 EXC-f'!$J$15/'KTM 350 EXC-f'!$K$15)*'KTM 350 EXC-f'!$K$43*PI()*('KTM 350 EXC-f'!$J$9/'KTM 350 EXC-f'!$K$9)/1000)*('KTM 350 EXC-f'!$J$10/'KTM 350 EXC-f'!$K$10))</f>
        <v>39.779276534911979</v>
      </c>
      <c r="I15" s="19">
        <f>SUM(($B15*60*('KTM 350 EXC-f'!$J$17/'KTM 350 EXC-f'!$K$17)*'KTM 350 EXC-f'!$K$43*PI()*('KTM 350 EXC-f'!$J$9/'KTM 350 EXC-f'!$K$9)/1000)*('KTM 350 EXC-f'!$J$10/'KTM 350 EXC-f'!$K$10))</f>
        <v>55.953268093062988</v>
      </c>
      <c r="J15" s="19">
        <f>SUM(($B15*60*('KTM 350 EXC-f'!$J$19/'KTM 350 EXC-f'!$K$19)*'KTM 350 EXC-f'!$K$43*PI()*('KTM 350 EXC-f'!$J$9/'KTM 350 EXC-f'!$K$9)/1000)*('KTM 350 EXC-f'!$J$10/'KTM 350 EXC-f'!$K$10))</f>
        <v>72.739248520981889</v>
      </c>
      <c r="K15" s="19">
        <f>SUM(($B15*60*('KTM 350 EXC-f'!$J$21/'KTM 350 EXC-f'!$K$21)*'KTM 350 EXC-f'!$K$43*PI()*('KTM 350 EXC-f'!$J$9/'KTM 350 EXC-f'!$K$9)/1000)*('KTM 350 EXC-f'!$J$10/'KTM 350 EXC-f'!$K$10))</f>
        <v>86.970840622913116</v>
      </c>
      <c r="L15" s="19">
        <f>SUM(($B15*60*('KTM 350 EXC-f'!$J$23/'KTM 350 EXC-f'!$K$23)*'KTM 350 EXC-f'!$K$43*PI()*('KTM 350 EXC-f'!$J$9/'KTM 350 EXC-f'!$K$9)/1000)*('KTM 350 EXC-f'!$J$10/'KTM 350 EXC-f'!$K$10))</f>
        <v>103.32279619457657</v>
      </c>
      <c r="M15" s="19">
        <f>SUM(($B15*60*('KTM 350 EXC-f'!$J$25/'KTM 350 EXC-f'!$K$25)*'KTM 350 EXC-f'!$K$43*PI()*('KTM 350 EXC-f'!$J$9/'KTM 350 EXC-f'!$K$9)/1000)*('KTM 350 EXC-f'!$J$10/'KTM 350 EXC-f'!$K$10))</f>
        <v>118.20127884659557</v>
      </c>
      <c r="O15" s="20">
        <f t="shared" si="3"/>
        <v>3076.9790368755594</v>
      </c>
      <c r="P15" s="20">
        <f t="shared" si="0"/>
        <v>2187.5397840287187</v>
      </c>
      <c r="Q15" s="20">
        <f t="shared" si="0"/>
        <v>1682.722910791322</v>
      </c>
      <c r="R15" s="20">
        <f t="shared" si="0"/>
        <v>1407.3682526618329</v>
      </c>
      <c r="S15" s="20">
        <f t="shared" si="0"/>
        <v>1184.6369291970902</v>
      </c>
      <c r="T15" s="20">
        <f t="shared" si="0"/>
        <v>1035.521791256198</v>
      </c>
      <c r="V15" s="16">
        <v>8000</v>
      </c>
      <c r="W15" s="190">
        <v>1035.521791256198</v>
      </c>
      <c r="X15" s="16">
        <v>347.61</v>
      </c>
    </row>
    <row r="16" spans="2:24" x14ac:dyDescent="0.2">
      <c r="B16" s="1">
        <v>8500</v>
      </c>
      <c r="C16" s="1">
        <v>34.5</v>
      </c>
      <c r="D16" s="1">
        <v>22</v>
      </c>
      <c r="E16" s="19">
        <f t="shared" si="1"/>
        <v>29.827599999999997</v>
      </c>
      <c r="F16" s="19">
        <f t="shared" si="2"/>
        <v>25.726649999999999</v>
      </c>
      <c r="H16" s="19">
        <f>SUM(($B16*60*('KTM 350 EXC-f'!$J$15/'KTM 350 EXC-f'!$K$15)*'KTM 350 EXC-f'!$K$43*PI()*('KTM 350 EXC-f'!$J$9/'KTM 350 EXC-f'!$K$9)/1000)*('KTM 350 EXC-f'!$J$10/'KTM 350 EXC-f'!$K$10))</f>
        <v>42.265481318343973</v>
      </c>
      <c r="I16" s="19">
        <f>SUM(($B16*60*('KTM 350 EXC-f'!$J$17/'KTM 350 EXC-f'!$K$17)*'KTM 350 EXC-f'!$K$43*PI()*('KTM 350 EXC-f'!$J$9/'KTM 350 EXC-f'!$K$9)/1000)*('KTM 350 EXC-f'!$J$10/'KTM 350 EXC-f'!$K$10))</f>
        <v>59.450347348879447</v>
      </c>
      <c r="J16" s="19">
        <f>SUM(($B16*60*('KTM 350 EXC-f'!$J$19/'KTM 350 EXC-f'!$K$19)*'KTM 350 EXC-f'!$K$43*PI()*('KTM 350 EXC-f'!$J$9/'KTM 350 EXC-f'!$K$9)/1000)*('KTM 350 EXC-f'!$J$10/'KTM 350 EXC-f'!$K$10))</f>
        <v>77.28545155354324</v>
      </c>
      <c r="K16" s="19">
        <f>SUM(($B16*60*('KTM 350 EXC-f'!$J$21/'KTM 350 EXC-f'!$K$21)*'KTM 350 EXC-f'!$K$43*PI()*('KTM 350 EXC-f'!$J$9/'KTM 350 EXC-f'!$K$9)/1000)*('KTM 350 EXC-f'!$J$10/'KTM 350 EXC-f'!$K$10))</f>
        <v>92.406518161845213</v>
      </c>
      <c r="L16" s="19">
        <f>SUM(($B16*60*('KTM 350 EXC-f'!$J$23/'KTM 350 EXC-f'!$K$23)*'KTM 350 EXC-f'!$K$43*PI()*('KTM 350 EXC-f'!$J$9/'KTM 350 EXC-f'!$K$9)/1000)*('KTM 350 EXC-f'!$J$10/'KTM 350 EXC-f'!$K$10))</f>
        <v>109.78047095673757</v>
      </c>
      <c r="M16" s="19">
        <f>SUM(($B16*60*('KTM 350 EXC-f'!$J$25/'KTM 350 EXC-f'!$K$25)*'KTM 350 EXC-f'!$K$43*PI()*('KTM 350 EXC-f'!$J$9/'KTM 350 EXC-f'!$K$9)/1000)*('KTM 350 EXC-f'!$J$10/'KTM 350 EXC-f'!$K$10))</f>
        <v>125.5888587745078</v>
      </c>
      <c r="O16" s="20">
        <f t="shared" si="3"/>
        <v>2938.568215147593</v>
      </c>
      <c r="P16" s="20">
        <f t="shared" si="0"/>
        <v>2089.1383404564917</v>
      </c>
      <c r="Q16" s="20">
        <f t="shared" si="0"/>
        <v>1607.0294926588406</v>
      </c>
      <c r="R16" s="20">
        <f t="shared" si="0"/>
        <v>1344.0610302237571</v>
      </c>
      <c r="S16" s="20">
        <f t="shared" si="0"/>
        <v>1131.3487628318235</v>
      </c>
      <c r="T16" s="20">
        <f t="shared" si="0"/>
        <v>988.94122625159389</v>
      </c>
      <c r="V16" s="16">
        <v>8500</v>
      </c>
      <c r="W16" s="190">
        <v>988.94122625159389</v>
      </c>
      <c r="X16" s="16">
        <v>387.34</v>
      </c>
    </row>
    <row r="17" spans="2:24" x14ac:dyDescent="0.2">
      <c r="B17" s="1">
        <v>9000</v>
      </c>
      <c r="C17" s="1">
        <v>35</v>
      </c>
      <c r="D17" s="1">
        <v>20</v>
      </c>
      <c r="E17" s="19">
        <f t="shared" si="1"/>
        <v>27.116</v>
      </c>
      <c r="F17" s="19">
        <f t="shared" si="2"/>
        <v>26.099500000000003</v>
      </c>
      <c r="H17" s="19">
        <f>SUM(($B17*60*('KTM 350 EXC-f'!$J$15/'KTM 350 EXC-f'!$K$15)*'KTM 350 EXC-f'!$K$43*PI()*('KTM 350 EXC-f'!$J$9/'KTM 350 EXC-f'!$K$9)/1000)*('KTM 350 EXC-f'!$J$10/'KTM 350 EXC-f'!$K$10))</f>
        <v>44.75168610177596</v>
      </c>
      <c r="I17" s="19">
        <f>SUM(($B17*60*('KTM 350 EXC-f'!$J$17/'KTM 350 EXC-f'!$K$17)*'KTM 350 EXC-f'!$K$43*PI()*('KTM 350 EXC-f'!$J$9/'KTM 350 EXC-f'!$K$9)/1000)*('KTM 350 EXC-f'!$J$10/'KTM 350 EXC-f'!$K$10))</f>
        <v>62.94742660469587</v>
      </c>
      <c r="J17" s="19">
        <f>SUM(($B17*60*('KTM 350 EXC-f'!$J$19/'KTM 350 EXC-f'!$K$19)*'KTM 350 EXC-f'!$K$43*PI()*('KTM 350 EXC-f'!$J$9/'KTM 350 EXC-f'!$K$9)/1000)*('KTM 350 EXC-f'!$J$10/'KTM 350 EXC-f'!$K$10))</f>
        <v>81.831654586104619</v>
      </c>
      <c r="K17" s="19">
        <f>SUM(($B17*60*('KTM 350 EXC-f'!$J$21/'KTM 350 EXC-f'!$K$21)*'KTM 350 EXC-f'!$K$43*PI()*('KTM 350 EXC-f'!$J$9/'KTM 350 EXC-f'!$K$9)/1000)*('KTM 350 EXC-f'!$J$10/'KTM 350 EXC-f'!$K$10))</f>
        <v>97.842195700777282</v>
      </c>
      <c r="L17" s="19">
        <f>SUM(($B17*60*('KTM 350 EXC-f'!$J$23/'KTM 350 EXC-f'!$K$23)*'KTM 350 EXC-f'!$K$43*PI()*('KTM 350 EXC-f'!$J$9/'KTM 350 EXC-f'!$K$9)/1000)*('KTM 350 EXC-f'!$J$10/'KTM 350 EXC-f'!$K$10))</f>
        <v>116.23814571889864</v>
      </c>
      <c r="M17" s="19">
        <f>SUM(($B17*60*('KTM 350 EXC-f'!$J$25/'KTM 350 EXC-f'!$K$25)*'KTM 350 EXC-f'!$K$43*PI()*('KTM 350 EXC-f'!$J$9/'KTM 350 EXC-f'!$K$9)/1000)*('KTM 350 EXC-f'!$J$10/'KTM 350 EXC-f'!$K$10))</f>
        <v>132.97643870242001</v>
      </c>
      <c r="O17" s="20">
        <f t="shared" si="3"/>
        <v>2815.5363736116242</v>
      </c>
      <c r="P17" s="20">
        <f t="shared" si="0"/>
        <v>2001.6703906145133</v>
      </c>
      <c r="Q17" s="20">
        <f t="shared" si="0"/>
        <v>1539.7464543188566</v>
      </c>
      <c r="R17" s="20">
        <f t="shared" si="0"/>
        <v>1287.7879436121343</v>
      </c>
      <c r="S17" s="20">
        <f t="shared" si="0"/>
        <v>1083.9815038404749</v>
      </c>
      <c r="T17" s="20">
        <f t="shared" si="0"/>
        <v>947.53627958083484</v>
      </c>
      <c r="V17" s="16">
        <v>9000</v>
      </c>
      <c r="W17" s="190">
        <v>947.53627958083484</v>
      </c>
      <c r="X17" s="16">
        <v>429.48</v>
      </c>
    </row>
    <row r="18" spans="2:24" x14ac:dyDescent="0.2">
      <c r="B18" s="1">
        <v>9500</v>
      </c>
      <c r="C18" s="1">
        <v>34.5</v>
      </c>
      <c r="D18" s="1">
        <v>19</v>
      </c>
      <c r="E18" s="19">
        <f t="shared" si="1"/>
        <v>25.760199999999998</v>
      </c>
      <c r="F18" s="19">
        <f t="shared" si="2"/>
        <v>25.726649999999999</v>
      </c>
      <c r="H18" s="19">
        <f>SUM(($B18*60*('KTM 350 EXC-f'!$J$15/'KTM 350 EXC-f'!$K$15)*'KTM 350 EXC-f'!$K$43*PI()*('KTM 350 EXC-f'!$J$9/'KTM 350 EXC-f'!$K$9)/1000)*('KTM 350 EXC-f'!$J$10/'KTM 350 EXC-f'!$K$10))</f>
        <v>47.23789088520796</v>
      </c>
      <c r="I18" s="19">
        <f>SUM(($B18*60*('KTM 350 EXC-f'!$J$17/'KTM 350 EXC-f'!$K$17)*'KTM 350 EXC-f'!$K$43*PI()*('KTM 350 EXC-f'!$J$9/'KTM 350 EXC-f'!$K$9)/1000)*('KTM 350 EXC-f'!$J$10/'KTM 350 EXC-f'!$K$10))</f>
        <v>66.444505860512322</v>
      </c>
      <c r="J18" s="19">
        <f>SUM(($B18*60*('KTM 350 EXC-f'!$J$19/'KTM 350 EXC-f'!$K$19)*'KTM 350 EXC-f'!$K$43*PI()*('KTM 350 EXC-f'!$J$9/'KTM 350 EXC-f'!$K$9)/1000)*('KTM 350 EXC-f'!$J$10/'KTM 350 EXC-f'!$K$10))</f>
        <v>86.377857618665985</v>
      </c>
      <c r="K18" s="19">
        <f>SUM(($B18*60*('KTM 350 EXC-f'!$J$21/'KTM 350 EXC-f'!$K$21)*'KTM 350 EXC-f'!$K$43*PI()*('KTM 350 EXC-f'!$J$9/'KTM 350 EXC-f'!$K$9)/1000)*('KTM 350 EXC-f'!$J$10/'KTM 350 EXC-f'!$K$10))</f>
        <v>103.27787323970935</v>
      </c>
      <c r="L18" s="19">
        <f>SUM(($B18*60*('KTM 350 EXC-f'!$J$23/'KTM 350 EXC-f'!$K$23)*'KTM 350 EXC-f'!$K$43*PI()*('KTM 350 EXC-f'!$J$9/'KTM 350 EXC-f'!$K$9)/1000)*('KTM 350 EXC-f'!$J$10/'KTM 350 EXC-f'!$K$10))</f>
        <v>122.69582048105967</v>
      </c>
      <c r="M18" s="19">
        <f>SUM(($B18*60*('KTM 350 EXC-f'!$J$25/'KTM 350 EXC-f'!$K$25)*'KTM 350 EXC-f'!$K$43*PI()*('KTM 350 EXC-f'!$J$9/'KTM 350 EXC-f'!$K$9)/1000)*('KTM 350 EXC-f'!$J$10/'KTM 350 EXC-f'!$K$10))</f>
        <v>140.36401863033223</v>
      </c>
      <c r="O18" s="20">
        <f t="shared" si="3"/>
        <v>2629.2452451320578</v>
      </c>
      <c r="P18" s="20">
        <f t="shared" si="0"/>
        <v>1869.2290414610713</v>
      </c>
      <c r="Q18" s="20">
        <f t="shared" si="0"/>
        <v>1437.8684934315941</v>
      </c>
      <c r="R18" s="20">
        <f t="shared" si="0"/>
        <v>1202.5809217791511</v>
      </c>
      <c r="S18" s="20">
        <f t="shared" si="0"/>
        <v>1012.2594193758418</v>
      </c>
      <c r="T18" s="20">
        <f t="shared" si="0"/>
        <v>884.84214980405784</v>
      </c>
      <c r="V18" s="16">
        <v>9500</v>
      </c>
      <c r="W18" s="190">
        <v>884.84214980405784</v>
      </c>
      <c r="X18" s="16">
        <v>474.03</v>
      </c>
    </row>
    <row r="19" spans="2:24" x14ac:dyDescent="0.2">
      <c r="B19" s="1">
        <v>10000</v>
      </c>
      <c r="C19" s="1">
        <v>33.5</v>
      </c>
      <c r="D19" s="1">
        <v>17.5</v>
      </c>
      <c r="E19" s="19">
        <f t="shared" si="1"/>
        <v>23.726499999999998</v>
      </c>
      <c r="F19" s="19">
        <f t="shared" si="2"/>
        <v>24.98095</v>
      </c>
      <c r="H19" s="19">
        <f>SUM(($B19*60*('KTM 350 EXC-f'!$J$15/'KTM 350 EXC-f'!$K$15)*'KTM 350 EXC-f'!$K$43*PI()*('KTM 350 EXC-f'!$J$9/'KTM 350 EXC-f'!$K$9)/1000)*('KTM 350 EXC-f'!$J$10/'KTM 350 EXC-f'!$K$10))</f>
        <v>49.724095668639954</v>
      </c>
      <c r="I19" s="19">
        <f>SUM(($B19*60*('KTM 350 EXC-f'!$J$17/'KTM 350 EXC-f'!$K$17)*'KTM 350 EXC-f'!$K$43*PI()*('KTM 350 EXC-f'!$J$9/'KTM 350 EXC-f'!$K$9)/1000)*('KTM 350 EXC-f'!$J$10/'KTM 350 EXC-f'!$K$10))</f>
        <v>69.941585116328753</v>
      </c>
      <c r="J19" s="19">
        <f>SUM(($B19*60*('KTM 350 EXC-f'!$J$19/'KTM 350 EXC-f'!$K$19)*'KTM 350 EXC-f'!$K$43*PI()*('KTM 350 EXC-f'!$J$9/'KTM 350 EXC-f'!$K$9)/1000)*('KTM 350 EXC-f'!$J$10/'KTM 350 EXC-f'!$K$10))</f>
        <v>90.92406065122735</v>
      </c>
      <c r="K19" s="19">
        <f>SUM(($B19*60*('KTM 350 EXC-f'!$J$21/'KTM 350 EXC-f'!$K$21)*'KTM 350 EXC-f'!$K$43*PI()*('KTM 350 EXC-f'!$J$9/'KTM 350 EXC-f'!$K$9)/1000)*('KTM 350 EXC-f'!$J$10/'KTM 350 EXC-f'!$K$10))</f>
        <v>108.71355077864141</v>
      </c>
      <c r="L19" s="19">
        <f>SUM(($B19*60*('KTM 350 EXC-f'!$J$23/'KTM 350 EXC-f'!$K$23)*'KTM 350 EXC-f'!$K$43*PI()*('KTM 350 EXC-f'!$J$9/'KTM 350 EXC-f'!$K$9)/1000)*('KTM 350 EXC-f'!$J$10/'KTM 350 EXC-f'!$K$10))</f>
        <v>129.1534952432207</v>
      </c>
      <c r="M19" s="19">
        <f>SUM(($B19*60*('KTM 350 EXC-f'!$J$25/'KTM 350 EXC-f'!$K$25)*'KTM 350 EXC-f'!$K$43*PI()*('KTM 350 EXC-f'!$J$9/'KTM 350 EXC-f'!$K$9)/1000)*('KTM 350 EXC-f'!$J$10/'KTM 350 EXC-f'!$K$10))</f>
        <v>147.75159855824447</v>
      </c>
      <c r="O19" s="20">
        <f t="shared" si="3"/>
        <v>2425.3834761254416</v>
      </c>
      <c r="P19" s="20">
        <f t="shared" si="0"/>
        <v>1724.2960650579307</v>
      </c>
      <c r="Q19" s="20">
        <f t="shared" si="0"/>
        <v>1326.3815885061008</v>
      </c>
      <c r="R19" s="20">
        <f t="shared" si="0"/>
        <v>1109.3373285687389</v>
      </c>
      <c r="S19" s="20">
        <f t="shared" si="0"/>
        <v>933.77263830829475</v>
      </c>
      <c r="T19" s="20">
        <f t="shared" si="0"/>
        <v>816.23482369606199</v>
      </c>
      <c r="V19" s="16">
        <v>10000</v>
      </c>
      <c r="W19" s="190">
        <v>816.23482369606199</v>
      </c>
      <c r="X19" s="16">
        <v>520.99</v>
      </c>
    </row>
    <row r="20" spans="2:24" x14ac:dyDescent="0.2">
      <c r="B20" s="1">
        <v>10500</v>
      </c>
      <c r="C20" s="1">
        <v>33</v>
      </c>
      <c r="D20" s="1">
        <v>16.5</v>
      </c>
      <c r="E20" s="19">
        <f t="shared" si="1"/>
        <v>22.370699999999999</v>
      </c>
      <c r="F20" s="19">
        <f t="shared" si="2"/>
        <v>24.6081</v>
      </c>
      <c r="H20" s="19">
        <f>SUM(($B20*60*('KTM 350 EXC-f'!$J$15/'KTM 350 EXC-f'!$K$15)*'KTM 350 EXC-f'!$K$43*PI()*('KTM 350 EXC-f'!$J$9/'KTM 350 EXC-f'!$K$9)/1000)*('KTM 350 EXC-f'!$J$10/'KTM 350 EXC-f'!$K$10))</f>
        <v>52.210300452071955</v>
      </c>
      <c r="I20" s="19">
        <f>SUM(($B20*60*('KTM 350 EXC-f'!$J$17/'KTM 350 EXC-f'!$K$17)*'KTM 350 EXC-f'!$K$43*PI()*('KTM 350 EXC-f'!$J$9/'KTM 350 EXC-f'!$K$9)/1000)*('KTM 350 EXC-f'!$J$10/'KTM 350 EXC-f'!$K$10))</f>
        <v>73.438664372145169</v>
      </c>
      <c r="J20" s="19">
        <f>SUM(($B20*60*('KTM 350 EXC-f'!$J$19/'KTM 350 EXC-f'!$K$19)*'KTM 350 EXC-f'!$K$43*PI()*('KTM 350 EXC-f'!$J$9/'KTM 350 EXC-f'!$K$9)/1000)*('KTM 350 EXC-f'!$J$10/'KTM 350 EXC-f'!$K$10))</f>
        <v>95.470263683788744</v>
      </c>
      <c r="K20" s="19">
        <f>SUM(($B20*60*('KTM 350 EXC-f'!$J$21/'KTM 350 EXC-f'!$K$21)*'KTM 350 EXC-f'!$K$43*PI()*('KTM 350 EXC-f'!$J$9/'KTM 350 EXC-f'!$K$9)/1000)*('KTM 350 EXC-f'!$J$10/'KTM 350 EXC-f'!$K$10))</f>
        <v>114.14922831757349</v>
      </c>
      <c r="L20" s="19">
        <f>SUM(($B20*60*('KTM 350 EXC-f'!$J$23/'KTM 350 EXC-f'!$K$23)*'KTM 350 EXC-f'!$K$43*PI()*('KTM 350 EXC-f'!$J$9/'KTM 350 EXC-f'!$K$9)/1000)*('KTM 350 EXC-f'!$J$10/'KTM 350 EXC-f'!$K$10))</f>
        <v>135.61117000538172</v>
      </c>
      <c r="M20" s="19">
        <f>SUM(($B20*60*('KTM 350 EXC-f'!$J$25/'KTM 350 EXC-f'!$K$25)*'KTM 350 EXC-f'!$K$43*PI()*('KTM 350 EXC-f'!$J$9/'KTM 350 EXC-f'!$K$9)/1000)*('KTM 350 EXC-f'!$J$10/'KTM 350 EXC-f'!$K$10))</f>
        <v>155.13917848615665</v>
      </c>
      <c r="O20" s="20">
        <f t="shared" si="3"/>
        <v>2275.4130692861286</v>
      </c>
      <c r="P20" s="20">
        <f t="shared" si="0"/>
        <v>1617.676478945607</v>
      </c>
      <c r="Q20" s="20">
        <f t="shared" si="0"/>
        <v>1244.3665222658512</v>
      </c>
      <c r="R20" s="20">
        <f t="shared" si="0"/>
        <v>1040.7429095314394</v>
      </c>
      <c r="S20" s="20">
        <f t="shared" si="0"/>
        <v>876.03403167515944</v>
      </c>
      <c r="T20" s="20">
        <f t="shared" si="0"/>
        <v>765.76401370206258</v>
      </c>
      <c r="V20" s="16">
        <v>10500</v>
      </c>
      <c r="W20" s="190">
        <v>765.76401370206258</v>
      </c>
      <c r="X20" s="16">
        <v>570.35</v>
      </c>
    </row>
    <row r="21" spans="2:24" x14ac:dyDescent="0.2">
      <c r="B21" s="1">
        <v>11000</v>
      </c>
      <c r="C21" s="1">
        <v>33</v>
      </c>
      <c r="D21" s="1">
        <v>15.2</v>
      </c>
      <c r="E21" s="19">
        <f t="shared" si="1"/>
        <v>20.608159999999998</v>
      </c>
      <c r="F21" s="19">
        <f t="shared" si="2"/>
        <v>24.6081</v>
      </c>
      <c r="H21" s="19">
        <f>SUM(($B21*60*('KTM 350 EXC-f'!$J$15/'KTM 350 EXC-f'!$K$15)*'KTM 350 EXC-f'!$K$43*PI()*('KTM 350 EXC-f'!$J$9/'KTM 350 EXC-f'!$K$9)/1000)*('KTM 350 EXC-f'!$J$10/'KTM 350 EXC-f'!$K$10))</f>
        <v>54.696505235503963</v>
      </c>
      <c r="I21" s="19">
        <f>SUM(($B21*60*('KTM 350 EXC-f'!$J$17/'KTM 350 EXC-f'!$K$17)*'KTM 350 EXC-f'!$K$43*PI()*('KTM 350 EXC-f'!$J$9/'KTM 350 EXC-f'!$K$9)/1000)*('KTM 350 EXC-f'!$J$10/'KTM 350 EXC-f'!$K$10))</f>
        <v>76.935743627961628</v>
      </c>
      <c r="J21" s="19">
        <f>SUM(($B21*60*('KTM 350 EXC-f'!$J$19/'KTM 350 EXC-f'!$K$19)*'KTM 350 EXC-f'!$K$43*PI()*('KTM 350 EXC-f'!$J$9/'KTM 350 EXC-f'!$K$9)/1000)*('KTM 350 EXC-f'!$J$10/'KTM 350 EXC-f'!$K$10))</f>
        <v>100.01646671635011</v>
      </c>
      <c r="K21" s="19">
        <f>SUM(($B21*60*('KTM 350 EXC-f'!$J$21/'KTM 350 EXC-f'!$K$21)*'KTM 350 EXC-f'!$K$43*PI()*('KTM 350 EXC-f'!$J$9/'KTM 350 EXC-f'!$K$9)/1000)*('KTM 350 EXC-f'!$J$10/'KTM 350 EXC-f'!$K$10))</f>
        <v>119.58490585650557</v>
      </c>
      <c r="L21" s="19">
        <f>SUM(($B21*60*('KTM 350 EXC-f'!$J$23/'KTM 350 EXC-f'!$K$23)*'KTM 350 EXC-f'!$K$43*PI()*('KTM 350 EXC-f'!$J$9/'KTM 350 EXC-f'!$K$9)/1000)*('KTM 350 EXC-f'!$J$10/'KTM 350 EXC-f'!$K$10))</f>
        <v>142.06884476754277</v>
      </c>
      <c r="M21" s="19">
        <f>SUM(($B21*60*('KTM 350 EXC-f'!$J$25/'KTM 350 EXC-f'!$K$25)*'KTM 350 EXC-f'!$K$43*PI()*('KTM 350 EXC-f'!$J$9/'KTM 350 EXC-f'!$K$9)/1000)*('KTM 350 EXC-f'!$J$10/'KTM 350 EXC-f'!$K$10))</f>
        <v>162.52675841406889</v>
      </c>
      <c r="O21" s="20">
        <f t="shared" si="3"/>
        <v>2171.9852025003952</v>
      </c>
      <c r="P21" s="20">
        <f t="shared" ref="P21:P22" si="4">SUM($C21*1000)/(I21*(1000/3600))</f>
        <v>1544.1457299026245</v>
      </c>
      <c r="Q21" s="20">
        <f t="shared" ref="Q21:Q22" si="5">SUM($C21*1000)/(J21*(1000/3600))</f>
        <v>1187.8044076174035</v>
      </c>
      <c r="R21" s="20">
        <f t="shared" ref="R21:R22" si="6">SUM($C21*1000)/(K21*(1000/3600))</f>
        <v>993.43641364364646</v>
      </c>
      <c r="S21" s="20">
        <f t="shared" ref="S21:S22" si="7">SUM($C21*1000)/(L21*(1000/3600))</f>
        <v>836.21430296265203</v>
      </c>
      <c r="T21" s="20">
        <f t="shared" ref="T21:T22" si="8">SUM($C21*1000)/(M21*(1000/3600))</f>
        <v>730.95655853378696</v>
      </c>
      <c r="V21" s="16">
        <v>11000</v>
      </c>
      <c r="W21" s="190">
        <v>730.95655853378696</v>
      </c>
      <c r="X21" s="16">
        <v>622.13</v>
      </c>
    </row>
    <row r="22" spans="2:24" x14ac:dyDescent="0.2">
      <c r="B22" s="1">
        <v>11500</v>
      </c>
      <c r="C22" s="1">
        <v>33</v>
      </c>
      <c r="D22" s="1">
        <v>14.5</v>
      </c>
      <c r="E22" s="19">
        <f t="shared" si="1"/>
        <v>19.659099999999999</v>
      </c>
      <c r="F22" s="19">
        <f t="shared" si="2"/>
        <v>24.6081</v>
      </c>
      <c r="H22" s="19">
        <f>SUM(($B22*60*('KTM 350 EXC-f'!$J$15/'KTM 350 EXC-f'!$K$15)*'KTM 350 EXC-f'!$K$43*PI()*('KTM 350 EXC-f'!$J$9/'KTM 350 EXC-f'!$K$9)/1000)*('KTM 350 EXC-f'!$J$10/'KTM 350 EXC-f'!$K$10))</f>
        <v>57.18271001893595</v>
      </c>
      <c r="I22" s="19">
        <f>SUM(($B22*60*('KTM 350 EXC-f'!$J$17/'KTM 350 EXC-f'!$K$17)*'KTM 350 EXC-f'!$K$43*PI()*('KTM 350 EXC-f'!$J$9/'KTM 350 EXC-f'!$K$9)/1000)*('KTM 350 EXC-f'!$J$10/'KTM 350 EXC-f'!$K$10))</f>
        <v>80.432822883778059</v>
      </c>
      <c r="J22" s="19">
        <f>SUM(($B22*60*('KTM 350 EXC-f'!$J$19/'KTM 350 EXC-f'!$K$19)*'KTM 350 EXC-f'!$K$43*PI()*('KTM 350 EXC-f'!$J$9/'KTM 350 EXC-f'!$K$9)/1000)*('KTM 350 EXC-f'!$J$10/'KTM 350 EXC-f'!$K$10))</f>
        <v>104.56266974891146</v>
      </c>
      <c r="K22" s="19">
        <f>SUM(($B22*60*('KTM 350 EXC-f'!$J$21/'KTM 350 EXC-f'!$K$21)*'KTM 350 EXC-f'!$K$43*PI()*('KTM 350 EXC-f'!$J$9/'KTM 350 EXC-f'!$K$9)/1000)*('KTM 350 EXC-f'!$J$10/'KTM 350 EXC-f'!$K$10))</f>
        <v>125.02058339543764</v>
      </c>
      <c r="L22" s="19">
        <f>SUM(($B22*60*('KTM 350 EXC-f'!$J$23/'KTM 350 EXC-f'!$K$23)*'KTM 350 EXC-f'!$K$43*PI()*('KTM 350 EXC-f'!$J$9/'KTM 350 EXC-f'!$K$9)/1000)*('KTM 350 EXC-f'!$J$10/'KTM 350 EXC-f'!$K$10))</f>
        <v>148.52651952970382</v>
      </c>
      <c r="M22" s="19">
        <f>SUM(($B22*60*('KTM 350 EXC-f'!$J$25/'KTM 350 EXC-f'!$K$25)*'KTM 350 EXC-f'!$K$43*PI()*('KTM 350 EXC-f'!$J$9/'KTM 350 EXC-f'!$K$9)/1000)*('KTM 350 EXC-f'!$J$10/'KTM 350 EXC-f'!$K$10))</f>
        <v>169.91433834198114</v>
      </c>
      <c r="O22" s="20">
        <f t="shared" si="3"/>
        <v>2077.5510632612481</v>
      </c>
      <c r="P22" s="20">
        <f t="shared" si="4"/>
        <v>1477.0089590372929</v>
      </c>
      <c r="Q22" s="20">
        <f t="shared" si="5"/>
        <v>1136.1607377209948</v>
      </c>
      <c r="R22" s="20">
        <f t="shared" si="6"/>
        <v>950.2435260939227</v>
      </c>
      <c r="S22" s="20">
        <f t="shared" si="7"/>
        <v>799.85715935558017</v>
      </c>
      <c r="T22" s="20">
        <f t="shared" si="8"/>
        <v>699.17583859753529</v>
      </c>
      <c r="V22" s="16">
        <v>11500</v>
      </c>
      <c r="W22" s="190">
        <v>699.17583859753529</v>
      </c>
      <c r="X22" s="16">
        <v>676.31</v>
      </c>
    </row>
    <row r="23" spans="2:24" x14ac:dyDescent="0.2">
      <c r="B23" s="1"/>
    </row>
    <row r="27" spans="2:24" x14ac:dyDescent="0.2">
      <c r="B27" t="s">
        <v>76</v>
      </c>
      <c r="C27">
        <v>1.3557999999999999</v>
      </c>
    </row>
    <row r="31" spans="2:24" x14ac:dyDescent="0.2">
      <c r="B31" s="152" t="s">
        <v>24</v>
      </c>
      <c r="C31" s="152"/>
      <c r="D31" s="152"/>
      <c r="E31" s="152"/>
      <c r="F31" s="152"/>
      <c r="G31" s="152"/>
    </row>
    <row r="32" spans="2:24" x14ac:dyDescent="0.2">
      <c r="B32" s="152"/>
      <c r="C32" s="152"/>
      <c r="D32" s="152"/>
      <c r="E32" s="152"/>
      <c r="F32" s="152"/>
      <c r="G32" s="152"/>
    </row>
    <row r="33" spans="2:7" x14ac:dyDescent="0.2">
      <c r="B33" s="152"/>
      <c r="C33" s="152"/>
      <c r="D33" s="152"/>
      <c r="E33" s="152"/>
      <c r="F33" s="152"/>
      <c r="G33" s="152"/>
    </row>
    <row r="34" spans="2:7" x14ac:dyDescent="0.2">
      <c r="B34" s="152"/>
      <c r="C34" s="152"/>
      <c r="D34" s="152"/>
      <c r="E34" s="152"/>
      <c r="F34" s="152"/>
      <c r="G34" s="152"/>
    </row>
    <row r="35" spans="2:7" x14ac:dyDescent="0.2">
      <c r="B35" s="152"/>
      <c r="C35" s="152"/>
      <c r="D35" s="152"/>
      <c r="E35" s="152"/>
      <c r="F35" s="152"/>
      <c r="G35" s="152"/>
    </row>
  </sheetData>
  <mergeCells count="7">
    <mergeCell ref="X2:X4"/>
    <mergeCell ref="B31:G35"/>
    <mergeCell ref="H2:M3"/>
    <mergeCell ref="O2:T3"/>
    <mergeCell ref="E2:F3"/>
    <mergeCell ref="V2:V4"/>
    <mergeCell ref="W2:W4"/>
  </mergeCells>
  <phoneticPr fontId="20" type="noConversion"/>
  <hyperlinks>
    <hyperlink ref="B31:E33" location="Menu!A1" display="RETURN TO MENU" xr:uid="{8C89B99A-A2E7-9B4F-B25C-4703561A72F1}"/>
  </hyperlink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8B98C-5C29-5B4E-B395-D9D4A66A44BE}">
  <dimension ref="B1:Q35"/>
  <sheetViews>
    <sheetView showGridLines="0" showRowColHeaders="0" workbookViewId="0">
      <selection activeCell="L31" sqref="L31:Q35"/>
    </sheetView>
  </sheetViews>
  <sheetFormatPr baseColWidth="10" defaultRowHeight="16" x14ac:dyDescent="0.2"/>
  <cols>
    <col min="1" max="1" width="3.6640625" customWidth="1"/>
    <col min="2" max="2" width="30.6640625" bestFit="1" customWidth="1"/>
    <col min="3" max="3" width="10.83203125" style="1"/>
    <col min="4" max="4" width="26.1640625" style="1" bestFit="1" customWidth="1"/>
    <col min="5" max="5" width="10.83203125" style="1"/>
    <col min="7" max="7" width="22.6640625" customWidth="1"/>
    <col min="9" max="9" width="18.1640625" bestFit="1" customWidth="1"/>
    <col min="10" max="11" width="11.5" bestFit="1" customWidth="1"/>
    <col min="12" max="12" width="15.6640625" customWidth="1"/>
    <col min="13" max="13" width="11.5" bestFit="1" customWidth="1"/>
    <col min="14" max="14" width="12.6640625" bestFit="1" customWidth="1"/>
    <col min="15" max="15" width="14.33203125" customWidth="1"/>
  </cols>
  <sheetData>
    <row r="1" spans="2:15" ht="7" customHeight="1" x14ac:dyDescent="0.2"/>
    <row r="2" spans="2:15" ht="16" customHeight="1" x14ac:dyDescent="0.2">
      <c r="B2" s="205" t="s">
        <v>94</v>
      </c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</row>
    <row r="3" spans="2:15" ht="16" customHeight="1" x14ac:dyDescent="0.2"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</row>
    <row r="5" spans="2:15" x14ac:dyDescent="0.2">
      <c r="B5" s="182" t="s">
        <v>95</v>
      </c>
      <c r="C5" s="182"/>
      <c r="D5" s="182"/>
      <c r="E5" s="182"/>
      <c r="G5" s="183" t="s">
        <v>96</v>
      </c>
      <c r="H5" s="183"/>
      <c r="I5" s="183"/>
      <c r="J5" s="183"/>
      <c r="K5" s="183"/>
      <c r="L5" s="183"/>
      <c r="M5" s="183"/>
      <c r="N5" s="183"/>
      <c r="O5" s="183"/>
    </row>
    <row r="6" spans="2:15" x14ac:dyDescent="0.2">
      <c r="B6" s="182"/>
      <c r="C6" s="182"/>
      <c r="D6" s="182"/>
      <c r="E6" s="182"/>
      <c r="G6" s="183"/>
      <c r="H6" s="183"/>
      <c r="I6" s="183"/>
      <c r="J6" s="183"/>
      <c r="K6" s="183"/>
      <c r="L6" s="183"/>
      <c r="M6" s="183"/>
      <c r="N6" s="183"/>
      <c r="O6" s="183"/>
    </row>
    <row r="8" spans="2:15" ht="29" x14ac:dyDescent="0.35">
      <c r="B8" s="120" t="s">
        <v>142</v>
      </c>
      <c r="C8" s="78" t="s">
        <v>97</v>
      </c>
      <c r="D8" s="79" t="s">
        <v>98</v>
      </c>
      <c r="E8" s="78" t="s">
        <v>99</v>
      </c>
      <c r="G8" s="184" t="s">
        <v>100</v>
      </c>
      <c r="H8" s="184"/>
      <c r="I8" s="184"/>
      <c r="J8" s="184"/>
      <c r="L8" s="184" t="s">
        <v>101</v>
      </c>
      <c r="M8" s="184"/>
      <c r="N8" s="184"/>
      <c r="O8" s="184"/>
    </row>
    <row r="9" spans="2:15" ht="24" x14ac:dyDescent="0.3">
      <c r="B9" s="80" t="s">
        <v>102</v>
      </c>
      <c r="C9" s="81" t="s">
        <v>103</v>
      </c>
      <c r="D9" s="82">
        <v>259.89999999999998</v>
      </c>
      <c r="E9" s="83" t="s">
        <v>104</v>
      </c>
    </row>
    <row r="10" spans="2:15" ht="24" x14ac:dyDescent="0.3">
      <c r="B10" s="80" t="s">
        <v>105</v>
      </c>
      <c r="C10" s="81" t="s">
        <v>106</v>
      </c>
      <c r="D10" s="106">
        <f>'Ducati Panigale'!J28</f>
        <v>0.33</v>
      </c>
      <c r="E10" s="84"/>
      <c r="G10" s="85" t="s">
        <v>107</v>
      </c>
      <c r="H10" s="86" t="s">
        <v>108</v>
      </c>
      <c r="I10" s="87">
        <f>SUM(0.5*D14*D11*D10*(D13*D13))</f>
        <v>918.41416614848617</v>
      </c>
      <c r="J10" s="86" t="s">
        <v>109</v>
      </c>
      <c r="L10" s="179" t="s">
        <v>110</v>
      </c>
      <c r="M10" s="180" t="s">
        <v>111</v>
      </c>
      <c r="N10" s="185">
        <f>SUM(I13*D13)</f>
        <v>86431.5317542798</v>
      </c>
      <c r="O10" s="180" t="s">
        <v>112</v>
      </c>
    </row>
    <row r="11" spans="2:15" ht="24" x14ac:dyDescent="0.3">
      <c r="B11" s="80" t="s">
        <v>113</v>
      </c>
      <c r="C11" s="81" t="s">
        <v>114</v>
      </c>
      <c r="D11" s="82">
        <f>'Ducati Panigale'!J29</f>
        <v>0.6</v>
      </c>
      <c r="E11" s="88"/>
      <c r="G11" s="85" t="s">
        <v>115</v>
      </c>
      <c r="H11" s="86" t="s">
        <v>116</v>
      </c>
      <c r="I11" s="87">
        <f>SUM(0.02*D9*D15)</f>
        <v>50.992379999999997</v>
      </c>
      <c r="J11" s="86" t="s">
        <v>109</v>
      </c>
      <c r="L11" s="179"/>
      <c r="M11" s="180"/>
      <c r="N11" s="185"/>
      <c r="O11" s="180"/>
    </row>
    <row r="12" spans="2:15" ht="24" x14ac:dyDescent="0.3">
      <c r="B12" s="80" t="s">
        <v>117</v>
      </c>
      <c r="C12" s="81" t="s">
        <v>118</v>
      </c>
      <c r="D12" s="82">
        <f>'Ducati Panigale'!N28</f>
        <v>320.97319287933425</v>
      </c>
      <c r="E12" s="83" t="s">
        <v>129</v>
      </c>
      <c r="G12" s="85" t="s">
        <v>120</v>
      </c>
      <c r="H12" s="86" t="s">
        <v>121</v>
      </c>
      <c r="I12" s="87">
        <f>SUM(D9*D15*(SIN(D17)))</f>
        <v>0</v>
      </c>
      <c r="J12" s="86" t="s">
        <v>109</v>
      </c>
    </row>
    <row r="13" spans="2:15" ht="24" x14ac:dyDescent="0.3">
      <c r="B13" s="80" t="s">
        <v>117</v>
      </c>
      <c r="C13" s="81" t="s">
        <v>118</v>
      </c>
      <c r="D13" s="96">
        <f>D12*1000/3600</f>
        <v>89.159220244259515</v>
      </c>
      <c r="E13" s="83" t="s">
        <v>119</v>
      </c>
      <c r="G13" s="179" t="s">
        <v>123</v>
      </c>
      <c r="H13" s="180" t="s">
        <v>124</v>
      </c>
      <c r="I13" s="181">
        <f>SUM(I10:I12)</f>
        <v>969.4065461484862</v>
      </c>
      <c r="J13" s="180" t="s">
        <v>109</v>
      </c>
    </row>
    <row r="14" spans="2:15" ht="24" x14ac:dyDescent="0.3">
      <c r="B14" s="80" t="s">
        <v>122</v>
      </c>
      <c r="C14" s="81"/>
      <c r="D14" s="82">
        <v>1.167</v>
      </c>
      <c r="E14" s="89"/>
      <c r="G14" s="179"/>
      <c r="H14" s="180"/>
      <c r="I14" s="181"/>
      <c r="J14" s="180"/>
    </row>
    <row r="15" spans="2:15" ht="24" x14ac:dyDescent="0.3">
      <c r="B15" s="80" t="s">
        <v>125</v>
      </c>
      <c r="C15" s="81" t="s">
        <v>126</v>
      </c>
      <c r="D15" s="82">
        <v>9.81</v>
      </c>
      <c r="E15" s="83"/>
    </row>
    <row r="16" spans="2:15" ht="24" x14ac:dyDescent="0.3">
      <c r="B16" s="80" t="s">
        <v>127</v>
      </c>
      <c r="C16" s="90"/>
      <c r="D16" s="82">
        <f>'Ducati Panigale'!J30</f>
        <v>0</v>
      </c>
      <c r="E16" s="90"/>
    </row>
    <row r="17" spans="2:17" ht="24" x14ac:dyDescent="0.3">
      <c r="B17" s="80" t="s">
        <v>127</v>
      </c>
      <c r="C17" s="90"/>
      <c r="D17" s="91">
        <f>RADIANS(D16)</f>
        <v>0</v>
      </c>
      <c r="E17" s="90" t="s">
        <v>128</v>
      </c>
    </row>
    <row r="18" spans="2:17" ht="24" x14ac:dyDescent="0.3">
      <c r="B18" s="93"/>
      <c r="C18" s="94"/>
      <c r="D18" s="95"/>
      <c r="E18" s="94"/>
    </row>
    <row r="19" spans="2:17" ht="16" customHeight="1" x14ac:dyDescent="0.2">
      <c r="B19" s="206" t="s">
        <v>94</v>
      </c>
      <c r="C19" s="206"/>
      <c r="D19" s="206"/>
      <c r="E19" s="206"/>
      <c r="F19" s="206"/>
      <c r="G19" s="206"/>
      <c r="H19" s="206"/>
      <c r="I19" s="206"/>
      <c r="J19" s="206"/>
      <c r="K19" s="206"/>
      <c r="L19" s="206"/>
      <c r="M19" s="206"/>
      <c r="N19" s="206"/>
      <c r="O19" s="206"/>
    </row>
    <row r="20" spans="2:17" ht="16" customHeight="1" x14ac:dyDescent="0.2">
      <c r="B20" s="206"/>
      <c r="C20" s="206"/>
      <c r="D20" s="206"/>
      <c r="E20" s="206"/>
      <c r="F20" s="206"/>
      <c r="G20" s="206"/>
      <c r="H20" s="206"/>
      <c r="I20" s="206"/>
      <c r="J20" s="206"/>
      <c r="K20" s="206"/>
      <c r="L20" s="206"/>
      <c r="M20" s="206"/>
      <c r="N20" s="206"/>
      <c r="O20" s="206"/>
    </row>
    <row r="22" spans="2:17" x14ac:dyDescent="0.2">
      <c r="B22" s="182" t="s">
        <v>95</v>
      </c>
      <c r="C22" s="182"/>
      <c r="D22" s="182"/>
      <c r="E22" s="182"/>
      <c r="G22" s="183" t="s">
        <v>96</v>
      </c>
      <c r="H22" s="183"/>
      <c r="I22" s="183"/>
      <c r="J22" s="183"/>
      <c r="K22" s="183"/>
      <c r="L22" s="183"/>
      <c r="M22" s="183"/>
      <c r="N22" s="183"/>
      <c r="O22" s="183"/>
    </row>
    <row r="23" spans="2:17" x14ac:dyDescent="0.2">
      <c r="B23" s="182"/>
      <c r="C23" s="182"/>
      <c r="D23" s="182"/>
      <c r="E23" s="182"/>
      <c r="G23" s="183"/>
      <c r="H23" s="183"/>
      <c r="I23" s="183"/>
      <c r="J23" s="183"/>
      <c r="K23" s="183"/>
      <c r="L23" s="183"/>
      <c r="M23" s="183"/>
      <c r="N23" s="183"/>
      <c r="O23" s="183"/>
    </row>
    <row r="25" spans="2:17" ht="29" x14ac:dyDescent="0.35">
      <c r="B25" s="119" t="s">
        <v>143</v>
      </c>
      <c r="C25" s="78" t="s">
        <v>97</v>
      </c>
      <c r="D25" s="79" t="s">
        <v>98</v>
      </c>
      <c r="E25" s="78" t="s">
        <v>99</v>
      </c>
      <c r="G25" s="184" t="s">
        <v>100</v>
      </c>
      <c r="H25" s="184"/>
      <c r="I25" s="184"/>
      <c r="J25" s="184"/>
      <c r="L25" s="184" t="s">
        <v>101</v>
      </c>
      <c r="M25" s="184"/>
      <c r="N25" s="184"/>
      <c r="O25" s="184"/>
    </row>
    <row r="26" spans="2:17" ht="24" x14ac:dyDescent="0.3">
      <c r="B26" s="80" t="s">
        <v>102</v>
      </c>
      <c r="C26" s="81" t="s">
        <v>103</v>
      </c>
      <c r="D26" s="82">
        <f>'KTM 350 EXC-f'!C17</f>
        <v>200.7</v>
      </c>
      <c r="E26" s="83" t="s">
        <v>104</v>
      </c>
    </row>
    <row r="27" spans="2:17" ht="24" x14ac:dyDescent="0.3">
      <c r="B27" s="80" t="s">
        <v>105</v>
      </c>
      <c r="C27" s="81" t="s">
        <v>106</v>
      </c>
      <c r="D27" s="106">
        <f>'KTM 350 EXC-f'!J28</f>
        <v>0.49</v>
      </c>
      <c r="E27" s="84"/>
      <c r="G27" s="85" t="s">
        <v>107</v>
      </c>
      <c r="H27" s="86" t="s">
        <v>108</v>
      </c>
      <c r="I27" s="87">
        <f>SUM(0.5*D31*D28*D27*(D30*D30))</f>
        <v>43.344981800133702</v>
      </c>
      <c r="J27" s="86" t="s">
        <v>109</v>
      </c>
      <c r="L27" s="179" t="s">
        <v>110</v>
      </c>
      <c r="M27" s="180" t="s">
        <v>111</v>
      </c>
      <c r="N27" s="185">
        <f>SUM(I30*D30)</f>
        <v>1018.5296068682725</v>
      </c>
      <c r="O27" s="180" t="s">
        <v>112</v>
      </c>
    </row>
    <row r="28" spans="2:17" ht="24" x14ac:dyDescent="0.3">
      <c r="B28" s="80" t="s">
        <v>113</v>
      </c>
      <c r="C28" s="81" t="s">
        <v>114</v>
      </c>
      <c r="D28" s="82">
        <f>'KTM 350 EXC-f'!J29</f>
        <v>1</v>
      </c>
      <c r="E28" s="88"/>
      <c r="G28" s="85" t="s">
        <v>115</v>
      </c>
      <c r="H28" s="86" t="s">
        <v>116</v>
      </c>
      <c r="I28" s="87">
        <f>SUM(0.02*D26*D32)</f>
        <v>39.377340000000004</v>
      </c>
      <c r="J28" s="86" t="s">
        <v>109</v>
      </c>
      <c r="L28" s="179"/>
      <c r="M28" s="180"/>
      <c r="N28" s="185"/>
      <c r="O28" s="180"/>
    </row>
    <row r="29" spans="2:17" ht="24" x14ac:dyDescent="0.3">
      <c r="B29" s="80" t="s">
        <v>117</v>
      </c>
      <c r="C29" s="81" t="s">
        <v>118</v>
      </c>
      <c r="D29" s="82">
        <f>'KTM 350 EXC-f'!L25</f>
        <v>44.325479567473337</v>
      </c>
      <c r="E29" s="83" t="s">
        <v>129</v>
      </c>
      <c r="G29" s="85" t="s">
        <v>120</v>
      </c>
      <c r="H29" s="86" t="s">
        <v>121</v>
      </c>
      <c r="I29" s="87">
        <f>SUM(D26*D32*(SIN(D34)))</f>
        <v>0</v>
      </c>
      <c r="J29" s="86" t="s">
        <v>109</v>
      </c>
    </row>
    <row r="30" spans="2:17" ht="24" x14ac:dyDescent="0.3">
      <c r="B30" s="80" t="s">
        <v>117</v>
      </c>
      <c r="C30" s="81" t="s">
        <v>118</v>
      </c>
      <c r="D30" s="96">
        <f>D29*1000/3600</f>
        <v>12.31263321318704</v>
      </c>
      <c r="E30" s="83" t="s">
        <v>119</v>
      </c>
      <c r="G30" s="179" t="s">
        <v>123</v>
      </c>
      <c r="H30" s="180" t="s">
        <v>124</v>
      </c>
      <c r="I30" s="181">
        <f>SUM(I27:I29)</f>
        <v>82.722321800133699</v>
      </c>
      <c r="J30" s="180" t="s">
        <v>109</v>
      </c>
    </row>
    <row r="31" spans="2:17" ht="28" x14ac:dyDescent="0.3">
      <c r="B31" s="80" t="s">
        <v>122</v>
      </c>
      <c r="C31" s="81"/>
      <c r="D31" s="82">
        <v>1.167</v>
      </c>
      <c r="E31" s="89"/>
      <c r="G31" s="179"/>
      <c r="H31" s="180"/>
      <c r="I31" s="181"/>
      <c r="J31" s="180"/>
      <c r="L31" s="152" t="s">
        <v>24</v>
      </c>
      <c r="M31" s="152"/>
      <c r="N31" s="152"/>
      <c r="O31" s="152"/>
      <c r="P31" s="152"/>
      <c r="Q31" s="152"/>
    </row>
    <row r="32" spans="2:17" ht="24" x14ac:dyDescent="0.3">
      <c r="B32" s="80" t="s">
        <v>125</v>
      </c>
      <c r="C32" s="81" t="s">
        <v>126</v>
      </c>
      <c r="D32" s="82">
        <v>9.81</v>
      </c>
      <c r="E32" s="83"/>
      <c r="L32" s="152"/>
      <c r="M32" s="152"/>
      <c r="N32" s="152"/>
      <c r="O32" s="152"/>
      <c r="P32" s="152"/>
      <c r="Q32" s="152"/>
    </row>
    <row r="33" spans="2:17" ht="24" x14ac:dyDescent="0.3">
      <c r="B33" s="80" t="s">
        <v>127</v>
      </c>
      <c r="C33" s="90"/>
      <c r="D33" s="82">
        <f>'KTM 350 EXC-f'!J30</f>
        <v>0</v>
      </c>
      <c r="E33" s="90"/>
      <c r="L33" s="152"/>
      <c r="M33" s="152"/>
      <c r="N33" s="152"/>
      <c r="O33" s="152"/>
      <c r="P33" s="152"/>
      <c r="Q33" s="152"/>
    </row>
    <row r="34" spans="2:17" ht="24" x14ac:dyDescent="0.3">
      <c r="B34" s="80" t="s">
        <v>127</v>
      </c>
      <c r="C34" s="90"/>
      <c r="D34" s="91">
        <f>RADIANS(D33)</f>
        <v>0</v>
      </c>
      <c r="E34" s="90" t="s">
        <v>128</v>
      </c>
      <c r="L34" s="152"/>
      <c r="M34" s="152"/>
      <c r="N34" s="152"/>
      <c r="O34" s="152"/>
      <c r="P34" s="152"/>
      <c r="Q34" s="152"/>
    </row>
    <row r="35" spans="2:17" x14ac:dyDescent="0.2">
      <c r="L35" s="152"/>
      <c r="M35" s="152"/>
      <c r="N35" s="152"/>
      <c r="O35" s="152"/>
      <c r="P35" s="152"/>
      <c r="Q35" s="152"/>
    </row>
  </sheetData>
  <mergeCells count="27">
    <mergeCell ref="L31:Q35"/>
    <mergeCell ref="B2:O3"/>
    <mergeCell ref="B5:E6"/>
    <mergeCell ref="G5:O6"/>
    <mergeCell ref="G8:J8"/>
    <mergeCell ref="L8:O8"/>
    <mergeCell ref="L10:L11"/>
    <mergeCell ref="M10:M11"/>
    <mergeCell ref="N10:N11"/>
    <mergeCell ref="O10:O11"/>
    <mergeCell ref="B19:O20"/>
    <mergeCell ref="G13:G14"/>
    <mergeCell ref="H13:H14"/>
    <mergeCell ref="I13:I14"/>
    <mergeCell ref="J13:J14"/>
    <mergeCell ref="G30:G31"/>
    <mergeCell ref="H30:H31"/>
    <mergeCell ref="I30:I31"/>
    <mergeCell ref="J30:J31"/>
    <mergeCell ref="B22:E23"/>
    <mergeCell ref="G22:O23"/>
    <mergeCell ref="G25:J25"/>
    <mergeCell ref="L25:O25"/>
    <mergeCell ref="L27:L28"/>
    <mergeCell ref="M27:M28"/>
    <mergeCell ref="N27:N28"/>
    <mergeCell ref="O27:O28"/>
  </mergeCells>
  <hyperlinks>
    <hyperlink ref="L31:O33" location="Menu!A1" display="RETURN TO MENU" xr:uid="{C8D44978-03D2-5543-8C2E-572BF51394D6}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97537-CBD5-1C49-87B1-25C4110BBF0A}">
  <dimension ref="B1:P40"/>
  <sheetViews>
    <sheetView showGridLines="0" showRowColHeaders="0" zoomScale="80" zoomScaleNormal="80" workbookViewId="0">
      <selection activeCell="R37" sqref="R37"/>
    </sheetView>
  </sheetViews>
  <sheetFormatPr baseColWidth="10" defaultRowHeight="16" x14ac:dyDescent="0.2"/>
  <cols>
    <col min="1" max="1" width="2.6640625" customWidth="1"/>
  </cols>
  <sheetData>
    <row r="1" spans="2:16" x14ac:dyDescent="0.2">
      <c r="H1" s="3"/>
      <c r="I1" s="3"/>
      <c r="J1" s="3"/>
      <c r="K1" s="3"/>
      <c r="L1" s="3"/>
      <c r="M1" s="3"/>
      <c r="N1" s="3"/>
      <c r="O1" s="3"/>
      <c r="P1" s="3"/>
    </row>
    <row r="2" spans="2:16" x14ac:dyDescent="0.2">
      <c r="B2" s="186" t="s">
        <v>153</v>
      </c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</row>
    <row r="3" spans="2:16" ht="19" customHeight="1" x14ac:dyDescent="0.2"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6"/>
      <c r="P3" s="186"/>
    </row>
    <row r="5" spans="2:16" ht="16" customHeight="1" x14ac:dyDescent="0.2">
      <c r="B5" s="187" t="s">
        <v>14</v>
      </c>
      <c r="C5" s="187"/>
      <c r="D5" s="187"/>
      <c r="F5" s="187" t="s">
        <v>140</v>
      </c>
      <c r="G5" s="187"/>
      <c r="H5" s="187"/>
      <c r="J5" s="187" t="s">
        <v>15</v>
      </c>
      <c r="K5" s="187"/>
      <c r="L5" s="187"/>
      <c r="N5" s="187" t="s">
        <v>17</v>
      </c>
      <c r="O5" s="187"/>
      <c r="P5" s="187"/>
    </row>
    <row r="6" spans="2:16" ht="16" customHeight="1" x14ac:dyDescent="0.2">
      <c r="B6" s="187"/>
      <c r="C6" s="187"/>
      <c r="D6" s="187"/>
      <c r="F6" s="187"/>
      <c r="G6" s="187"/>
      <c r="H6" s="187"/>
      <c r="J6" s="187"/>
      <c r="K6" s="187"/>
      <c r="L6" s="187"/>
      <c r="N6" s="187"/>
      <c r="O6" s="187"/>
      <c r="P6" s="187"/>
    </row>
    <row r="20" spans="2:16" x14ac:dyDescent="0.2">
      <c r="B20" s="187" t="s">
        <v>136</v>
      </c>
      <c r="C20" s="187"/>
      <c r="D20" s="187"/>
      <c r="F20" s="187" t="s">
        <v>137</v>
      </c>
      <c r="G20" s="187"/>
      <c r="H20" s="187"/>
      <c r="J20" s="187" t="s">
        <v>138</v>
      </c>
      <c r="K20" s="187"/>
      <c r="L20" s="187"/>
      <c r="N20" s="187" t="s">
        <v>139</v>
      </c>
      <c r="O20" s="187"/>
      <c r="P20" s="187"/>
    </row>
    <row r="21" spans="2:16" x14ac:dyDescent="0.2">
      <c r="B21" s="187"/>
      <c r="C21" s="187"/>
      <c r="D21" s="187"/>
      <c r="F21" s="187"/>
      <c r="G21" s="187"/>
      <c r="H21" s="187"/>
      <c r="J21" s="187"/>
      <c r="K21" s="187"/>
      <c r="L21" s="187"/>
      <c r="N21" s="187"/>
      <c r="O21" s="187"/>
      <c r="P21" s="187"/>
    </row>
    <row r="38" spans="2:7" x14ac:dyDescent="0.2">
      <c r="B38" s="141" t="s">
        <v>24</v>
      </c>
      <c r="C38" s="141"/>
      <c r="D38" s="141"/>
      <c r="E38" s="141"/>
      <c r="F38" s="141"/>
      <c r="G38" s="141"/>
    </row>
    <row r="39" spans="2:7" x14ac:dyDescent="0.2">
      <c r="B39" s="141"/>
      <c r="C39" s="141"/>
      <c r="D39" s="141"/>
      <c r="E39" s="141"/>
      <c r="F39" s="141"/>
      <c r="G39" s="141"/>
    </row>
    <row r="40" spans="2:7" x14ac:dyDescent="0.2">
      <c r="B40" s="141"/>
      <c r="C40" s="141"/>
      <c r="D40" s="141"/>
      <c r="E40" s="141"/>
      <c r="F40" s="141"/>
      <c r="G40" s="141"/>
    </row>
  </sheetData>
  <mergeCells count="10">
    <mergeCell ref="B38:G40"/>
    <mergeCell ref="B2:P3"/>
    <mergeCell ref="F5:H6"/>
    <mergeCell ref="N5:P6"/>
    <mergeCell ref="B20:D21"/>
    <mergeCell ref="B5:D6"/>
    <mergeCell ref="J5:L6"/>
    <mergeCell ref="F20:H21"/>
    <mergeCell ref="J20:L21"/>
    <mergeCell ref="N20:P21"/>
  </mergeCells>
  <hyperlinks>
    <hyperlink ref="B38:E40" location="Menu!A1" display="RETURN TO MENU" xr:uid="{E4BA4C83-AF2B-9B46-B363-66A781E9B1DD}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873D9-37CE-A741-A1B6-BD60EB2853D8}">
  <dimension ref="R4:U6"/>
  <sheetViews>
    <sheetView showGridLines="0" showRowColHeaders="0" workbookViewId="0">
      <selection activeCell="R27" sqref="R27"/>
    </sheetView>
  </sheetViews>
  <sheetFormatPr baseColWidth="10" defaultRowHeight="16" x14ac:dyDescent="0.2"/>
  <sheetData>
    <row r="4" spans="18:21" x14ac:dyDescent="0.2">
      <c r="R4" s="188" t="s">
        <v>24</v>
      </c>
      <c r="S4" s="188"/>
      <c r="T4" s="188"/>
      <c r="U4" s="188"/>
    </row>
    <row r="5" spans="18:21" x14ac:dyDescent="0.2">
      <c r="R5" s="188"/>
      <c r="S5" s="188"/>
      <c r="T5" s="188"/>
      <c r="U5" s="188"/>
    </row>
    <row r="6" spans="18:21" x14ac:dyDescent="0.2">
      <c r="R6" s="188"/>
      <c r="S6" s="188"/>
      <c r="T6" s="188"/>
      <c r="U6" s="188"/>
    </row>
  </sheetData>
  <mergeCells count="1">
    <mergeCell ref="R4:U6"/>
  </mergeCells>
  <hyperlinks>
    <hyperlink ref="R4:U6" location="Menu!A1" display="RETURN TO DASHBOARD" xr:uid="{CDCE5FAE-CFA4-174A-AF95-7B77BA470AD4}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Menu</vt:lpstr>
      <vt:lpstr>Ducati Panigale</vt:lpstr>
      <vt:lpstr>Ducati Panigale data</vt:lpstr>
      <vt:lpstr>KTM 350 EXC-f</vt:lpstr>
      <vt:lpstr>KTM 350 EXC-f data</vt:lpstr>
      <vt:lpstr>Resistance to Motion Calc</vt:lpstr>
      <vt:lpstr>Calculations</vt:lpstr>
      <vt:lpstr>Risk Assessment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2022-10-23T10:37:24Z</dcterms:created>
  <dcterms:modified xsi:type="dcterms:W3CDTF">2022-12-18T21:07:21Z</dcterms:modified>
</cp:coreProperties>
</file>