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xl/customProperty17.bin" ContentType="application/vnd.openxmlformats-officedocument.spreadsheetml.customProperty"/>
  <Override PartName="/xl/customProperty18.bin" ContentType="application/vnd.openxmlformats-officedocument.spreadsheetml.customProperty"/>
  <Override PartName="/xl/customProperty19.bin" ContentType="application/vnd.openxmlformats-officedocument.spreadsheetml.customProperty"/>
  <Override PartName="/xl/customProperty20.bin" ContentType="application/vnd.openxmlformats-officedocument.spreadsheetml.customProperty"/>
  <Override PartName="/xl/customProperty21.bin" ContentType="application/vnd.openxmlformats-officedocument.spreadsheetml.customProperty"/>
  <Override PartName="/xl/customProperty22.bin" ContentType="application/vnd.openxmlformats-officedocument.spreadsheetml.customProperty"/>
  <Override PartName="/xl/customProperty23.bin" ContentType="application/vnd.openxmlformats-officedocument.spreadsheetml.customProperty"/>
  <Override PartName="/xl/customProperty24.bin" ContentType="application/vnd.openxmlformats-officedocument.spreadsheetml.customProperty"/>
  <Override PartName="/xl/customProperty25.bin" ContentType="application/vnd.openxmlformats-officedocument.spreadsheetml.customProperty"/>
  <Override PartName="/xl/customProperty26.bin" ContentType="application/vnd.openxmlformats-officedocument.spreadsheetml.customProperty"/>
  <Override PartName="/xl/customProperty27.bin" ContentType="application/vnd.openxmlformats-officedocument.spreadsheetml.customProperty"/>
  <Override PartName="/xl/customProperty28.bin" ContentType="application/vnd.openxmlformats-officedocument.spreadsheetml.customProperty"/>
  <Override PartName="/xl/customProperty29.bin" ContentType="application/vnd.openxmlformats-officedocument.spreadsheetml.customProperty"/>
  <Override PartName="/xl/customProperty30.bin" ContentType="application/vnd.openxmlformats-officedocument.spreadsheetml.customProperty"/>
  <Override PartName="/xl/customProperty31.bin" ContentType="application/vnd.openxmlformats-officedocument.spreadsheetml.customProperty"/>
  <Override PartName="/xl/customProperty32.bin" ContentType="application/vnd.openxmlformats-officedocument.spreadsheetml.customProperty"/>
  <Override PartName="/xl/customProperty33.bin" ContentType="application/vnd.openxmlformats-officedocument.spreadsheetml.customProperty"/>
  <Override PartName="/xl/customProperty34.bin" ContentType="application/vnd.openxmlformats-officedocument.spreadsheetml.customProperty"/>
  <Override PartName="/xl/customProperty35.bin" ContentType="application/vnd.openxmlformats-officedocument.spreadsheetml.customProperty"/>
  <Override PartName="/xl/customProperty36.bin" ContentType="application/vnd.openxmlformats-officedocument.spreadsheetml.customProperty"/>
  <Override PartName="/xl/customProperty37.bin" ContentType="application/vnd.openxmlformats-officedocument.spreadsheetml.customProperty"/>
  <Override PartName="/xl/customProperty38.bin" ContentType="application/vnd.openxmlformats-officedocument.spreadsheetml.customProperty"/>
  <Override PartName="/xl/customProperty39.bin" ContentType="application/vnd.openxmlformats-officedocument.spreadsheetml.customProperty"/>
  <Override PartName="/xl/customProperty40.bin" ContentType="application/vnd.openxmlformats-officedocument.spreadsheetml.customProperty"/>
  <Override PartName="/xl/customProperty41.bin" ContentType="application/vnd.openxmlformats-officedocument.spreadsheetml.customProperty"/>
  <Override PartName="/xl/customProperty42.bin" ContentType="application/vnd.openxmlformats-officedocument.spreadsheetml.customProperty"/>
  <Override PartName="/xl/customProperty43.bin" ContentType="application/vnd.openxmlformats-officedocument.spreadsheetml.customProperty"/>
  <Override PartName="/xl/customProperty44.bin" ContentType="application/vnd.openxmlformats-officedocument.spreadsheetml.customProperty"/>
  <Override PartName="/xl/customProperty45.bin" ContentType="application/vnd.openxmlformats-officedocument.spreadsheetml.customProperty"/>
  <Override PartName="/xl/customProperty46.bin" ContentType="application/vnd.openxmlformats-officedocument.spreadsheetml.customProperty"/>
  <Override PartName="/xl/customProperty47.bin" ContentType="application/vnd.openxmlformats-officedocument.spreadsheetml.customProperty"/>
  <Override PartName="/xl/customProperty48.bin" ContentType="application/vnd.openxmlformats-officedocument.spreadsheetml.customProperty"/>
  <Override PartName="/xl/customProperty49.bin" ContentType="application/vnd.openxmlformats-officedocument.spreadsheetml.customProperty"/>
  <Override PartName="/xl/customProperty50.bin" ContentType="application/vnd.openxmlformats-officedocument.spreadsheetml.customProperty"/>
  <Override PartName="/xl/customProperty51.bin" ContentType="application/vnd.openxmlformats-officedocument.spreadsheetml.customProperty"/>
  <Override PartName="/xl/customProperty52.bin" ContentType="application/vnd.openxmlformats-officedocument.spreadsheetml.customProperty"/>
  <Override PartName="/xl/customProperty53.bin" ContentType="application/vnd.openxmlformats-officedocument.spreadsheetml.customProperty"/>
  <Override PartName="/xl/customProperty54.bin" ContentType="application/vnd.openxmlformats-officedocument.spreadsheetml.customProperty"/>
  <Override PartName="/xl/customProperty55.bin" ContentType="application/vnd.openxmlformats-officedocument.spreadsheetml.customProperty"/>
  <Override PartName="/xl/customProperty56.bin" ContentType="application/vnd.openxmlformats-officedocument.spreadsheetml.customProperty"/>
  <Override PartName="/xl/customProperty57.bin" ContentType="application/vnd.openxmlformats-officedocument.spreadsheetml.customProperty"/>
  <Override PartName="/xl/customProperty58.bin" ContentType="application/vnd.openxmlformats-officedocument.spreadsheetml.customProperty"/>
  <Override PartName="/xl/customProperty59.bin" ContentType="application/vnd.openxmlformats-officedocument.spreadsheetml.customProperty"/>
  <Override PartName="/xl/customProperty60.bin" ContentType="application/vnd.openxmlformats-officedocument.spreadsheetml.customProperty"/>
  <Override PartName="/xl/customProperty61.bin" ContentType="application/vnd.openxmlformats-officedocument.spreadsheetml.customProperty"/>
  <Override PartName="/xl/customProperty62.bin" ContentType="application/vnd.openxmlformats-officedocument.spreadsheetml.customProperty"/>
  <Override PartName="/xl/customProperty63.bin" ContentType="application/vnd.openxmlformats-officedocument.spreadsheetml.customProperty"/>
  <Override PartName="/xl/customProperty64.bin" ContentType="application/vnd.openxmlformats-officedocument.spreadsheetml.customProperty"/>
  <Override PartName="/xl/customProperty65.bin" ContentType="application/vnd.openxmlformats-officedocument.spreadsheetml.customProperty"/>
  <Override PartName="/xl/customProperty66.bin" ContentType="application/vnd.openxmlformats-officedocument.spreadsheetml.customProperty"/>
  <Override PartName="/xl/customProperty67.bin" ContentType="application/vnd.openxmlformats-officedocument.spreadsheetml.customProperty"/>
  <Override PartName="/xl/customProperty68.bin" ContentType="application/vnd.openxmlformats-officedocument.spreadsheetml.customProperty"/>
  <Override PartName="/xl/customProperty69.bin" ContentType="application/vnd.openxmlformats-officedocument.spreadsheetml.customProperty"/>
  <Override PartName="/xl/customProperty70.bin" ContentType="application/vnd.openxmlformats-officedocument.spreadsheetml.customProperty"/>
  <Override PartName="/xl/customProperty71.bin" ContentType="application/vnd.openxmlformats-officedocument.spreadsheetml.customProperty"/>
  <Override PartName="/xl/customProperty72.bin" ContentType="application/vnd.openxmlformats-officedocument.spreadsheetml.customProperty"/>
  <Override PartName="/xl/customProperty73.bin" ContentType="application/vnd.openxmlformats-officedocument.spreadsheetml.customProperty"/>
  <Override PartName="/xl/customProperty74.bin" ContentType="application/vnd.openxmlformats-officedocument.spreadsheetml.customProperty"/>
  <Override PartName="/xl/customProperty7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016441_student_uwtsd_ac_uk/Documents/UWTSD L6Y1-DESKTOP-SHGK6PT/Design Economics/Submission/"/>
    </mc:Choice>
  </mc:AlternateContent>
  <xr:revisionPtr revIDLastSave="61" documentId="8_{4143516A-4F04-4B20-BA8F-AE06A4E014D1}" xr6:coauthVersionLast="47" xr6:coauthVersionMax="47" xr10:uidLastSave="{98FF4FEC-C5AA-4EE4-B42C-AB282029F95F}"/>
  <bookViews>
    <workbookView xWindow="-120" yWindow="-120" windowWidth="29040" windowHeight="15720" firstSheet="1" activeTab="2" xr2:uid="{7C3C3E66-71E6-4B15-9770-B8E9CB66EF55}"/>
  </bookViews>
  <sheets>
    <sheet name="BbQuantityLink" sheetId="2" state="veryHidden" r:id="rId1"/>
    <sheet name="Feasibility Estimate" sheetId="3" r:id="rId2"/>
    <sheet name="Take-off" sheetId="1" r:id="rId3"/>
  </sheets>
  <definedNames>
    <definedName name="AreaTotal1">'Take-off'!$C$107</definedName>
    <definedName name="AreaTotal10">'Take-off'!$C$239</definedName>
    <definedName name="AreaTotal11">'Take-off'!$C$240</definedName>
    <definedName name="AreaTotal12">'Take-off'!$C$241</definedName>
    <definedName name="AreaTotal13">'Take-off'!$C$242</definedName>
    <definedName name="AreaTotal14">'Take-off'!$C$243</definedName>
    <definedName name="AreaTotal15">'Take-off'!$C$244</definedName>
    <definedName name="AreaTotal16">'Take-off'!$C$232</definedName>
    <definedName name="AreaTotal17">'Take-off'!$C$235</definedName>
    <definedName name="AreaTotal18">'Take-off'!$C$324</definedName>
    <definedName name="AreaTotal19">'Take-off'!$C$327</definedName>
    <definedName name="AreaTotal2">'Take-off'!$C$108</definedName>
    <definedName name="AreaTotal20">'Take-off'!$C$332</definedName>
    <definedName name="AreaTotal21">'Take-off'!$C$380</definedName>
    <definedName name="AreaTotal22">'Take-off'!$C$336</definedName>
    <definedName name="AreaTotal3">'Take-off'!$C$109</definedName>
    <definedName name="AreaTotal4">'Take-off'!$C$110</definedName>
    <definedName name="AreaTotal5">'Take-off'!$C$111</definedName>
    <definedName name="AreaTotal6">'Take-off'!$C$106</definedName>
    <definedName name="AreaTotal7">'Take-off'!$C$101</definedName>
    <definedName name="AreaTotal8">'Take-off'!$C$96</definedName>
    <definedName name="AreaTotal9">'Take-off'!$C$115</definedName>
    <definedName name="CountTotal1">'Take-off'!$C$61</definedName>
    <definedName name="CountTotal10">'Take-off'!$C$53</definedName>
    <definedName name="CountTotal11">'Take-off'!$C$81</definedName>
    <definedName name="CountTotal12">'Take-off'!$C$43</definedName>
    <definedName name="CountTotal13">'Take-off'!$C$44</definedName>
    <definedName name="CountTotal14">'Take-off'!$C$45</definedName>
    <definedName name="CountTotal15">'Take-off'!$C$78</definedName>
    <definedName name="CountTotal16">'Take-off'!$C$79</definedName>
    <definedName name="CountTotal17">'Take-off'!$C$72</definedName>
    <definedName name="CountTotal18">'Take-off'!$C$73</definedName>
    <definedName name="CountTotal19">'Take-off'!$C$77</definedName>
    <definedName name="CountTotal2">'Take-off'!$C$62</definedName>
    <definedName name="CountTotal20">'Take-off'!$C$82</definedName>
    <definedName name="CountTotal21">'Take-off'!$C$52</definedName>
    <definedName name="CountTotal22">'Take-off'!$C$156</definedName>
    <definedName name="CountTotal23">'Take-off'!$C$157</definedName>
    <definedName name="CountTotal24">'Take-off'!$C$159</definedName>
    <definedName name="CountTotal25">'Take-off'!$C$160</definedName>
    <definedName name="CountTotal26">'Take-off'!$C$162</definedName>
    <definedName name="CountTotal27">'Take-off'!$C$163</definedName>
    <definedName name="CountTotal28">'Take-off'!$C$165</definedName>
    <definedName name="CountTotal29">'Take-off'!$C$166</definedName>
    <definedName name="CountTotal3">'Take-off'!$C$59</definedName>
    <definedName name="CountTotal30">'Take-off'!$C$168</definedName>
    <definedName name="CountTotal31">'Take-off'!$C$216</definedName>
    <definedName name="CountTotal32">'Take-off'!$C$219</definedName>
    <definedName name="CountTotal33">'Take-off'!$C$315</definedName>
    <definedName name="CountTotal34">'Take-off'!$C$407</definedName>
    <definedName name="CountTotal35">'Take-off'!$C$459</definedName>
    <definedName name="CountTotal4">'Take-off'!$C$60</definedName>
    <definedName name="CountTotal5">'Take-off'!$C$58</definedName>
    <definedName name="CountTotal6">'Take-off'!$C$57</definedName>
    <definedName name="CountTotal7">'Take-off'!$C$56</definedName>
    <definedName name="CountTotal8">'Take-off'!$C$55</definedName>
    <definedName name="CountTotal9">'Take-off'!$C$54</definedName>
    <definedName name="LengthTotal1">'Take-off'!$C$15</definedName>
    <definedName name="LengthTotal10">'Take-off'!$C$404</definedName>
    <definedName name="LengthTotal2">'Take-off'!$C$14</definedName>
    <definedName name="LengthTotal3">'Take-off'!$C$13</definedName>
    <definedName name="LengthTotal4">'Take-off'!$C$12</definedName>
    <definedName name="LengthTotal5">'Take-off'!$C$11</definedName>
    <definedName name="LengthTotal6">'Take-off'!$C$10</definedName>
    <definedName name="LengthTotal7">'Take-off'!$C$4</definedName>
    <definedName name="LengthTotal8">'Take-off'!$C$7</definedName>
    <definedName name="LengthTotal9">'Take-off'!$C$403</definedName>
    <definedName name="_xlnm.Print_Area" localSheetId="1">'Feasibility Estimate'!$A$1:$Z$41</definedName>
    <definedName name="_xlnm.Print_Area" localSheetId="2">'Take-off'!$A$1:$Y$471</definedName>
    <definedName name="VolumeTotal1">'Take-off'!$C$424</definedName>
    <definedName name="WallAreaTotal1">'Take-off'!$C$21</definedName>
    <definedName name="WallAreaTotal2">'Take-off'!$C$24</definedName>
    <definedName name="WallAreaTotal3">'Take-off'!$C$27</definedName>
    <definedName name="WallAreaTotal4">'Take-off'!$C$28</definedName>
    <definedName name="WallAreaTotal5">'Take-off'!$C$29</definedName>
    <definedName name="WallAreaTotal6">'Take-off'!$C$30</definedName>
    <definedName name="WallAreaTotal7">'Take-off'!$C$31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5" i="3" l="1"/>
  <c r="P34" i="3"/>
  <c r="H14" i="3"/>
  <c r="Y16" i="3"/>
  <c r="H12" i="3"/>
  <c r="H16" i="3" s="1"/>
  <c r="Y7" i="3"/>
  <c r="H18" i="3" l="1"/>
  <c r="H20" i="3" s="1"/>
  <c r="H23" i="3" s="1"/>
  <c r="H25" i="3" s="1"/>
  <c r="H27" i="3" s="1"/>
  <c r="H459" i="1" l="1"/>
  <c r="C430" i="1"/>
  <c r="H430" i="1" s="1"/>
  <c r="H428" i="1"/>
  <c r="M437" i="1"/>
  <c r="O437" i="1" s="1"/>
  <c r="Q437" i="1" s="1"/>
  <c r="R437" i="1" s="1"/>
  <c r="H426" i="1"/>
  <c r="H424" i="1"/>
  <c r="N357" i="1"/>
  <c r="N356" i="1"/>
  <c r="H336" i="1"/>
  <c r="H337" i="1" s="1"/>
  <c r="N358" i="1" l="1"/>
  <c r="C337" i="1" s="1"/>
  <c r="C148" i="1" l="1"/>
  <c r="H148" i="1" s="1"/>
  <c r="C147" i="1"/>
  <c r="H147" i="1" s="1"/>
  <c r="C146" i="1"/>
  <c r="H146" i="1" s="1"/>
  <c r="C145" i="1"/>
  <c r="H145" i="1" s="1"/>
  <c r="C144" i="1"/>
  <c r="H144" i="1" s="1"/>
  <c r="C143" i="1"/>
  <c r="H143" i="1" s="1"/>
  <c r="C140" i="1"/>
  <c r="C207" i="1" s="1"/>
  <c r="H207" i="1" s="1"/>
  <c r="C139" i="1"/>
  <c r="C206" i="1" s="1"/>
  <c r="H206" i="1" s="1"/>
  <c r="C138" i="1"/>
  <c r="C205" i="1" s="1"/>
  <c r="H205" i="1" s="1"/>
  <c r="C137" i="1"/>
  <c r="C204" i="1" s="1"/>
  <c r="H204" i="1" s="1"/>
  <c r="C136" i="1"/>
  <c r="C203" i="1" s="1"/>
  <c r="H203" i="1" s="1"/>
  <c r="C135" i="1"/>
  <c r="C202" i="1" s="1"/>
  <c r="C132" i="1"/>
  <c r="C200" i="1" s="1"/>
  <c r="H200" i="1" s="1"/>
  <c r="C129" i="1"/>
  <c r="H106" i="1"/>
  <c r="M415" i="1"/>
  <c r="R415" i="1" s="1"/>
  <c r="V415" i="1" s="1"/>
  <c r="X415" i="1" s="1"/>
  <c r="P412" i="1"/>
  <c r="T412" i="1" s="1"/>
  <c r="V412" i="1" s="1"/>
  <c r="C409" i="1" s="1"/>
  <c r="H409" i="1" s="1"/>
  <c r="C405" i="1"/>
  <c r="C391" i="1"/>
  <c r="H380" i="1"/>
  <c r="H381" i="1" s="1"/>
  <c r="H364" i="1"/>
  <c r="H365" i="1" s="1"/>
  <c r="U374" i="1"/>
  <c r="C198" i="1" l="1"/>
  <c r="H198" i="1" s="1"/>
  <c r="M150" i="1"/>
  <c r="H202" i="1"/>
  <c r="H208" i="1" s="1"/>
  <c r="H210" i="1" s="1"/>
  <c r="C208" i="1"/>
  <c r="H132" i="1"/>
  <c r="H133" i="1" s="1"/>
  <c r="C182" i="1"/>
  <c r="H182" i="1" s="1"/>
  <c r="H129" i="1"/>
  <c r="H130" i="1" s="1"/>
  <c r="C180" i="1"/>
  <c r="H180" i="1" s="1"/>
  <c r="H138" i="1"/>
  <c r="C187" i="1"/>
  <c r="H187" i="1" s="1"/>
  <c r="H140" i="1"/>
  <c r="C189" i="1"/>
  <c r="H189" i="1" s="1"/>
  <c r="H135" i="1"/>
  <c r="C141" i="1"/>
  <c r="C184" i="1"/>
  <c r="H136" i="1"/>
  <c r="C185" i="1"/>
  <c r="H185" i="1" s="1"/>
  <c r="H137" i="1"/>
  <c r="C186" i="1"/>
  <c r="H186" i="1" s="1"/>
  <c r="H139" i="1"/>
  <c r="C188" i="1"/>
  <c r="H188" i="1" s="1"/>
  <c r="H149" i="1"/>
  <c r="C149" i="1"/>
  <c r="M418" i="1"/>
  <c r="C410" i="1"/>
  <c r="H410" i="1" s="1"/>
  <c r="H411" i="1" s="1"/>
  <c r="C392" i="1"/>
  <c r="H392" i="1" s="1"/>
  <c r="H393" i="1" s="1"/>
  <c r="C85" i="1"/>
  <c r="C84" i="1"/>
  <c r="C83" i="1"/>
  <c r="C32" i="1"/>
  <c r="H38" i="1"/>
  <c r="H43" i="1"/>
  <c r="H44" i="1"/>
  <c r="H45" i="1"/>
  <c r="I65" i="1" s="1"/>
  <c r="H37" i="1"/>
  <c r="C64" i="1"/>
  <c r="C63" i="1"/>
  <c r="C245" i="1"/>
  <c r="C172" i="1"/>
  <c r="C171" i="1"/>
  <c r="C112" i="1"/>
  <c r="C328" i="1"/>
  <c r="H328" i="1" s="1"/>
  <c r="H329" i="1" s="1"/>
  <c r="H332" i="1"/>
  <c r="H333" i="1" s="1"/>
  <c r="H324" i="1"/>
  <c r="H325" i="1" s="1"/>
  <c r="C316" i="1"/>
  <c r="H311" i="1"/>
  <c r="H308" i="1"/>
  <c r="C289" i="1"/>
  <c r="C301" i="1"/>
  <c r="H301" i="1" s="1"/>
  <c r="C300" i="1"/>
  <c r="H300" i="1" s="1"/>
  <c r="C299" i="1"/>
  <c r="H299" i="1" s="1"/>
  <c r="C298" i="1"/>
  <c r="H298" i="1" s="1"/>
  <c r="C297" i="1"/>
  <c r="H297" i="1" s="1"/>
  <c r="C296" i="1"/>
  <c r="H296" i="1" s="1"/>
  <c r="C292" i="1"/>
  <c r="H292" i="1" s="1"/>
  <c r="H293" i="1" s="1"/>
  <c r="C282" i="1"/>
  <c r="C281" i="1"/>
  <c r="C280" i="1"/>
  <c r="C279" i="1"/>
  <c r="C278" i="1"/>
  <c r="C277" i="1"/>
  <c r="C273" i="1"/>
  <c r="C270" i="1"/>
  <c r="C263" i="1"/>
  <c r="C262" i="1"/>
  <c r="C261" i="1"/>
  <c r="C260" i="1"/>
  <c r="C259" i="1"/>
  <c r="C258" i="1"/>
  <c r="C251" i="1"/>
  <c r="H141" i="1" l="1"/>
  <c r="H184" i="1"/>
  <c r="H190" i="1" s="1"/>
  <c r="H192" i="1" s="1"/>
  <c r="C190" i="1"/>
  <c r="H289" i="1"/>
  <c r="H290" i="1" s="1"/>
  <c r="C461" i="1"/>
  <c r="C317" i="1"/>
  <c r="H317" i="1" s="1"/>
  <c r="H318" i="1" s="1"/>
  <c r="C86" i="1"/>
  <c r="H46" i="1"/>
  <c r="H39" i="1"/>
  <c r="C66" i="1"/>
  <c r="C173" i="1"/>
  <c r="C283" i="1"/>
  <c r="H302" i="1"/>
  <c r="C264" i="1"/>
  <c r="C302" i="1"/>
  <c r="H304" i="1" l="1"/>
  <c r="H461" i="1"/>
  <c r="C432" i="1"/>
  <c r="H432" i="1" s="1"/>
  <c r="H282" i="1"/>
  <c r="H281" i="1"/>
  <c r="H280" i="1"/>
  <c r="H279" i="1"/>
  <c r="H278" i="1"/>
  <c r="H277" i="1"/>
  <c r="H273" i="1"/>
  <c r="H274" i="1" s="1"/>
  <c r="H270" i="1"/>
  <c r="H271" i="1" s="1"/>
  <c r="C254" i="1"/>
  <c r="H254" i="1" s="1"/>
  <c r="H255" i="1" s="1"/>
  <c r="H251" i="1"/>
  <c r="H252" i="1" s="1"/>
  <c r="H263" i="1"/>
  <c r="H262" i="1"/>
  <c r="H261" i="1"/>
  <c r="H260" i="1"/>
  <c r="H259" i="1"/>
  <c r="H258" i="1"/>
  <c r="H235" i="1"/>
  <c r="H236" i="1" s="1"/>
  <c r="H232" i="1"/>
  <c r="H233" i="1" s="1"/>
  <c r="H239" i="1"/>
  <c r="H244" i="1"/>
  <c r="H243" i="1"/>
  <c r="H242" i="1"/>
  <c r="H241" i="1"/>
  <c r="H240" i="1"/>
  <c r="H219" i="1"/>
  <c r="H220" i="1" s="1"/>
  <c r="H216" i="1"/>
  <c r="H217" i="1" s="1"/>
  <c r="H283" i="1" l="1"/>
  <c r="H285" i="1" s="1"/>
  <c r="H264" i="1"/>
  <c r="H266" i="1" s="1"/>
  <c r="H245" i="1"/>
  <c r="H247" i="1" s="1"/>
  <c r="H222" i="1"/>
  <c r="H115" i="1" l="1"/>
  <c r="H116" i="1" s="1"/>
  <c r="H96" i="1"/>
  <c r="H97" i="1" s="1"/>
  <c r="H101" i="1"/>
  <c r="H102" i="1" s="1"/>
  <c r="H169" i="1"/>
  <c r="H168" i="1"/>
  <c r="H166" i="1"/>
  <c r="H165" i="1"/>
  <c r="H163" i="1"/>
  <c r="H162" i="1"/>
  <c r="H160" i="1"/>
  <c r="H159" i="1"/>
  <c r="H157" i="1"/>
  <c r="H156" i="1"/>
  <c r="H111" i="1"/>
  <c r="H110" i="1"/>
  <c r="H109" i="1"/>
  <c r="H108" i="1"/>
  <c r="H107" i="1"/>
  <c r="T123" i="1"/>
  <c r="T119" i="1"/>
  <c r="T114" i="1"/>
  <c r="T108" i="1"/>
  <c r="H72" i="1"/>
  <c r="H112" i="1" l="1"/>
  <c r="H172" i="1"/>
  <c r="H171" i="1"/>
  <c r="H52" i="1"/>
  <c r="H82" i="1"/>
  <c r="H77" i="1"/>
  <c r="H73" i="1"/>
  <c r="H85" i="1" s="1"/>
  <c r="H79" i="1"/>
  <c r="H78" i="1"/>
  <c r="H84" i="1" l="1"/>
  <c r="H174" i="1"/>
  <c r="H81" i="1" l="1"/>
  <c r="H59" i="1"/>
  <c r="H58" i="1"/>
  <c r="H53" i="1"/>
  <c r="H54" i="1"/>
  <c r="H55" i="1"/>
  <c r="H56" i="1"/>
  <c r="H57" i="1"/>
  <c r="H60" i="1"/>
  <c r="H62" i="1"/>
  <c r="I64" i="1" s="1"/>
  <c r="H61" i="1"/>
  <c r="I63" i="1" s="1"/>
  <c r="H28" i="1"/>
  <c r="H29" i="1"/>
  <c r="H30" i="1"/>
  <c r="H31" i="1"/>
  <c r="H27" i="1"/>
  <c r="H24" i="1"/>
  <c r="H25" i="1" s="1"/>
  <c r="H21" i="1"/>
  <c r="H22" i="1" s="1"/>
  <c r="H83" i="1" l="1"/>
  <c r="H86" i="1" s="1"/>
  <c r="H32" i="1"/>
  <c r="I66" i="1"/>
  <c r="I67" i="1" s="1"/>
  <c r="H7" i="1"/>
  <c r="H8" i="1" s="1"/>
  <c r="H10" i="1"/>
  <c r="H11" i="1"/>
  <c r="H12" i="1"/>
  <c r="H13" i="1"/>
  <c r="H14" i="1"/>
  <c r="H15" i="1"/>
  <c r="H4" i="1"/>
  <c r="H5" i="1" s="1"/>
  <c r="H16" i="1" l="1"/>
</calcChain>
</file>

<file path=xl/sharedStrings.xml><?xml version="1.0" encoding="utf-8"?>
<sst xmlns="http://schemas.openxmlformats.org/spreadsheetml/2006/main" count="1205" uniqueCount="460">
  <si>
    <t xml:space="preserve">Material type </t>
  </si>
  <si>
    <t xml:space="preserve">Measurement total </t>
  </si>
  <si>
    <t>m</t>
  </si>
  <si>
    <t xml:space="preserve">Unit </t>
  </si>
  <si>
    <t>Hotel Skirting</t>
  </si>
  <si>
    <t>Floor</t>
  </si>
  <si>
    <t>5th Floor</t>
  </si>
  <si>
    <t>1st Floor</t>
  </si>
  <si>
    <t>2nd Floor</t>
  </si>
  <si>
    <t>3rd Floor</t>
  </si>
  <si>
    <t>4th Floor</t>
  </si>
  <si>
    <t>0 Floor</t>
  </si>
  <si>
    <t xml:space="preserve">Skirting </t>
  </si>
  <si>
    <t>Retail Skirting</t>
  </si>
  <si>
    <t>Resturant Skirting</t>
  </si>
  <si>
    <t xml:space="preserve">Unit Price </t>
  </si>
  <si>
    <t>SPONS Ref</t>
  </si>
  <si>
    <t xml:space="preserve">Total </t>
  </si>
  <si>
    <t>Page - 208</t>
  </si>
  <si>
    <t>Internal Walls and Partitions</t>
  </si>
  <si>
    <t xml:space="preserve">2.7.1 </t>
  </si>
  <si>
    <t>Metal stud and board partitions; height range from 2.40m to 3.30m</t>
  </si>
  <si>
    <t>73mm partition; 48mm studs and channels; one layer of 12.5mm Gyproc</t>
  </si>
  <si>
    <t>Wallboard each side; joints filled with joint filler and joint tape; emulsion paint</t>
  </si>
  <si>
    <t>finish</t>
  </si>
  <si>
    <t>Page - 236</t>
  </si>
  <si>
    <t>sq m</t>
  </si>
  <si>
    <t>Retail Metal Stud &amp; Board</t>
  </si>
  <si>
    <t>Resturant Metal Stud &amp; Board</t>
  </si>
  <si>
    <t>Hotel Metal Stud &amp; Board</t>
  </si>
  <si>
    <t>&lt;?xml version="1.0" encoding="utf-8"?&gt;_x000D_
&lt;QuantityLinks Version="3"&gt;_x000D_
  &lt;Links&gt;_x000D_
    &lt;Link PdfPath="" LinkGUID="6e781b52-9f7e-474f-9ee1-ccc8c8c06ae3" FilesetGuid="224e5c96-9097-4849-ba1a-90fca9ca489e" CellName="LengthTotal1" MeasureType="Length" Formatting="True" ShowUnits="True" ShowQuantities="False"&gt;_x000D_
      &lt;Filter FilterType="Subject" FilterData="Hotel Skirting" /&gt;_x000D_
      &lt;Filter FilterType="Label" FilterData="5th Floor" /&gt;_x000D_
    &lt;/Link&gt;_x000D_
    &lt;Link PdfPath="" LinkGUID="3f991cf6-b431-4b00-98d3-205f844f3634" FilesetGuid="224e5c96-9097-4849-ba1a-90fca9ca489e" CellName="LengthTotal2" MeasureType="Length" Formatting="True" ShowUnits="True" ShowQuantities="False"&gt;_x000D_
      &lt;Filter FilterType="Subject" FilterData="Hotel Skirting" /&gt;_x000D_
      &lt;Filter FilterType="Label" FilterData="4th Floor" /&gt;_x000D_
    &lt;/Link&gt;_x000D_
    &lt;Link PdfPath="" LinkGUID="7a28e355-2a9e-4b11-aac5-fea63c5545cb" FilesetGuid="224e5c96-9097-4849-ba1a-90fca9ca489e" CellName="LengthTotal3" MeasureType="Length" Formatting="True" ShowUnits="True" ShowQuantities="False"&gt;_x000D_
      &lt;Filter FilterType="Subject" FilterData="Hotel Skirting" /&gt;_x000D_
      &lt;Filter FilterType="Label" FilterData="3rd Floor" /&gt;_x000D_
    &lt;/Link&gt;_x000D_
    &lt;Link PdfPath="" LinkGUID="fdef95ae-fcec-45bf-8d22-9f2eecb1ac5d" FilesetGuid="224e5c96-9097-4849-ba1a-90fca9ca489e" CellName="LengthTotal4" MeasureType="Length" Formatting="True" ShowUnits="True" ShowQuantities="False"&gt;_x000D_
      &lt;Filter FilterType="Subject" FilterData="Hotel Skirting" /&gt;_x000D_
      &lt;Filter FilterType="Label" FilterData="2nd Floor" /&gt;_x000D_
    &lt;/Link&gt;_x000D_
    &lt;Link PdfPath="" LinkGUID="64a1f441-a00f-42bf-80ef-7bdb4e99dda1" FilesetGuid="224e5c96-9097-4849-ba1a-90fca9ca489e" CellName="LengthTotal5" MeasureType="Length" Formatting="True" ShowUnits="True" ShowQuantities="False"&gt;_x000D_
      &lt;Filter FilterType="Subject" FilterData="Hotel Skirting" /&gt;_x000D_
      &lt;Filter FilterType="Label" FilterData="1st Floor" /&gt;_x000D_
    &lt;/Link&gt;_x000D_
    &lt;Link PdfPath="" LinkGUID="b1e83d6a-f789-4457-87d8-99c40b61fbab" FilesetGuid="224e5c96-9097-4849-ba1a-90fca9ca489e" CellName="LengthTotal6" MeasureType="Length" Formatting="True" ShowUnits="True" ShowQuantities="False"&gt;_x000D_
      &lt;Filter FilterType="Subject" FilterData="Hotel Skirting" /&gt;_x000D_
      &lt;Filter FilterType="Label" FilterData="0 Floor" /&gt;_x000D_
    &lt;/Link&gt;_x000D_
    &lt;Link PdfPath="" LinkGUID="13b09a33-06d4-4e08-8e7f-af723d4a204a" FilesetGuid="224e5c96-9097-4849-ba1a-90fca9ca489e" CellName="LengthTotal8" MeasureType="Length" Formatting="True" ShowUnits="True" ShowQuantities="False"&gt;_x000D_
      &lt;Filter FilterType="Subject" FilterData="Resturant Skirting" /&gt;_x000D_
      &lt;Filter FilterType="Label" FilterData="0 Floor" /&gt;_x000D_
    &lt;/Link&gt;_x000D_
    &lt;Link PdfPath="" LinkGUID="5a3bf62f-9bc7-4e1a-8879-c9215c0d99b9" FilesetGuid="224e5c96-9097-4849-ba1a-90fca9ca489e" CellName="LengthTotal7" MeasureType="Length" Formatting="True" ShowUnits="True" ShowQuantities="False"&gt;_x000D_
      &lt;Filter FilterType="Subject" FilterData="Retail Skirting" /&gt;_x000D_
      &lt;Filter FilterType="Label" FilterData="0 Floor" /&gt;_x000D_
    &lt;/Link&gt;_x000D_
    &lt;Link PdfPath="" LinkGUID="e9705adf-f88a-4b73-b7c9-324be56a4395" FilesetGuid="224e5c96-9097-4849-ba1a-90fca9ca489e" CellName="WallAreaTotal1" MeasureType="Wall Area" Formatting="True" ShowUnits="True" ShowQuantities="False"&gt;_x000D_
      &lt;Filter FilterType="Subject" FilterData="Retail Metal Stud &amp;amp; Board" /&gt;_x000D_
      &lt;Filter FilterType="Label" FilterData="0 Floor" /&gt;_x000D_
    &lt;/Link&gt;_x000D_
    &lt;Link PdfPath="" LinkGUID="3f73bb0c-62f4-432d-96c4-64124bf22eb5" FilesetGuid="224e5c96-9097-4849-ba1a-90fca9ca489e" CellName="WallAreaTotal2" MeasureType="Wall Area" Formatting="True" ShowUnits="True" ShowQuantities="False"&gt;_x000D_
      &lt;Filter FilterType="Subject" FilterData="Resturant Metal Stud &amp;amp; Board" /&gt;_x000D_
      &lt;Filter FilterType="Label" FilterData="0 Floor" /&gt;_x000D_
    &lt;/Link&gt;_x000D_
    &lt;Link PdfPath="" LinkGUID="2e10e2ca-7e2b-4785-a2a6-b4ab0bba0a08" FilesetGuid="224e5c96-9097-4849-ba1a-90fca9ca489e" CellName="WallAreaTotal3" MeasureType="Wall Area" Formatting="True" ShowUnits="True" ShowQuantities="False"&gt;_x000D_
      &lt;Filter FilterType="Subject" FilterData="Hotel Metal Stud &amp;amp; Board" /&gt;_x000D_
      &lt;Filter Fi</t>
  </si>
  <si>
    <t>2.8.1</t>
  </si>
  <si>
    <t>supply and hang of doors, complete with all</t>
  </si>
  <si>
    <t>frames, architrave, typical medium standard ironmongery set and appropriate</t>
  </si>
  <si>
    <t>Fire doors</t>
  </si>
  <si>
    <t>Internal Doors</t>
  </si>
  <si>
    <t>single leaf; Oak veneered; 30 min fire resistance; polished</t>
  </si>
  <si>
    <t>Count</t>
  </si>
  <si>
    <t>double leaf; Oak veneered; 30 min fire resistance; polished</t>
  </si>
  <si>
    <t>Resturant Internal Fire Doors - Single</t>
  </si>
  <si>
    <t>Resturant Internal Fire Doors - Double</t>
  </si>
  <si>
    <t>Hotel Internal Fire Doors - Single</t>
  </si>
  <si>
    <t>Hotel Internal Fire Doors - Double</t>
  </si>
  <si>
    <t>Retail Internal Fire Doors - Single</t>
  </si>
  <si>
    <t>Retail Internal Fire Doors - Double</t>
  </si>
  <si>
    <t xml:space="preserve">Double </t>
  </si>
  <si>
    <t xml:space="preserve">Single </t>
  </si>
  <si>
    <t>lterType="Label" FilterData="1st Floor" /&gt;_x000D_
    &lt;/Link&gt;_x000D_
    &lt;Link PdfPath="" LinkGUID="fe3c92ba-88b3-4f2a-b3a0-8a8946ecd345" FilesetGuid="224e5c96-9097-4849-ba1a-90fca9ca489e" CellName="WallAreaTotal4" MeasureType="Wall Area" Formatting="True" ShowUnits="True" ShowQuantities="False"&gt;_x000D_
      &lt;Filter FilterType="Subject" FilterData="Hotel Metal Stud &amp;amp; Board" /&gt;_x000D_
      &lt;Filter FilterType="Label" FilterData="2nd Floor" /&gt;_x000D_
    &lt;/Link&gt;_x000D_
    &lt;Link PdfPath="" LinkGUID="ab791634-4f65-4ef5-96c0-18dd0cc2d4de" FilesetGuid="224e5c96-9097-4849-ba1a-90fca9ca489e" CellName="WallAreaTotal5" MeasureType="Wall Area" Formatting="True" ShowUnits="True" ShowQuantities="False"&gt;_x000D_
      &lt;Filter FilterType="Subject" FilterData="Hotel Metal Stud &amp;amp; Board" /&gt;_x000D_
      &lt;Filter FilterType="Label" FilterData="3rd Floor" /&gt;_x000D_
    &lt;/Link&gt;_x000D_
    &lt;Link PdfPath="" LinkGUID="56036281-06ab-4c05-9958-8d0ddeb93a7c" FilesetGuid="224e5c96-9097-4849-ba1a-90fca9ca489e" CellName="WallAreaTotal6" MeasureType="Wall Area" Formatting="True" ShowUnits="True" ShowQuantities="False"&gt;_x000D_
      &lt;Filter FilterType="Subject" FilterData="Hotel Metal Stud &amp;amp; Board" /&gt;_x000D_
      &lt;Filter FilterType="Label" FilterData="4th Floor" /&gt;_x000D_
    &lt;/Link&gt;_x000D_
    &lt;Link PdfPath="" LinkGUID="4d159675-ebd9-4a32-a10c-e7d1adb3355e" FilesetGuid="224e5c96-9097-4849-ba1a-90fca9ca489e" CellName="WallAreaTotal7" MeasureType="Wall Area" Formatting="True" ShowUnits="True" ShowQuantities="False"&gt;_x000D_
      &lt;Filter FilterType="Subject" FilterData="Hotel Metal Stud &amp;amp; Board" /&gt;_x000D_
      &lt;Filter FilterType="Label" FilterData="5th Floor" /&gt;_x000D_
    &lt;/Link&gt;_x000D_
    &lt;Link PdfPath="" LinkGUID="e2950a40-b583-4861-8ed4-92ae47d7c465" FilesetGuid="224e5c96-9097-4849-ba1a-90fca9ca489e" CellName="CountTotal1" MeasureType="Count" Formatting="True" ShowUnits="True" ShowQuantities="False"&gt;_x000D_
      &lt;Filter FilterType="Subject" FilterData="Internal Fire Doors - Single" /&gt;_x000D_
      &lt;Filter FilterType="Label" FilterData="5th Floor" /&gt;_x000D_
    &lt;/Link&gt;_x000D_
    &lt;Link PdfPath="" LinkGUID="3e52008a-ab5f-49e9-9a71-07818263c2ce" FilesetGuid="224e5c96-9097-4849-ba1a-90fca9ca489e" CellName="CountTotal2" MeasureType="Count" Formatting="True" ShowUnits="True" ShowQuantities="False"&gt;_x000D_
      &lt;Filter FilterType="Subject" FilterData="Internal Doors - Double" /&gt;_x000D_
      &lt;Filter FilterType="Label" FilterData="5th Floor" /&gt;_x000D_
    &lt;/Link&gt;_x000D_
    &lt;Link PdfPath="" LinkGUID="2ff30a11-3f78-4d0e-85e4-19ecdf591d9d" FilesetGuid="224e5c96-9097-4849-ba1a-90fca9ca489e" CellName="CountTotal3" MeasureType="Count" Formatting="True" ShowUnits="True" ShowQuantities="False"&gt;_x000D_
      &lt;Filter FilterType="Subject" FilterData="Internal Doors - Single" /&gt;_x000D_
      &lt;Filter FilterType="Label" FilterData="4th Floor" /&gt;_x000D_
    &lt;/Link&gt;_x000D_
    &lt;Link PdfPath="" LinkGUID="ef502b23-07fe-463a-a892-b86ed5d87aaf" FilesetGuid="224e5c96-9097-4849-ba1a-90fca9ca489e" CellName="CountTotal4" MeasureType="Count" Formatting="True" ShowUnits="True" ShowQuantities="False"&gt;_x000D_
      &lt;Filter FilterType="Subject" FilterData="Internal Doors - Double" /&gt;_x000D_
      &lt;Filter FilterType="Label" FilterData="4th Floor" /&gt;_x000D_
    &lt;/Link&gt;_x000D_
    &lt;Link PdfPath="" LinkGUID="580bebea-c9d2-4ff9-b318-7bbcc6e40b73" FilesetGuid="224e5c96-9097-4849-ba1a-90fca9ca489e" CellName="CountTotal5" MeasureType="Count" Formatting="True" ShowUnits="True" ShowQuantities="False"&gt;_x000D_
      &lt;Filter FilterType="Subject" FilterData="Internal Doors - Double" /&gt;_x000D_
      &lt;Filter FilterType="Label" FilterData="3rd Floor" /&gt;_x000D_
    &lt;/Link&gt;_x000D_
    &lt;Link PdfPath="" LinkGUID="0de6ae5a-78a1-4761-85fd-7f8d6af0a3e9" FilesetGuid="224e5c96-9097-4849-ba1a-90fca9ca489e" CellName="CountTotal6" MeasureType="Count" Formatting="True" ShowUnits="True" ShowQuantities="False"&gt;_x000D_
      &lt;Filter FilterType="Subject" FilterData="Internal Doors - Single" /&gt;_x000D_
      &lt;Filter FilterType="Label" FilterData="3rd Floor" /&gt;_x000D_
    &lt;/Link&gt;_x000D_
    &lt;Link PdfPath="" LinkGUID="9cdbfe0b-4402-4f50-84bf-d7ee5019f1d1" FilesetGuid="224e5c96-9097-4849-ba1a-90fca9ca489e" CellName="CountTotal7" MeasureType="Count" Formatting="True" ShowUnits="True" ShowQuantities="False"&gt;_x000D_
      &lt;Filter FilterType="Subject" FilterD</t>
  </si>
  <si>
    <t>2.6.2</t>
  </si>
  <si>
    <t>External Doors</t>
  </si>
  <si>
    <t>Page - 201</t>
  </si>
  <si>
    <t>2.6.2 External Doors</t>
  </si>
  <si>
    <t>Steel external doors</t>
  </si>
  <si>
    <t>Standard doors</t>
  </si>
  <si>
    <t>single external steel door, including frame, ironmongery, powder coated finish</t>
  </si>
  <si>
    <t>Hotel External Door - Single</t>
  </si>
  <si>
    <t xml:space="preserve">Resturant Internal Fire Doors - Leaf &amp; Half </t>
  </si>
  <si>
    <t xml:space="preserve">Provisional Sum </t>
  </si>
  <si>
    <t xml:space="preserve">Resturant External Doors - Double </t>
  </si>
  <si>
    <t>double external steel security door, including frame, ironmongery, powder</t>
  </si>
  <si>
    <t>coated finish</t>
  </si>
  <si>
    <t>PDF Page - 234</t>
  </si>
  <si>
    <t>Page 234</t>
  </si>
  <si>
    <t>single external steel security door, including frame, ironmongery, powder</t>
  </si>
  <si>
    <t xml:space="preserve">Retail External Doors - Single  </t>
  </si>
  <si>
    <t>Automatic glazed entrance doors</t>
  </si>
  <si>
    <t>Automatic glazed sliding doors in aluminium; polyester powder coated; linear</t>
  </si>
  <si>
    <t>sliding doors; inner pivoted pocket screens; glazed with safety units in</t>
  </si>
  <si>
    <t>accordance with BS. ASSA ABLOY SL510 P RC2 Anti-Burglar Sliding Door</t>
  </si>
  <si>
    <t>System complete with 100mm operator providing automated operation of the</t>
  </si>
  <si>
    <t>sliding door leaves</t>
  </si>
  <si>
    <t>PDF Page - 235</t>
  </si>
  <si>
    <t xml:space="preserve">Retail External Doors - Automatic 
Glazed Entrance Doors </t>
  </si>
  <si>
    <t>Double bi-parting; opening 2.00m× 2.30m</t>
  </si>
  <si>
    <t>Page - 235</t>
  </si>
  <si>
    <t>Page - 234</t>
  </si>
  <si>
    <t xml:space="preserve">Resturant External Doors -  Automatic 
Glazed Entrance Doors </t>
  </si>
  <si>
    <t>Hotel External Door - Double</t>
  </si>
  <si>
    <t>ata="Internal Doors - Double" /&gt;_x000D_
      &lt;Filter FilterType="Label" FilterData="2nd Floor" /&gt;_x000D_
    &lt;/Link&gt;_x000D_
    &lt;Link PdfPath="" LinkGUID="87ee3ca9-b032-422a-a45c-8d4cf42a2202" FilesetGuid="224e5c96-9097-4849-ba1a-90fca9ca489e" CellName="CountTotal8" MeasureType="Count" Formatting="True" ShowUnits="True" ShowQuantities="False"&gt;_x000D_
      &lt;Filter FilterType="Subject" FilterData="Internal Doors - Single" /&gt;_x000D_
      &lt;Filter FilterType="Label" FilterData="2nd Floor" /&gt;_x000D_
    &lt;/Link&gt;_x000D_
    &lt;Link PdfPath="" LinkGUID="e1494830-d2ee-4d2b-90a3-8005bc47e955" FilesetGuid="224e5c96-9097-4849-ba1a-90fca9ca489e" CellName="CountTotal9" MeasureType="Count" Formatting="True" ShowUnits="True" ShowQuantities="False"&gt;_x000D_
      &lt;Filter FilterType="Subject" FilterData="Internal Doors - Double" /&gt;_x000D_
      &lt;Filter FilterType="Label" FilterData="1st Floor" /&gt;_x000D_
    &lt;/Link&gt;_x000D_
    &lt;Link PdfPath="" LinkGUID="ddea5ab8-277c-4b3c-838a-2b5c6ae501f0" FilesetGuid="224e5c96-9097-4849-ba1a-90fca9ca489e" CellName="CountTotal11" MeasureType="Count" Formatting="True" ShowUnits="True" ShowQuantities="False"&gt;_x000D_
      &lt;Filter FilterType="Subject" FilterData="External Doors - Single" /&gt;_x000D_
      &lt;Filter FilterType="Label" FilterData="1st Floor" /&gt;_x000D_
    &lt;/Link&gt;_x000D_
    &lt;Link PdfPath="" LinkGUID="aecbe0f4-e7cf-4e84-afd7-59cb35f5d776" FilesetGuid="224e5c96-9097-4849-ba1a-90fca9ca489e" CellName="CountTotal12" MeasureType="Count" Formatting="True" ShowUnits="True" ShowQuantities="False"&gt;_x000D_
      &lt;Filter FilterType="Subject" FilterData="Resturant Internal Doors - Single" /&gt;_x000D_
      &lt;Filter FilterType="Label" FilterData="0 Floor" /&gt;_x000D_
    &lt;/Link&gt;_x000D_
    &lt;Link PdfPath="" LinkGUID="35e7f9cb-6dc7-4b58-ae96-be53be562339" FilesetGuid="224e5c96-9097-4849-ba1a-90fca9ca489e" CellName="CountTotal13" MeasureType="Count" Formatting="True" ShowUnits="True" ShowQuantities="False"&gt;_x000D_
      &lt;Filter FilterType="Subject" FilterData="Resturant Internal Doors - Double" /&gt;_x000D_
      &lt;Filter FilterType="Label" FilterData="0 Floor" /&gt;_x000D_
    &lt;/Link&gt;_x000D_
    &lt;Link PdfPath="" LinkGUID="16381460-5d35-4610-803c-b76705c878ca" FilesetGuid="224e5c96-9097-4849-ba1a-90fca9ca489e" CellName="CountTotal14" MeasureType="Count" Formatting="True" ShowUnits="True" ShowQuantities="False"&gt;_x000D_
      &lt;Filter FilterType="Subject" FilterData="Resturant Internal Doors - Leaf &amp;amp; Half" /&gt;_x000D_
    &lt;/Link&gt;_x000D_
    &lt;Link PdfPath="" LinkGUID="465c2d46-501d-48a6-b716-7d083a0969f9" FilesetGuid="224e5c96-9097-4849-ba1a-90fca9ca489e" CellName="CountTotal15" MeasureType="Count" Formatting="True" ShowUnits="True" ShowQuantities="False"&gt;_x000D_
      &lt;Filter FilterType="Subject" FilterData="Resturant External Doors - Double" /&gt;_x000D_
    &lt;/Link&gt;_x000D_
    &lt;Link PdfPath="" LinkGUID="bb42ee6f-4d10-4596-8afb-3c37f499b73d" FilesetGuid="224e5c96-9097-4849-ba1a-90fca9ca489e" CellName="CountTotal16" MeasureType="Count" Formatting="True" ShowUnits="True" ShowQuantities="False"&gt;_x000D_
      &lt;Filter FilterType="Subject" FilterData="Resturant External Doors - Single" /&gt;_x000D_
    &lt;/Link&gt;_x000D_
    &lt;Link PdfPath="" LinkGUID="ef772232-8f93-4a71-8b6c-415c077a0fbf" FilesetGuid="224e5c96-9097-4849-ba1a-90fca9ca489e" CellName="CountTotal17" MeasureType="Count" Formatting="True" ShowUnits="True" ShowQuantities="False"&gt;_x000D_
      &lt;Filter FilterType="Subject" FilterData="Retail External Doors - Single" /&gt;_x000D_
    &lt;/Link&gt;_x000D_
    &lt;Link PdfPath="" LinkGUID="d85062e0-2747-4578-9211-be5e6504e330" FilesetGuid="224e5c96-9097-4849-ba1a-90fca9ca489e" CellName="CountTotal18" MeasureType="Count" Formatting="True" ShowUnits="True" ShowQuantities="False"&gt;_x000D_
      &lt;Filter FilterType="Subject" FilterData="Retail External Doors - Sliding Door" /&gt;_x000D_
    &lt;/Link&gt;_x000D_
    &lt;Link PdfPath="" LinkGUID="11ac6bb0-dcf3-47e5-832b-76005bca66e6" FilesetGuid="224e5c96-9097-4849-ba1a-90fca9ca489e" CellName="CountTotal19" MeasureType="Count" Formatting="True" ShowUnits="True" ShowQuantities="False"&gt;_x000D_
      &lt;Filter FilterType="Subject" FilterData="Resturant External Doors - Sliding Door" /&gt;_x000D_
    &lt;/Link&gt;_x000D_
    &lt;Link PdfPath="" LinkGUID="e19fc9a9-5cdb-4ac8-8b7b-5fe030909f80" FilesetGuid="224e5c96-9097-4849-ba1a-90fca9ca489e" CellName="CountTotal20" MeasureType=</t>
  </si>
  <si>
    <t>N/A</t>
  </si>
  <si>
    <t>3.2.1</t>
  </si>
  <si>
    <t>Floor Finishes (Screed)</t>
  </si>
  <si>
    <t>3.2 FLOOR FINISHES</t>
  </si>
  <si>
    <t>3.2.1 Floor Finishes</t>
  </si>
  <si>
    <t>Internal floor area (unless otherwise described)</t>
  </si>
  <si>
    <t>In situ screed and floor finishes; laid level; over 300mm wide</t>
  </si>
  <si>
    <t>Cement and sand (1:3) screeds; steel trowelled</t>
  </si>
  <si>
    <t>50mm thick</t>
  </si>
  <si>
    <t xml:space="preserve">PDF Page 241 </t>
  </si>
  <si>
    <t>Flexible tiling; welded sheet or butt joint tiles; adhesive fixing</t>
  </si>
  <si>
    <t>vinyl floor tiling; 2.00mm thick</t>
  </si>
  <si>
    <t>m² 15.50 to 18.80</t>
  </si>
  <si>
    <t>Carpet tiles; including underlay, edge grippers</t>
  </si>
  <si>
    <t>heavy domestic duty; to floors;</t>
  </si>
  <si>
    <t>m² 62.00 to 75.00</t>
  </si>
  <si>
    <t>m² 18.10 to 22.00</t>
  </si>
  <si>
    <t xml:space="preserve">PDF Page 242 </t>
  </si>
  <si>
    <t>PDF Page 242</t>
  </si>
  <si>
    <t>Rigid tile/slab finishes (includes skirtings; excludes screeds)</t>
  </si>
  <si>
    <t>vinyl safety flooring; 2.00–2.50mm thick</t>
  </si>
  <si>
    <t>Cost Range</t>
  </si>
  <si>
    <t xml:space="preserve">Hotel, Carpet Tiles </t>
  </si>
  <si>
    <t>Page 242</t>
  </si>
  <si>
    <t>Hotel Bathroom PODS</t>
  </si>
  <si>
    <t>4.1.2</t>
  </si>
  <si>
    <t>Page 244</t>
  </si>
  <si>
    <t>4.1.2 Domestic Kitchen Fittings and Equipment</t>
  </si>
  <si>
    <t>Hotel bathroom pods</t>
  </si>
  <si>
    <t>Fully fitted out, finished and furnished bathroom pods; installed; suitable for</t>
  </si>
  <si>
    <t>business class hotels</t>
  </si>
  <si>
    <t>nr</t>
  </si>
  <si>
    <t>standard pod (4.50m plan area)</t>
  </si>
  <si>
    <t>accessible pod (4.50m plan area)</t>
  </si>
  <si>
    <t>PDF Page 244</t>
  </si>
  <si>
    <t>Hotel Bathroom POD - Standard</t>
  </si>
  <si>
    <t>Hotel Bathroom POD - Accessible</t>
  </si>
  <si>
    <t>"Count" Formatting="True" ShowUnits="True" ShowQuantities="False"&gt;_x000D_
      &lt;Filter FilterType="Subject" FilterData="Hotel External Doors - Double" /&gt;_x000D_
    &lt;/Link&gt;_x000D_
    &lt;Link PdfPath="" LinkGUID="14c230d9-8638-4f08-bd78-58ff26b9d613" FilesetGuid="224e5c96-9097-4849-ba1a-90fca9ca489e" CellName="CountTotal10" MeasureType="Count" Formatting="True" ShowUnits="True" ShowQuantities="False"&gt;_x000D_
      &lt;Filter FilterType="Subject" FilterData="Internal Doors - Single" /&gt;_x000D_
      &lt;Filter FilterType="Label" FilterData="1st Floor" /&gt;_x000D_
    &lt;/Link&gt;_x000D_
    &lt;Link PdfPath="" LinkGUID="d98170c7-e294-4d3a-be3f-a0612b1690c2" FilesetGuid="224e5c96-9097-4849-ba1a-90fca9ca489e" CellName="CountTotal21" MeasureType="Count" Formatting="True" ShowUnits="True" ShowQuantities="False"&gt;_x000D_
      &lt;Filter FilterType="Subject" FilterData="Internal Doors - Double" /&gt;_x000D_
      &lt;Filter FilterType="Label" FilterData="0 Floor" /&gt;_x000D_
    &lt;/Link&gt;_x000D_
    &lt;Link PdfPath="" LinkGUID="0593a724-d4a6-4893-9a21-724d44d32a9b" FilesetGuid="224e5c96-9097-4849-ba1a-90fca9ca489e" CellName="AreaTotal1" MeasureType="Area" Formatting="True" ShowUnits="True" ShowQuantities="False"&gt;_x000D_
      &lt;Filter FilterType="Subject" FilterData="Hotel, Carpet Tiles" /&gt;_x000D_
      &lt;Filter FilterType="Label" FilterData="1st Floor" /&gt;_x000D_
    &lt;/Link&gt;_x000D_
    &lt;Link PdfPath="" LinkGUID="b60e5897-0ddf-4b0e-a364-b2ed6fdff170" FilesetGuid="224e5c96-9097-4849-ba1a-90fca9ca489e" CellName="AreaTotal2" MeasureType="Area" Formatting="True" ShowUnits="True" ShowQuantities="False"&gt;_x000D_
      &lt;Filter FilterType="Subject" FilterData="Hotel, Carpet Tiles" /&gt;_x000D_
      &lt;Filter FilterType="Label" FilterData="2nd Floor" /&gt;_x000D_
    &lt;/Link&gt;_x000D_
    &lt;Link PdfPath="" LinkGUID="f525d8d7-85f8-4d9f-b6b9-f4170347f90b" FilesetGuid="224e5c96-9097-4849-ba1a-90fca9ca489e" CellName="AreaTotal3" MeasureType="Area" Formatting="True" ShowUnits="True" ShowQuantities="False"&gt;_x000D_
      &lt;Filter FilterType="Subject" FilterData="Hotel, Carpet Tiles" /&gt;_x000D_
      &lt;Filter FilterType="Label" FilterData="3rd Floor" /&gt;_x000D_
    &lt;/Link&gt;_x000D_
    &lt;Link PdfPath="" LinkGUID="0831967d-2bec-43ca-8e30-faab6ee415f3" FilesetGuid="224e5c96-9097-4849-ba1a-90fca9ca489e" CellName="AreaTotal4" MeasureType="Area" Formatting="True" ShowUnits="True" ShowQuantities="False"&gt;_x000D_
      &lt;Filter FilterType="Subject" FilterData="Hotel, Carpet Tiles" /&gt;_x000D_
      &lt;Filter FilterType="Label" FilterData="4th Floor" /&gt;_x000D_
    &lt;/Link&gt;_x000D_
    &lt;Link PdfPath="" LinkGUID="63633ee3-c019-4cbb-bf91-c7688d84a8ff" FilesetGuid="224e5c96-9097-4849-ba1a-90fca9ca489e" CellName="AreaTotal5" MeasureType="Area" Formatting="True" ShowUnits="True" ShowQuantities="False"&gt;_x000D_
      &lt;Filter FilterType="Subject" FilterData="Hotel, Carpet Tiles" /&gt;_x000D_
      &lt;Filter FilterType="Label" FilterData="5th Floor" /&gt;_x000D_
    &lt;/Link&gt;_x000D_
    &lt;Link PdfPath="" LinkGUID="b2ebb898-585e-4f0b-a048-1a8260882188" FilesetGuid="224e5c96-9097-4849-ba1a-90fca9ca489e" CellName="CountTotal22" MeasureType="Count" Formatting="True" ShowUnits="True" ShowQuantities="False"&gt;_x000D_
      &lt;Filter FilterType="Subject" FilterData="Hotel Bathroom POD - Standard" /&gt;_x000D_
      &lt;Filter FilterType="Label" FilterData="1st Floor" /&gt;_x000D_
    &lt;/Link&gt;_x000D_
    &lt;Link PdfPath="" LinkGUID="d3ebd1b2-1357-4a43-8655-7e5e930d3ff5" FilesetGuid="224e5c96-9097-4849-ba1a-90fca9ca489e" CellName="CountTotal23" MeasureType="Count" Formatting="True" ShowUnits="True" ShowQuantities="False"&gt;_x000D_
      &lt;Filter FilterType="Subject" FilterData="Hotel Bathroom POD - Accessible" /&gt;_x000D_
      &lt;Filter FilterType="Label" FilterData="1st Floor" /&gt;_x000D_
    &lt;/Link&gt;_x000D_
    &lt;Link PdfPath="" LinkGUID="a716d2d2-bc4c-4496-ac67-57bd480474ab" FilesetGuid="224e5c96-9097-4849-ba1a-90fca9ca489e" CellName="CountTotal24" MeasureType="Count" Formatting="True" ShowUnits="True" ShowQuantities="False"&gt;_x000D_
      &lt;Filter FilterType="Subject" FilterData="Hotel Bathroom POD - Standard" /&gt;_x000D_
      &lt;Filter FilterType="Label" FilterData="2nd Floor" /&gt;_x000D_
    &lt;/Link&gt;_x000D_
    &lt;Link PdfPath="" LinkGUID="0c68e2f1-26f7-4908-bc4d-1a85d525dd2b" FilesetGuid="224e5c96-9097-4849-ba1a-90fca9ca489e" CellName="CountTotal25" MeasureType="Count" Formatting="True" ShowUnits="True" ShowQuantities="Fals</t>
  </si>
  <si>
    <t xml:space="preserve">Standard </t>
  </si>
  <si>
    <t xml:space="preserve">Accessible </t>
  </si>
  <si>
    <t xml:space="preserve">Overal Cost </t>
  </si>
  <si>
    <t xml:space="preserve">Resturant, Carpet Tiles </t>
  </si>
  <si>
    <t>Retail, Vinyl Safety Flooring</t>
  </si>
  <si>
    <t>Hotel, Vinyl Safety Flooring</t>
  </si>
  <si>
    <t>Lift and Conveyor Installations</t>
  </si>
  <si>
    <t>5.10.1 Lifts and Enclosed Hoists</t>
  </si>
  <si>
    <t>Passenger lifts (standard brushed stainless steel finish; 2 panel centre opening</t>
  </si>
  <si>
    <t>doors)</t>
  </si>
  <si>
    <t>PDF Page 248</t>
  </si>
  <si>
    <t>13-person; 6 stops; 1.0 m/s speed</t>
  </si>
  <si>
    <t>5.10.1</t>
  </si>
  <si>
    <t>Page 248</t>
  </si>
  <si>
    <t>0 - 5th Floor</t>
  </si>
  <si>
    <t>Hotel Lift, 13-person; 6 stops</t>
  </si>
  <si>
    <t>Passenger lifts</t>
  </si>
  <si>
    <t>Special installations</t>
  </si>
  <si>
    <t>disabled platform lift single wheelchair; 400 kg; 4 stops; 0.16 m/s</t>
  </si>
  <si>
    <t>Resturant Lift, disabled platform</t>
  </si>
  <si>
    <t>PDF Page 249</t>
  </si>
  <si>
    <t>Page 249</t>
  </si>
  <si>
    <t>e"&gt;_x000D_
      &lt;Filter FilterType="Subject" FilterData="Hotel Bathroom POD - Accessible" /&gt;_x000D_
      &lt;Filter FilterType="Label" FilterData="2nd Floor" /&gt;_x000D_
    &lt;/Link&gt;_x000D_
    &lt;Link PdfPath="" LinkGUID="27c64772-098d-4f73-9e78-0ac00a530e9b" FilesetGuid="224e5c96-9097-4849-ba1a-90fca9ca489e" CellName="CountTotal26" MeasureType="Count" Formatting="True" ShowUnits="True" ShowQuantities="False"&gt;_x000D_
      &lt;Filter FilterType="Subject" FilterData="Hotel Bathroom POD - Standard" /&gt;_x000D_
      &lt;Filter FilterType="Label" FilterData="3rd Floor" /&gt;_x000D_
    &lt;/Link&gt;_x000D_
    &lt;Link PdfPath="" LinkGUID="70b10002-a5b1-499a-823b-760bf59b220a" FilesetGuid="224e5c96-9097-4849-ba1a-90fca9ca489e" CellName="CountTotal27" MeasureType="Count" Formatting="True" ShowUnits="True" ShowQuantities="False"&gt;_x000D_
      &lt;Filter FilterType="Subject" FilterData="Hotel Bathroom POD - Accessible" /&gt;_x000D_
      &lt;Filter FilterType="Label" FilterData="3rd Floor" /&gt;_x000D_
    &lt;/Link&gt;_x000D_
    &lt;Link PdfPath="" LinkGUID="c13b9dca-4108-4324-b6ce-838a3b68514e" FilesetGuid="224e5c96-9097-4849-ba1a-90fca9ca489e" CellName="CountTotal28" MeasureType="Count" Formatting="True" ShowUnits="True" ShowQuantities="False"&gt;_x000D_
      &lt;Filter FilterType="Subject" FilterData="Hotel Bathroom POD - Standard" /&gt;_x000D_
      &lt;Filter FilterType="Label" FilterData="4th Floor" /&gt;_x000D_
    &lt;/Link&gt;_x000D_
    &lt;Link PdfPath="" LinkGUID="af04dfa4-a851-4547-bfb7-3f40303e46e7" FilesetGuid="224e5c96-9097-4849-ba1a-90fca9ca489e" CellName="CountTotal29" MeasureType="Count" Formatting="True" ShowUnits="True" ShowQuantities="False"&gt;_x000D_
      &lt;Filter FilterType="Subject" FilterData="Hotel Bathroom POD - Accessible" /&gt;_x000D_
      &lt;Filter FilterType="Label" FilterData="4th Floor" /&gt;_x000D_
    &lt;/Link&gt;_x000D_
    &lt;Link PdfPath="" LinkGUID="516cd5a8-570c-49e8-ba6d-43dc614ee87c" FilesetGuid="224e5c96-9097-4849-ba1a-90fca9ca489e" CellName="CountTotal30" MeasureType="Count" Formatting="True" ShowUnits="True" ShowQuantities="False"&gt;_x000D_
      &lt;Filter FilterType="Subject" FilterData="Hotel Bathroom POD - Standard" /&gt;_x000D_
      &lt;Filter FilterType="Label" FilterData="5th Floor" /&gt;_x000D_
    &lt;/Link&gt;_x000D_
    &lt;Link PdfPath="" LinkGUID="bb3c61ab-dd8a-406e-a945-d28d4cb0e9d8" FilesetGuid="224e5c96-9097-4849-ba1a-90fca9ca489e" CellName="AreaTotal6" MeasureType="Area" Formatting="True" ShowUnits="True" ShowQuantities="False"&gt;_x000D_
      &lt;Filter FilterType="Subject" FilterData="Hotel, Carpet Tiles" /&gt;_x000D_
      &lt;Filter FilterType="Label" FilterData="0 Floor" /&gt;_x000D_
    &lt;/Link&gt;_x000D_
    &lt;Link PdfPath="" LinkGUID="7aa4a966-cf8c-429c-8196-3fc6d421ffbd" FilesetGuid="224e5c96-9097-4849-ba1a-90fca9ca489e" CellName="AreaTotal7" MeasureType="Area" Formatting="True" ShowUnits="True" ShowQuantities="False"&gt;_x000D_
      &lt;Filter FilterType="Subject" FilterData="Resturant, Carpet Tiles " /&gt;_x000D_
      &lt;Filter FilterType="Label" FilterData="0 Floor" /&gt;_x000D_
    &lt;/Link&gt;_x000D_
    &lt;Link PdfPath="" LinkGUID="e0372b3a-10a7-4bc4-9832-91b89de9758a" FilesetGuid="224e5c96-9097-4849-ba1a-90fca9ca489e" CellName="AreaTotal8" MeasureType="Area" Formatting="True" ShowUnits="True" ShowQuantities="False"&gt;_x000D_
      &lt;Filter FilterType="Subject" FilterData="Retail, Vinyl Safety Flooring" /&gt;_x000D_
      &lt;Filter FilterType="Label" FilterData="0 Floor" /&gt;_x000D_
    &lt;/Link&gt;_x000D_
    &lt;Link PdfPath="" LinkGUID="43085e87-b6d3-4550-a2b5-89691234d965" FilesetGuid="224e5c96-9097-4849-ba1a-90fca9ca489e" CellName="AreaTotal9" MeasureType="Area" Formatting="True" ShowUnits="True" ShowQuantities="False"&gt;_x000D_
      &lt;Filter FilterType="Subject" FilterData="Hotel, Vinyl Safety Flooring" /&gt;_x000D_
      &lt;Filter FilterType="Label" FilterData="1st Floor" /&gt;_x000D_
    &lt;/Link&gt;_x000D_
    &lt;Link PdfPath="" LinkGUID="a45f540d-0bb0-4f4e-8f8f-5c4f17b53339" FilesetGuid="224e5c96-9097-4849-ba1a-90fca9ca489e" CellName="CountTotal31" MeasureType="Count" Formatting="True" ShowUnits="True" ShowQuantities="False"&gt;_x000D_
      &lt;Filter FilterType="Subject" FilterData="Hotel Lift, 13-person; 6 stops" /&gt;_x000D_
    &lt;/Link&gt;_x000D_
    &lt;Link PdfPath="" LinkGUID="beda4f35-8853-44db-95c5-4a80a6af6e17" FilesetGuid="224e5c96-9097-4849-ba1a-90fca9ca489e" CellName="CountTotal32" MeasureType="Count" Formatting="True" ShowUnits="True" ShowQuantities="False"&gt;_x000D_
      &lt;F</t>
  </si>
  <si>
    <t>5.6.1 Space Heating and Air Conditioning</t>
  </si>
  <si>
    <t>hotel; air conditioning</t>
  </si>
  <si>
    <t>PDF Page 247</t>
  </si>
  <si>
    <t>Gross internal floor area (unless described otherwise)</t>
  </si>
  <si>
    <t>m2</t>
  </si>
  <si>
    <t>Page 247</t>
  </si>
  <si>
    <t>hotel, air conditioning</t>
  </si>
  <si>
    <t>Heating and Air Conditioning</t>
  </si>
  <si>
    <t xml:space="preserve">supermarket </t>
  </si>
  <si>
    <t>Resturant, air conditioning</t>
  </si>
  <si>
    <t>Provisional Sum</t>
  </si>
  <si>
    <t xml:space="preserve">Resturant Provisional sum = hotel; air conditioning, upper rate. </t>
  </si>
  <si>
    <t>Retail, air conditioning</t>
  </si>
  <si>
    <t>Ventilation Systems</t>
  </si>
  <si>
    <t>5.7.1</t>
  </si>
  <si>
    <t>5.6.1</t>
  </si>
  <si>
    <t>5.7.1 Ventilation Systems</t>
  </si>
  <si>
    <t>hotel; general toilet extraction, bathrooms, kitchens</t>
  </si>
  <si>
    <t>supermarket</t>
  </si>
  <si>
    <t>hotel, general extraction</t>
  </si>
  <si>
    <t>Retail, general extraction</t>
  </si>
  <si>
    <t>Resturant, general extraction</t>
  </si>
  <si>
    <t xml:space="preserve">Resturant Provisional sum = retail, general extraction upper rate. </t>
  </si>
  <si>
    <t>5.8.1 Electric Mains and Sub-Mains Distrubition</t>
  </si>
  <si>
    <t>5.8.1</t>
  </si>
  <si>
    <t>Electrical Mains</t>
  </si>
  <si>
    <t>Retail, electrical mains</t>
  </si>
  <si>
    <t>Resturant, electrical mains</t>
  </si>
  <si>
    <t>hotel, electrical mains</t>
  </si>
  <si>
    <t>hotel</t>
  </si>
  <si>
    <t xml:space="preserve">Resturant Provisional sum = retail, electrical mains upper rate. </t>
  </si>
  <si>
    <t>5.4.1 Mains Water Supply</t>
  </si>
  <si>
    <t>5.4.1</t>
  </si>
  <si>
    <t>Hot and cold water installations; mains supply; hot and cold water distribution.</t>
  </si>
  <si>
    <t>PDF Page 246</t>
  </si>
  <si>
    <t>Page 246</t>
  </si>
  <si>
    <t xml:space="preserve">Mains Water Supply </t>
  </si>
  <si>
    <t xml:space="preserve">Retail, mains water supply </t>
  </si>
  <si>
    <t>Resturant, mains water supply</t>
  </si>
  <si>
    <t xml:space="preserve">hotel, mains water supply </t>
  </si>
  <si>
    <t xml:space="preserve">Resturant Provisional sum = retail, mains water supply upper rate. </t>
  </si>
  <si>
    <t>2.6.1</t>
  </si>
  <si>
    <t>External Windows</t>
  </si>
  <si>
    <t>2.6.1 External Windows</t>
  </si>
  <si>
    <t>Composite aluminium/timber windows; U value = 1.5W/m2K</t>
  </si>
  <si>
    <t>Purpose-made windows; stainless steel ironmongery; Velfac System 200 or</t>
  </si>
  <si>
    <t>similar</t>
  </si>
  <si>
    <t>fixed windows over 1.50m2 up to 4.00m2</t>
  </si>
  <si>
    <t>PDF Page 234</t>
  </si>
  <si>
    <t>Retail, external windows</t>
  </si>
  <si>
    <t>Resturant, external windows</t>
  </si>
  <si>
    <t>1 - 5 Floor</t>
  </si>
  <si>
    <r>
      <t xml:space="preserve">total count </t>
    </r>
    <r>
      <rPr>
        <i/>
        <sz val="11"/>
        <color theme="1"/>
        <rFont val="Aptos Narrow"/>
        <family val="2"/>
        <scheme val="minor"/>
      </rPr>
      <t>(Inclusive of hidden windows on elevation drawings</t>
    </r>
    <r>
      <rPr>
        <sz val="11"/>
        <color theme="1"/>
        <rFont val="Aptos Narrow"/>
        <family val="2"/>
        <scheme val="minor"/>
      </rPr>
      <t>)</t>
    </r>
  </si>
  <si>
    <t xml:space="preserve">total m2 </t>
  </si>
  <si>
    <t xml:space="preserve">m2 </t>
  </si>
  <si>
    <t>hotel, external windows, square</t>
  </si>
  <si>
    <t>2.5 EXTERNAL WALLS</t>
  </si>
  <si>
    <t>2.5.1 External Enclosing Walls above ground level</t>
  </si>
  <si>
    <t>unitized curtain walling system with double glazed units, aluminium structural</t>
  </si>
  <si>
    <t>framing and spandrel rails. Standard colour powder coated</t>
  </si>
  <si>
    <t>Glazed walling</t>
  </si>
  <si>
    <t>PDF Page 230</t>
  </si>
  <si>
    <t>2.5.1</t>
  </si>
  <si>
    <t xml:space="preserve">External Enclosing Walls above ground level </t>
  </si>
  <si>
    <t xml:space="preserve">curtain wall system </t>
  </si>
  <si>
    <t>0 - 5 Floor</t>
  </si>
  <si>
    <t>Page 230</t>
  </si>
  <si>
    <t xml:space="preserve">Each square window </t>
  </si>
  <si>
    <t>Cavity wall; rendered block outer skin; insulation; with plaster on standard weight</t>
  </si>
  <si>
    <t>block inner skin; emulsion (U-value = 0.30W/m2 K)</t>
  </si>
  <si>
    <t xml:space="preserve">block outer skin; insulation; lightweight block inner skin outer block rendered </t>
  </si>
  <si>
    <t>PDF Page 229</t>
  </si>
  <si>
    <t>cavity wall, block inner &amp; outter skin</t>
  </si>
  <si>
    <t>Brick/block walling</t>
  </si>
  <si>
    <t>Page 229</t>
  </si>
  <si>
    <r>
      <rPr>
        <b/>
        <sz val="11"/>
        <color theme="1"/>
        <rFont val="Aptos Narrow"/>
        <family val="2"/>
        <scheme val="minor"/>
      </rPr>
      <t>total</t>
    </r>
    <r>
      <rPr>
        <sz val="11"/>
        <color theme="1"/>
        <rFont val="Aptos Narrow"/>
        <family val="2"/>
        <scheme val="minor"/>
      </rPr>
      <t xml:space="preserve"> which includes area measurement hidden on elevation drawing Plot A11C, grid line G &amp; K </t>
    </r>
  </si>
  <si>
    <t>2.5.3 Solar/Rain Screen</t>
  </si>
  <si>
    <t>25mm thick tongued and grooved Western Red Cedar boarding including</t>
  </si>
  <si>
    <t>timber battens</t>
  </si>
  <si>
    <t>rain screen timber battens</t>
  </si>
  <si>
    <t>PDF Page 232</t>
  </si>
  <si>
    <t>Page 232</t>
  </si>
  <si>
    <t>2.5.3</t>
  </si>
  <si>
    <t>ilter FilterType="Subject" FilterData="Resturant Lift, disabled platform" /&gt;_x000D_
    &lt;/Link&gt;_x000D_
    &lt;Link PdfPath="" LinkGUID="c1aefc66-6582-4a12-b9b1-8b4c595eaaf3" FilesetGuid="224e5c96-9097-4849-ba1a-90fca9ca489e" CellName="AreaTotal10" MeasureType="Area" Formatting="True" ShowUnits="True" ShowQuantities="False"&gt;_x000D_
      &lt;Filter FilterType="Subject" FilterData="hotel, air conditioning" /&gt;_x000D_
      &lt;Filter FilterType="Label" FilterData="0 Floor" /&gt;_x000D_
    &lt;/Link&gt;_x000D_
    &lt;Link PdfPath="" LinkGUID="1532134b-55b8-4c85-990b-78a2f4646355" FilesetGuid="224e5c96-9097-4849-ba1a-90fca9ca489e" CellName="AreaTotal11" MeasureType="Area" Formatting="True" ShowUnits="True" ShowQuantities="False"&gt;_x000D_
      &lt;Filter FilterType="Subject" FilterData="hotel, air conditioning" /&gt;_x000D_
      &lt;Filter FilterType="Label" FilterData="1st Floor" /&gt;_x000D_
    &lt;/Link&gt;_x000D_
    &lt;Link PdfPath="" LinkGUID="566b683d-38b5-4030-b729-eb60e93d6488" FilesetGuid="224e5c96-9097-4849-ba1a-90fca9ca489e" CellName="AreaTotal12" MeasureType="Area" Formatting="True" ShowUnits="True" ShowQuantities="False"&gt;_x000D_
      &lt;Filter FilterType="Subject" FilterData="hotel, air conditioning" /&gt;_x000D_
      &lt;Filter FilterType="Label" FilterData="2nd Floor" /&gt;_x000D_
    &lt;/Link&gt;_x000D_
    &lt;Link PdfPath="" LinkGUID="d52d10e5-e8ea-4de2-8f97-a73470e2afc3" FilesetGuid="224e5c96-9097-4849-ba1a-90fca9ca489e" CellName="AreaTotal13" MeasureType="Area" Formatting="True" ShowUnits="True" ShowQuantities="False"&gt;_x000D_
      &lt;Filter FilterType="Subject" FilterData="hotel, air conditioning" /&gt;_x000D_
      &lt;Filter FilterType="Label" FilterData="3rd Floor" /&gt;_x000D_
    &lt;/Link&gt;_x000D_
    &lt;Link PdfPath="" LinkGUID="c440d8ca-7367-432c-8f95-e28e19ab891d" FilesetGuid="224e5c96-9097-4849-ba1a-90fca9ca489e" CellName="AreaTotal14" MeasureType="Area" Formatting="True" ShowUnits="True" ShowQuantities="False"&gt;_x000D_
      &lt;Filter FilterType="Subject" FilterData="hotel, air conditioning" /&gt;_x000D_
      &lt;Filter FilterType="Label" FilterData="4th Floor" /&gt;_x000D_
    &lt;/Link&gt;_x000D_
    &lt;Link PdfPath="" LinkGUID="3721463e-5f44-4f58-ac04-e4e9a297ec2b" FilesetGuid="224e5c96-9097-4849-ba1a-90fca9ca489e" CellName="AreaTotal15" MeasureType="Area" Formatting="True" ShowUnits="True" ShowQuantities="False"&gt;_x000D_
      &lt;Filter FilterType="Subject" FilterData="hotel, air conditioning" /&gt;_x000D_
      &lt;Filter FilterType="Label" FilterData="5th Floor" /&gt;_x000D_
    &lt;/Link&gt;_x000D_
    &lt;Link PdfPath="" LinkGUID="eed8f72a-6882-470d-bf9a-5077f1367e5e" FilesetGuid="224e5c96-9097-4849-ba1a-90fca9ca489e" CellName="AreaTotal16" MeasureType="Area" Formatting="True" ShowUnits="True" ShowQuantities="False"&gt;_x000D_
      &lt;Filter FilterType="Subject" FilterData="Retail, air conditioning" /&gt;_x000D_
      &lt;Filter FilterType="Label" FilterData="0 Floor" /&gt;_x000D_
    &lt;/Link&gt;_x000D_
    &lt;Link PdfPath="" LinkGUID="4e31f860-eef0-472e-b2ae-0e741730238b" FilesetGuid="224e5c96-9097-4849-ba1a-90fca9ca489e" CellName="AreaTotal17" MeasureType="Area" Formatting="True" ShowUnits="True" ShowQuantities="False"&gt;_x000D_
      &lt;Filter FilterType="Subject" FilterData="Resturant, air conditioning" /&gt;_x000D_
      &lt;Filter FilterType="Label" FilterData="0 Floor" /&gt;_x000D_
    &lt;/Link&gt;_x000D_
    &lt;Link PdfPath="" LinkGUID="c73b7946-445b-46e7-9a15-e5618d2a6644" FilesetGuid="224e5c96-9097-4849-ba1a-90fca9ca489e" CellName="CountTotal33" MeasureType="Count" Formatting="True" ShowUnits="True" ShowQuantities="False"&gt;_x000D_
      &lt;Filter FilterType="Subject" FilterData="Window" /&gt;_x000D_
    &lt;/Link&gt;_x000D_
    &lt;Link PdfPath="" LinkGUID="f7c9ab8f-f371-4341-b9e5-0c49597c0e18" FilesetGuid="224e5c96-9097-4849-ba1a-90fca9ca489e" CellName="AreaTotal18" MeasureType="Area" Formatting="True" ShowUnits="True" ShowQuantities="False"&gt;_x000D_
      &lt;Filter FilterType="Subject" FilterData="Curtain Walling" /&gt;_x000D_
    &lt;/Link&gt;_x000D_
    &lt;Link PdfPath="" LinkGUID="f8dbc576-9969-4304-afb1-15628fbe0aa8" FilesetGuid="224e5c96-9097-4849-ba1a-90fca9ca489e" CellName="AreaTotal19" MeasureType="Area" Formatting="True" ShowUnits="True" ShowQuantities="False"&gt;_x000D_
      &lt;Filter FilterType="Subject" FilterData="cavity wall, block inner &amp;amp; outter skin" /&gt;_x000D_
    &lt;/Link&gt;_x000D_
    &lt;Link PdfPath="" LinkGUID="7bb75eba-a398-4c6f-b6df-b2938e615bec" FilesetGuid="224e5c96-9097-4849-ba1a-90</t>
  </si>
  <si>
    <t>Standard</t>
  </si>
  <si>
    <t xml:space="preserve">check </t>
  </si>
  <si>
    <t>Single</t>
  </si>
  <si>
    <t>Double</t>
  </si>
  <si>
    <t>check</t>
  </si>
  <si>
    <t>Standard fire doors; cellular core; softwood lining; softwood architrave;</t>
  </si>
  <si>
    <t>aluminuim ironmongery (lockable, self-closure); painting or polishing;</t>
  </si>
  <si>
    <t>PDF Page 239</t>
  </si>
  <si>
    <t>Page - 239</t>
  </si>
  <si>
    <t>Leaf &amp; half</t>
  </si>
  <si>
    <t>Leaf &amp; half = double leaf upper rate</t>
  </si>
  <si>
    <t>2.8.1 Internal doors</t>
  </si>
  <si>
    <t>2.7.1 Internal walls and partitions</t>
  </si>
  <si>
    <t>Frame and panel partitions</t>
  </si>
  <si>
    <t>finish; softwood skirtings with gloss finish</t>
  </si>
  <si>
    <t>PDF Page 236</t>
  </si>
  <si>
    <t>total</t>
  </si>
  <si>
    <t xml:space="preserve">Resturant External Doors - Single </t>
  </si>
  <si>
    <t>Automatic</t>
  </si>
  <si>
    <t>Check</t>
  </si>
  <si>
    <t xml:space="preserve">2.4.1 Stair/ramp structures </t>
  </si>
  <si>
    <t>Reinforced concrete construction</t>
  </si>
  <si>
    <t>Staircase; terrazzo finish; mild steel balustrades and handrails; plastered soffit;</t>
  </si>
  <si>
    <t>balustrades and staircase soffit decorated</t>
  </si>
  <si>
    <t>3.00m rise; dogleg</t>
  </si>
  <si>
    <t>plus or minus for each 300mm variation in storey height</t>
  </si>
  <si>
    <t>Calacuation</t>
  </si>
  <si>
    <t>Cost</t>
  </si>
  <si>
    <t>nr of stories</t>
  </si>
  <si>
    <t xml:space="preserve">Notes </t>
  </si>
  <si>
    <t xml:space="preserve">5 stories but 4 floors </t>
  </si>
  <si>
    <t>2.4.1</t>
  </si>
  <si>
    <t xml:space="preserve">Stair/ramp structures </t>
  </si>
  <si>
    <t>Staircase, concrete</t>
  </si>
  <si>
    <t>PDF Page 227</t>
  </si>
  <si>
    <t>Page 227</t>
  </si>
  <si>
    <t>nr of stair cases</t>
  </si>
  <si>
    <t>2.3.1</t>
  </si>
  <si>
    <t>Roof Structure</t>
  </si>
  <si>
    <t xml:space="preserve">2.3.1 Roof structure </t>
  </si>
  <si>
    <t>Flat roof decking; structure only</t>
  </si>
  <si>
    <t>Metal decking</t>
  </si>
  <si>
    <t>galvanized steel roof decking; insulation; three layer felt roofing and</t>
  </si>
  <si>
    <t>chippings; 0.70mm thick steel decking (U-value = 0.25W/m2 K)</t>
  </si>
  <si>
    <t>PDF Page 222</t>
  </si>
  <si>
    <t>Metal deck</t>
  </si>
  <si>
    <t>Roof</t>
  </si>
  <si>
    <t>Page 222</t>
  </si>
  <si>
    <t>2.2.1</t>
  </si>
  <si>
    <t>Upper floors, floors</t>
  </si>
  <si>
    <t>2.2.1 Floors</t>
  </si>
  <si>
    <t>Composite steel deck flooring</t>
  </si>
  <si>
    <t>Composite steel and concrete upper floors (Note: all floor thicknesses are</t>
  </si>
  <si>
    <t>nominal); A142 mesh reinforcement</t>
  </si>
  <si>
    <t>TATA Slimdek SD225 steel decking 1.25mm thick; 130mm reinforced</t>
  </si>
  <si>
    <t>concrete topping</t>
  </si>
  <si>
    <t>Upper floor, steel &amp; concrete</t>
  </si>
  <si>
    <t>total over 4 lvls</t>
  </si>
  <si>
    <t>2.1.1</t>
  </si>
  <si>
    <t>Frame</t>
  </si>
  <si>
    <t xml:space="preserve">Frame, steel beam (Horizontal) </t>
  </si>
  <si>
    <t xml:space="preserve">Frame, steel beam (Vertical) </t>
  </si>
  <si>
    <t>Frame, steel colum</t>
  </si>
  <si>
    <t>2.2.1 Frame</t>
  </si>
  <si>
    <t>universal beams; grade S275</t>
  </si>
  <si>
    <t>Steel frame</t>
  </si>
  <si>
    <t>tonne</t>
  </si>
  <si>
    <t>PDF Page 220</t>
  </si>
  <si>
    <t>universal columns; grade S275</t>
  </si>
  <si>
    <t>Using British Steel IPE Sections - IPE 300: 42.24 kg per meter</t>
  </si>
  <si>
    <t xml:space="preserve">levels </t>
  </si>
  <si>
    <t xml:space="preserve">total </t>
  </si>
  <si>
    <t>weight per m of beam</t>
  </si>
  <si>
    <t>kg</t>
  </si>
  <si>
    <t>converted to tonnes</t>
  </si>
  <si>
    <t>tonnes</t>
  </si>
  <si>
    <t xml:space="preserve">V beams on one level </t>
  </si>
  <si>
    <t>levels</t>
  </si>
  <si>
    <t xml:space="preserve">H Beams on one level </t>
  </si>
  <si>
    <t xml:space="preserve">height </t>
  </si>
  <si>
    <t xml:space="preserve">weight per m of beam </t>
  </si>
  <si>
    <t xml:space="preserve">converted to tonnes </t>
  </si>
  <si>
    <t>horizontal &amp; vertical total</t>
  </si>
  <si>
    <t>3.3.1</t>
  </si>
  <si>
    <t>Ceiling finishes</t>
  </si>
  <si>
    <t>3.3.3 Demountable Suspended Ceilings</t>
  </si>
  <si>
    <t>Armstrong suspended ceiling; assume large rooms over 250m2</t>
  </si>
  <si>
    <t>mineral fibre; basic range; Cortega, Tatra, Academy; exposed grid</t>
  </si>
  <si>
    <t>PDF Page 243</t>
  </si>
  <si>
    <t>3.3.1 Finishes to Ceiling</t>
  </si>
  <si>
    <t>Other board finishes; with fire-resisting properties; excluding decoration</t>
  </si>
  <si>
    <t>15mm thick Gyproc Fireline board</t>
  </si>
  <si>
    <t>Hotel, ceiling finish, plasterboard</t>
  </si>
  <si>
    <t>Resturant, ceiling finish, suspended ceiling</t>
  </si>
  <si>
    <t>Retail, ceiling finish, suspended ceiling</t>
  </si>
  <si>
    <t>Page 243</t>
  </si>
  <si>
    <t>3.3.3</t>
  </si>
  <si>
    <t>Comparative ceiling finishes</t>
  </si>
  <si>
    <t>Emulsion paint to plaster</t>
  </si>
  <si>
    <t>one mist and two coats</t>
  </si>
  <si>
    <t>Hotel, ceiling finish, paint</t>
  </si>
  <si>
    <t>Trespa single skin rainscreen cladding, 8mm thick panel, with secondary</t>
  </si>
  <si>
    <t>support/frame system; adhesive fixed panels; open joints; 100mm Kingspan</t>
  </si>
  <si>
    <t>K15 insulation; aluminium subframe fixed to masonry/concrete</t>
  </si>
  <si>
    <t>rain screen cladding, trespa</t>
  </si>
  <si>
    <t>Page 233</t>
  </si>
  <si>
    <t xml:space="preserve">face 1 </t>
  </si>
  <si>
    <t xml:space="preserve"> + 3 other faces</t>
  </si>
  <si>
    <t>Measure</t>
  </si>
  <si>
    <t>1.1.2</t>
  </si>
  <si>
    <t>Foundations, piling</t>
  </si>
  <si>
    <t>1.1.2 Specialist foundations</t>
  </si>
  <si>
    <t>Piling</t>
  </si>
  <si>
    <t>Enabling works</t>
  </si>
  <si>
    <t>excavate to form piling mat; supply and lay imported hardcore – recycled</t>
  </si>
  <si>
    <t>brick and similar to form piling mat</t>
  </si>
  <si>
    <t>m3</t>
  </si>
  <si>
    <t>provision of plant (1 nr rig); including bringing to and removing from site;</t>
  </si>
  <si>
    <t>maintenance, erection and dismantling at each pile position</t>
  </si>
  <si>
    <t>item</t>
  </si>
  <si>
    <t>Supply and install concrete Continuous Flight Auger (CFA) piles; cart away</t>
  </si>
  <si>
    <t>inactive spoil; measure total length of pile</t>
  </si>
  <si>
    <t>600mm dia. reinforced concrete CFA piles</t>
  </si>
  <si>
    <t>Foundations, enabling, mat</t>
  </si>
  <si>
    <t>Page 216</t>
  </si>
  <si>
    <t>PDF Page 216</t>
  </si>
  <si>
    <t>cu m</t>
  </si>
  <si>
    <t>Foundations, prov for plant</t>
  </si>
  <si>
    <t>Foundations, piles</t>
  </si>
  <si>
    <t>piles per 
cap</t>
  </si>
  <si>
    <t>nr pile
 caps</t>
  </si>
  <si>
    <t>depth
piles (m)</t>
  </si>
  <si>
    <t>total (m)</t>
  </si>
  <si>
    <t>cost</t>
  </si>
  <si>
    <t>Pile caps</t>
  </si>
  <si>
    <t>Excavate pit in firm ground by machine, partial backfill, partial disposal, support,</t>
  </si>
  <si>
    <t>compaction, cut off pile and prepare reinforcement, formwork; reinforced in situ</t>
  </si>
  <si>
    <t>concrete cap 25 N/mm²; reinforcement at 50 kg/m³; rates per cap for cap size</t>
  </si>
  <si>
    <t>2100mm× 2100mm× 1000 mm; 2–3 piles</t>
  </si>
  <si>
    <t>PDF Page 217</t>
  </si>
  <si>
    <t>Foundations, pile caps</t>
  </si>
  <si>
    <t>Page 217</t>
  </si>
  <si>
    <t>8.2.1 Roads, Paths and Pavings</t>
  </si>
  <si>
    <t>Car parking alternatives</t>
  </si>
  <si>
    <t>Rates per car</t>
  </si>
  <si>
    <t>surface level parking</t>
  </si>
  <si>
    <t>car</t>
  </si>
  <si>
    <t>PDF Page 251</t>
  </si>
  <si>
    <t>8.6.1 Surface Water and Foul Water Drainage</t>
  </si>
  <si>
    <t>Overall £/m² of drained area allowances</t>
  </si>
  <si>
    <t>PDF Page 255</t>
  </si>
  <si>
    <t>Roads, Paths and Pavings</t>
  </si>
  <si>
    <t>Road / paths, carpark</t>
  </si>
  <si>
    <t>Page 251</t>
  </si>
  <si>
    <t>Drainage, surface and foul</t>
  </si>
  <si>
    <t>Page 255</t>
  </si>
  <si>
    <t>fca9ca489e" CellName="AreaTotal20" MeasureType="Area" Formatting="True" ShowUnits="True" ShowQuantities="False"&gt;_x000D_
      &lt;Filter FilterType="Subject" FilterData="rain screen timber battens" /&gt;_x000D_
    &lt;/Link&gt;_x000D_
    &lt;Link PdfPath="" LinkGUID="56d54d66-0995-4671-b430-2114e6491f0b" FilesetGuid="224e5c96-9097-4849-ba1a-90fca9ca489e" CellName="AreaTotal21" MeasureType="Area" Formatting="True" ShowUnits="True" ShowQuantities="False"&gt;_x000D_
      &lt;Filter FilterType="Subject" FilterData="roof area" /&gt;_x000D_
    &lt;/Link&gt;_x000D_
    &lt;Link PdfPath="" LinkGUID="cdaf3f2a-2e7a-40ba-9b5c-88e844e77cdf" FilesetGuid="224e5c96-9097-4849-ba1a-90fca9ca489e" CellName="LengthTotal9" MeasureType="Length" Formatting="True" ShowUnits="True" ShowQuantities="False"&gt;_x000D_
      &lt;Filter FilterType="Subject" FilterData="Beam, steel" /&gt;_x000D_
      &lt;Filter FilterType="Label" FilterData="Horizontal" /&gt;_x000D_
    &lt;/Link&gt;_x000D_
    &lt;Link PdfPath="" LinkGUID="ab4e1c24-6bfd-448e-9aac-66f97ef89c91" FilesetGuid="224e5c96-9097-4849-ba1a-90fca9ca489e" CellName="LengthTotal10" MeasureType="Length" Formatting="True" ShowUnits="True" ShowQuantities="False"&gt;_x000D_
      &lt;Filter FilterType="Subject" FilterData="Beam, steel" /&gt;_x000D_
      &lt;Filter FilterType="Label" FilterData="Vertical" /&gt;_x000D_
    &lt;/Link&gt;_x000D_
    &lt;Link PdfPath="" LinkGUID="b6c1a556-106c-4bb1-8eff-3d2cebd32489" FilesetGuid="224e5c96-9097-4849-ba1a-90fca9ca489e" CellName="CountTotal34" MeasureType="Count" Formatting="True" ShowUnits="True" ShowQuantities="False"&gt;_x000D_
      &lt;Filter FilterType="Subject" FilterData="Colum, steel" /&gt;_x000D_
    &lt;/Link&gt;_x000D_
    &lt;Link PdfPath="" LinkGUID="5e024208-7aa4-4440-9013-e8bbf8731bfc" FilesetGuid="224e5c96-9097-4849-ba1a-90fca9ca489e" CellName="AreaTotal22" MeasureType="Area" Formatting="True" ShowUnits="True" ShowQuantities="False"&gt;_x000D_
      &lt;Filter FilterType="Subject" FilterData="rain screen cladding, trespa" /&gt;_x000D_
    &lt;/Link&gt;_x000D_
    &lt;Link PdfPath="" LinkGUID="a57f1af0-83d2-4143-b578-4d8c9f04dd00" FilesetGuid="224e5c96-9097-4849-ba1a-90fca9ca489e" CellName="VolumeTotal1" MeasureType="Volume" Formatting="True" ShowUnits="True" ShowQuantities="False"&gt;_x000D_
      &lt;Filter FilterType="Subject" FilterData="Foundations, enabling, mat" /&gt;_x000D_
    &lt;/Link&gt;_x000D_
    &lt;Link PdfPath="" LinkGUID="c06f5db1-8c18-471f-800e-6f672d197b5b" FilesetGuid="224e5c96-9097-4849-ba1a-90fca9ca489e" CellName="CountTotal35" MeasureType="Count" Formatting="True" ShowUnits="True" ShowQuantities="False"&gt;_x000D_
      &lt;Filter FilterType="Subject" FilterData="Road / paths, carpark" /&gt;_x000D_
    &lt;/Link&gt;_x000D_
  &lt;/Links&gt;_x000D_
  &lt;Filesets&gt;_x000D_
    &lt;Fileset FilesetGuid="224e5c96-9097-4849-ba1a-90fca9ca489e" Name="Take Off Sheet"&gt;_x000D_
      &lt;File PdfPath="C:\Users\nikih\OneDrive - University of Wales Trinity Saint David\UWTSD L6Y1-DESKTOP-SHGK6PT\Design Economics\Assignment documents\2008-2232\Drawings\0 Floor - 5th Floor Take-Off.pdf" PageRange="1|1-6" /&gt;_x000D_
      &lt;File PdfPath="C:\Users\nikih\OneDrive - University of Wales Trinity Saint David\UWTSD L6Y1-DESKTOP-SHGK6PT\Design Economics\Assignment documents\2008-2232\Drawings\SITE_A14A_ELEVATIONS.pdf" PageRange="1|1-4" /&gt;_x000D_
    &lt;/Fileset&gt;_x000D_
  &lt;/Filesets&gt;_x000D_
  &lt;Guids&gt;_x000D_
    &lt;Guid PdfPath="C:\Users\nikih\OneDrive - University of Wales Trinity Saint David\UWTSD L6Y1-DESKTOP-SHGK6PT\Design Economics\Assignment documents\2008-2232\Drawings\SP136-P06_FIFTH_FLOOR_PLAN-59699.pdf" PdfGUID="f9f2c50d-b09f-47ac-ac21-91894425d3ae" /&gt;_x000D_
    &lt;Guid PdfPath="C:\Users\nikih\OneDrive - University of Wales Trinity Saint David\UWTSD L6Y1-DESKTOP-SHGK6PT\Design Economics\Assignment documents\2008-2232\Drawings\SP136_P01_PROPOSED_GROUND_FLOOR_PLAN-70364.pdf" PdfGUID="921c53f9-d8e8-46a4-9760-b4532e7c8792" /&gt;_x000D_
    &lt;Guid PdfPath="C:\Users\nikih\OneDrive - University of Wales Trinity Saint David\UWTSD L6Y1-DESKTOP-SHGK6PT\Design Economics\Assignment documents\2008-2232\Drawings\SP136-P02_FIRST_FLOOR_PLAN-70362.pdf" PdfGUID="3aeb6df3-284b-43a6-95f6-923b852ecbe6" /&gt;_x000D_
    &lt;Guid PdfPath="C:\Users\nikih\OneDrive - University of Wales Trinity Saint David\UWTSD L6Y1-DESKTOP-SHGK6PT\Design Economics\Assignment documents\2008-2232\Drawings\SP136-P03_SECOND_FLOOR_PLAN-59697.pdf" PdfGUID="2fff66df-2d4c-49f9</t>
  </si>
  <si>
    <t>-be6c-370be2fe396f" /&gt;_x000D_
    &lt;Guid PdfPath="C:\Users\nikih\OneDrive - University of Wales Trinity Saint David\UWTSD L6Y1-DESKTOP-SHGK6PT\Design Economics\Assignment documents\2008-2232\Drawings\SP136-P04_THIRD_FLOOR_PLAN-59698.pdf" PdfGUID="a654072e-abf1-40cb-a787-441b4aada256" /&gt;_x000D_
    &lt;Guid PdfPath="C:\Users\nikih\OneDrive - University of Wales Trinity Saint David\UWTSD L6Y1-DESKTOP-SHGK6PT\Design Economics\Assignment documents\2008-2232\Drawings\SP136-P05_FOURTH_FLOOR_PLAN-70363.pdf" PdfGUID="6ac18417-641d-48cb-96f1-09548e99ef1a" /&gt;_x000D_
    &lt;Guid PdfPath="C:\Users\nikih\OneDrive - University of Wales Trinity Saint David\UWTSD L6Y1-DESKTOP-SHGK6PT\Design Economics\Assignment documents\2008-2232\Drawings\0 Floor - 5th Floor Take-Off.pdf" PdfGUID="ab6e2375-8874-4101-8553-312127642efb" /&gt;_x000D_
    &lt;Guid PdfPath="C:\Users\nikih\OneDrive - University of Wales Trinity Saint David\UWTSD L6Y1-DESKTOP-SHGK6PT\Design Economics\Assignment documents\2008-2232\Drawings\SITE_A14A_ELEVATIONS.pdf" PdfGUID="c93f42c1-833a-4a99-b19f-6cc721d2e6c8" /&gt;_x000D_
  &lt;/Guids&gt;_x000D_
&lt;/QuantityLinks&gt;</t>
  </si>
  <si>
    <t>building storm water drainage (per m² of gross internal floor area)</t>
  </si>
  <si>
    <t>1.1.3 Lowest Floor Construction</t>
  </si>
  <si>
    <t>Ground floor construction</t>
  </si>
  <si>
    <t>Mechanical excavation to reduce levels, disposal, level and compact, hardcore</t>
  </si>
  <si>
    <t>bed blinded with sand, 1200 gauge polythene damp-proof membrane, in situ</t>
  </si>
  <si>
    <t>concrete 20.00 N/mm² – 20mm aggregate (1:2:4)</t>
  </si>
  <si>
    <t>150mm thick concrete slab with 1 layer of A195 fabric reinforcement</t>
  </si>
  <si>
    <t>PDF Page 218</t>
  </si>
  <si>
    <t>Ground floor, slab</t>
  </si>
  <si>
    <t>Page 218</t>
  </si>
  <si>
    <t>5.1.1</t>
  </si>
  <si>
    <t>Sanitary appliances</t>
  </si>
  <si>
    <t>Rates are for gross internal floor area – GIFA unless otherwise described</t>
  </si>
  <si>
    <t>PDF Page 245</t>
  </si>
  <si>
    <t xml:space="preserve">Retail, sanitary appliances </t>
  </si>
  <si>
    <t xml:space="preserve">Resturant, sanitary appliances </t>
  </si>
  <si>
    <t>Hotel, sanitary appliances</t>
  </si>
  <si>
    <t>Page 245</t>
  </si>
  <si>
    <t>5.1.1 Sanitary appliances</t>
  </si>
  <si>
    <t>5.11.1 Fire Fighting Systems</t>
  </si>
  <si>
    <t>Gross internal floor area (unless described otherwise); Including lightning</t>
  </si>
  <si>
    <t>protection, sprinklers unless stated otherwise</t>
  </si>
  <si>
    <t>supermarket; lightning protection only</t>
  </si>
  <si>
    <t>5.11.1</t>
  </si>
  <si>
    <t>Fire and lighting protection</t>
  </si>
  <si>
    <t>Retail, fire fighting systems</t>
  </si>
  <si>
    <t>Resturant, fire fighting systems</t>
  </si>
  <si>
    <t>Hotel, fire fighting systems</t>
  </si>
  <si>
    <t xml:space="preserve">Resturant Provisional sum = supermarket; sanitary appliances, upper rate. </t>
  </si>
  <si>
    <t xml:space="preserve">Resturant Provisional sum = supermarket, fire fighting upper rate. </t>
  </si>
  <si>
    <t xml:space="preserve">Feasibility Estimate </t>
  </si>
  <si>
    <t xml:space="preserve">Project </t>
  </si>
  <si>
    <t xml:space="preserve">Building prices per functional unit </t>
  </si>
  <si>
    <t>budget; city centre with dining and bar facilities; 35 to 45m2/bedroom bed 83000.00 to 115000.00</t>
  </si>
  <si>
    <t>budget; roadside excluding dining facilities; 28 to 35m2/bedroom</t>
  </si>
  <si>
    <t xml:space="preserve">Description </t>
  </si>
  <si>
    <t xml:space="preserve">Range </t>
  </si>
  <si>
    <t>bed</t>
  </si>
  <si>
    <t xml:space="preserve">6 Storey mixed use development, </t>
  </si>
  <si>
    <t xml:space="preserve">1no ground floor retail unit (Class A1) </t>
  </si>
  <si>
    <t>1no ground floor food &amp; drink unit (Class A3)</t>
  </si>
  <si>
    <t>132no Bedroom hotel (Class C1)</t>
  </si>
  <si>
    <t xml:space="preserve">beds </t>
  </si>
  <si>
    <t xml:space="preserve">Avgerage </t>
  </si>
  <si>
    <t xml:space="preserve">per bed </t>
  </si>
  <si>
    <t xml:space="preserve">car parking spaces </t>
  </si>
  <si>
    <t>PDF  page 102</t>
  </si>
  <si>
    <t>Utilities, Civil Engineering facilities</t>
  </si>
  <si>
    <t>Car Parking</t>
  </si>
  <si>
    <t>surface car parking; 20 to 22m2/car</t>
  </si>
  <si>
    <t>PDF  page 101</t>
  </si>
  <si>
    <t>per car</t>
  </si>
  <si>
    <t>Current TPI 3Q 2024</t>
  </si>
  <si>
    <t>current index / old index x value</t>
  </si>
  <si>
    <t>Take the new divide by the old and multiply to the existing rate which will increase it by that amount.</t>
  </si>
  <si>
    <t xml:space="preserve">Inflation </t>
  </si>
  <si>
    <t xml:space="preserve">Location </t>
  </si>
  <si>
    <t>Outer London</t>
  </si>
  <si>
    <t xml:space="preserve">Wales </t>
  </si>
  <si>
    <t>Total</t>
  </si>
  <si>
    <t>Sub Total</t>
  </si>
  <si>
    <t xml:space="preserve">Normalise TPI between Spons &amp; BCIS data </t>
  </si>
  <si>
    <t>BCIS TPI for 2015</t>
  </si>
  <si>
    <t>Spons TP for 2015</t>
  </si>
  <si>
    <t xml:space="preserve">Current BCIS TPI </t>
  </si>
  <si>
    <t xml:space="preserve">Formula </t>
  </si>
  <si>
    <t>Normalised TPI = Current BCIS TPI x (Spons 2015 TPI / BCIS 2015 TPI)</t>
  </si>
  <si>
    <t xml:space="preserve"> = 372.2 x (99.5 / 262.2) </t>
  </si>
  <si>
    <t>Mid project BCIS TPI</t>
  </si>
  <si>
    <t xml:space="preserve">Assumed project duration </t>
  </si>
  <si>
    <t xml:space="preserve">52 weeks </t>
  </si>
  <si>
    <t xml:space="preserve">Commencing </t>
  </si>
  <si>
    <t>Pratical completion</t>
  </si>
  <si>
    <t>Middle of project</t>
  </si>
  <si>
    <t>Middle TPI 3Q 2024</t>
  </si>
  <si>
    <t>Note</t>
  </si>
  <si>
    <t xml:space="preserve">BCIS Forecast used, TPI is broken down into months </t>
  </si>
  <si>
    <t>TPI 1Q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</si>
</sst>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£&quot;#,##0.00"/>
    <numFmt numFmtId="165" formatCode="_-[$£-809]* #,##0.00_-;\-[$£-809]* #,##0.00_-;_-[$£-809]* &quot;-&quot;??_-;_-@_-"/>
    <numFmt numFmtId="166" formatCode="[$£-809]#,##0.00;\-[$£-809]#,##0.00"/>
    <numFmt numFmtId="167" formatCode="0.0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 val="double"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7E7E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Continuous"/>
    </xf>
    <xf numFmtId="0" fontId="0" fillId="0" borderId="0" xfId="0" quotePrefix="1" applyAlignment="1">
      <alignment wrapText="1"/>
    </xf>
    <xf numFmtId="164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3" fillId="0" borderId="0" xfId="0" applyNumberFormat="1" applyFont="1"/>
    <xf numFmtId="0" fontId="1" fillId="0" borderId="0" xfId="0" applyFont="1"/>
    <xf numFmtId="0" fontId="0" fillId="4" borderId="0" xfId="0" applyFill="1"/>
    <xf numFmtId="164" fontId="0" fillId="4" borderId="0" xfId="0" applyNumberFormat="1" applyFill="1"/>
    <xf numFmtId="164" fontId="4" fillId="0" borderId="0" xfId="0" applyNumberFormat="1" applyFont="1"/>
    <xf numFmtId="0" fontId="0" fillId="0" borderId="0" xfId="0" applyAlignment="1">
      <alignment wrapText="1"/>
    </xf>
    <xf numFmtId="0" fontId="1" fillId="0" borderId="0" xfId="0" applyFont="1" applyAlignment="1">
      <alignment horizontal="centerContinuous"/>
    </xf>
    <xf numFmtId="0" fontId="0" fillId="3" borderId="0" xfId="0" applyFill="1"/>
    <xf numFmtId="0" fontId="6" fillId="0" borderId="0" xfId="0" applyFont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8" fillId="5" borderId="3" xfId="0" applyFont="1" applyFill="1" applyBorder="1" applyAlignment="1">
      <alignment horizontal="centerContinuous"/>
    </xf>
    <xf numFmtId="0" fontId="0" fillId="5" borderId="2" xfId="0" applyFill="1" applyBorder="1" applyAlignment="1">
      <alignment horizontal="centerContinuous"/>
    </xf>
    <xf numFmtId="2" fontId="0" fillId="0" borderId="4" xfId="0" applyNumberFormat="1" applyBorder="1"/>
    <xf numFmtId="2" fontId="0" fillId="0" borderId="6" xfId="0" applyNumberFormat="1" applyBorder="1"/>
    <xf numFmtId="2" fontId="0" fillId="4" borderId="6" xfId="0" applyNumberFormat="1" applyFill="1" applyBorder="1"/>
    <xf numFmtId="2" fontId="0" fillId="4" borderId="8" xfId="0" applyNumberFormat="1" applyFill="1" applyBorder="1"/>
    <xf numFmtId="2" fontId="0" fillId="5" borderId="1" xfId="0" applyNumberFormat="1" applyFill="1" applyBorder="1"/>
    <xf numFmtId="0" fontId="0" fillId="5" borderId="1" xfId="0" applyFill="1" applyBorder="1"/>
    <xf numFmtId="0" fontId="0" fillId="6" borderId="0" xfId="0" applyFill="1"/>
    <xf numFmtId="0" fontId="1" fillId="6" borderId="0" xfId="0" applyFont="1" applyFill="1"/>
    <xf numFmtId="0" fontId="6" fillId="6" borderId="0" xfId="0" applyFont="1" applyFill="1"/>
    <xf numFmtId="165" fontId="0" fillId="0" borderId="0" xfId="0" applyNumberFormat="1"/>
    <xf numFmtId="166" fontId="0" fillId="0" borderId="0" xfId="0" applyNumberFormat="1"/>
    <xf numFmtId="2" fontId="0" fillId="6" borderId="6" xfId="0" applyNumberFormat="1" applyFill="1" applyBorder="1"/>
    <xf numFmtId="0" fontId="3" fillId="0" borderId="0" xfId="0" applyFont="1"/>
    <xf numFmtId="0" fontId="1" fillId="7" borderId="0" xfId="0" applyFont="1" applyFill="1"/>
    <xf numFmtId="0" fontId="0" fillId="7" borderId="0" xfId="0" applyFill="1"/>
    <xf numFmtId="0" fontId="6" fillId="7" borderId="0" xfId="0" applyFont="1" applyFill="1"/>
    <xf numFmtId="2" fontId="0" fillId="5" borderId="6" xfId="0" applyNumberFormat="1" applyFill="1" applyBorder="1"/>
    <xf numFmtId="2" fontId="0" fillId="5" borderId="0" xfId="0" applyNumberFormat="1" applyFill="1"/>
    <xf numFmtId="2" fontId="0" fillId="5" borderId="7" xfId="0" applyNumberFormat="1" applyFill="1" applyBorder="1"/>
    <xf numFmtId="2" fontId="1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Continuous"/>
    </xf>
    <xf numFmtId="0" fontId="0" fillId="8" borderId="3" xfId="0" applyFill="1" applyBorder="1"/>
    <xf numFmtId="0" fontId="0" fillId="8" borderId="12" xfId="0" applyFill="1" applyBorder="1"/>
    <xf numFmtId="164" fontId="0" fillId="8" borderId="12" xfId="0" applyNumberFormat="1" applyFill="1" applyBorder="1"/>
    <xf numFmtId="164" fontId="0" fillId="8" borderId="2" xfId="0" applyNumberFormat="1" applyFill="1" applyBorder="1"/>
    <xf numFmtId="2" fontId="0" fillId="0" borderId="0" xfId="0" applyNumberFormat="1"/>
    <xf numFmtId="164" fontId="0" fillId="4" borderId="2" xfId="0" applyNumberFormat="1" applyFill="1" applyBorder="1"/>
    <xf numFmtId="0" fontId="4" fillId="0" borderId="0" xfId="0" applyFont="1"/>
    <xf numFmtId="0" fontId="0" fillId="0" borderId="0" xfId="0" applyAlignment="1">
      <alignment horizontal="right"/>
    </xf>
    <xf numFmtId="164" fontId="1" fillId="0" borderId="0" xfId="0" applyNumberFormat="1" applyFont="1"/>
    <xf numFmtId="0" fontId="0" fillId="8" borderId="2" xfId="0" applyFill="1" applyBorder="1"/>
    <xf numFmtId="164" fontId="7" fillId="0" borderId="0" xfId="0" applyNumberFormat="1" applyFont="1"/>
    <xf numFmtId="164" fontId="0" fillId="3" borderId="0" xfId="0" applyNumberFormat="1" applyFill="1"/>
    <xf numFmtId="0" fontId="5" fillId="0" borderId="0" xfId="0" applyFont="1"/>
    <xf numFmtId="0" fontId="9" fillId="0" borderId="0" xfId="0" applyFont="1"/>
    <xf numFmtId="0" fontId="0" fillId="8" borderId="8" xfId="0" applyFill="1" applyBorder="1"/>
    <xf numFmtId="0" fontId="0" fillId="8" borderId="11" xfId="0" applyFill="1" applyBorder="1"/>
    <xf numFmtId="164" fontId="0" fillId="8" borderId="11" xfId="0" applyNumberFormat="1" applyFill="1" applyBorder="1"/>
    <xf numFmtId="164" fontId="0" fillId="8" borderId="9" xfId="0" applyNumberFormat="1" applyFill="1" applyBorder="1"/>
    <xf numFmtId="0" fontId="0" fillId="8" borderId="4" xfId="0" applyFill="1" applyBorder="1"/>
    <xf numFmtId="0" fontId="0" fillId="8" borderId="10" xfId="0" applyFill="1" applyBorder="1"/>
    <xf numFmtId="164" fontId="0" fillId="8" borderId="10" xfId="0" applyNumberFormat="1" applyFill="1" applyBorder="1"/>
    <xf numFmtId="164" fontId="0" fillId="8" borderId="5" xfId="0" applyNumberFormat="1" applyFill="1" applyBorder="1"/>
    <xf numFmtId="164" fontId="0" fillId="8" borderId="0" xfId="0" applyNumberFormat="1" applyFill="1"/>
    <xf numFmtId="164" fontId="0" fillId="8" borderId="7" xfId="0" applyNumberFormat="1" applyFill="1" applyBorder="1"/>
    <xf numFmtId="0" fontId="0" fillId="8" borderId="5" xfId="0" applyFill="1" applyBorder="1"/>
    <xf numFmtId="0" fontId="0" fillId="0" borderId="0" xfId="0" applyAlignment="1">
      <alignment horizontal="left"/>
    </xf>
    <xf numFmtId="2" fontId="1" fillId="0" borderId="0" xfId="0" applyNumberFormat="1" applyFont="1" applyAlignment="1">
      <alignment horizontal="center"/>
    </xf>
    <xf numFmtId="0" fontId="0" fillId="0" borderId="3" xfId="0" applyBorder="1"/>
    <xf numFmtId="0" fontId="0" fillId="0" borderId="12" xfId="0" applyBorder="1"/>
    <xf numFmtId="0" fontId="0" fillId="0" borderId="2" xfId="0" applyBorder="1"/>
    <xf numFmtId="0" fontId="0" fillId="0" borderId="1" xfId="0" applyBorder="1"/>
    <xf numFmtId="164" fontId="0" fillId="0" borderId="1" xfId="0" applyNumberFormat="1" applyBorder="1"/>
    <xf numFmtId="0" fontId="0" fillId="8" borderId="3" xfId="0" applyFill="1" applyBorder="1" applyAlignment="1">
      <alignment horizontal="centerContinuous"/>
    </xf>
    <xf numFmtId="0" fontId="0" fillId="8" borderId="12" xfId="0" applyFill="1" applyBorder="1" applyAlignment="1">
      <alignment horizontal="centerContinuous"/>
    </xf>
    <xf numFmtId="0" fontId="0" fillId="8" borderId="2" xfId="0" applyFill="1" applyBorder="1" applyAlignment="1">
      <alignment horizontal="centerContinuous"/>
    </xf>
    <xf numFmtId="0" fontId="0" fillId="0" borderId="14" xfId="0" applyBorder="1"/>
    <xf numFmtId="0" fontId="0" fillId="8" borderId="1" xfId="0" applyFill="1" applyBorder="1"/>
    <xf numFmtId="0" fontId="0" fillId="8" borderId="13" xfId="0" applyFill="1" applyBorder="1"/>
    <xf numFmtId="0" fontId="0" fillId="8" borderId="0" xfId="0" applyFill="1"/>
    <xf numFmtId="164" fontId="0" fillId="0" borderId="2" xfId="0" applyNumberFormat="1" applyBorder="1"/>
    <xf numFmtId="0" fontId="0" fillId="0" borderId="8" xfId="0" applyBorder="1"/>
    <xf numFmtId="164" fontId="0" fillId="0" borderId="9" xfId="0" applyNumberFormat="1" applyBorder="1"/>
    <xf numFmtId="2" fontId="0" fillId="0" borderId="3" xfId="0" applyNumberFormat="1" applyBorder="1"/>
    <xf numFmtId="0" fontId="0" fillId="8" borderId="1" xfId="0" applyFill="1" applyBorder="1" applyAlignment="1">
      <alignment horizontal="centerContinuous"/>
    </xf>
    <xf numFmtId="164" fontId="0" fillId="8" borderId="12" xfId="0" applyNumberFormat="1" applyFill="1" applyBorder="1" applyAlignment="1">
      <alignment horizontal="centerContinuous"/>
    </xf>
    <xf numFmtId="164" fontId="0" fillId="8" borderId="2" xfId="0" applyNumberFormat="1" applyFill="1" applyBorder="1" applyAlignment="1">
      <alignment horizontal="centerContinuous"/>
    </xf>
    <xf numFmtId="164" fontId="0" fillId="8" borderId="3" xfId="0" applyNumberFormat="1" applyFill="1" applyBorder="1" applyAlignment="1">
      <alignment horizontal="centerContinuous"/>
    </xf>
    <xf numFmtId="0" fontId="1" fillId="0" borderId="1" xfId="0" applyFont="1" applyBorder="1"/>
    <xf numFmtId="0" fontId="3" fillId="0" borderId="3" xfId="0" applyFont="1" applyBorder="1"/>
    <xf numFmtId="0" fontId="0" fillId="8" borderId="13" xfId="0" applyFill="1" applyBorder="1" applyAlignment="1">
      <alignment horizontal="centerContinuous"/>
    </xf>
    <xf numFmtId="0" fontId="0" fillId="8" borderId="10" xfId="0" applyFill="1" applyBorder="1" applyAlignment="1">
      <alignment horizontal="centerContinuous"/>
    </xf>
    <xf numFmtId="0" fontId="0" fillId="8" borderId="5" xfId="0" applyFill="1" applyBorder="1" applyAlignment="1">
      <alignment horizontal="centerContinuous"/>
    </xf>
    <xf numFmtId="0" fontId="0" fillId="8" borderId="14" xfId="0" applyFill="1" applyBorder="1" applyAlignment="1">
      <alignment horizontal="centerContinuous"/>
    </xf>
    <xf numFmtId="0" fontId="0" fillId="8" borderId="11" xfId="0" applyFill="1" applyBorder="1" applyAlignment="1">
      <alignment horizontal="centerContinuous"/>
    </xf>
    <xf numFmtId="0" fontId="0" fillId="8" borderId="9" xfId="0" applyFill="1" applyBorder="1" applyAlignment="1">
      <alignment horizontal="centerContinuous"/>
    </xf>
    <xf numFmtId="0" fontId="0" fillId="8" borderId="6" xfId="0" applyFill="1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7" fontId="1" fillId="3" borderId="0" xfId="0" applyNumberFormat="1" applyFont="1" applyFill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center"/>
    </xf>
    <xf numFmtId="10" fontId="0" fillId="0" borderId="0" xfId="0" applyNumberFormat="1"/>
    <xf numFmtId="17" fontId="0" fillId="0" borderId="12" xfId="0" applyNumberFormat="1" applyBorder="1"/>
    <xf numFmtId="0" fontId="1" fillId="0" borderId="3" xfId="0" applyFont="1" applyBorder="1"/>
    <xf numFmtId="2" fontId="1" fillId="0" borderId="12" xfId="0" applyNumberFormat="1" applyFont="1" applyBorder="1"/>
    <xf numFmtId="14" fontId="0" fillId="0" borderId="0" xfId="0" applyNumberFormat="1"/>
    <xf numFmtId="17" fontId="1" fillId="0" borderId="12" xfId="0" applyNumberFormat="1" applyFont="1" applyBorder="1"/>
    <xf numFmtId="0" fontId="0" fillId="0" borderId="12" xfId="0" applyBorder="1" applyAlignment="1">
      <alignment horizontal="center"/>
    </xf>
    <xf numFmtId="164" fontId="0" fillId="0" borderId="12" xfId="0" applyNumberFormat="1" applyBorder="1"/>
    <xf numFmtId="164" fontId="1" fillId="0" borderId="12" xfId="0" applyNumberFormat="1" applyFont="1" applyBorder="1"/>
    <xf numFmtId="164" fontId="0" fillId="0" borderId="0" xfId="0" applyNumberFormat="1" applyBorder="1"/>
    <xf numFmtId="164" fontId="1" fillId="0" borderId="0" xfId="0" applyNumberFormat="1" applyFont="1" applyBorder="1"/>
    <xf numFmtId="0" fontId="1" fillId="0" borderId="0" xfId="0" applyFont="1" applyFill="1" applyAlignment="1">
      <alignment horizontal="centerContinuous"/>
    </xf>
    <xf numFmtId="0" fontId="1" fillId="8" borderId="0" xfId="0" applyFont="1" applyFill="1" applyAlignment="1">
      <alignment horizontal="centerContinuous"/>
    </xf>
    <xf numFmtId="0" fontId="1" fillId="8" borderId="12" xfId="0" applyFont="1" applyFill="1" applyBorder="1" applyAlignment="1">
      <alignment horizontal="centerContinuous"/>
    </xf>
    <xf numFmtId="0" fontId="1" fillId="8" borderId="0" xfId="0" applyFont="1" applyFill="1" applyBorder="1" applyAlignment="1">
      <alignment horizontal="centerContinuous"/>
    </xf>
    <xf numFmtId="0" fontId="0" fillId="0" borderId="0" xfId="0" applyFill="1"/>
    <xf numFmtId="2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ustomProperty" Target="../customProperty25.bin"/><Relationship Id="rId21" Type="http://schemas.openxmlformats.org/officeDocument/2006/relationships/customProperty" Target="../customProperty20.bin"/><Relationship Id="rId42" Type="http://schemas.openxmlformats.org/officeDocument/2006/relationships/customProperty" Target="../customProperty41.bin"/><Relationship Id="rId47" Type="http://schemas.openxmlformats.org/officeDocument/2006/relationships/customProperty" Target="../customProperty46.bin"/><Relationship Id="rId63" Type="http://schemas.openxmlformats.org/officeDocument/2006/relationships/customProperty" Target="../customProperty62.bin"/><Relationship Id="rId68" Type="http://schemas.openxmlformats.org/officeDocument/2006/relationships/customProperty" Target="../customProperty67.bin"/><Relationship Id="rId2" Type="http://schemas.openxmlformats.org/officeDocument/2006/relationships/customProperty" Target="../customProperty1.bin"/><Relationship Id="rId16" Type="http://schemas.openxmlformats.org/officeDocument/2006/relationships/customProperty" Target="../customProperty15.bin"/><Relationship Id="rId29" Type="http://schemas.openxmlformats.org/officeDocument/2006/relationships/customProperty" Target="../customProperty28.bin"/><Relationship Id="rId11" Type="http://schemas.openxmlformats.org/officeDocument/2006/relationships/customProperty" Target="../customProperty10.bin"/><Relationship Id="rId24" Type="http://schemas.openxmlformats.org/officeDocument/2006/relationships/customProperty" Target="../customProperty23.bin"/><Relationship Id="rId32" Type="http://schemas.openxmlformats.org/officeDocument/2006/relationships/customProperty" Target="../customProperty31.bin"/><Relationship Id="rId37" Type="http://schemas.openxmlformats.org/officeDocument/2006/relationships/customProperty" Target="../customProperty36.bin"/><Relationship Id="rId40" Type="http://schemas.openxmlformats.org/officeDocument/2006/relationships/customProperty" Target="../customProperty39.bin"/><Relationship Id="rId45" Type="http://schemas.openxmlformats.org/officeDocument/2006/relationships/customProperty" Target="../customProperty44.bin"/><Relationship Id="rId53" Type="http://schemas.openxmlformats.org/officeDocument/2006/relationships/customProperty" Target="../customProperty52.bin"/><Relationship Id="rId58" Type="http://schemas.openxmlformats.org/officeDocument/2006/relationships/customProperty" Target="../customProperty57.bin"/><Relationship Id="rId66" Type="http://schemas.openxmlformats.org/officeDocument/2006/relationships/customProperty" Target="../customProperty65.bin"/><Relationship Id="rId74" Type="http://schemas.openxmlformats.org/officeDocument/2006/relationships/customProperty" Target="../customProperty73.bin"/><Relationship Id="rId5" Type="http://schemas.openxmlformats.org/officeDocument/2006/relationships/customProperty" Target="../customProperty4.bin"/><Relationship Id="rId61" Type="http://schemas.openxmlformats.org/officeDocument/2006/relationships/customProperty" Target="../customProperty60.bin"/><Relationship Id="rId19" Type="http://schemas.openxmlformats.org/officeDocument/2006/relationships/customProperty" Target="../customProperty18.bin"/><Relationship Id="rId14" Type="http://schemas.openxmlformats.org/officeDocument/2006/relationships/customProperty" Target="../customProperty13.bin"/><Relationship Id="rId22" Type="http://schemas.openxmlformats.org/officeDocument/2006/relationships/customProperty" Target="../customProperty21.bin"/><Relationship Id="rId27" Type="http://schemas.openxmlformats.org/officeDocument/2006/relationships/customProperty" Target="../customProperty26.bin"/><Relationship Id="rId30" Type="http://schemas.openxmlformats.org/officeDocument/2006/relationships/customProperty" Target="../customProperty29.bin"/><Relationship Id="rId35" Type="http://schemas.openxmlformats.org/officeDocument/2006/relationships/customProperty" Target="../customProperty34.bin"/><Relationship Id="rId43" Type="http://schemas.openxmlformats.org/officeDocument/2006/relationships/customProperty" Target="../customProperty42.bin"/><Relationship Id="rId48" Type="http://schemas.openxmlformats.org/officeDocument/2006/relationships/customProperty" Target="../customProperty47.bin"/><Relationship Id="rId56" Type="http://schemas.openxmlformats.org/officeDocument/2006/relationships/customProperty" Target="../customProperty55.bin"/><Relationship Id="rId64" Type="http://schemas.openxmlformats.org/officeDocument/2006/relationships/customProperty" Target="../customProperty63.bin"/><Relationship Id="rId69" Type="http://schemas.openxmlformats.org/officeDocument/2006/relationships/customProperty" Target="../customProperty68.bin"/><Relationship Id="rId8" Type="http://schemas.openxmlformats.org/officeDocument/2006/relationships/customProperty" Target="../customProperty7.bin"/><Relationship Id="rId51" Type="http://schemas.openxmlformats.org/officeDocument/2006/relationships/customProperty" Target="../customProperty50.bin"/><Relationship Id="rId72" Type="http://schemas.openxmlformats.org/officeDocument/2006/relationships/customProperty" Target="../customProperty71.bin"/><Relationship Id="rId3" Type="http://schemas.openxmlformats.org/officeDocument/2006/relationships/customProperty" Target="../customProperty2.bin"/><Relationship Id="rId12" Type="http://schemas.openxmlformats.org/officeDocument/2006/relationships/customProperty" Target="../customProperty11.bin"/><Relationship Id="rId17" Type="http://schemas.openxmlformats.org/officeDocument/2006/relationships/customProperty" Target="../customProperty16.bin"/><Relationship Id="rId25" Type="http://schemas.openxmlformats.org/officeDocument/2006/relationships/customProperty" Target="../customProperty24.bin"/><Relationship Id="rId33" Type="http://schemas.openxmlformats.org/officeDocument/2006/relationships/customProperty" Target="../customProperty32.bin"/><Relationship Id="rId38" Type="http://schemas.openxmlformats.org/officeDocument/2006/relationships/customProperty" Target="../customProperty37.bin"/><Relationship Id="rId46" Type="http://schemas.openxmlformats.org/officeDocument/2006/relationships/customProperty" Target="../customProperty45.bin"/><Relationship Id="rId59" Type="http://schemas.openxmlformats.org/officeDocument/2006/relationships/customProperty" Target="../customProperty58.bin"/><Relationship Id="rId67" Type="http://schemas.openxmlformats.org/officeDocument/2006/relationships/customProperty" Target="../customProperty66.bin"/><Relationship Id="rId20" Type="http://schemas.openxmlformats.org/officeDocument/2006/relationships/customProperty" Target="../customProperty19.bin"/><Relationship Id="rId41" Type="http://schemas.openxmlformats.org/officeDocument/2006/relationships/customProperty" Target="../customProperty40.bin"/><Relationship Id="rId54" Type="http://schemas.openxmlformats.org/officeDocument/2006/relationships/customProperty" Target="../customProperty53.bin"/><Relationship Id="rId62" Type="http://schemas.openxmlformats.org/officeDocument/2006/relationships/customProperty" Target="../customProperty61.bin"/><Relationship Id="rId70" Type="http://schemas.openxmlformats.org/officeDocument/2006/relationships/customProperty" Target="../customProperty69.bin"/><Relationship Id="rId75" Type="http://schemas.openxmlformats.org/officeDocument/2006/relationships/customProperty" Target="../customProperty74.bin"/><Relationship Id="rId1" Type="http://schemas.openxmlformats.org/officeDocument/2006/relationships/printerSettings" Target="../printerSettings/printerSettings2.bin"/><Relationship Id="rId6" Type="http://schemas.openxmlformats.org/officeDocument/2006/relationships/customProperty" Target="../customProperty5.bin"/><Relationship Id="rId15" Type="http://schemas.openxmlformats.org/officeDocument/2006/relationships/customProperty" Target="../customProperty14.bin"/><Relationship Id="rId23" Type="http://schemas.openxmlformats.org/officeDocument/2006/relationships/customProperty" Target="../customProperty22.bin"/><Relationship Id="rId28" Type="http://schemas.openxmlformats.org/officeDocument/2006/relationships/customProperty" Target="../customProperty27.bin"/><Relationship Id="rId36" Type="http://schemas.openxmlformats.org/officeDocument/2006/relationships/customProperty" Target="../customProperty35.bin"/><Relationship Id="rId49" Type="http://schemas.openxmlformats.org/officeDocument/2006/relationships/customProperty" Target="../customProperty48.bin"/><Relationship Id="rId57" Type="http://schemas.openxmlformats.org/officeDocument/2006/relationships/customProperty" Target="../customProperty56.bin"/><Relationship Id="rId10" Type="http://schemas.openxmlformats.org/officeDocument/2006/relationships/customProperty" Target="../customProperty9.bin"/><Relationship Id="rId31" Type="http://schemas.openxmlformats.org/officeDocument/2006/relationships/customProperty" Target="../customProperty30.bin"/><Relationship Id="rId44" Type="http://schemas.openxmlformats.org/officeDocument/2006/relationships/customProperty" Target="../customProperty43.bin"/><Relationship Id="rId52" Type="http://schemas.openxmlformats.org/officeDocument/2006/relationships/customProperty" Target="../customProperty51.bin"/><Relationship Id="rId60" Type="http://schemas.openxmlformats.org/officeDocument/2006/relationships/customProperty" Target="../customProperty59.bin"/><Relationship Id="rId65" Type="http://schemas.openxmlformats.org/officeDocument/2006/relationships/customProperty" Target="../customProperty64.bin"/><Relationship Id="rId73" Type="http://schemas.openxmlformats.org/officeDocument/2006/relationships/customProperty" Target="../customProperty72.bin"/><Relationship Id="rId4" Type="http://schemas.openxmlformats.org/officeDocument/2006/relationships/customProperty" Target="../customProperty3.bin"/><Relationship Id="rId9" Type="http://schemas.openxmlformats.org/officeDocument/2006/relationships/customProperty" Target="../customProperty8.bin"/><Relationship Id="rId13" Type="http://schemas.openxmlformats.org/officeDocument/2006/relationships/customProperty" Target="../customProperty12.bin"/><Relationship Id="rId18" Type="http://schemas.openxmlformats.org/officeDocument/2006/relationships/customProperty" Target="../customProperty17.bin"/><Relationship Id="rId39" Type="http://schemas.openxmlformats.org/officeDocument/2006/relationships/customProperty" Target="../customProperty38.bin"/><Relationship Id="rId34" Type="http://schemas.openxmlformats.org/officeDocument/2006/relationships/customProperty" Target="../customProperty33.bin"/><Relationship Id="rId50" Type="http://schemas.openxmlformats.org/officeDocument/2006/relationships/customProperty" Target="../customProperty49.bin"/><Relationship Id="rId55" Type="http://schemas.openxmlformats.org/officeDocument/2006/relationships/customProperty" Target="../customProperty54.bin"/><Relationship Id="rId76" Type="http://schemas.openxmlformats.org/officeDocument/2006/relationships/customProperty" Target="../customProperty75.bin"/><Relationship Id="rId7" Type="http://schemas.openxmlformats.org/officeDocument/2006/relationships/customProperty" Target="../customProperty6.bin"/><Relationship Id="rId71" Type="http://schemas.openxmlformats.org/officeDocument/2006/relationships/customProperty" Target="../customProperty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0E8D7-74E9-4053-A4C0-D0377022553B}">
  <dimension ref="A1:B8"/>
  <sheetViews>
    <sheetView workbookViewId="0"/>
  </sheetViews>
  <sheetFormatPr defaultRowHeight="15" x14ac:dyDescent="0.25"/>
  <sheetData>
    <row r="1" spans="1:2" ht="409.5" x14ac:dyDescent="0.25">
      <c r="A1" s="4" t="s">
        <v>30</v>
      </c>
      <c r="B1">
        <v>8</v>
      </c>
    </row>
    <row r="2" spans="1:2" ht="409.5" x14ac:dyDescent="0.25">
      <c r="A2" s="4" t="s">
        <v>47</v>
      </c>
    </row>
    <row r="3" spans="1:2" ht="409.5" x14ac:dyDescent="0.25">
      <c r="A3" s="4" t="s">
        <v>78</v>
      </c>
    </row>
    <row r="4" spans="1:2" ht="409.5" x14ac:dyDescent="0.25">
      <c r="A4" s="4" t="s">
        <v>116</v>
      </c>
    </row>
    <row r="5" spans="1:2" ht="409.5" x14ac:dyDescent="0.25">
      <c r="A5" s="4" t="s">
        <v>139</v>
      </c>
    </row>
    <row r="6" spans="1:2" ht="409.5" x14ac:dyDescent="0.25">
      <c r="A6" s="4" t="s">
        <v>223</v>
      </c>
    </row>
    <row r="7" spans="1:2" ht="409.5" x14ac:dyDescent="0.25">
      <c r="A7" s="4" t="s">
        <v>380</v>
      </c>
    </row>
    <row r="8" spans="1:2" ht="409.5" x14ac:dyDescent="0.25">
      <c r="A8" s="4" t="s">
        <v>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45005-70F2-4334-939A-FC68A4B44ACC}">
  <sheetPr>
    <pageSetUpPr fitToPage="1"/>
  </sheetPr>
  <dimension ref="B2:Y40"/>
  <sheetViews>
    <sheetView view="pageBreakPreview" zoomScale="85" zoomScaleNormal="85" zoomScaleSheetLayoutView="85" workbookViewId="0">
      <selection activeCell="W25" sqref="W25"/>
    </sheetView>
  </sheetViews>
  <sheetFormatPr defaultRowHeight="15" x14ac:dyDescent="0.25"/>
  <cols>
    <col min="5" max="5" width="11.28515625" bestFit="1" customWidth="1"/>
    <col min="8" max="8" width="13.85546875" bestFit="1" customWidth="1"/>
    <col min="9" max="9" width="13.85546875" customWidth="1"/>
    <col min="10" max="10" width="1.42578125" style="120" customWidth="1"/>
    <col min="11" max="11" width="1.42578125" style="121" customWidth="1"/>
    <col min="12" max="12" width="1.42578125" style="120" customWidth="1"/>
    <col min="14" max="14" width="9.7109375" bestFit="1" customWidth="1"/>
    <col min="16" max="16" width="10.28515625" bestFit="1" customWidth="1"/>
    <col min="17" max="17" width="11.28515625" bestFit="1" customWidth="1"/>
    <col min="19" max="19" width="9.140625" customWidth="1"/>
    <col min="24" max="24" width="10.28515625" bestFit="1" customWidth="1"/>
    <col min="25" max="25" width="11.28515625" bestFit="1" customWidth="1"/>
  </cols>
  <sheetData>
    <row r="2" spans="2:25" x14ac:dyDescent="0.25">
      <c r="B2" s="8" t="s">
        <v>412</v>
      </c>
      <c r="L2" s="122"/>
      <c r="M2" s="45" t="s">
        <v>417</v>
      </c>
      <c r="N2" s="45"/>
      <c r="O2" s="45"/>
      <c r="P2" s="45"/>
      <c r="Q2" s="45"/>
      <c r="R2" s="45"/>
      <c r="S2" s="45"/>
      <c r="T2" s="45"/>
      <c r="U2" s="45"/>
      <c r="V2" s="45" t="s">
        <v>3</v>
      </c>
      <c r="W2" s="45"/>
      <c r="X2" s="45" t="s">
        <v>418</v>
      </c>
      <c r="Y2" s="45"/>
    </row>
    <row r="3" spans="2:25" x14ac:dyDescent="0.25">
      <c r="M3" s="8" t="s">
        <v>414</v>
      </c>
    </row>
    <row r="4" spans="2:25" x14ac:dyDescent="0.25">
      <c r="B4" s="8" t="s">
        <v>413</v>
      </c>
      <c r="M4" t="s">
        <v>415</v>
      </c>
    </row>
    <row r="5" spans="2:25" x14ac:dyDescent="0.25">
      <c r="M5" s="82" t="s">
        <v>416</v>
      </c>
      <c r="N5" s="82"/>
      <c r="O5" s="82"/>
      <c r="P5" s="82"/>
      <c r="Q5" s="82"/>
      <c r="R5" s="82"/>
      <c r="S5" s="82"/>
      <c r="T5" s="82"/>
      <c r="U5" s="82"/>
      <c r="V5" s="82" t="s">
        <v>419</v>
      </c>
      <c r="W5" s="82"/>
      <c r="X5" s="66">
        <v>83000</v>
      </c>
      <c r="Y5" s="66">
        <v>115000</v>
      </c>
    </row>
    <row r="6" spans="2:25" x14ac:dyDescent="0.25">
      <c r="B6" s="108" t="s">
        <v>420</v>
      </c>
      <c r="M6" s="15" t="s">
        <v>428</v>
      </c>
    </row>
    <row r="7" spans="2:25" x14ac:dyDescent="0.25">
      <c r="B7" t="s">
        <v>421</v>
      </c>
      <c r="X7" t="s">
        <v>425</v>
      </c>
      <c r="Y7" s="5">
        <f>AVERAGE(X5,Y5)</f>
        <v>99000</v>
      </c>
    </row>
    <row r="8" spans="2:25" x14ac:dyDescent="0.25">
      <c r="B8" t="s">
        <v>422</v>
      </c>
    </row>
    <row r="9" spans="2:25" x14ac:dyDescent="0.25">
      <c r="B9" t="s">
        <v>423</v>
      </c>
    </row>
    <row r="11" spans="2:25" x14ac:dyDescent="0.25">
      <c r="L11" s="122"/>
      <c r="M11" s="45" t="s">
        <v>417</v>
      </c>
      <c r="N11" s="45"/>
      <c r="O11" s="45"/>
      <c r="P11" s="45"/>
      <c r="Q11" s="45"/>
      <c r="R11" s="45"/>
      <c r="S11" s="45"/>
      <c r="T11" s="45"/>
      <c r="U11" s="45"/>
      <c r="V11" s="45" t="s">
        <v>3</v>
      </c>
      <c r="W11" s="45"/>
      <c r="X11" s="45" t="s">
        <v>418</v>
      </c>
      <c r="Y11" s="45"/>
    </row>
    <row r="12" spans="2:25" x14ac:dyDescent="0.25">
      <c r="B12">
        <v>132</v>
      </c>
      <c r="C12" t="s">
        <v>424</v>
      </c>
      <c r="E12" s="5">
        <v>115000</v>
      </c>
      <c r="F12" t="s">
        <v>426</v>
      </c>
      <c r="H12" s="5">
        <f>E12*B12</f>
        <v>15180000</v>
      </c>
      <c r="I12" s="5"/>
      <c r="M12" s="8" t="s">
        <v>429</v>
      </c>
    </row>
    <row r="13" spans="2:25" x14ac:dyDescent="0.25">
      <c r="H13" s="5"/>
      <c r="I13" s="5"/>
      <c r="M13" t="s">
        <v>430</v>
      </c>
    </row>
    <row r="14" spans="2:25" x14ac:dyDescent="0.25">
      <c r="B14">
        <v>10</v>
      </c>
      <c r="C14" t="s">
        <v>427</v>
      </c>
      <c r="E14" s="5">
        <v>2075</v>
      </c>
      <c r="F14" t="s">
        <v>433</v>
      </c>
      <c r="H14" s="5">
        <f t="shared" ref="H14" si="0">E14*B14</f>
        <v>20750</v>
      </c>
      <c r="I14" s="5"/>
      <c r="L14" s="123"/>
      <c r="M14" s="82" t="s">
        <v>431</v>
      </c>
      <c r="N14" s="82"/>
      <c r="O14" s="82"/>
      <c r="P14" s="82"/>
      <c r="Q14" s="82"/>
      <c r="R14" s="82"/>
      <c r="S14" s="82"/>
      <c r="T14" s="82"/>
      <c r="U14" s="82"/>
      <c r="V14" s="82" t="s">
        <v>370</v>
      </c>
      <c r="W14" s="82"/>
      <c r="X14" s="66">
        <v>2075</v>
      </c>
      <c r="Y14" s="66">
        <v>2900</v>
      </c>
    </row>
    <row r="15" spans="2:25" x14ac:dyDescent="0.25">
      <c r="M15" s="15" t="s">
        <v>432</v>
      </c>
    </row>
    <row r="16" spans="2:25" x14ac:dyDescent="0.25">
      <c r="F16" s="115" t="s">
        <v>442</v>
      </c>
      <c r="G16" s="72"/>
      <c r="H16" s="116">
        <f>SUM(H12,H14)</f>
        <v>15200750</v>
      </c>
      <c r="I16" s="118"/>
      <c r="X16" t="s">
        <v>425</v>
      </c>
      <c r="Y16" s="5">
        <f>AVERAGE(X14,Y14)</f>
        <v>2487.5</v>
      </c>
    </row>
    <row r="17" spans="2:19" x14ac:dyDescent="0.25">
      <c r="B17" t="s">
        <v>437</v>
      </c>
      <c r="N17" t="s">
        <v>435</v>
      </c>
    </row>
    <row r="18" spans="2:19" x14ac:dyDescent="0.25">
      <c r="C18" t="s">
        <v>459</v>
      </c>
      <c r="E18">
        <v>124</v>
      </c>
      <c r="H18" s="5">
        <f>H16</f>
        <v>15200750</v>
      </c>
      <c r="I18" s="5"/>
    </row>
    <row r="19" spans="2:19" x14ac:dyDescent="0.25">
      <c r="N19" s="107" t="s">
        <v>436</v>
      </c>
    </row>
    <row r="20" spans="2:19" x14ac:dyDescent="0.25">
      <c r="C20" t="s">
        <v>434</v>
      </c>
      <c r="E20">
        <v>141.24</v>
      </c>
      <c r="H20" s="5">
        <f>(E20/E18)*H18</f>
        <v>17314144.596774194</v>
      </c>
      <c r="I20" s="5"/>
    </row>
    <row r="22" spans="2:19" x14ac:dyDescent="0.25">
      <c r="B22" t="s">
        <v>438</v>
      </c>
      <c r="N22" s="44" t="s">
        <v>443</v>
      </c>
      <c r="O22" s="45"/>
      <c r="P22" s="45"/>
      <c r="Q22" s="45"/>
      <c r="R22" s="45"/>
      <c r="S22" s="53"/>
    </row>
    <row r="23" spans="2:19" x14ac:dyDescent="0.25">
      <c r="C23" s="109" t="s">
        <v>439</v>
      </c>
      <c r="E23">
        <v>1</v>
      </c>
      <c r="H23" s="5">
        <f>H20</f>
        <v>17314144.596774194</v>
      </c>
      <c r="I23" s="5"/>
      <c r="N23" s="71"/>
      <c r="O23" s="72"/>
      <c r="P23" s="72"/>
      <c r="Q23" s="72"/>
      <c r="R23" s="72"/>
      <c r="S23" s="73"/>
    </row>
    <row r="24" spans="2:19" x14ac:dyDescent="0.25">
      <c r="C24" s="109"/>
      <c r="N24" s="71" t="s">
        <v>444</v>
      </c>
      <c r="O24" s="72"/>
      <c r="P24" s="72">
        <v>262.2</v>
      </c>
      <c r="Q24" s="72"/>
      <c r="R24" s="72"/>
      <c r="S24" s="73"/>
    </row>
    <row r="25" spans="2:19" x14ac:dyDescent="0.25">
      <c r="C25" s="109" t="s">
        <v>440</v>
      </c>
      <c r="E25">
        <v>0.85</v>
      </c>
      <c r="H25" s="5">
        <f>(E25/E23)*H23</f>
        <v>14717022.907258065</v>
      </c>
      <c r="I25" s="5"/>
      <c r="N25" s="71"/>
      <c r="O25" s="72"/>
      <c r="P25" s="72"/>
      <c r="Q25" s="72"/>
      <c r="R25" s="72"/>
      <c r="S25" s="73"/>
    </row>
    <row r="26" spans="2:19" x14ac:dyDescent="0.25">
      <c r="C26" s="109"/>
      <c r="H26" s="5"/>
      <c r="I26" s="5"/>
      <c r="N26" s="71" t="s">
        <v>445</v>
      </c>
      <c r="O26" s="72"/>
      <c r="P26" s="72">
        <v>99.5</v>
      </c>
      <c r="Q26" s="72"/>
      <c r="R26" s="72"/>
      <c r="S26" s="73"/>
    </row>
    <row r="27" spans="2:19" x14ac:dyDescent="0.25">
      <c r="F27" s="115" t="s">
        <v>441</v>
      </c>
      <c r="G27" s="72"/>
      <c r="H27" s="117">
        <f>H25</f>
        <v>14717022.907258065</v>
      </c>
      <c r="I27" s="119"/>
      <c r="N27" s="71"/>
      <c r="O27" s="72"/>
      <c r="P27" s="72"/>
      <c r="Q27" s="72"/>
      <c r="R27" s="72"/>
      <c r="S27" s="73"/>
    </row>
    <row r="28" spans="2:19" x14ac:dyDescent="0.25">
      <c r="N28" s="71" t="s">
        <v>446</v>
      </c>
      <c r="O28" s="72"/>
      <c r="P28" s="72">
        <v>372.2</v>
      </c>
      <c r="Q28" s="110">
        <v>45505</v>
      </c>
      <c r="R28" s="72"/>
      <c r="S28" s="73"/>
    </row>
    <row r="29" spans="2:19" x14ac:dyDescent="0.25">
      <c r="N29" s="71" t="s">
        <v>450</v>
      </c>
      <c r="O29" s="72"/>
      <c r="P29" s="72">
        <v>372.8</v>
      </c>
      <c r="Q29" s="110">
        <v>45536</v>
      </c>
      <c r="R29" s="72"/>
      <c r="S29" s="73"/>
    </row>
    <row r="30" spans="2:19" x14ac:dyDescent="0.25">
      <c r="N30" s="71"/>
      <c r="O30" s="72"/>
      <c r="P30" s="72"/>
      <c r="Q30" s="72"/>
      <c r="R30" s="72"/>
      <c r="S30" s="73"/>
    </row>
    <row r="31" spans="2:19" x14ac:dyDescent="0.25">
      <c r="N31" s="71" t="s">
        <v>447</v>
      </c>
      <c r="O31" s="72"/>
      <c r="P31" s="72"/>
      <c r="Q31" s="72"/>
      <c r="R31" s="72"/>
      <c r="S31" s="73"/>
    </row>
    <row r="32" spans="2:19" x14ac:dyDescent="0.25">
      <c r="N32" s="71" t="s">
        <v>448</v>
      </c>
      <c r="O32" s="72"/>
      <c r="P32" s="72"/>
      <c r="Q32" s="72"/>
      <c r="R32" s="72"/>
      <c r="S32" s="73"/>
    </row>
    <row r="33" spans="14:24" x14ac:dyDescent="0.25">
      <c r="N33" s="71" t="s">
        <v>449</v>
      </c>
      <c r="O33" s="72"/>
      <c r="P33" s="72"/>
      <c r="Q33" s="72"/>
      <c r="R33" s="72"/>
      <c r="S33" s="73"/>
    </row>
    <row r="34" spans="14:24" x14ac:dyDescent="0.25">
      <c r="N34" s="111" t="s">
        <v>434</v>
      </c>
      <c r="O34" s="72"/>
      <c r="P34" s="112">
        <f>P28*(P26/P24)</f>
        <v>141.24294431731502</v>
      </c>
      <c r="Q34" s="114">
        <v>45505</v>
      </c>
      <c r="R34" s="72"/>
      <c r="S34" s="73"/>
      <c r="T34" s="9" t="s">
        <v>457</v>
      </c>
      <c r="U34" s="9"/>
      <c r="V34" s="9"/>
      <c r="W34" s="9"/>
      <c r="X34" s="9"/>
    </row>
    <row r="35" spans="14:24" x14ac:dyDescent="0.25">
      <c r="N35" s="111" t="s">
        <v>456</v>
      </c>
      <c r="O35" s="72"/>
      <c r="P35" s="112">
        <f>P29*(P26/P24)</f>
        <v>141.47063310450039</v>
      </c>
      <c r="Q35" s="114">
        <v>45536</v>
      </c>
      <c r="R35" s="72"/>
      <c r="S35" s="73"/>
      <c r="T35" s="9" t="s">
        <v>458</v>
      </c>
      <c r="U35" s="9"/>
      <c r="V35" s="9"/>
      <c r="W35" s="9"/>
      <c r="X35" s="9"/>
    </row>
    <row r="37" spans="14:24" x14ac:dyDescent="0.25">
      <c r="N37" t="s">
        <v>451</v>
      </c>
      <c r="Q37" t="s">
        <v>452</v>
      </c>
    </row>
    <row r="38" spans="14:24" x14ac:dyDescent="0.25">
      <c r="N38" t="s">
        <v>453</v>
      </c>
      <c r="Q38" s="113">
        <v>45383</v>
      </c>
    </row>
    <row r="39" spans="14:24" x14ac:dyDescent="0.25">
      <c r="N39" t="s">
        <v>454</v>
      </c>
      <c r="Q39" s="113">
        <v>45747</v>
      </c>
    </row>
    <row r="40" spans="14:24" x14ac:dyDescent="0.25">
      <c r="N40" t="s">
        <v>455</v>
      </c>
      <c r="Q40" s="113">
        <v>45565</v>
      </c>
    </row>
  </sheetData>
  <pageMargins left="0.7" right="0.7" top="0.75" bottom="0.75" header="0.3" footer="0.3"/>
  <pageSetup paperSize="9" scale="5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AE88C-3487-490F-BB0D-8BD28EC2CB07}">
  <sheetPr>
    <pageSetUpPr fitToPage="1"/>
  </sheetPr>
  <dimension ref="A1:AA473"/>
  <sheetViews>
    <sheetView tabSelected="1" view="pageBreakPreview" zoomScale="60" zoomScaleNormal="85" workbookViewId="0">
      <selection activeCell="V21" sqref="V21"/>
    </sheetView>
  </sheetViews>
  <sheetFormatPr defaultRowHeight="15" x14ac:dyDescent="0.25"/>
  <cols>
    <col min="2" max="2" width="38.42578125" bestFit="1" customWidth="1"/>
    <col min="3" max="3" width="18.7109375" bestFit="1" customWidth="1"/>
    <col min="4" max="4" width="6.140625" bestFit="1" customWidth="1"/>
    <col min="5" max="5" width="11.28515625" bestFit="1" customWidth="1"/>
    <col min="6" max="6" width="11.28515625" style="5" bestFit="1" customWidth="1"/>
    <col min="7" max="7" width="10.85546875" bestFit="1" customWidth="1"/>
    <col min="8" max="8" width="12.7109375" bestFit="1" customWidth="1"/>
    <col min="9" max="9" width="15.42578125" customWidth="1"/>
    <col min="10" max="10" width="1.42578125" style="13" customWidth="1"/>
    <col min="11" max="11" width="1.42578125" style="3" customWidth="1"/>
    <col min="12" max="12" width="1.42578125" style="13" customWidth="1"/>
    <col min="13" max="13" width="10" customWidth="1"/>
    <col min="18" max="18" width="11.28515625" bestFit="1" customWidth="1"/>
    <col min="19" max="19" width="10.85546875" bestFit="1" customWidth="1"/>
    <col min="21" max="21" width="12.5703125" customWidth="1"/>
    <col min="22" max="22" width="12" style="5" bestFit="1" customWidth="1"/>
    <col min="23" max="23" width="27.42578125" style="5" bestFit="1" customWidth="1"/>
    <col min="26" max="26" width="13.85546875" bestFit="1" customWidth="1"/>
    <col min="27" max="27" width="13.5703125" bestFit="1" customWidth="1"/>
  </cols>
  <sheetData>
    <row r="1" spans="1:27" ht="8.25" customHeight="1" x14ac:dyDescent="0.25">
      <c r="K1" s="120"/>
    </row>
    <row r="2" spans="1:27" x14ac:dyDescent="0.25">
      <c r="A2" s="3"/>
      <c r="B2" s="3" t="s">
        <v>12</v>
      </c>
      <c r="C2" s="3"/>
      <c r="D2" s="3"/>
      <c r="E2" s="3"/>
      <c r="F2" s="3"/>
      <c r="G2" s="3"/>
      <c r="H2" s="3"/>
      <c r="I2" s="14"/>
      <c r="J2" s="3"/>
      <c r="L2" s="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Z2" s="35"/>
      <c r="AA2" s="7"/>
    </row>
    <row r="3" spans="1:27" x14ac:dyDescent="0.25">
      <c r="B3" s="2" t="s">
        <v>0</v>
      </c>
      <c r="C3" s="2" t="s">
        <v>1</v>
      </c>
      <c r="D3" s="2" t="s">
        <v>3</v>
      </c>
      <c r="E3" s="2" t="s">
        <v>5</v>
      </c>
      <c r="F3" s="6" t="s">
        <v>15</v>
      </c>
      <c r="G3" s="2" t="s">
        <v>16</v>
      </c>
      <c r="H3" s="2" t="s">
        <v>17</v>
      </c>
      <c r="I3" s="14"/>
      <c r="J3" s="3"/>
      <c r="L3" s="3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7" x14ac:dyDescent="0.25">
      <c r="B4" t="s">
        <v>13</v>
      </c>
      <c r="C4" s="1">
        <v>84.11</v>
      </c>
      <c r="D4" t="s">
        <v>2</v>
      </c>
      <c r="E4" t="s">
        <v>11</v>
      </c>
      <c r="F4" s="5">
        <v>16.5</v>
      </c>
      <c r="G4" t="s">
        <v>18</v>
      </c>
      <c r="H4" s="5">
        <f>F4*C4</f>
        <v>1387.8150000000001</v>
      </c>
    </row>
    <row r="5" spans="1:27" x14ac:dyDescent="0.25">
      <c r="H5" s="7">
        <f>SUM(H4)</f>
        <v>1387.8150000000001</v>
      </c>
    </row>
    <row r="6" spans="1:27" x14ac:dyDescent="0.25">
      <c r="H6" s="7"/>
    </row>
    <row r="7" spans="1:27" x14ac:dyDescent="0.25">
      <c r="B7" t="s">
        <v>14</v>
      </c>
      <c r="C7" s="1">
        <v>164</v>
      </c>
      <c r="D7" t="s">
        <v>2</v>
      </c>
      <c r="E7" t="s">
        <v>11</v>
      </c>
      <c r="F7" s="5">
        <v>16.5</v>
      </c>
      <c r="G7" t="s">
        <v>18</v>
      </c>
      <c r="H7" s="5">
        <f>F7*C7</f>
        <v>2706</v>
      </c>
    </row>
    <row r="8" spans="1:27" x14ac:dyDescent="0.25">
      <c r="H8" s="7">
        <f>SUM(H7)</f>
        <v>2706</v>
      </c>
    </row>
    <row r="9" spans="1:27" x14ac:dyDescent="0.25">
      <c r="H9" s="7"/>
    </row>
    <row r="10" spans="1:27" x14ac:dyDescent="0.25">
      <c r="B10" t="s">
        <v>4</v>
      </c>
      <c r="C10" s="1">
        <v>64.099999999999994</v>
      </c>
      <c r="D10" t="s">
        <v>2</v>
      </c>
      <c r="E10" t="s">
        <v>11</v>
      </c>
      <c r="F10" s="5">
        <v>16.5</v>
      </c>
      <c r="G10" t="s">
        <v>18</v>
      </c>
      <c r="H10" s="5">
        <f t="shared" ref="H10:H15" si="0">F10*C10</f>
        <v>1057.6499999999999</v>
      </c>
    </row>
    <row r="11" spans="1:27" x14ac:dyDescent="0.25">
      <c r="B11" t="s">
        <v>4</v>
      </c>
      <c r="C11" s="1">
        <v>413.78</v>
      </c>
      <c r="D11" t="s">
        <v>2</v>
      </c>
      <c r="E11" t="s">
        <v>7</v>
      </c>
      <c r="F11" s="5">
        <v>16.5</v>
      </c>
      <c r="G11" t="s">
        <v>18</v>
      </c>
      <c r="H11" s="5">
        <f t="shared" si="0"/>
        <v>6827.37</v>
      </c>
    </row>
    <row r="12" spans="1:27" x14ac:dyDescent="0.25">
      <c r="B12" t="s">
        <v>4</v>
      </c>
      <c r="C12" s="1">
        <v>882.59</v>
      </c>
      <c r="D12" t="s">
        <v>2</v>
      </c>
      <c r="E12" t="s">
        <v>8</v>
      </c>
      <c r="F12" s="5">
        <v>16.5</v>
      </c>
      <c r="G12" t="s">
        <v>18</v>
      </c>
      <c r="H12" s="5">
        <f t="shared" si="0"/>
        <v>14562.735000000001</v>
      </c>
    </row>
    <row r="13" spans="1:27" x14ac:dyDescent="0.25">
      <c r="B13" t="s">
        <v>4</v>
      </c>
      <c r="C13" s="1">
        <v>882.59</v>
      </c>
      <c r="D13" t="s">
        <v>2</v>
      </c>
      <c r="E13" t="s">
        <v>9</v>
      </c>
      <c r="F13" s="5">
        <v>16.5</v>
      </c>
      <c r="G13" t="s">
        <v>18</v>
      </c>
      <c r="H13" s="5">
        <f t="shared" si="0"/>
        <v>14562.735000000001</v>
      </c>
    </row>
    <row r="14" spans="1:27" x14ac:dyDescent="0.25">
      <c r="B14" t="s">
        <v>4</v>
      </c>
      <c r="C14" s="1">
        <v>882.59</v>
      </c>
      <c r="D14" t="s">
        <v>2</v>
      </c>
      <c r="E14" t="s">
        <v>10</v>
      </c>
      <c r="F14" s="5">
        <v>16.5</v>
      </c>
      <c r="G14" t="s">
        <v>18</v>
      </c>
      <c r="H14" s="5">
        <f t="shared" si="0"/>
        <v>14562.735000000001</v>
      </c>
    </row>
    <row r="15" spans="1:27" x14ac:dyDescent="0.25">
      <c r="B15" t="s">
        <v>4</v>
      </c>
      <c r="C15" s="1">
        <v>809.66</v>
      </c>
      <c r="D15" t="s">
        <v>2</v>
      </c>
      <c r="E15" t="s">
        <v>6</v>
      </c>
      <c r="F15" s="5">
        <v>16.5</v>
      </c>
      <c r="G15" t="s">
        <v>18</v>
      </c>
      <c r="H15" s="5">
        <f t="shared" si="0"/>
        <v>13359.39</v>
      </c>
    </row>
    <row r="16" spans="1:27" x14ac:dyDescent="0.25">
      <c r="H16" s="7">
        <f>SUM(H10:H15)</f>
        <v>64932.615000000005</v>
      </c>
    </row>
    <row r="19" spans="1:23" x14ac:dyDescent="0.25">
      <c r="A19" s="3" t="s">
        <v>20</v>
      </c>
      <c r="B19" s="3" t="s">
        <v>19</v>
      </c>
      <c r="C19" s="3"/>
      <c r="D19" s="3"/>
      <c r="E19" s="3"/>
      <c r="F19" s="3"/>
      <c r="G19" s="3"/>
      <c r="H19" s="3"/>
      <c r="I19" s="14"/>
      <c r="J19" s="3"/>
      <c r="L19" s="3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</row>
    <row r="20" spans="1:23" x14ac:dyDescent="0.25">
      <c r="A20" s="124"/>
      <c r="B20" s="2" t="s">
        <v>0</v>
      </c>
      <c r="C20" s="2" t="s">
        <v>1</v>
      </c>
      <c r="D20" s="2" t="s">
        <v>3</v>
      </c>
      <c r="E20" s="2" t="s">
        <v>5</v>
      </c>
      <c r="F20" s="6" t="s">
        <v>15</v>
      </c>
      <c r="G20" s="2" t="s">
        <v>16</v>
      </c>
      <c r="H20" s="2" t="s">
        <v>17</v>
      </c>
      <c r="I20" s="14"/>
      <c r="J20" s="3"/>
      <c r="L20" s="3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</row>
    <row r="21" spans="1:23" x14ac:dyDescent="0.25">
      <c r="A21" s="124"/>
      <c r="B21" t="s">
        <v>27</v>
      </c>
      <c r="C21" s="1">
        <v>139.51</v>
      </c>
      <c r="D21" t="s">
        <v>26</v>
      </c>
      <c r="E21" t="s">
        <v>11</v>
      </c>
      <c r="F21" s="5">
        <v>46.5</v>
      </c>
      <c r="G21" t="s">
        <v>25</v>
      </c>
      <c r="H21" s="5">
        <f>F21*C21</f>
        <v>6487.2149999999992</v>
      </c>
      <c r="M21" s="8" t="s">
        <v>236</v>
      </c>
    </row>
    <row r="22" spans="1:23" x14ac:dyDescent="0.25">
      <c r="A22" s="124"/>
      <c r="H22" s="7">
        <f>SUM(H21)</f>
        <v>6487.2149999999992</v>
      </c>
      <c r="M22" s="8" t="s">
        <v>237</v>
      </c>
    </row>
    <row r="23" spans="1:23" x14ac:dyDescent="0.25">
      <c r="A23" s="124"/>
      <c r="H23" s="7"/>
    </row>
    <row r="24" spans="1:23" x14ac:dyDescent="0.25">
      <c r="A24" s="124"/>
      <c r="B24" t="s">
        <v>28</v>
      </c>
      <c r="C24" s="1">
        <v>364.47</v>
      </c>
      <c r="D24" t="s">
        <v>26</v>
      </c>
      <c r="E24" t="s">
        <v>11</v>
      </c>
      <c r="F24" s="5">
        <v>48.5</v>
      </c>
      <c r="G24" t="s">
        <v>25</v>
      </c>
      <c r="H24" s="5">
        <f t="shared" ref="H24" si="1">F24*C24</f>
        <v>17676.795000000002</v>
      </c>
    </row>
    <row r="25" spans="1:23" x14ac:dyDescent="0.25">
      <c r="A25" s="124"/>
      <c r="H25" s="7">
        <f>SUM(H24)</f>
        <v>17676.795000000002</v>
      </c>
    </row>
    <row r="26" spans="1:23" x14ac:dyDescent="0.25">
      <c r="A26" s="124"/>
      <c r="H26" s="7"/>
    </row>
    <row r="27" spans="1:23" x14ac:dyDescent="0.25">
      <c r="A27" s="124"/>
      <c r="B27" t="s">
        <v>29</v>
      </c>
      <c r="C27" s="1">
        <v>613.39</v>
      </c>
      <c r="D27" t="s">
        <v>26</v>
      </c>
      <c r="E27" t="s">
        <v>7</v>
      </c>
      <c r="F27" s="5">
        <v>48.5</v>
      </c>
      <c r="G27" t="s">
        <v>25</v>
      </c>
      <c r="H27" s="5">
        <f>F27*C27</f>
        <v>29749.415000000001</v>
      </c>
      <c r="M27" s="56" t="s">
        <v>21</v>
      </c>
    </row>
    <row r="28" spans="1:23" x14ac:dyDescent="0.25">
      <c r="A28" s="124"/>
      <c r="B28" t="s">
        <v>29</v>
      </c>
      <c r="C28" s="1">
        <v>1299.26</v>
      </c>
      <c r="D28" s="5" t="s">
        <v>26</v>
      </c>
      <c r="E28" t="s">
        <v>8</v>
      </c>
      <c r="F28" s="5">
        <v>48.5</v>
      </c>
      <c r="G28" t="s">
        <v>25</v>
      </c>
      <c r="H28" s="5">
        <f t="shared" ref="H28:H31" si="2">F28*C28</f>
        <v>63014.11</v>
      </c>
      <c r="M28" s="56" t="s">
        <v>22</v>
      </c>
    </row>
    <row r="29" spans="1:23" x14ac:dyDescent="0.25">
      <c r="A29" s="124"/>
      <c r="B29" t="s">
        <v>29</v>
      </c>
      <c r="C29" s="1">
        <v>1299.26</v>
      </c>
      <c r="D29" t="s">
        <v>26</v>
      </c>
      <c r="E29" t="s">
        <v>9</v>
      </c>
      <c r="F29" s="5">
        <v>48.5</v>
      </c>
      <c r="G29" t="s">
        <v>25</v>
      </c>
      <c r="H29" s="5">
        <f t="shared" si="2"/>
        <v>63014.11</v>
      </c>
      <c r="M29" s="56" t="s">
        <v>23</v>
      </c>
      <c r="N29" s="56"/>
      <c r="O29" s="56"/>
      <c r="P29" s="56"/>
      <c r="Q29" s="56"/>
      <c r="R29" s="56"/>
      <c r="S29" s="56"/>
      <c r="T29" s="56"/>
    </row>
    <row r="30" spans="1:23" x14ac:dyDescent="0.25">
      <c r="A30" s="124"/>
      <c r="B30" t="s">
        <v>29</v>
      </c>
      <c r="C30" s="1">
        <v>1299.26</v>
      </c>
      <c r="D30" t="s">
        <v>26</v>
      </c>
      <c r="E30" t="s">
        <v>10</v>
      </c>
      <c r="F30" s="5">
        <v>48.5</v>
      </c>
      <c r="G30" t="s">
        <v>25</v>
      </c>
      <c r="H30" s="5">
        <f t="shared" si="2"/>
        <v>63014.11</v>
      </c>
      <c r="M30" s="44" t="s">
        <v>238</v>
      </c>
      <c r="N30" s="45"/>
      <c r="O30" s="45"/>
      <c r="P30" s="45"/>
      <c r="Q30" s="45"/>
      <c r="R30" s="45"/>
      <c r="S30" s="45"/>
      <c r="T30" s="45"/>
      <c r="U30" s="45" t="s">
        <v>144</v>
      </c>
      <c r="V30" s="46">
        <v>46.5</v>
      </c>
      <c r="W30" s="47">
        <v>56</v>
      </c>
    </row>
    <row r="31" spans="1:23" x14ac:dyDescent="0.25">
      <c r="A31" s="124"/>
      <c r="B31" t="s">
        <v>29</v>
      </c>
      <c r="C31" s="1">
        <v>1164.8399999999999</v>
      </c>
      <c r="D31" t="s">
        <v>26</v>
      </c>
      <c r="E31" t="s">
        <v>6</v>
      </c>
      <c r="F31" s="5">
        <v>48.5</v>
      </c>
      <c r="G31" t="s">
        <v>25</v>
      </c>
      <c r="H31" s="5">
        <f t="shared" si="2"/>
        <v>56494.74</v>
      </c>
      <c r="M31" t="s">
        <v>239</v>
      </c>
      <c r="N31" s="56"/>
      <c r="O31" s="56"/>
      <c r="P31" s="56"/>
      <c r="Q31" s="56"/>
      <c r="R31" s="56"/>
      <c r="S31" s="56"/>
      <c r="T31" s="56"/>
    </row>
    <row r="32" spans="1:23" x14ac:dyDescent="0.25">
      <c r="A32" s="124"/>
      <c r="B32" s="51" t="s">
        <v>240</v>
      </c>
      <c r="C32" s="8">
        <f>SUM(WallAreaTotal1,WallAreaTotal2,C27:C31)</f>
        <v>6179.9900000000007</v>
      </c>
      <c r="H32" s="7">
        <f>SUM(H27:H31,H25,H22)</f>
        <v>299450.495</v>
      </c>
      <c r="N32" s="56"/>
      <c r="O32" s="56"/>
      <c r="P32" s="56"/>
      <c r="Q32" s="56"/>
      <c r="R32" s="56"/>
      <c r="S32" s="56"/>
      <c r="T32" s="56"/>
    </row>
    <row r="33" spans="1:23" x14ac:dyDescent="0.25">
      <c r="N33" s="56"/>
      <c r="O33" s="56"/>
      <c r="P33" s="56"/>
      <c r="Q33" s="56"/>
      <c r="R33" s="56"/>
      <c r="S33" s="56"/>
      <c r="T33" s="56"/>
    </row>
    <row r="34" spans="1:23" x14ac:dyDescent="0.25">
      <c r="N34" s="56"/>
      <c r="O34" s="56"/>
      <c r="P34" s="56"/>
      <c r="Q34" s="56"/>
      <c r="R34" s="56"/>
      <c r="S34" s="56"/>
      <c r="T34" s="56"/>
    </row>
    <row r="35" spans="1:23" x14ac:dyDescent="0.25">
      <c r="A35" s="3" t="s">
        <v>31</v>
      </c>
      <c r="B35" s="3" t="s">
        <v>35</v>
      </c>
      <c r="C35" s="3"/>
      <c r="D35" s="3"/>
      <c r="E35" s="3"/>
      <c r="F35" s="3"/>
      <c r="G35" s="3"/>
      <c r="H35" s="3"/>
      <c r="I35" s="14"/>
      <c r="J35" s="3"/>
      <c r="L35" s="3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</row>
    <row r="36" spans="1:23" x14ac:dyDescent="0.25">
      <c r="A36" s="124"/>
      <c r="B36" s="2" t="s">
        <v>0</v>
      </c>
      <c r="C36" s="2" t="s">
        <v>1</v>
      </c>
      <c r="D36" s="2" t="s">
        <v>3</v>
      </c>
      <c r="E36" s="2" t="s">
        <v>5</v>
      </c>
      <c r="F36" s="6" t="s">
        <v>15</v>
      </c>
      <c r="G36" s="2" t="s">
        <v>16</v>
      </c>
      <c r="H36" s="2" t="s">
        <v>17</v>
      </c>
      <c r="I36" s="14"/>
      <c r="J36" s="3"/>
      <c r="L36" s="3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</row>
    <row r="37" spans="1:23" x14ac:dyDescent="0.25">
      <c r="A37" s="124" t="s">
        <v>79</v>
      </c>
      <c r="B37" t="s">
        <v>43</v>
      </c>
      <c r="C37">
        <v>0</v>
      </c>
      <c r="D37" t="s">
        <v>37</v>
      </c>
      <c r="E37" t="s">
        <v>11</v>
      </c>
      <c r="F37" s="5">
        <v>500</v>
      </c>
      <c r="G37" t="s">
        <v>232</v>
      </c>
      <c r="H37" s="5">
        <f>F37*C37</f>
        <v>0</v>
      </c>
      <c r="M37" s="8" t="s">
        <v>235</v>
      </c>
      <c r="V37"/>
      <c r="W37"/>
    </row>
    <row r="38" spans="1:23" x14ac:dyDescent="0.25">
      <c r="A38" s="124" t="s">
        <v>79</v>
      </c>
      <c r="B38" t="s">
        <v>44</v>
      </c>
      <c r="C38">
        <v>0</v>
      </c>
      <c r="D38" t="s">
        <v>37</v>
      </c>
      <c r="E38" t="s">
        <v>11</v>
      </c>
      <c r="F38" s="5">
        <v>1150</v>
      </c>
      <c r="G38" t="s">
        <v>232</v>
      </c>
      <c r="H38" s="5">
        <f t="shared" ref="H38:H45" si="3">F38*C38</f>
        <v>0</v>
      </c>
      <c r="M38" s="57" t="s">
        <v>32</v>
      </c>
      <c r="V38"/>
      <c r="W38"/>
    </row>
    <row r="39" spans="1:23" x14ac:dyDescent="0.25">
      <c r="A39" s="124"/>
      <c r="H39" s="7">
        <f>SUM(H37:H38)</f>
        <v>0</v>
      </c>
      <c r="I39" s="7"/>
      <c r="M39" s="57" t="s">
        <v>33</v>
      </c>
    </row>
    <row r="40" spans="1:23" x14ac:dyDescent="0.25">
      <c r="A40" s="124"/>
      <c r="H40" s="5"/>
      <c r="I40" s="7"/>
      <c r="M40" s="57" t="s">
        <v>24</v>
      </c>
    </row>
    <row r="41" spans="1:23" x14ac:dyDescent="0.25">
      <c r="A41" s="124"/>
      <c r="H41" s="5"/>
      <c r="I41" s="7"/>
      <c r="M41" s="8" t="s">
        <v>34</v>
      </c>
    </row>
    <row r="42" spans="1:23" x14ac:dyDescent="0.25">
      <c r="A42" s="124"/>
      <c r="H42" s="5"/>
      <c r="M42" t="s">
        <v>229</v>
      </c>
    </row>
    <row r="43" spans="1:23" x14ac:dyDescent="0.25">
      <c r="A43" s="124"/>
      <c r="B43" t="s">
        <v>39</v>
      </c>
      <c r="C43" s="1">
        <v>9</v>
      </c>
      <c r="D43" t="s">
        <v>37</v>
      </c>
      <c r="E43" t="s">
        <v>11</v>
      </c>
      <c r="F43" s="5">
        <v>500</v>
      </c>
      <c r="G43" t="s">
        <v>232</v>
      </c>
      <c r="H43" s="5">
        <f t="shared" si="3"/>
        <v>4500</v>
      </c>
      <c r="M43" t="s">
        <v>230</v>
      </c>
    </row>
    <row r="44" spans="1:23" x14ac:dyDescent="0.25">
      <c r="A44" s="124"/>
      <c r="B44" t="s">
        <v>40</v>
      </c>
      <c r="C44" s="1">
        <v>1</v>
      </c>
      <c r="D44" t="s">
        <v>37</v>
      </c>
      <c r="E44" t="s">
        <v>11</v>
      </c>
      <c r="F44" s="5">
        <v>1150</v>
      </c>
      <c r="G44" t="s">
        <v>232</v>
      </c>
      <c r="H44" s="5">
        <f t="shared" si="3"/>
        <v>1150</v>
      </c>
      <c r="M44" s="44" t="s">
        <v>36</v>
      </c>
      <c r="N44" s="45"/>
      <c r="O44" s="45"/>
      <c r="P44" s="45"/>
      <c r="Q44" s="45"/>
      <c r="R44" s="45"/>
      <c r="S44" s="45"/>
      <c r="T44" s="45"/>
      <c r="U44" s="45" t="s">
        <v>110</v>
      </c>
      <c r="V44" s="46">
        <v>500</v>
      </c>
      <c r="W44" s="47">
        <v>610</v>
      </c>
    </row>
    <row r="45" spans="1:23" x14ac:dyDescent="0.25">
      <c r="A45" s="124"/>
      <c r="B45" t="s">
        <v>56</v>
      </c>
      <c r="C45" s="1">
        <v>1</v>
      </c>
      <c r="D45" t="s">
        <v>37</v>
      </c>
      <c r="E45" t="s">
        <v>11</v>
      </c>
      <c r="F45" s="10">
        <v>1400</v>
      </c>
      <c r="G45" s="9"/>
      <c r="H45" s="10">
        <f t="shared" si="3"/>
        <v>1400</v>
      </c>
      <c r="I45" s="9" t="s">
        <v>57</v>
      </c>
      <c r="M45" s="44" t="s">
        <v>38</v>
      </c>
      <c r="N45" s="45"/>
      <c r="O45" s="45"/>
      <c r="P45" s="45"/>
      <c r="Q45" s="45"/>
      <c r="R45" s="45"/>
      <c r="S45" s="45"/>
      <c r="T45" s="45"/>
      <c r="U45" s="45" t="s">
        <v>110</v>
      </c>
      <c r="V45" s="46">
        <v>1150</v>
      </c>
      <c r="W45" s="49">
        <v>1400</v>
      </c>
    </row>
    <row r="46" spans="1:23" x14ac:dyDescent="0.25">
      <c r="A46" s="124"/>
      <c r="H46" s="7">
        <f>SUM(H43:H45)</f>
        <v>7050</v>
      </c>
      <c r="I46" s="7"/>
      <c r="M46" t="s">
        <v>231</v>
      </c>
    </row>
    <row r="47" spans="1:23" x14ac:dyDescent="0.25">
      <c r="A47" s="124"/>
      <c r="H47" s="8"/>
      <c r="I47" s="7"/>
    </row>
    <row r="48" spans="1:23" x14ac:dyDescent="0.25">
      <c r="A48" s="124"/>
      <c r="H48" s="8"/>
      <c r="I48" s="7"/>
    </row>
    <row r="49" spans="1:16" x14ac:dyDescent="0.25">
      <c r="A49" s="124"/>
      <c r="H49" s="8"/>
      <c r="I49" s="7"/>
      <c r="M49" s="9" t="s">
        <v>234</v>
      </c>
      <c r="N49" s="9"/>
      <c r="O49" s="9"/>
      <c r="P49" s="9"/>
    </row>
    <row r="50" spans="1:16" x14ac:dyDescent="0.25">
      <c r="A50" s="124"/>
      <c r="H50" s="8"/>
      <c r="I50" s="7"/>
    </row>
    <row r="51" spans="1:16" x14ac:dyDescent="0.25">
      <c r="A51" s="124"/>
      <c r="H51" s="8"/>
      <c r="I51" s="11"/>
    </row>
    <row r="52" spans="1:16" x14ac:dyDescent="0.25">
      <c r="A52" s="124"/>
      <c r="B52" t="s">
        <v>42</v>
      </c>
      <c r="C52" s="1">
        <v>1</v>
      </c>
      <c r="D52" t="s">
        <v>37</v>
      </c>
      <c r="E52" t="s">
        <v>11</v>
      </c>
      <c r="F52" s="5">
        <v>1150</v>
      </c>
      <c r="G52" t="s">
        <v>232</v>
      </c>
      <c r="H52" s="5">
        <f t="shared" ref="H52" si="4">F52*C52</f>
        <v>1150</v>
      </c>
    </row>
    <row r="53" spans="1:16" x14ac:dyDescent="0.25">
      <c r="A53" s="124"/>
      <c r="B53" t="s">
        <v>41</v>
      </c>
      <c r="C53" s="1">
        <v>24</v>
      </c>
      <c r="D53" t="s">
        <v>37</v>
      </c>
      <c r="E53" t="s">
        <v>7</v>
      </c>
      <c r="F53" s="5">
        <v>500</v>
      </c>
      <c r="G53" t="s">
        <v>232</v>
      </c>
      <c r="H53" s="5">
        <f t="shared" ref="H53:H60" si="5">F53*C53</f>
        <v>12000</v>
      </c>
    </row>
    <row r="54" spans="1:16" x14ac:dyDescent="0.25">
      <c r="A54" s="124"/>
      <c r="B54" t="s">
        <v>42</v>
      </c>
      <c r="C54" s="1">
        <v>1</v>
      </c>
      <c r="D54" t="s">
        <v>37</v>
      </c>
      <c r="E54" t="s">
        <v>7</v>
      </c>
      <c r="F54" s="5">
        <v>1150</v>
      </c>
      <c r="G54" t="s">
        <v>232</v>
      </c>
      <c r="H54" s="5">
        <f t="shared" si="5"/>
        <v>1150</v>
      </c>
    </row>
    <row r="55" spans="1:16" x14ac:dyDescent="0.25">
      <c r="A55" s="124"/>
      <c r="B55" t="s">
        <v>41</v>
      </c>
      <c r="C55" s="1">
        <v>39</v>
      </c>
      <c r="D55" t="s">
        <v>37</v>
      </c>
      <c r="E55" t="s">
        <v>8</v>
      </c>
      <c r="F55" s="5">
        <v>500</v>
      </c>
      <c r="G55" t="s">
        <v>232</v>
      </c>
      <c r="H55" s="5">
        <f t="shared" si="5"/>
        <v>19500</v>
      </c>
    </row>
    <row r="56" spans="1:16" x14ac:dyDescent="0.25">
      <c r="A56" s="124"/>
      <c r="B56" t="s">
        <v>42</v>
      </c>
      <c r="C56" s="1">
        <v>1</v>
      </c>
      <c r="D56" t="s">
        <v>37</v>
      </c>
      <c r="E56" t="s">
        <v>8</v>
      </c>
      <c r="F56" s="5">
        <v>1150</v>
      </c>
      <c r="G56" t="s">
        <v>232</v>
      </c>
      <c r="H56" s="5">
        <f t="shared" si="5"/>
        <v>1150</v>
      </c>
    </row>
    <row r="57" spans="1:16" x14ac:dyDescent="0.25">
      <c r="A57" s="124"/>
      <c r="B57" t="s">
        <v>41</v>
      </c>
      <c r="C57" s="1">
        <v>39</v>
      </c>
      <c r="D57" t="s">
        <v>37</v>
      </c>
      <c r="E57" t="s">
        <v>9</v>
      </c>
      <c r="F57" s="5">
        <v>500</v>
      </c>
      <c r="G57" t="s">
        <v>232</v>
      </c>
      <c r="H57" s="5">
        <f t="shared" si="5"/>
        <v>19500</v>
      </c>
    </row>
    <row r="58" spans="1:16" x14ac:dyDescent="0.25">
      <c r="A58" s="124"/>
      <c r="B58" t="s">
        <v>42</v>
      </c>
      <c r="C58" s="1">
        <v>1</v>
      </c>
      <c r="D58" t="s">
        <v>37</v>
      </c>
      <c r="E58" t="s">
        <v>9</v>
      </c>
      <c r="F58" s="5">
        <v>1150</v>
      </c>
      <c r="G58" t="s">
        <v>232</v>
      </c>
      <c r="H58" s="5">
        <f>F58*C58</f>
        <v>1150</v>
      </c>
    </row>
    <row r="59" spans="1:16" x14ac:dyDescent="0.25">
      <c r="A59" s="124"/>
      <c r="B59" t="s">
        <v>41</v>
      </c>
      <c r="C59" s="1">
        <v>39</v>
      </c>
      <c r="D59" t="s">
        <v>37</v>
      </c>
      <c r="E59" t="s">
        <v>10</v>
      </c>
      <c r="F59" s="5">
        <v>500</v>
      </c>
      <c r="G59" t="s">
        <v>232</v>
      </c>
      <c r="H59" s="5">
        <f>F59*C59</f>
        <v>19500</v>
      </c>
    </row>
    <row r="60" spans="1:16" x14ac:dyDescent="0.25">
      <c r="A60" s="124"/>
      <c r="B60" t="s">
        <v>42</v>
      </c>
      <c r="C60" s="1">
        <v>1</v>
      </c>
      <c r="D60" t="s">
        <v>37</v>
      </c>
      <c r="E60" t="s">
        <v>10</v>
      </c>
      <c r="F60" s="5">
        <v>1150</v>
      </c>
      <c r="G60" t="s">
        <v>232</v>
      </c>
      <c r="H60" s="5">
        <f t="shared" si="5"/>
        <v>1150</v>
      </c>
    </row>
    <row r="61" spans="1:16" x14ac:dyDescent="0.25">
      <c r="A61" s="124"/>
      <c r="B61" t="s">
        <v>41</v>
      </c>
      <c r="C61" s="1">
        <v>37</v>
      </c>
      <c r="D61" t="s">
        <v>37</v>
      </c>
      <c r="E61" t="s">
        <v>6</v>
      </c>
      <c r="F61" s="5">
        <v>500</v>
      </c>
      <c r="G61" t="s">
        <v>232</v>
      </c>
      <c r="H61" s="5">
        <f>F61*C61</f>
        <v>18500</v>
      </c>
    </row>
    <row r="62" spans="1:16" x14ac:dyDescent="0.25">
      <c r="A62" s="124"/>
      <c r="B62" t="s">
        <v>42</v>
      </c>
      <c r="C62" s="1">
        <v>1</v>
      </c>
      <c r="D62" t="s">
        <v>37</v>
      </c>
      <c r="E62" t="s">
        <v>6</v>
      </c>
      <c r="F62" s="5">
        <v>1150</v>
      </c>
      <c r="G62" t="s">
        <v>232</v>
      </c>
      <c r="H62" s="5">
        <f>F62*C62</f>
        <v>1150</v>
      </c>
      <c r="N62" s="8" t="s">
        <v>51</v>
      </c>
    </row>
    <row r="63" spans="1:16" x14ac:dyDescent="0.25">
      <c r="A63" s="124"/>
      <c r="B63" s="51" t="s">
        <v>226</v>
      </c>
      <c r="C63" s="8">
        <f>SUM(CountTotal12,CountTotal10,CountTotal8,CountTotal6,CountTotal3,CountTotal1,)</f>
        <v>187</v>
      </c>
      <c r="H63" s="8" t="s">
        <v>46</v>
      </c>
      <c r="I63" s="7">
        <f>SUM(H61,H59,H57,H55,H53,H43)</f>
        <v>93500</v>
      </c>
      <c r="N63" s="8" t="s">
        <v>52</v>
      </c>
    </row>
    <row r="64" spans="1:16" x14ac:dyDescent="0.25">
      <c r="A64" s="124"/>
      <c r="B64" s="51" t="s">
        <v>227</v>
      </c>
      <c r="C64" s="8">
        <f>SUM(CountTotal13,CountTotal21,CountTotal9,CountTotal7,CountTotal5,CountTotal4,CountTotal2)</f>
        <v>7</v>
      </c>
      <c r="H64" s="8" t="s">
        <v>45</v>
      </c>
      <c r="I64" s="7">
        <f>SUM(H62,H60,H58,H56,H54,H52,H44)</f>
        <v>8050</v>
      </c>
      <c r="N64" t="s">
        <v>53</v>
      </c>
    </row>
    <row r="65" spans="1:23" x14ac:dyDescent="0.25">
      <c r="A65" s="124"/>
      <c r="B65" s="51" t="s">
        <v>233</v>
      </c>
      <c r="C65" s="8">
        <v>1</v>
      </c>
      <c r="H65" s="8" t="s">
        <v>233</v>
      </c>
      <c r="I65" s="7">
        <f>H45</f>
        <v>1400</v>
      </c>
      <c r="N65" t="s">
        <v>54</v>
      </c>
    </row>
    <row r="66" spans="1:23" x14ac:dyDescent="0.25">
      <c r="A66" s="124"/>
      <c r="B66" s="51" t="s">
        <v>228</v>
      </c>
      <c r="C66" s="8">
        <f>SUM(C43:C45,C52:C62)-(SUM(C63:C65))</f>
        <v>0</v>
      </c>
      <c r="H66" s="8" t="s">
        <v>17</v>
      </c>
      <c r="I66" s="7">
        <f>SUM(I63:I65)</f>
        <v>102950</v>
      </c>
    </row>
    <row r="67" spans="1:23" x14ac:dyDescent="0.25">
      <c r="H67" s="8" t="s">
        <v>228</v>
      </c>
      <c r="I67" s="7">
        <f>SUM(H39,H46,H52:H62)-I66</f>
        <v>0</v>
      </c>
    </row>
    <row r="68" spans="1:23" x14ac:dyDescent="0.25">
      <c r="A68" s="3" t="s">
        <v>48</v>
      </c>
      <c r="B68" s="3" t="s">
        <v>49</v>
      </c>
      <c r="C68" s="3"/>
      <c r="D68" s="3"/>
      <c r="E68" s="3"/>
      <c r="F68" s="3"/>
      <c r="G68" s="3"/>
      <c r="H68" s="3"/>
      <c r="I68" s="14"/>
      <c r="J68" s="3"/>
      <c r="L68" s="3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</row>
    <row r="69" spans="1:23" x14ac:dyDescent="0.25">
      <c r="B69" s="2" t="s">
        <v>0</v>
      </c>
      <c r="C69" s="2" t="s">
        <v>1</v>
      </c>
      <c r="D69" s="2" t="s">
        <v>3</v>
      </c>
      <c r="E69" s="2" t="s">
        <v>5</v>
      </c>
      <c r="F69" s="6" t="s">
        <v>15</v>
      </c>
      <c r="G69" s="2" t="s">
        <v>16</v>
      </c>
      <c r="H69" s="2" t="s">
        <v>17</v>
      </c>
      <c r="I69" s="14"/>
      <c r="J69" s="3"/>
      <c r="L69" s="3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</row>
    <row r="70" spans="1:23" x14ac:dyDescent="0.25">
      <c r="A70" s="124"/>
      <c r="M70" s="8" t="s">
        <v>51</v>
      </c>
      <c r="N70" s="8"/>
    </row>
    <row r="71" spans="1:23" x14ac:dyDescent="0.25">
      <c r="A71" s="124"/>
    </row>
    <row r="72" spans="1:23" x14ac:dyDescent="0.25">
      <c r="A72" s="124"/>
      <c r="B72" t="s">
        <v>64</v>
      </c>
      <c r="C72" s="1">
        <v>2</v>
      </c>
      <c r="D72" t="s">
        <v>37</v>
      </c>
      <c r="E72" t="s">
        <v>11</v>
      </c>
      <c r="F72" s="5">
        <v>2125</v>
      </c>
      <c r="G72" t="s">
        <v>75</v>
      </c>
      <c r="H72" s="5">
        <f>F72*CountTotal17</f>
        <v>4250</v>
      </c>
      <c r="M72" s="62" t="s">
        <v>59</v>
      </c>
      <c r="N72" s="63"/>
      <c r="O72" s="63"/>
      <c r="P72" s="63"/>
      <c r="Q72" s="63"/>
      <c r="R72" s="63"/>
      <c r="S72" s="63"/>
      <c r="T72" s="63"/>
      <c r="U72" s="63"/>
      <c r="V72" s="63"/>
      <c r="W72" s="68"/>
    </row>
    <row r="73" spans="1:23" ht="30" x14ac:dyDescent="0.25">
      <c r="A73" s="124"/>
      <c r="B73" s="12" t="s">
        <v>72</v>
      </c>
      <c r="C73" s="1">
        <v>1</v>
      </c>
      <c r="D73" t="s">
        <v>37</v>
      </c>
      <c r="E73" t="s">
        <v>11</v>
      </c>
      <c r="F73" s="5">
        <v>9100</v>
      </c>
      <c r="G73" t="s">
        <v>74</v>
      </c>
      <c r="H73" s="5">
        <f>F73*CountTotal18</f>
        <v>9100</v>
      </c>
      <c r="M73" s="58" t="s">
        <v>60</v>
      </c>
      <c r="N73" s="59"/>
      <c r="O73" s="59"/>
      <c r="P73" s="59"/>
      <c r="Q73" s="59"/>
      <c r="R73" s="59"/>
      <c r="S73" s="59"/>
      <c r="T73" s="59"/>
      <c r="U73" s="59" t="s">
        <v>110</v>
      </c>
      <c r="V73" s="60">
        <v>3150</v>
      </c>
      <c r="W73" s="61">
        <v>3800</v>
      </c>
    </row>
    <row r="74" spans="1:23" x14ac:dyDescent="0.25">
      <c r="A74" s="124"/>
      <c r="M74" s="62" t="s">
        <v>63</v>
      </c>
      <c r="N74" s="63"/>
      <c r="O74" s="63"/>
      <c r="P74" s="63"/>
      <c r="Q74" s="63"/>
      <c r="R74" s="63"/>
      <c r="S74" s="63"/>
      <c r="T74" s="63"/>
      <c r="U74" s="63"/>
      <c r="V74" s="63"/>
      <c r="W74" s="68"/>
    </row>
    <row r="75" spans="1:23" x14ac:dyDescent="0.25">
      <c r="A75" s="124"/>
      <c r="M75" s="58" t="s">
        <v>60</v>
      </c>
      <c r="N75" s="59"/>
      <c r="O75" s="59"/>
      <c r="P75" s="59"/>
      <c r="Q75" s="59"/>
      <c r="R75" s="59"/>
      <c r="S75" s="59"/>
      <c r="T75" s="59"/>
      <c r="U75" s="59" t="s">
        <v>110</v>
      </c>
      <c r="V75" s="60">
        <v>2125</v>
      </c>
      <c r="W75" s="61">
        <v>2600</v>
      </c>
    </row>
    <row r="76" spans="1:23" x14ac:dyDescent="0.25">
      <c r="A76" s="124"/>
      <c r="M76" s="15" t="s">
        <v>61</v>
      </c>
    </row>
    <row r="77" spans="1:23" ht="30" x14ac:dyDescent="0.25">
      <c r="A77" s="124"/>
      <c r="B77" s="12" t="s">
        <v>76</v>
      </c>
      <c r="C77" s="1">
        <v>1</v>
      </c>
      <c r="D77" t="s">
        <v>37</v>
      </c>
      <c r="E77" t="s">
        <v>11</v>
      </c>
      <c r="F77" s="5">
        <v>9100</v>
      </c>
      <c r="G77" t="s">
        <v>74</v>
      </c>
      <c r="H77" s="5">
        <f>F77*C77</f>
        <v>9100</v>
      </c>
    </row>
    <row r="78" spans="1:23" x14ac:dyDescent="0.25">
      <c r="A78" s="124"/>
      <c r="B78" t="s">
        <v>58</v>
      </c>
      <c r="C78" s="1">
        <v>5</v>
      </c>
      <c r="D78" t="s">
        <v>37</v>
      </c>
      <c r="E78" t="s">
        <v>11</v>
      </c>
      <c r="F78" s="5">
        <v>3150</v>
      </c>
      <c r="G78" t="s">
        <v>62</v>
      </c>
      <c r="H78" s="5">
        <f>F78*C78</f>
        <v>15750</v>
      </c>
    </row>
    <row r="79" spans="1:23" x14ac:dyDescent="0.25">
      <c r="A79" s="124"/>
      <c r="B79" t="s">
        <v>241</v>
      </c>
      <c r="C79" s="1">
        <v>1</v>
      </c>
      <c r="D79" t="s">
        <v>37</v>
      </c>
      <c r="E79" t="s">
        <v>11</v>
      </c>
      <c r="F79" s="5">
        <v>2125</v>
      </c>
      <c r="G79" t="s">
        <v>62</v>
      </c>
      <c r="H79" s="5">
        <f>F79*C79</f>
        <v>2125</v>
      </c>
      <c r="M79" s="8" t="s">
        <v>51</v>
      </c>
    </row>
    <row r="80" spans="1:23" x14ac:dyDescent="0.25">
      <c r="A80" s="124"/>
      <c r="M80" s="8" t="s">
        <v>65</v>
      </c>
    </row>
    <row r="81" spans="1:23" x14ac:dyDescent="0.25">
      <c r="A81" s="124"/>
      <c r="B81" t="s">
        <v>55</v>
      </c>
      <c r="C81" s="1">
        <v>1</v>
      </c>
      <c r="D81" t="s">
        <v>37</v>
      </c>
      <c r="E81" t="s">
        <v>7</v>
      </c>
      <c r="F81" s="5">
        <v>2125</v>
      </c>
      <c r="G81" t="s">
        <v>50</v>
      </c>
      <c r="H81" s="5">
        <f>F81*C81</f>
        <v>2125</v>
      </c>
      <c r="M81" t="s">
        <v>66</v>
      </c>
    </row>
    <row r="82" spans="1:23" x14ac:dyDescent="0.25">
      <c r="A82" s="124"/>
      <c r="B82" t="s">
        <v>77</v>
      </c>
      <c r="C82" s="1">
        <v>1</v>
      </c>
      <c r="D82" t="s">
        <v>37</v>
      </c>
      <c r="E82" t="s">
        <v>11</v>
      </c>
      <c r="F82" s="5">
        <v>3150</v>
      </c>
      <c r="G82" t="s">
        <v>75</v>
      </c>
      <c r="H82" s="5">
        <f>CountTotal20*F82</f>
        <v>3150</v>
      </c>
      <c r="M82" t="s">
        <v>67</v>
      </c>
    </row>
    <row r="83" spans="1:23" x14ac:dyDescent="0.25">
      <c r="B83" s="51" t="s">
        <v>46</v>
      </c>
      <c r="C83">
        <f>SUM(CountTotal17,CountTotal16,CountTotal11)</f>
        <v>4</v>
      </c>
      <c r="G83" t="s">
        <v>226</v>
      </c>
      <c r="H83" s="7">
        <f>SUM(H72,H79,H81)</f>
        <v>8500</v>
      </c>
      <c r="M83" t="s">
        <v>68</v>
      </c>
    </row>
    <row r="84" spans="1:23" x14ac:dyDescent="0.25">
      <c r="B84" s="51" t="s">
        <v>227</v>
      </c>
      <c r="C84">
        <f>SUM(CountTotal15,CountTotal20)</f>
        <v>6</v>
      </c>
      <c r="G84" t="s">
        <v>227</v>
      </c>
      <c r="H84" s="7">
        <f>SUM(H78,H82)</f>
        <v>18900</v>
      </c>
      <c r="I84" s="7"/>
      <c r="M84" t="s">
        <v>69</v>
      </c>
    </row>
    <row r="85" spans="1:23" x14ac:dyDescent="0.25">
      <c r="B85" s="51" t="s">
        <v>242</v>
      </c>
      <c r="C85">
        <f>SUM(CountTotal18,CountTotal19)</f>
        <v>2</v>
      </c>
      <c r="G85" t="s">
        <v>242</v>
      </c>
      <c r="H85" s="7">
        <f>SUM(H73,H77)</f>
        <v>18200</v>
      </c>
      <c r="I85" s="7"/>
      <c r="M85" t="s">
        <v>70</v>
      </c>
    </row>
    <row r="86" spans="1:23" x14ac:dyDescent="0.25">
      <c r="B86" s="51" t="s">
        <v>243</v>
      </c>
      <c r="C86">
        <f>SUM(C72:C82)-SUM(C83:C85)</f>
        <v>0</v>
      </c>
      <c r="G86" s="69" t="s">
        <v>243</v>
      </c>
      <c r="H86" s="52">
        <f>SUM(H72:H82)-SUM(H83:H85)</f>
        <v>0</v>
      </c>
      <c r="I86" s="7"/>
      <c r="M86" s="44" t="s">
        <v>73</v>
      </c>
      <c r="N86" s="45"/>
      <c r="O86" s="45"/>
      <c r="P86" s="45"/>
      <c r="Q86" s="45"/>
      <c r="R86" s="45"/>
      <c r="S86" s="45"/>
      <c r="T86" s="45"/>
      <c r="U86" s="45" t="s">
        <v>110</v>
      </c>
      <c r="V86" s="46">
        <v>9100</v>
      </c>
      <c r="W86" s="47">
        <v>11500</v>
      </c>
    </row>
    <row r="87" spans="1:23" x14ac:dyDescent="0.25">
      <c r="M87" s="15" t="s">
        <v>71</v>
      </c>
      <c r="P87" s="8"/>
      <c r="Q87" s="8"/>
    </row>
    <row r="88" spans="1:23" x14ac:dyDescent="0.25">
      <c r="H88" s="8"/>
      <c r="I88" s="7"/>
    </row>
    <row r="89" spans="1:23" x14ac:dyDescent="0.25">
      <c r="H89" s="8"/>
      <c r="I89" s="7"/>
    </row>
    <row r="90" spans="1:23" x14ac:dyDescent="0.25">
      <c r="H90" s="8"/>
      <c r="I90" s="7"/>
    </row>
    <row r="91" spans="1:23" x14ac:dyDescent="0.25">
      <c r="M91" s="8"/>
    </row>
    <row r="93" spans="1:23" x14ac:dyDescent="0.25">
      <c r="A93" s="3" t="s">
        <v>80</v>
      </c>
      <c r="B93" s="3" t="s">
        <v>81</v>
      </c>
      <c r="C93" s="3"/>
      <c r="D93" s="3"/>
      <c r="E93" s="3"/>
      <c r="F93" s="3"/>
      <c r="G93" s="3"/>
      <c r="H93" s="3"/>
      <c r="I93" s="14"/>
      <c r="J93" s="3"/>
      <c r="L93" s="3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</row>
    <row r="94" spans="1:23" x14ac:dyDescent="0.25">
      <c r="A94" s="124"/>
      <c r="B94" s="2" t="s">
        <v>0</v>
      </c>
      <c r="C94" s="2" t="s">
        <v>1</v>
      </c>
      <c r="D94" s="2" t="s">
        <v>3</v>
      </c>
      <c r="E94" s="2" t="s">
        <v>5</v>
      </c>
      <c r="F94" s="6" t="s">
        <v>15</v>
      </c>
      <c r="G94" s="2" t="s">
        <v>16</v>
      </c>
      <c r="H94" s="2" t="s">
        <v>17</v>
      </c>
      <c r="I94" s="14"/>
      <c r="J94" s="3"/>
      <c r="L94" s="3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</row>
    <row r="95" spans="1:23" x14ac:dyDescent="0.25">
      <c r="A95" s="124"/>
      <c r="F95" s="32"/>
    </row>
    <row r="96" spans="1:23" x14ac:dyDescent="0.25">
      <c r="A96" s="124"/>
      <c r="B96" s="37" t="s">
        <v>121</v>
      </c>
      <c r="C96" s="1">
        <v>486.87</v>
      </c>
      <c r="D96" t="s">
        <v>26</v>
      </c>
      <c r="E96" t="s">
        <v>11</v>
      </c>
      <c r="F96" s="5">
        <v>15.5</v>
      </c>
      <c r="G96" t="s">
        <v>102</v>
      </c>
      <c r="H96" s="5">
        <f>F96*AreaTotal8</f>
        <v>7546.4849999999997</v>
      </c>
      <c r="M96" s="8" t="s">
        <v>82</v>
      </c>
    </row>
    <row r="97" spans="1:25" x14ac:dyDescent="0.25">
      <c r="A97" s="124"/>
      <c r="F97" s="32"/>
      <c r="H97" s="7">
        <f>SUM(H96)</f>
        <v>7546.4849999999997</v>
      </c>
      <c r="W97" s="54"/>
    </row>
    <row r="98" spans="1:25" x14ac:dyDescent="0.25">
      <c r="A98" s="124"/>
      <c r="F98" s="32"/>
      <c r="H98" s="5"/>
      <c r="M98" s="8" t="s">
        <v>83</v>
      </c>
      <c r="W98" s="54"/>
    </row>
    <row r="99" spans="1:25" x14ac:dyDescent="0.25">
      <c r="A99" s="124"/>
      <c r="F99" s="32"/>
      <c r="H99" s="5"/>
      <c r="M99" t="s">
        <v>84</v>
      </c>
      <c r="W99" s="54"/>
    </row>
    <row r="100" spans="1:25" x14ac:dyDescent="0.25">
      <c r="A100" s="124"/>
      <c r="F100" s="32"/>
      <c r="W100" s="54"/>
    </row>
    <row r="101" spans="1:25" x14ac:dyDescent="0.25">
      <c r="A101" s="124"/>
      <c r="B101" s="29" t="s">
        <v>120</v>
      </c>
      <c r="C101" s="1">
        <v>617.82000000000005</v>
      </c>
      <c r="D101" t="s">
        <v>26</v>
      </c>
      <c r="E101" t="s">
        <v>11</v>
      </c>
      <c r="F101" s="33">
        <v>68</v>
      </c>
      <c r="G101" t="s">
        <v>102</v>
      </c>
      <c r="H101" s="5">
        <f>F101*C101</f>
        <v>42011.76</v>
      </c>
    </row>
    <row r="102" spans="1:25" x14ac:dyDescent="0.25">
      <c r="A102" s="124"/>
      <c r="F102" s="33"/>
      <c r="H102" s="7">
        <f>SUM(H101)</f>
        <v>42011.76</v>
      </c>
    </row>
    <row r="103" spans="1:25" x14ac:dyDescent="0.25">
      <c r="A103" s="124"/>
      <c r="F103" s="33"/>
      <c r="H103" s="5"/>
      <c r="M103" s="8" t="s">
        <v>85</v>
      </c>
    </row>
    <row r="104" spans="1:25" ht="18.75" x14ac:dyDescent="0.3">
      <c r="A104" s="124"/>
      <c r="F104" s="33"/>
      <c r="H104" s="5"/>
      <c r="M104" t="s">
        <v>86</v>
      </c>
      <c r="T104" s="21" t="s">
        <v>100</v>
      </c>
      <c r="U104" s="22"/>
    </row>
    <row r="105" spans="1:25" x14ac:dyDescent="0.25">
      <c r="A105" s="124"/>
      <c r="F105" s="32"/>
      <c r="H105" s="5"/>
      <c r="M105" s="40" t="s">
        <v>87</v>
      </c>
      <c r="N105" s="39"/>
      <c r="O105" s="40"/>
      <c r="P105" s="40"/>
      <c r="Q105" s="40"/>
      <c r="R105" s="40"/>
      <c r="S105" s="41"/>
      <c r="T105" s="27" t="s">
        <v>95</v>
      </c>
      <c r="U105" s="27"/>
      <c r="X105" s="48"/>
      <c r="Y105" s="48"/>
    </row>
    <row r="106" spans="1:25" x14ac:dyDescent="0.25">
      <c r="A106" s="124"/>
      <c r="B106" s="29" t="s">
        <v>101</v>
      </c>
      <c r="C106" s="1">
        <v>126.5</v>
      </c>
      <c r="D106" t="s">
        <v>26</v>
      </c>
      <c r="E106" t="s">
        <v>11</v>
      </c>
      <c r="F106" s="33">
        <v>62</v>
      </c>
      <c r="G106" t="s">
        <v>102</v>
      </c>
      <c r="H106" s="5">
        <f>F106*C106</f>
        <v>7843</v>
      </c>
      <c r="M106" s="15" t="s">
        <v>88</v>
      </c>
      <c r="T106" s="23">
        <v>18.100000000000001</v>
      </c>
      <c r="U106" s="17"/>
    </row>
    <row r="107" spans="1:25" x14ac:dyDescent="0.25">
      <c r="A107" s="124"/>
      <c r="B107" s="29" t="s">
        <v>101</v>
      </c>
      <c r="C107" s="1">
        <v>372.56</v>
      </c>
      <c r="D107" t="s">
        <v>26</v>
      </c>
      <c r="E107" t="s">
        <v>7</v>
      </c>
      <c r="F107" s="33">
        <v>62</v>
      </c>
      <c r="G107" t="s">
        <v>102</v>
      </c>
      <c r="H107" s="5">
        <f>F107*C107</f>
        <v>23098.720000000001</v>
      </c>
      <c r="T107" s="24">
        <v>22</v>
      </c>
      <c r="U107" s="18"/>
    </row>
    <row r="108" spans="1:25" x14ac:dyDescent="0.25">
      <c r="A108" s="124"/>
      <c r="B108" s="29" t="s">
        <v>101</v>
      </c>
      <c r="C108" s="1">
        <v>773.98</v>
      </c>
      <c r="D108" t="s">
        <v>26</v>
      </c>
      <c r="E108" t="s">
        <v>8</v>
      </c>
      <c r="F108" s="33">
        <v>62</v>
      </c>
      <c r="G108" t="s">
        <v>102</v>
      </c>
      <c r="H108" s="5">
        <f t="shared" ref="H108:H111" si="6">F108*C108</f>
        <v>47986.76</v>
      </c>
      <c r="T108" s="25">
        <f>MEDIAN(T106,T107)</f>
        <v>20.05</v>
      </c>
      <c r="U108" s="18"/>
    </row>
    <row r="109" spans="1:25" x14ac:dyDescent="0.25">
      <c r="A109" s="124"/>
      <c r="B109" s="29" t="s">
        <v>101</v>
      </c>
      <c r="C109" s="1">
        <v>773.98</v>
      </c>
      <c r="D109" t="s">
        <v>26</v>
      </c>
      <c r="E109" t="s">
        <v>9</v>
      </c>
      <c r="F109" s="33">
        <v>62</v>
      </c>
      <c r="G109" t="s">
        <v>102</v>
      </c>
      <c r="H109" s="5">
        <f t="shared" si="6"/>
        <v>47986.76</v>
      </c>
      <c r="M109" s="8" t="s">
        <v>98</v>
      </c>
      <c r="T109" s="24"/>
      <c r="U109" s="18"/>
    </row>
    <row r="110" spans="1:25" x14ac:dyDescent="0.25">
      <c r="A110" s="124"/>
      <c r="B110" s="29" t="s">
        <v>101</v>
      </c>
      <c r="C110" s="1">
        <v>773.98</v>
      </c>
      <c r="D110" t="s">
        <v>26</v>
      </c>
      <c r="E110" t="s">
        <v>10</v>
      </c>
      <c r="F110" s="33">
        <v>62</v>
      </c>
      <c r="G110" t="s">
        <v>102</v>
      </c>
      <c r="H110" s="5">
        <f t="shared" si="6"/>
        <v>47986.76</v>
      </c>
      <c r="M110" t="s">
        <v>89</v>
      </c>
      <c r="T110" s="24"/>
      <c r="U110" s="18"/>
    </row>
    <row r="111" spans="1:25" x14ac:dyDescent="0.25">
      <c r="A111" s="124"/>
      <c r="B111" s="29" t="s">
        <v>101</v>
      </c>
      <c r="C111" s="1">
        <v>714.14</v>
      </c>
      <c r="D111" t="s">
        <v>26</v>
      </c>
      <c r="E111" t="s">
        <v>6</v>
      </c>
      <c r="F111" s="33">
        <v>62</v>
      </c>
      <c r="G111" t="s">
        <v>102</v>
      </c>
      <c r="H111" s="5">
        <f t="shared" si="6"/>
        <v>44276.68</v>
      </c>
      <c r="M111" s="40" t="s">
        <v>90</v>
      </c>
      <c r="N111" s="39"/>
      <c r="O111" s="40"/>
      <c r="P111" s="40"/>
      <c r="Q111" s="40"/>
      <c r="R111" s="40"/>
      <c r="S111" s="41"/>
      <c r="T111" s="27" t="s">
        <v>91</v>
      </c>
      <c r="U111" s="28"/>
    </row>
    <row r="112" spans="1:25" x14ac:dyDescent="0.25">
      <c r="A112" s="124"/>
      <c r="C112" s="50">
        <f>SUM(C106:C111)</f>
        <v>3535.14</v>
      </c>
      <c r="F112" s="32"/>
      <c r="H112" s="7">
        <f>SUM(H106:H111)</f>
        <v>219178.68000000002</v>
      </c>
      <c r="M112" s="15" t="s">
        <v>96</v>
      </c>
      <c r="T112" s="24">
        <v>15.5</v>
      </c>
      <c r="U112" s="18"/>
    </row>
    <row r="113" spans="1:27" x14ac:dyDescent="0.25">
      <c r="A113" s="124"/>
      <c r="F113" s="32"/>
      <c r="H113" s="5"/>
      <c r="T113" s="24">
        <v>18.8</v>
      </c>
      <c r="U113" s="18"/>
    </row>
    <row r="114" spans="1:27" x14ac:dyDescent="0.25">
      <c r="A114" s="124"/>
      <c r="F114" s="32"/>
      <c r="H114" s="5"/>
      <c r="M114" s="30" t="s">
        <v>98</v>
      </c>
      <c r="T114" s="25">
        <f>MEDIAN(T112,T113)</f>
        <v>17.149999999999999</v>
      </c>
      <c r="U114" s="18"/>
    </row>
    <row r="115" spans="1:27" x14ac:dyDescent="0.25">
      <c r="A115" s="124"/>
      <c r="B115" s="37" t="s">
        <v>122</v>
      </c>
      <c r="C115" s="1">
        <v>9.3699999999999992</v>
      </c>
      <c r="D115" t="s">
        <v>26</v>
      </c>
      <c r="E115" t="s">
        <v>7</v>
      </c>
      <c r="F115" s="5">
        <v>15.5</v>
      </c>
      <c r="G115" t="s">
        <v>102</v>
      </c>
      <c r="H115" s="5">
        <f>F115*C115</f>
        <v>145.23499999999999</v>
      </c>
      <c r="M115" s="30" t="s">
        <v>92</v>
      </c>
      <c r="T115" s="24"/>
      <c r="U115" s="18"/>
      <c r="AA115" s="48"/>
    </row>
    <row r="116" spans="1:27" x14ac:dyDescent="0.25">
      <c r="A116" s="124"/>
      <c r="F116" s="32"/>
      <c r="H116" s="7">
        <f>SUM(H115)</f>
        <v>145.23499999999999</v>
      </c>
      <c r="M116" s="40" t="s">
        <v>93</v>
      </c>
      <c r="N116" s="39"/>
      <c r="O116" s="40"/>
      <c r="P116" s="40"/>
      <c r="Q116" s="40"/>
      <c r="R116" s="40"/>
      <c r="S116" s="41"/>
      <c r="T116" s="27" t="s">
        <v>94</v>
      </c>
      <c r="U116" s="28"/>
    </row>
    <row r="117" spans="1:27" x14ac:dyDescent="0.25">
      <c r="A117" s="124"/>
      <c r="F117" s="32"/>
      <c r="H117" s="5"/>
      <c r="M117" s="31" t="s">
        <v>97</v>
      </c>
      <c r="T117" s="34">
        <v>62</v>
      </c>
      <c r="U117" s="18"/>
    </row>
    <row r="118" spans="1:27" x14ac:dyDescent="0.25">
      <c r="A118" s="124"/>
      <c r="F118" s="32"/>
      <c r="T118" s="24">
        <v>75</v>
      </c>
      <c r="U118" s="18"/>
    </row>
    <row r="119" spans="1:27" x14ac:dyDescent="0.25">
      <c r="A119" s="124"/>
      <c r="F119" s="32"/>
      <c r="M119" s="36" t="s">
        <v>98</v>
      </c>
      <c r="T119" s="25">
        <f>MEDIAN(T117,T118)</f>
        <v>68.5</v>
      </c>
      <c r="U119" s="18"/>
    </row>
    <row r="120" spans="1:27" x14ac:dyDescent="0.25">
      <c r="A120" s="124"/>
      <c r="F120" s="32"/>
      <c r="M120" s="40" t="s">
        <v>99</v>
      </c>
      <c r="N120" s="39"/>
      <c r="O120" s="40"/>
      <c r="P120" s="40"/>
      <c r="Q120" s="40"/>
      <c r="R120" s="40"/>
      <c r="S120" s="41"/>
      <c r="T120" s="27" t="s">
        <v>91</v>
      </c>
      <c r="U120" s="28"/>
    </row>
    <row r="121" spans="1:27" x14ac:dyDescent="0.25">
      <c r="F121" s="32"/>
      <c r="M121" s="38" t="s">
        <v>97</v>
      </c>
      <c r="T121" s="16">
        <v>15.5</v>
      </c>
      <c r="U121" s="17"/>
    </row>
    <row r="122" spans="1:27" x14ac:dyDescent="0.25">
      <c r="F122" s="32"/>
      <c r="T122" s="24">
        <v>18.8</v>
      </c>
      <c r="U122" s="18"/>
    </row>
    <row r="123" spans="1:27" x14ac:dyDescent="0.25">
      <c r="F123" s="32"/>
      <c r="T123" s="26">
        <f>MEDIAN(T121,T122)</f>
        <v>17.149999999999999</v>
      </c>
      <c r="U123" s="19"/>
    </row>
    <row r="126" spans="1:27" x14ac:dyDescent="0.25">
      <c r="A126" s="3" t="s">
        <v>307</v>
      </c>
      <c r="B126" s="3" t="s">
        <v>308</v>
      </c>
      <c r="C126" s="3"/>
      <c r="D126" s="3"/>
      <c r="E126" s="3"/>
      <c r="F126" s="3"/>
      <c r="G126" s="3"/>
      <c r="H126" s="3"/>
      <c r="I126" s="14"/>
      <c r="J126" s="3"/>
      <c r="L126" s="3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</row>
    <row r="127" spans="1:27" x14ac:dyDescent="0.25">
      <c r="A127" s="124"/>
      <c r="B127" s="2" t="s">
        <v>0</v>
      </c>
      <c r="C127" s="2" t="s">
        <v>1</v>
      </c>
      <c r="D127" s="2" t="s">
        <v>3</v>
      </c>
      <c r="E127" s="2" t="s">
        <v>5</v>
      </c>
      <c r="F127" s="6" t="s">
        <v>15</v>
      </c>
      <c r="G127" s="2" t="s">
        <v>16</v>
      </c>
      <c r="H127" s="2" t="s">
        <v>17</v>
      </c>
      <c r="I127" s="14"/>
      <c r="J127" s="3"/>
      <c r="L127" s="3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</row>
    <row r="128" spans="1:27" x14ac:dyDescent="0.25">
      <c r="A128" s="124"/>
      <c r="F128" s="32"/>
    </row>
    <row r="129" spans="1:23" x14ac:dyDescent="0.25">
      <c r="A129" s="120" t="s">
        <v>320</v>
      </c>
      <c r="B129" t="s">
        <v>318</v>
      </c>
      <c r="C129">
        <f>AreaTotal8</f>
        <v>486.87</v>
      </c>
      <c r="D129" t="s">
        <v>26</v>
      </c>
      <c r="E129" t="s">
        <v>11</v>
      </c>
      <c r="F129" s="5">
        <v>21.5</v>
      </c>
      <c r="G129" t="s">
        <v>319</v>
      </c>
      <c r="H129" s="5">
        <f>F129*C129</f>
        <v>10467.705</v>
      </c>
      <c r="M129" s="8" t="s">
        <v>309</v>
      </c>
    </row>
    <row r="130" spans="1:23" x14ac:dyDescent="0.25">
      <c r="A130" s="124"/>
      <c r="H130" s="7">
        <f>SUM(H129)</f>
        <v>10467.705</v>
      </c>
      <c r="M130" t="s">
        <v>310</v>
      </c>
    </row>
    <row r="131" spans="1:23" x14ac:dyDescent="0.25">
      <c r="A131" s="124"/>
      <c r="M131" s="44" t="s">
        <v>311</v>
      </c>
      <c r="N131" s="45"/>
      <c r="O131" s="45"/>
      <c r="P131" s="45"/>
      <c r="Q131" s="45"/>
      <c r="R131" s="45"/>
      <c r="S131" s="45"/>
      <c r="T131" s="45"/>
      <c r="U131" s="45" t="s">
        <v>144</v>
      </c>
      <c r="V131" s="46">
        <v>21.5</v>
      </c>
      <c r="W131" s="47">
        <v>28</v>
      </c>
    </row>
    <row r="132" spans="1:23" x14ac:dyDescent="0.25">
      <c r="A132" s="120" t="s">
        <v>320</v>
      </c>
      <c r="B132" t="s">
        <v>317</v>
      </c>
      <c r="C132">
        <f>AreaTotal7</f>
        <v>617.82000000000005</v>
      </c>
      <c r="D132" t="s">
        <v>26</v>
      </c>
      <c r="E132" t="s">
        <v>11</v>
      </c>
      <c r="F132" s="5">
        <v>21.5</v>
      </c>
      <c r="G132" t="s">
        <v>319</v>
      </c>
      <c r="H132" s="5">
        <f>F132*C132</f>
        <v>13283.130000000001</v>
      </c>
      <c r="M132" s="15" t="s">
        <v>312</v>
      </c>
    </row>
    <row r="133" spans="1:23" x14ac:dyDescent="0.25">
      <c r="A133" s="124"/>
      <c r="H133" s="7">
        <f>SUM(H132)</f>
        <v>13283.130000000001</v>
      </c>
    </row>
    <row r="134" spans="1:23" x14ac:dyDescent="0.25">
      <c r="A134" s="124"/>
      <c r="M134" s="8" t="s">
        <v>313</v>
      </c>
    </row>
    <row r="135" spans="1:23" x14ac:dyDescent="0.25">
      <c r="A135" s="120" t="s">
        <v>307</v>
      </c>
      <c r="B135" t="s">
        <v>316</v>
      </c>
      <c r="C135">
        <f>AreaTotal6</f>
        <v>126.5</v>
      </c>
      <c r="D135" t="s">
        <v>26</v>
      </c>
      <c r="E135" t="s">
        <v>11</v>
      </c>
      <c r="F135" s="5">
        <v>24</v>
      </c>
      <c r="G135" t="s">
        <v>319</v>
      </c>
      <c r="H135" s="5">
        <f>F135*C135</f>
        <v>3036</v>
      </c>
      <c r="M135" t="s">
        <v>314</v>
      </c>
    </row>
    <row r="136" spans="1:23" x14ac:dyDescent="0.25">
      <c r="A136" s="124"/>
      <c r="B136" t="s">
        <v>316</v>
      </c>
      <c r="C136">
        <f>AreaTotal1</f>
        <v>372.56</v>
      </c>
      <c r="D136" t="s">
        <v>26</v>
      </c>
      <c r="E136" t="s">
        <v>7</v>
      </c>
      <c r="F136" s="5">
        <v>24</v>
      </c>
      <c r="G136" t="s">
        <v>319</v>
      </c>
      <c r="H136" s="5">
        <f t="shared" ref="H136:H140" si="7">F136*C136</f>
        <v>8941.44</v>
      </c>
      <c r="M136" s="44" t="s">
        <v>315</v>
      </c>
      <c r="N136" s="45"/>
      <c r="O136" s="45"/>
      <c r="P136" s="45"/>
      <c r="Q136" s="45"/>
      <c r="R136" s="45"/>
      <c r="S136" s="45"/>
      <c r="T136" s="45"/>
      <c r="U136" s="45" t="s">
        <v>144</v>
      </c>
      <c r="V136" s="46">
        <v>24</v>
      </c>
      <c r="W136" s="47">
        <v>29</v>
      </c>
    </row>
    <row r="137" spans="1:23" x14ac:dyDescent="0.25">
      <c r="A137" s="124"/>
      <c r="B137" t="s">
        <v>316</v>
      </c>
      <c r="C137">
        <f>AreaTotal2</f>
        <v>773.98</v>
      </c>
      <c r="D137" t="s">
        <v>26</v>
      </c>
      <c r="E137" t="s">
        <v>8</v>
      </c>
      <c r="F137" s="5">
        <v>24</v>
      </c>
      <c r="G137" t="s">
        <v>319</v>
      </c>
      <c r="H137" s="5">
        <f t="shared" si="7"/>
        <v>18575.52</v>
      </c>
      <c r="M137" s="15" t="s">
        <v>312</v>
      </c>
    </row>
    <row r="138" spans="1:23" x14ac:dyDescent="0.25">
      <c r="A138" s="124"/>
      <c r="B138" t="s">
        <v>316</v>
      </c>
      <c r="C138">
        <f>AreaTotal3</f>
        <v>773.98</v>
      </c>
      <c r="D138" t="s">
        <v>26</v>
      </c>
      <c r="E138" t="s">
        <v>9</v>
      </c>
      <c r="F138" s="5">
        <v>24</v>
      </c>
      <c r="G138" t="s">
        <v>319</v>
      </c>
      <c r="H138" s="5">
        <f t="shared" si="7"/>
        <v>18575.52</v>
      </c>
    </row>
    <row r="139" spans="1:23" x14ac:dyDescent="0.25">
      <c r="A139" s="124"/>
      <c r="B139" t="s">
        <v>316</v>
      </c>
      <c r="C139">
        <f>AreaTotal4</f>
        <v>773.98</v>
      </c>
      <c r="D139" t="s">
        <v>26</v>
      </c>
      <c r="E139" t="s">
        <v>10</v>
      </c>
      <c r="F139" s="5">
        <v>24</v>
      </c>
      <c r="G139" t="s">
        <v>319</v>
      </c>
      <c r="H139" s="5">
        <f t="shared" si="7"/>
        <v>18575.52</v>
      </c>
      <c r="M139" s="8" t="s">
        <v>313</v>
      </c>
    </row>
    <row r="140" spans="1:23" x14ac:dyDescent="0.25">
      <c r="A140" s="124"/>
      <c r="B140" t="s">
        <v>316</v>
      </c>
      <c r="C140">
        <f>AreaTotal5</f>
        <v>714.14</v>
      </c>
      <c r="D140" t="s">
        <v>26</v>
      </c>
      <c r="E140" t="s">
        <v>6</v>
      </c>
      <c r="F140" s="5">
        <v>24</v>
      </c>
      <c r="G140" t="s">
        <v>319</v>
      </c>
      <c r="H140" s="5">
        <f t="shared" si="7"/>
        <v>17139.36</v>
      </c>
      <c r="M140" s="8" t="s">
        <v>321</v>
      </c>
    </row>
    <row r="141" spans="1:23" x14ac:dyDescent="0.25">
      <c r="A141" s="124"/>
      <c r="B141" s="51" t="s">
        <v>295</v>
      </c>
      <c r="C141" s="35">
        <f>SUM(C135:C140)</f>
        <v>3535.14</v>
      </c>
      <c r="D141" t="s">
        <v>26</v>
      </c>
      <c r="H141" s="7">
        <f>SUM(H135:H140)</f>
        <v>84843.36</v>
      </c>
      <c r="M141" t="s">
        <v>322</v>
      </c>
    </row>
    <row r="142" spans="1:23" x14ac:dyDescent="0.25">
      <c r="A142" s="124"/>
      <c r="M142" s="44" t="s">
        <v>323</v>
      </c>
      <c r="N142" s="45"/>
      <c r="O142" s="45"/>
      <c r="P142" s="45"/>
      <c r="Q142" s="45"/>
      <c r="R142" s="45"/>
      <c r="S142" s="45"/>
      <c r="T142" s="45"/>
      <c r="U142" s="45" t="s">
        <v>144</v>
      </c>
      <c r="V142" s="46">
        <v>2.5</v>
      </c>
      <c r="W142" s="47">
        <v>6.3</v>
      </c>
    </row>
    <row r="143" spans="1:23" x14ac:dyDescent="0.25">
      <c r="A143" s="120" t="s">
        <v>307</v>
      </c>
      <c r="B143" t="s">
        <v>324</v>
      </c>
      <c r="C143">
        <f>AreaTotal6</f>
        <v>126.5</v>
      </c>
      <c r="D143" t="s">
        <v>26</v>
      </c>
      <c r="E143" t="s">
        <v>11</v>
      </c>
      <c r="F143" s="5">
        <v>5.2</v>
      </c>
      <c r="G143" t="s">
        <v>319</v>
      </c>
      <c r="H143" s="5">
        <f>F143*C143</f>
        <v>657.80000000000007</v>
      </c>
      <c r="M143" s="15" t="s">
        <v>312</v>
      </c>
    </row>
    <row r="144" spans="1:23" x14ac:dyDescent="0.25">
      <c r="A144" s="124"/>
      <c r="B144" t="s">
        <v>324</v>
      </c>
      <c r="C144">
        <f>AreaTotal1</f>
        <v>372.56</v>
      </c>
      <c r="D144" t="s">
        <v>26</v>
      </c>
      <c r="E144" t="s">
        <v>7</v>
      </c>
      <c r="F144" s="5">
        <v>5.2</v>
      </c>
      <c r="G144" t="s">
        <v>319</v>
      </c>
      <c r="H144" s="5">
        <f t="shared" ref="H144:H148" si="8">F144*C144</f>
        <v>1937.3120000000001</v>
      </c>
    </row>
    <row r="145" spans="1:23" x14ac:dyDescent="0.25">
      <c r="A145" s="124"/>
      <c r="B145" t="s">
        <v>324</v>
      </c>
      <c r="C145">
        <f>AreaTotal2</f>
        <v>773.98</v>
      </c>
      <c r="D145" t="s">
        <v>26</v>
      </c>
      <c r="E145" t="s">
        <v>8</v>
      </c>
      <c r="F145" s="5">
        <v>5.2</v>
      </c>
      <c r="G145" t="s">
        <v>319</v>
      </c>
      <c r="H145" s="5">
        <f t="shared" si="8"/>
        <v>4024.6960000000004</v>
      </c>
    </row>
    <row r="146" spans="1:23" x14ac:dyDescent="0.25">
      <c r="A146" s="124"/>
      <c r="B146" t="s">
        <v>324</v>
      </c>
      <c r="C146">
        <f>AreaTotal3</f>
        <v>773.98</v>
      </c>
      <c r="D146" t="s">
        <v>26</v>
      </c>
      <c r="E146" t="s">
        <v>9</v>
      </c>
      <c r="F146" s="5">
        <v>5.2</v>
      </c>
      <c r="G146" t="s">
        <v>319</v>
      </c>
      <c r="H146" s="5">
        <f t="shared" si="8"/>
        <v>4024.6960000000004</v>
      </c>
    </row>
    <row r="147" spans="1:23" x14ac:dyDescent="0.25">
      <c r="A147" s="124"/>
      <c r="B147" t="s">
        <v>324</v>
      </c>
      <c r="C147">
        <f>AreaTotal4</f>
        <v>773.98</v>
      </c>
      <c r="D147" t="s">
        <v>26</v>
      </c>
      <c r="E147" t="s">
        <v>10</v>
      </c>
      <c r="F147" s="5">
        <v>5.2</v>
      </c>
      <c r="G147" t="s">
        <v>319</v>
      </c>
      <c r="H147" s="5">
        <f t="shared" si="8"/>
        <v>4024.6960000000004</v>
      </c>
    </row>
    <row r="148" spans="1:23" x14ac:dyDescent="0.25">
      <c r="A148" s="124"/>
      <c r="B148" t="s">
        <v>324</v>
      </c>
      <c r="C148">
        <f>AreaTotal5</f>
        <v>714.14</v>
      </c>
      <c r="D148" t="s">
        <v>26</v>
      </c>
      <c r="E148" t="s">
        <v>6</v>
      </c>
      <c r="F148" s="5">
        <v>5.2</v>
      </c>
      <c r="G148" t="s">
        <v>319</v>
      </c>
      <c r="H148" s="5">
        <f t="shared" si="8"/>
        <v>3713.5280000000002</v>
      </c>
    </row>
    <row r="149" spans="1:23" x14ac:dyDescent="0.25">
      <c r="A149" s="124"/>
      <c r="B149" s="51" t="s">
        <v>295</v>
      </c>
      <c r="C149" s="35">
        <f>SUM(C143:C148)</f>
        <v>3535.14</v>
      </c>
      <c r="D149" t="s">
        <v>26</v>
      </c>
      <c r="H149" s="7">
        <f>SUM(H143:H148)</f>
        <v>18382.728000000003</v>
      </c>
    </row>
    <row r="150" spans="1:23" x14ac:dyDescent="0.25">
      <c r="A150" s="124"/>
      <c r="M150">
        <f>SUM(C129,C135,C136,C137,C138,C139,C140,C132)</f>
        <v>4639.83</v>
      </c>
    </row>
    <row r="151" spans="1:23" x14ac:dyDescent="0.25">
      <c r="A151" s="124"/>
    </row>
    <row r="153" spans="1:23" x14ac:dyDescent="0.25">
      <c r="A153" s="3" t="s">
        <v>104</v>
      </c>
      <c r="B153" s="3" t="s">
        <v>103</v>
      </c>
      <c r="C153" s="3"/>
      <c r="D153" s="3"/>
      <c r="E153" s="3"/>
      <c r="F153" s="3"/>
      <c r="G153" s="3"/>
      <c r="H153" s="3"/>
      <c r="I153" s="14"/>
      <c r="J153" s="3"/>
      <c r="L153" s="3"/>
      <c r="M153" s="14"/>
      <c r="N153" s="14"/>
      <c r="O153" s="14"/>
      <c r="P153" s="14"/>
      <c r="Q153" s="14"/>
      <c r="R153" s="14"/>
      <c r="S153" s="14"/>
      <c r="T153" s="14"/>
      <c r="U153" s="14"/>
      <c r="V153" s="55"/>
      <c r="W153" s="55"/>
    </row>
    <row r="154" spans="1:23" x14ac:dyDescent="0.25">
      <c r="A154" s="124"/>
      <c r="B154" s="2" t="s">
        <v>0</v>
      </c>
      <c r="C154" s="2" t="s">
        <v>1</v>
      </c>
      <c r="D154" s="2" t="s">
        <v>3</v>
      </c>
      <c r="E154" s="2" t="s">
        <v>5</v>
      </c>
      <c r="F154" s="6" t="s">
        <v>15</v>
      </c>
      <c r="G154" s="2" t="s">
        <v>16</v>
      </c>
      <c r="H154" s="2" t="s">
        <v>17</v>
      </c>
      <c r="I154" s="14"/>
      <c r="J154" s="3"/>
      <c r="L154" s="3"/>
      <c r="M154" s="14"/>
      <c r="N154" s="14"/>
      <c r="O154" s="14"/>
      <c r="P154" s="14"/>
      <c r="Q154" s="14"/>
      <c r="R154" s="14"/>
      <c r="S154" s="14"/>
      <c r="T154" s="14"/>
      <c r="U154" s="14"/>
      <c r="V154" s="55"/>
      <c r="W154" s="55"/>
    </row>
    <row r="155" spans="1:23" x14ac:dyDescent="0.25">
      <c r="A155" s="124"/>
    </row>
    <row r="156" spans="1:23" x14ac:dyDescent="0.25">
      <c r="A156" s="124"/>
      <c r="B156" t="s">
        <v>114</v>
      </c>
      <c r="C156" s="1">
        <v>4</v>
      </c>
      <c r="D156" t="s">
        <v>37</v>
      </c>
      <c r="E156" t="s">
        <v>7</v>
      </c>
      <c r="F156" s="5">
        <v>5600</v>
      </c>
      <c r="G156" t="s">
        <v>105</v>
      </c>
      <c r="H156" s="5">
        <f>F156*C156</f>
        <v>22400</v>
      </c>
      <c r="M156" s="8" t="s">
        <v>106</v>
      </c>
    </row>
    <row r="157" spans="1:23" x14ac:dyDescent="0.25">
      <c r="A157" s="124"/>
      <c r="B157" t="s">
        <v>115</v>
      </c>
      <c r="C157" s="1">
        <v>3</v>
      </c>
      <c r="D157" t="s">
        <v>37</v>
      </c>
      <c r="E157" t="s">
        <v>7</v>
      </c>
      <c r="F157" s="5">
        <v>7600</v>
      </c>
      <c r="G157" t="s">
        <v>105</v>
      </c>
      <c r="H157" s="5">
        <f>F157*C157</f>
        <v>22800</v>
      </c>
      <c r="M157" s="8" t="s">
        <v>107</v>
      </c>
    </row>
    <row r="158" spans="1:23" x14ac:dyDescent="0.25">
      <c r="A158" s="124"/>
      <c r="M158" t="s">
        <v>108</v>
      </c>
    </row>
    <row r="159" spans="1:23" x14ac:dyDescent="0.25">
      <c r="A159" s="124"/>
      <c r="B159" t="s">
        <v>114</v>
      </c>
      <c r="C159" s="1">
        <v>29</v>
      </c>
      <c r="D159" t="s">
        <v>37</v>
      </c>
      <c r="E159" t="s">
        <v>8</v>
      </c>
      <c r="F159" s="5">
        <v>5600</v>
      </c>
      <c r="G159" t="s">
        <v>105</v>
      </c>
      <c r="H159" s="5">
        <f>F159*C159</f>
        <v>162400</v>
      </c>
      <c r="M159" t="s">
        <v>109</v>
      </c>
    </row>
    <row r="160" spans="1:23" x14ac:dyDescent="0.25">
      <c r="A160" s="124"/>
      <c r="B160" t="s">
        <v>115</v>
      </c>
      <c r="C160" s="1">
        <v>3</v>
      </c>
      <c r="D160" t="s">
        <v>37</v>
      </c>
      <c r="E160" t="s">
        <v>8</v>
      </c>
      <c r="F160" s="5">
        <v>7600</v>
      </c>
      <c r="G160" t="s">
        <v>105</v>
      </c>
      <c r="H160" s="5">
        <f>F160*C160</f>
        <v>22800</v>
      </c>
      <c r="M160" s="44" t="s">
        <v>111</v>
      </c>
      <c r="N160" s="45"/>
      <c r="O160" s="45"/>
      <c r="P160" s="45"/>
      <c r="Q160" s="45"/>
      <c r="R160" s="45"/>
      <c r="S160" s="45"/>
      <c r="T160" s="45"/>
      <c r="U160" s="45" t="s">
        <v>110</v>
      </c>
      <c r="V160" s="46">
        <v>5600</v>
      </c>
      <c r="W160" s="47">
        <v>7100</v>
      </c>
    </row>
    <row r="161" spans="1:23" x14ac:dyDescent="0.25">
      <c r="A161" s="124"/>
      <c r="M161" s="44" t="s">
        <v>112</v>
      </c>
      <c r="N161" s="45"/>
      <c r="O161" s="45"/>
      <c r="P161" s="45"/>
      <c r="Q161" s="45"/>
      <c r="R161" s="45"/>
      <c r="S161" s="45"/>
      <c r="T161" s="45"/>
      <c r="U161" s="45" t="s">
        <v>110</v>
      </c>
      <c r="V161" s="46">
        <v>7600</v>
      </c>
      <c r="W161" s="47">
        <v>9500</v>
      </c>
    </row>
    <row r="162" spans="1:23" x14ac:dyDescent="0.25">
      <c r="A162" s="124"/>
      <c r="B162" t="s">
        <v>114</v>
      </c>
      <c r="C162" s="1">
        <v>29</v>
      </c>
      <c r="D162" t="s">
        <v>37</v>
      </c>
      <c r="E162" t="s">
        <v>9</v>
      </c>
      <c r="F162" s="5">
        <v>5600</v>
      </c>
      <c r="G162" t="s">
        <v>105</v>
      </c>
      <c r="H162" s="5">
        <f>F162*C162</f>
        <v>162400</v>
      </c>
      <c r="M162" s="15" t="s">
        <v>113</v>
      </c>
    </row>
    <row r="163" spans="1:23" x14ac:dyDescent="0.25">
      <c r="A163" s="124"/>
      <c r="B163" t="s">
        <v>115</v>
      </c>
      <c r="C163" s="1">
        <v>3</v>
      </c>
      <c r="D163" t="s">
        <v>37</v>
      </c>
      <c r="E163" t="s">
        <v>9</v>
      </c>
      <c r="F163" s="5">
        <v>7600</v>
      </c>
      <c r="G163" t="s">
        <v>105</v>
      </c>
      <c r="H163" s="5">
        <f>F163*C163</f>
        <v>22800</v>
      </c>
    </row>
    <row r="164" spans="1:23" x14ac:dyDescent="0.25">
      <c r="A164" s="124"/>
    </row>
    <row r="165" spans="1:23" x14ac:dyDescent="0.25">
      <c r="A165" s="124"/>
      <c r="B165" t="s">
        <v>114</v>
      </c>
      <c r="C165" s="1">
        <v>29</v>
      </c>
      <c r="D165" t="s">
        <v>37</v>
      </c>
      <c r="E165" t="s">
        <v>10</v>
      </c>
      <c r="F165" s="5">
        <v>5600</v>
      </c>
      <c r="G165" t="s">
        <v>105</v>
      </c>
      <c r="H165" s="5">
        <f>F165*C165</f>
        <v>162400</v>
      </c>
    </row>
    <row r="166" spans="1:23" x14ac:dyDescent="0.25">
      <c r="A166" s="124"/>
      <c r="B166" t="s">
        <v>115</v>
      </c>
      <c r="C166" s="1">
        <v>3</v>
      </c>
      <c r="D166" t="s">
        <v>37</v>
      </c>
      <c r="E166" t="s">
        <v>10</v>
      </c>
      <c r="F166" s="5">
        <v>7600</v>
      </c>
      <c r="G166" t="s">
        <v>105</v>
      </c>
      <c r="H166" s="5">
        <f>F166*C166</f>
        <v>22800</v>
      </c>
    </row>
    <row r="167" spans="1:23" x14ac:dyDescent="0.25">
      <c r="A167" s="124"/>
    </row>
    <row r="168" spans="1:23" x14ac:dyDescent="0.25">
      <c r="A168" s="124"/>
      <c r="B168" t="s">
        <v>114</v>
      </c>
      <c r="C168" s="1">
        <v>29</v>
      </c>
      <c r="D168" t="s">
        <v>37</v>
      </c>
      <c r="E168" t="s">
        <v>6</v>
      </c>
      <c r="F168" s="5">
        <v>5600</v>
      </c>
      <c r="G168" t="s">
        <v>105</v>
      </c>
      <c r="H168" s="5">
        <f>F168*C168</f>
        <v>162400</v>
      </c>
    </row>
    <row r="169" spans="1:23" x14ac:dyDescent="0.25">
      <c r="A169" s="124"/>
      <c r="B169" t="s">
        <v>115</v>
      </c>
      <c r="C169" s="1">
        <v>0</v>
      </c>
      <c r="D169" t="s">
        <v>37</v>
      </c>
      <c r="E169" t="s">
        <v>6</v>
      </c>
      <c r="F169" s="5">
        <v>7600</v>
      </c>
      <c r="G169" t="s">
        <v>105</v>
      </c>
      <c r="H169" s="5">
        <f>F169*C169</f>
        <v>0</v>
      </c>
    </row>
    <row r="170" spans="1:23" x14ac:dyDescent="0.25">
      <c r="A170" s="124"/>
    </row>
    <row r="171" spans="1:23" x14ac:dyDescent="0.25">
      <c r="A171" s="124"/>
      <c r="B171" s="51" t="s">
        <v>224</v>
      </c>
      <c r="C171" s="50">
        <f>SUM(CountTotal22,CountTotal24,CountTotal26,CountTotal28,CountTotal30)</f>
        <v>120</v>
      </c>
      <c r="G171" s="35" t="s">
        <v>117</v>
      </c>
      <c r="H171" s="7">
        <f>SUM(H156,H159,H162,H165,H168)</f>
        <v>672000</v>
      </c>
    </row>
    <row r="172" spans="1:23" x14ac:dyDescent="0.25">
      <c r="A172" s="124"/>
      <c r="B172" s="51" t="s">
        <v>118</v>
      </c>
      <c r="C172" s="50">
        <f>SUM(CountTotal23,CountTotal25,CountTotal27,CountTotal29,C169)</f>
        <v>12</v>
      </c>
      <c r="G172" s="35" t="s">
        <v>118</v>
      </c>
      <c r="H172" s="7">
        <f>SUM(H157,H160,H163,H166,H169)</f>
        <v>91200</v>
      </c>
    </row>
    <row r="173" spans="1:23" x14ac:dyDescent="0.25">
      <c r="A173" s="124"/>
      <c r="B173" s="51" t="s">
        <v>225</v>
      </c>
      <c r="C173">
        <f>(C171+C172)-SUM(C156:C169)</f>
        <v>0</v>
      </c>
      <c r="G173" s="35"/>
      <c r="H173" s="35"/>
    </row>
    <row r="174" spans="1:23" x14ac:dyDescent="0.25">
      <c r="G174" s="35" t="s">
        <v>119</v>
      </c>
      <c r="H174" s="7">
        <f>SUM(H171,H172)</f>
        <v>763200</v>
      </c>
    </row>
    <row r="177" spans="1:23" x14ac:dyDescent="0.25">
      <c r="A177" s="3" t="s">
        <v>392</v>
      </c>
      <c r="B177" s="3" t="s">
        <v>393</v>
      </c>
      <c r="C177" s="3"/>
      <c r="D177" s="3"/>
      <c r="E177" s="3"/>
      <c r="F177" s="3"/>
      <c r="G177" s="3"/>
      <c r="H177" s="3"/>
      <c r="I177" s="14"/>
      <c r="J177" s="3"/>
      <c r="L177" s="3"/>
      <c r="M177" s="14"/>
      <c r="N177" s="14"/>
      <c r="O177" s="14"/>
      <c r="P177" s="14"/>
      <c r="Q177" s="14"/>
      <c r="R177" s="14"/>
      <c r="S177" s="14"/>
      <c r="T177" s="14"/>
      <c r="U177" s="14"/>
      <c r="V177" s="55"/>
      <c r="W177" s="55"/>
    </row>
    <row r="178" spans="1:23" x14ac:dyDescent="0.25">
      <c r="A178" s="124"/>
      <c r="B178" s="2" t="s">
        <v>0</v>
      </c>
      <c r="C178" s="2" t="s">
        <v>1</v>
      </c>
      <c r="D178" s="2" t="s">
        <v>3</v>
      </c>
      <c r="E178" s="2" t="s">
        <v>5</v>
      </c>
      <c r="F178" s="6" t="s">
        <v>15</v>
      </c>
      <c r="G178" s="2" t="s">
        <v>16</v>
      </c>
      <c r="H178" s="2" t="s">
        <v>17</v>
      </c>
      <c r="I178" s="14"/>
      <c r="J178" s="3"/>
      <c r="L178" s="3"/>
      <c r="M178" s="14"/>
      <c r="N178" s="14"/>
      <c r="O178" s="14"/>
      <c r="P178" s="14"/>
      <c r="Q178" s="14"/>
      <c r="R178" s="14"/>
      <c r="S178" s="14"/>
      <c r="T178" s="14"/>
      <c r="U178" s="14"/>
      <c r="V178" s="55"/>
      <c r="W178" s="55"/>
    </row>
    <row r="179" spans="1:23" x14ac:dyDescent="0.25">
      <c r="A179" s="124"/>
    </row>
    <row r="180" spans="1:23" x14ac:dyDescent="0.25">
      <c r="A180" s="124"/>
      <c r="B180" t="s">
        <v>396</v>
      </c>
      <c r="C180">
        <f>C129</f>
        <v>486.87</v>
      </c>
      <c r="D180" t="s">
        <v>26</v>
      </c>
      <c r="E180" t="s">
        <v>11</v>
      </c>
      <c r="F180" s="5">
        <v>1.6</v>
      </c>
      <c r="G180" t="s">
        <v>399</v>
      </c>
      <c r="H180" s="5">
        <f>F180*C180</f>
        <v>778.99200000000008</v>
      </c>
      <c r="M180" s="8" t="s">
        <v>400</v>
      </c>
    </row>
    <row r="181" spans="1:23" x14ac:dyDescent="0.25">
      <c r="A181" s="124"/>
      <c r="M181" t="s">
        <v>394</v>
      </c>
    </row>
    <row r="182" spans="1:23" x14ac:dyDescent="0.25">
      <c r="A182" s="124"/>
      <c r="B182" t="s">
        <v>397</v>
      </c>
      <c r="C182">
        <f>C132</f>
        <v>617.82000000000005</v>
      </c>
      <c r="D182" t="s">
        <v>26</v>
      </c>
      <c r="E182" t="s">
        <v>11</v>
      </c>
      <c r="F182" s="10">
        <v>2.2000000000000002</v>
      </c>
      <c r="G182" t="s">
        <v>399</v>
      </c>
      <c r="H182" s="5">
        <f>F182*C182</f>
        <v>1359.2040000000002</v>
      </c>
      <c r="M182" s="44" t="s">
        <v>169</v>
      </c>
      <c r="N182" s="45"/>
      <c r="O182" s="45"/>
      <c r="P182" s="45"/>
      <c r="Q182" s="45"/>
      <c r="R182" s="45"/>
      <c r="S182" s="45"/>
      <c r="T182" s="45"/>
      <c r="U182" s="45" t="s">
        <v>144</v>
      </c>
      <c r="V182" s="46">
        <v>41</v>
      </c>
      <c r="W182" s="47">
        <v>57</v>
      </c>
    </row>
    <row r="183" spans="1:23" x14ac:dyDescent="0.25">
      <c r="A183" s="124"/>
      <c r="M183" s="44" t="s">
        <v>158</v>
      </c>
      <c r="N183" s="45"/>
      <c r="O183" s="45"/>
      <c r="P183" s="45"/>
      <c r="Q183" s="45"/>
      <c r="R183" s="45"/>
      <c r="S183" s="45"/>
      <c r="T183" s="45"/>
      <c r="U183" s="45" t="s">
        <v>144</v>
      </c>
      <c r="V183" s="46">
        <v>1.6</v>
      </c>
      <c r="W183" s="49">
        <v>2.2000000000000002</v>
      </c>
    </row>
    <row r="184" spans="1:23" x14ac:dyDescent="0.25">
      <c r="A184" s="124"/>
      <c r="B184" t="s">
        <v>398</v>
      </c>
      <c r="C184">
        <f t="shared" ref="C184:C189" si="9">C135</f>
        <v>126.5</v>
      </c>
      <c r="D184" t="s">
        <v>26</v>
      </c>
      <c r="E184" t="s">
        <v>11</v>
      </c>
      <c r="F184" s="5">
        <v>41</v>
      </c>
      <c r="G184" t="s">
        <v>399</v>
      </c>
      <c r="H184" s="5">
        <f t="shared" ref="H184:H189" si="10">F184*C184</f>
        <v>5186.5</v>
      </c>
      <c r="M184" s="15" t="s">
        <v>395</v>
      </c>
    </row>
    <row r="185" spans="1:23" x14ac:dyDescent="0.25">
      <c r="A185" s="124"/>
      <c r="B185" t="s">
        <v>398</v>
      </c>
      <c r="C185">
        <f t="shared" si="9"/>
        <v>372.56</v>
      </c>
      <c r="D185" t="s">
        <v>26</v>
      </c>
      <c r="E185" t="s">
        <v>7</v>
      </c>
      <c r="F185" s="5">
        <v>41</v>
      </c>
      <c r="G185" t="s">
        <v>399</v>
      </c>
      <c r="H185" s="5">
        <f t="shared" si="10"/>
        <v>15274.960000000001</v>
      </c>
    </row>
    <row r="186" spans="1:23" x14ac:dyDescent="0.25">
      <c r="A186" s="124"/>
      <c r="B186" t="s">
        <v>398</v>
      </c>
      <c r="C186">
        <f t="shared" si="9"/>
        <v>773.98</v>
      </c>
      <c r="D186" t="s">
        <v>26</v>
      </c>
      <c r="E186" t="s">
        <v>8</v>
      </c>
      <c r="F186" s="5">
        <v>41</v>
      </c>
      <c r="G186" t="s">
        <v>399</v>
      </c>
      <c r="H186" s="5">
        <f t="shared" si="10"/>
        <v>31733.18</v>
      </c>
      <c r="M186" s="9" t="s">
        <v>410</v>
      </c>
      <c r="N186" s="9"/>
      <c r="O186" s="9"/>
      <c r="P186" s="9"/>
      <c r="Q186" s="9"/>
      <c r="R186" s="9"/>
    </row>
    <row r="187" spans="1:23" x14ac:dyDescent="0.25">
      <c r="A187" s="124"/>
      <c r="B187" t="s">
        <v>398</v>
      </c>
      <c r="C187">
        <f t="shared" si="9"/>
        <v>773.98</v>
      </c>
      <c r="D187" t="s">
        <v>26</v>
      </c>
      <c r="E187" t="s">
        <v>9</v>
      </c>
      <c r="F187" s="5">
        <v>41</v>
      </c>
      <c r="G187" t="s">
        <v>399</v>
      </c>
      <c r="H187" s="5">
        <f t="shared" si="10"/>
        <v>31733.18</v>
      </c>
    </row>
    <row r="188" spans="1:23" x14ac:dyDescent="0.25">
      <c r="A188" s="124"/>
      <c r="B188" t="s">
        <v>398</v>
      </c>
      <c r="C188">
        <f t="shared" si="9"/>
        <v>773.98</v>
      </c>
      <c r="D188" t="s">
        <v>26</v>
      </c>
      <c r="E188" t="s">
        <v>10</v>
      </c>
      <c r="F188" s="5">
        <v>41</v>
      </c>
      <c r="G188" t="s">
        <v>399</v>
      </c>
      <c r="H188" s="5">
        <f t="shared" si="10"/>
        <v>31733.18</v>
      </c>
    </row>
    <row r="189" spans="1:23" x14ac:dyDescent="0.25">
      <c r="A189" s="124"/>
      <c r="B189" t="s">
        <v>398</v>
      </c>
      <c r="C189">
        <f t="shared" si="9"/>
        <v>714.14</v>
      </c>
      <c r="D189" t="s">
        <v>26</v>
      </c>
      <c r="E189" t="s">
        <v>6</v>
      </c>
      <c r="F189" s="5">
        <v>41</v>
      </c>
      <c r="G189" t="s">
        <v>399</v>
      </c>
      <c r="H189" s="5">
        <f t="shared" si="10"/>
        <v>29279.739999999998</v>
      </c>
    </row>
    <row r="190" spans="1:23" x14ac:dyDescent="0.25">
      <c r="A190" s="124"/>
      <c r="B190" s="51" t="s">
        <v>295</v>
      </c>
      <c r="C190" s="35">
        <f>SUM(C184:C189)</f>
        <v>3535.14</v>
      </c>
      <c r="D190" t="s">
        <v>26</v>
      </c>
      <c r="H190" s="7">
        <f>SUM(H184:H189)</f>
        <v>144940.74</v>
      </c>
    </row>
    <row r="191" spans="1:23" x14ac:dyDescent="0.25">
      <c r="A191" s="124"/>
    </row>
    <row r="192" spans="1:23" x14ac:dyDescent="0.25">
      <c r="H192" s="7">
        <f>SUM(H180,H182,H190)</f>
        <v>147078.93599999999</v>
      </c>
    </row>
    <row r="195" spans="1:23" x14ac:dyDescent="0.25">
      <c r="A195" s="3" t="s">
        <v>405</v>
      </c>
      <c r="B195" s="3" t="s">
        <v>406</v>
      </c>
      <c r="C195" s="3"/>
      <c r="D195" s="3"/>
      <c r="E195" s="3"/>
      <c r="F195" s="3"/>
      <c r="G195" s="3"/>
      <c r="H195" s="3"/>
      <c r="I195" s="14"/>
      <c r="J195" s="3"/>
      <c r="L195" s="3"/>
      <c r="M195" s="14"/>
      <c r="N195" s="14"/>
      <c r="O195" s="14"/>
      <c r="P195" s="14"/>
      <c r="Q195" s="14"/>
      <c r="R195" s="14"/>
      <c r="S195" s="14"/>
      <c r="T195" s="14"/>
      <c r="U195" s="14"/>
      <c r="V195" s="55"/>
      <c r="W195" s="55"/>
    </row>
    <row r="196" spans="1:23" x14ac:dyDescent="0.25">
      <c r="A196" s="124"/>
      <c r="B196" s="2" t="s">
        <v>0</v>
      </c>
      <c r="C196" s="2" t="s">
        <v>1</v>
      </c>
      <c r="D196" s="2" t="s">
        <v>3</v>
      </c>
      <c r="E196" s="2" t="s">
        <v>5</v>
      </c>
      <c r="F196" s="6" t="s">
        <v>15</v>
      </c>
      <c r="G196" s="2" t="s">
        <v>16</v>
      </c>
      <c r="H196" s="2" t="s">
        <v>17</v>
      </c>
      <c r="I196" s="14"/>
      <c r="J196" s="3"/>
      <c r="L196" s="3"/>
      <c r="M196" s="14"/>
      <c r="N196" s="14"/>
      <c r="O196" s="14"/>
      <c r="P196" s="14"/>
      <c r="Q196" s="14"/>
      <c r="R196" s="14"/>
      <c r="S196" s="14"/>
      <c r="T196" s="14"/>
      <c r="U196" s="14"/>
      <c r="V196" s="55"/>
      <c r="W196" s="55"/>
    </row>
    <row r="197" spans="1:23" x14ac:dyDescent="0.25">
      <c r="A197" s="124"/>
    </row>
    <row r="198" spans="1:23" x14ac:dyDescent="0.25">
      <c r="A198" s="124"/>
      <c r="B198" t="s">
        <v>407</v>
      </c>
      <c r="C198">
        <f>C129</f>
        <v>486.87</v>
      </c>
      <c r="D198" t="s">
        <v>26</v>
      </c>
      <c r="E198" t="s">
        <v>11</v>
      </c>
      <c r="F198" s="5">
        <v>1.1499999999999999</v>
      </c>
      <c r="G198" t="s">
        <v>138</v>
      </c>
      <c r="H198" s="5">
        <f>F198*C198</f>
        <v>559.90049999999997</v>
      </c>
      <c r="M198" s="8" t="s">
        <v>401</v>
      </c>
    </row>
    <row r="199" spans="1:23" x14ac:dyDescent="0.25">
      <c r="A199" s="124"/>
      <c r="M199" t="s">
        <v>402</v>
      </c>
    </row>
    <row r="200" spans="1:23" x14ac:dyDescent="0.25">
      <c r="A200" s="124"/>
      <c r="B200" t="s">
        <v>408</v>
      </c>
      <c r="C200">
        <f>C132</f>
        <v>617.82000000000005</v>
      </c>
      <c r="D200" t="s">
        <v>26</v>
      </c>
      <c r="E200" t="s">
        <v>11</v>
      </c>
      <c r="F200" s="10">
        <v>1.6</v>
      </c>
      <c r="G200" t="s">
        <v>138</v>
      </c>
      <c r="H200" s="5">
        <f>F200*C200</f>
        <v>988.51200000000017</v>
      </c>
      <c r="M200" t="s">
        <v>403</v>
      </c>
    </row>
    <row r="201" spans="1:23" x14ac:dyDescent="0.25">
      <c r="A201" s="124"/>
      <c r="M201" s="44" t="s">
        <v>169</v>
      </c>
      <c r="N201" s="45"/>
      <c r="O201" s="45"/>
      <c r="P201" s="45"/>
      <c r="Q201" s="45"/>
      <c r="R201" s="45"/>
      <c r="S201" s="45"/>
      <c r="T201" s="45"/>
      <c r="U201" s="45" t="s">
        <v>144</v>
      </c>
      <c r="V201" s="46">
        <v>40</v>
      </c>
      <c r="W201" s="47">
        <v>56</v>
      </c>
    </row>
    <row r="202" spans="1:23" x14ac:dyDescent="0.25">
      <c r="A202" s="124"/>
      <c r="B202" t="s">
        <v>409</v>
      </c>
      <c r="C202">
        <f t="shared" ref="C202:C207" si="11">C135</f>
        <v>126.5</v>
      </c>
      <c r="D202" t="s">
        <v>26</v>
      </c>
      <c r="E202" t="s">
        <v>11</v>
      </c>
      <c r="F202" s="5">
        <v>40</v>
      </c>
      <c r="G202" t="s">
        <v>138</v>
      </c>
      <c r="H202" s="5">
        <f t="shared" ref="H202:H207" si="12">F202*C202</f>
        <v>5060</v>
      </c>
      <c r="M202" s="44" t="s">
        <v>404</v>
      </c>
      <c r="N202" s="45"/>
      <c r="O202" s="45"/>
      <c r="P202" s="45"/>
      <c r="Q202" s="45"/>
      <c r="R202" s="45"/>
      <c r="S202" s="45"/>
      <c r="T202" s="45"/>
      <c r="U202" s="45" t="s">
        <v>144</v>
      </c>
      <c r="V202" s="46">
        <v>1.1499999999999999</v>
      </c>
      <c r="W202" s="49">
        <v>1.6</v>
      </c>
    </row>
    <row r="203" spans="1:23" x14ac:dyDescent="0.25">
      <c r="A203" s="124"/>
      <c r="B203" t="s">
        <v>409</v>
      </c>
      <c r="C203">
        <f t="shared" si="11"/>
        <v>372.56</v>
      </c>
      <c r="D203" t="s">
        <v>26</v>
      </c>
      <c r="E203" t="s">
        <v>7</v>
      </c>
      <c r="F203" s="5">
        <v>40</v>
      </c>
      <c r="G203" t="s">
        <v>138</v>
      </c>
      <c r="H203" s="5">
        <f t="shared" si="12"/>
        <v>14902.4</v>
      </c>
      <c r="M203" s="15" t="s">
        <v>137</v>
      </c>
    </row>
    <row r="204" spans="1:23" x14ac:dyDescent="0.25">
      <c r="A204" s="124"/>
      <c r="B204" t="s">
        <v>409</v>
      </c>
      <c r="C204">
        <f t="shared" si="11"/>
        <v>773.98</v>
      </c>
      <c r="D204" t="s">
        <v>26</v>
      </c>
      <c r="E204" t="s">
        <v>8</v>
      </c>
      <c r="F204" s="5">
        <v>40</v>
      </c>
      <c r="G204" t="s">
        <v>138</v>
      </c>
      <c r="H204" s="5">
        <f t="shared" si="12"/>
        <v>30959.200000000001</v>
      </c>
    </row>
    <row r="205" spans="1:23" x14ac:dyDescent="0.25">
      <c r="A205" s="124"/>
      <c r="B205" t="s">
        <v>409</v>
      </c>
      <c r="C205">
        <f t="shared" si="11"/>
        <v>773.98</v>
      </c>
      <c r="D205" t="s">
        <v>26</v>
      </c>
      <c r="E205" t="s">
        <v>9</v>
      </c>
      <c r="F205" s="5">
        <v>40</v>
      </c>
      <c r="G205" t="s">
        <v>138</v>
      </c>
      <c r="H205" s="5">
        <f t="shared" si="12"/>
        <v>30959.200000000001</v>
      </c>
      <c r="M205" s="9" t="s">
        <v>411</v>
      </c>
      <c r="N205" s="9"/>
      <c r="O205" s="9"/>
      <c r="P205" s="9"/>
      <c r="Q205" s="9"/>
      <c r="R205" s="9"/>
    </row>
    <row r="206" spans="1:23" x14ac:dyDescent="0.25">
      <c r="A206" s="124"/>
      <c r="B206" t="s">
        <v>409</v>
      </c>
      <c r="C206">
        <f t="shared" si="11"/>
        <v>773.98</v>
      </c>
      <c r="D206" t="s">
        <v>26</v>
      </c>
      <c r="E206" t="s">
        <v>10</v>
      </c>
      <c r="F206" s="5">
        <v>40</v>
      </c>
      <c r="G206" t="s">
        <v>138</v>
      </c>
      <c r="H206" s="5">
        <f t="shared" si="12"/>
        <v>30959.200000000001</v>
      </c>
    </row>
    <row r="207" spans="1:23" x14ac:dyDescent="0.25">
      <c r="A207" s="124"/>
      <c r="B207" t="s">
        <v>409</v>
      </c>
      <c r="C207">
        <f t="shared" si="11"/>
        <v>714.14</v>
      </c>
      <c r="D207" t="s">
        <v>26</v>
      </c>
      <c r="E207" t="s">
        <v>6</v>
      </c>
      <c r="F207" s="5">
        <v>40</v>
      </c>
      <c r="G207" t="s">
        <v>138</v>
      </c>
      <c r="H207" s="5">
        <f t="shared" si="12"/>
        <v>28565.599999999999</v>
      </c>
    </row>
    <row r="208" spans="1:23" x14ac:dyDescent="0.25">
      <c r="A208" s="124"/>
      <c r="B208" s="51" t="s">
        <v>295</v>
      </c>
      <c r="C208" s="35">
        <f>SUM(C202:C207)</f>
        <v>3535.14</v>
      </c>
      <c r="D208" t="s">
        <v>26</v>
      </c>
      <c r="H208" s="7">
        <f>SUM(H202:H207)</f>
        <v>141405.6</v>
      </c>
    </row>
    <row r="209" spans="1:23" x14ac:dyDescent="0.25">
      <c r="A209" s="124"/>
    </row>
    <row r="210" spans="1:23" x14ac:dyDescent="0.25">
      <c r="A210" s="124"/>
      <c r="H210" s="5">
        <f>SUM(H198,H200,H208)</f>
        <v>142954.01250000001</v>
      </c>
    </row>
    <row r="211" spans="1:23" x14ac:dyDescent="0.25">
      <c r="A211" s="124"/>
    </row>
    <row r="213" spans="1:23" x14ac:dyDescent="0.25">
      <c r="A213" s="42" t="s">
        <v>129</v>
      </c>
      <c r="B213" s="3" t="s">
        <v>123</v>
      </c>
      <c r="C213" s="3"/>
      <c r="D213" s="3"/>
      <c r="E213" s="3"/>
      <c r="F213" s="3"/>
      <c r="G213" s="3"/>
      <c r="H213" s="3"/>
      <c r="I213" s="43"/>
      <c r="J213" s="3"/>
      <c r="L213" s="3"/>
      <c r="M213" s="14"/>
      <c r="N213" s="14"/>
      <c r="O213" s="14"/>
      <c r="P213" s="14"/>
      <c r="Q213" s="14"/>
      <c r="R213" s="14"/>
      <c r="S213" s="14"/>
      <c r="T213" s="14"/>
      <c r="U213" s="14"/>
      <c r="V213" s="55"/>
      <c r="W213" s="55"/>
    </row>
    <row r="214" spans="1:23" x14ac:dyDescent="0.25">
      <c r="A214" s="124"/>
      <c r="B214" s="2" t="s">
        <v>0</v>
      </c>
      <c r="C214" s="2" t="s">
        <v>1</v>
      </c>
      <c r="D214" s="2" t="s">
        <v>3</v>
      </c>
      <c r="E214" s="2" t="s">
        <v>5</v>
      </c>
      <c r="F214" s="6" t="s">
        <v>15</v>
      </c>
      <c r="G214" s="2" t="s">
        <v>16</v>
      </c>
      <c r="H214" s="2" t="s">
        <v>17</v>
      </c>
      <c r="I214" s="14"/>
      <c r="J214" s="3"/>
      <c r="L214" s="3"/>
      <c r="M214" s="14"/>
      <c r="N214" s="14"/>
      <c r="O214" s="14"/>
      <c r="P214" s="14"/>
      <c r="Q214" s="14"/>
      <c r="R214" s="14"/>
      <c r="S214" s="14"/>
      <c r="T214" s="14"/>
      <c r="U214" s="14"/>
      <c r="V214" s="55"/>
      <c r="W214" s="55"/>
    </row>
    <row r="215" spans="1:23" x14ac:dyDescent="0.25">
      <c r="A215" s="124"/>
    </row>
    <row r="216" spans="1:23" x14ac:dyDescent="0.25">
      <c r="A216" s="124"/>
      <c r="B216" t="s">
        <v>132</v>
      </c>
      <c r="C216" s="1">
        <v>2</v>
      </c>
      <c r="D216" t="s">
        <v>37</v>
      </c>
      <c r="E216" t="s">
        <v>131</v>
      </c>
      <c r="F216" s="5">
        <v>105000</v>
      </c>
      <c r="G216" t="s">
        <v>130</v>
      </c>
      <c r="H216" s="5">
        <f>F216*C216</f>
        <v>210000</v>
      </c>
      <c r="M216" s="8" t="s">
        <v>124</v>
      </c>
    </row>
    <row r="217" spans="1:23" x14ac:dyDescent="0.25">
      <c r="A217" s="124"/>
      <c r="H217" s="7">
        <f>SUM(H216)</f>
        <v>210000</v>
      </c>
      <c r="M217" s="8" t="s">
        <v>125</v>
      </c>
    </row>
    <row r="218" spans="1:23" x14ac:dyDescent="0.25">
      <c r="A218" s="124"/>
      <c r="M218" s="8" t="s">
        <v>126</v>
      </c>
    </row>
    <row r="219" spans="1:23" x14ac:dyDescent="0.25">
      <c r="A219" s="124"/>
      <c r="B219" t="s">
        <v>136</v>
      </c>
      <c r="C219" s="1">
        <v>1</v>
      </c>
      <c r="D219" t="s">
        <v>37</v>
      </c>
      <c r="E219" t="s">
        <v>11</v>
      </c>
      <c r="F219" s="5">
        <v>10000</v>
      </c>
      <c r="G219" t="s">
        <v>138</v>
      </c>
      <c r="H219" s="5">
        <f>F219*C219</f>
        <v>10000</v>
      </c>
      <c r="M219" s="44" t="s">
        <v>128</v>
      </c>
      <c r="N219" s="45"/>
      <c r="O219" s="45"/>
      <c r="P219" s="45"/>
      <c r="Q219" s="45"/>
      <c r="R219" s="45"/>
      <c r="S219" s="45"/>
      <c r="T219" s="45"/>
      <c r="U219" s="45" t="s">
        <v>110</v>
      </c>
      <c r="V219" s="46">
        <v>105000</v>
      </c>
      <c r="W219" s="47">
        <v>130000</v>
      </c>
    </row>
    <row r="220" spans="1:23" x14ac:dyDescent="0.25">
      <c r="A220" s="124"/>
      <c r="H220" s="7">
        <f>SUM(H219)</f>
        <v>10000</v>
      </c>
      <c r="M220" s="15" t="s">
        <v>127</v>
      </c>
    </row>
    <row r="221" spans="1:23" x14ac:dyDescent="0.25">
      <c r="A221" s="124"/>
    </row>
    <row r="222" spans="1:23" x14ac:dyDescent="0.25">
      <c r="A222" s="124"/>
      <c r="G222" s="35" t="s">
        <v>119</v>
      </c>
      <c r="H222" s="7">
        <f>SUM(H220,H217)</f>
        <v>220000</v>
      </c>
      <c r="M222" s="8" t="s">
        <v>124</v>
      </c>
    </row>
    <row r="223" spans="1:23" x14ac:dyDescent="0.25">
      <c r="H223" s="5"/>
      <c r="M223" s="8" t="s">
        <v>133</v>
      </c>
    </row>
    <row r="224" spans="1:23" x14ac:dyDescent="0.25">
      <c r="M224" t="s">
        <v>134</v>
      </c>
    </row>
    <row r="225" spans="1:23" x14ac:dyDescent="0.25">
      <c r="H225" s="5"/>
      <c r="M225" s="44" t="s">
        <v>135</v>
      </c>
      <c r="N225" s="45"/>
      <c r="O225" s="45"/>
      <c r="P225" s="45"/>
      <c r="Q225" s="45"/>
      <c r="R225" s="45"/>
      <c r="S225" s="45"/>
      <c r="T225" s="45"/>
      <c r="U225" s="45" t="s">
        <v>110</v>
      </c>
      <c r="V225" s="46">
        <v>10000</v>
      </c>
      <c r="W225" s="47">
        <v>12500</v>
      </c>
    </row>
    <row r="226" spans="1:23" x14ac:dyDescent="0.25">
      <c r="H226" s="5"/>
      <c r="M226" s="15" t="s">
        <v>137</v>
      </c>
    </row>
    <row r="228" spans="1:23" x14ac:dyDescent="0.25">
      <c r="H228" s="5"/>
    </row>
    <row r="229" spans="1:23" x14ac:dyDescent="0.25">
      <c r="A229" s="42" t="s">
        <v>155</v>
      </c>
      <c r="B229" s="3" t="s">
        <v>147</v>
      </c>
      <c r="C229" s="3"/>
      <c r="D229" s="3"/>
      <c r="E229" s="3"/>
      <c r="F229" s="3"/>
      <c r="G229" s="3"/>
      <c r="H229" s="3"/>
      <c r="I229" s="43"/>
      <c r="J229" s="3"/>
      <c r="L229" s="3"/>
      <c r="M229" s="14"/>
      <c r="N229" s="14"/>
      <c r="O229" s="14"/>
      <c r="P229" s="14"/>
      <c r="Q229" s="14"/>
      <c r="R229" s="14"/>
      <c r="S229" s="14"/>
      <c r="T229" s="14"/>
      <c r="U229" s="14"/>
      <c r="V229" s="55"/>
      <c r="W229" s="55"/>
    </row>
    <row r="230" spans="1:23" x14ac:dyDescent="0.25">
      <c r="B230" s="2" t="s">
        <v>0</v>
      </c>
      <c r="C230" s="2" t="s">
        <v>1</v>
      </c>
      <c r="D230" s="2" t="s">
        <v>3</v>
      </c>
      <c r="E230" s="2" t="s">
        <v>5</v>
      </c>
      <c r="F230" s="6" t="s">
        <v>15</v>
      </c>
      <c r="G230" s="2" t="s">
        <v>16</v>
      </c>
      <c r="H230" s="2" t="s">
        <v>17</v>
      </c>
      <c r="I230" s="14"/>
      <c r="J230" s="3"/>
      <c r="L230" s="3"/>
      <c r="M230" s="14"/>
      <c r="N230" s="14"/>
      <c r="O230" s="14"/>
      <c r="P230" s="14"/>
      <c r="Q230" s="14"/>
      <c r="R230" s="14"/>
      <c r="S230" s="14"/>
      <c r="T230" s="14"/>
      <c r="U230" s="14"/>
      <c r="V230" s="55"/>
      <c r="W230" s="55"/>
    </row>
    <row r="231" spans="1:23" x14ac:dyDescent="0.25">
      <c r="A231" s="124"/>
    </row>
    <row r="232" spans="1:23" x14ac:dyDescent="0.25">
      <c r="A232" s="124"/>
      <c r="B232" t="s">
        <v>152</v>
      </c>
      <c r="C232" s="1">
        <v>420.52</v>
      </c>
      <c r="D232" t="s">
        <v>26</v>
      </c>
      <c r="E232" t="s">
        <v>11</v>
      </c>
      <c r="F232" s="5">
        <v>18</v>
      </c>
      <c r="G232" t="s">
        <v>145</v>
      </c>
      <c r="H232" s="5">
        <f>F232*C232</f>
        <v>7569.36</v>
      </c>
      <c r="M232" s="8" t="s">
        <v>140</v>
      </c>
    </row>
    <row r="233" spans="1:23" x14ac:dyDescent="0.25">
      <c r="A233" s="124"/>
      <c r="H233" s="7">
        <f>SUM(H232)</f>
        <v>7569.36</v>
      </c>
      <c r="M233" t="s">
        <v>143</v>
      </c>
    </row>
    <row r="234" spans="1:23" x14ac:dyDescent="0.25">
      <c r="A234" s="124"/>
      <c r="M234" s="44" t="s">
        <v>141</v>
      </c>
      <c r="N234" s="45"/>
      <c r="O234" s="45"/>
      <c r="P234" s="45"/>
      <c r="Q234" s="45"/>
      <c r="R234" s="45"/>
      <c r="S234" s="45"/>
      <c r="T234" s="45"/>
      <c r="U234" s="45" t="s">
        <v>144</v>
      </c>
      <c r="V234" s="46">
        <v>160</v>
      </c>
      <c r="W234" s="47">
        <v>210</v>
      </c>
    </row>
    <row r="235" spans="1:23" x14ac:dyDescent="0.25">
      <c r="A235" s="124"/>
      <c r="B235" t="s">
        <v>149</v>
      </c>
      <c r="C235" s="1">
        <v>618.52</v>
      </c>
      <c r="D235" s="5" t="s">
        <v>26</v>
      </c>
      <c r="E235" t="s">
        <v>11</v>
      </c>
      <c r="F235" s="5">
        <v>210</v>
      </c>
      <c r="G235" t="s">
        <v>145</v>
      </c>
      <c r="H235" s="10">
        <f>F235*C235</f>
        <v>129889.2</v>
      </c>
      <c r="I235" s="9" t="s">
        <v>150</v>
      </c>
      <c r="M235" s="15" t="s">
        <v>142</v>
      </c>
    </row>
    <row r="236" spans="1:23" x14ac:dyDescent="0.25">
      <c r="A236" s="124"/>
      <c r="H236" s="7">
        <f>SUM(H235)</f>
        <v>129889.2</v>
      </c>
      <c r="M236" s="15"/>
    </row>
    <row r="237" spans="1:23" x14ac:dyDescent="0.25">
      <c r="A237" s="124"/>
    </row>
    <row r="238" spans="1:23" x14ac:dyDescent="0.25">
      <c r="A238" s="124"/>
      <c r="M238" s="8" t="s">
        <v>140</v>
      </c>
    </row>
    <row r="239" spans="1:23" x14ac:dyDescent="0.25">
      <c r="A239" s="124"/>
      <c r="B239" t="s">
        <v>146</v>
      </c>
      <c r="C239" s="1">
        <v>142.69</v>
      </c>
      <c r="D239" t="s">
        <v>26</v>
      </c>
      <c r="E239" t="s">
        <v>11</v>
      </c>
      <c r="F239" s="5">
        <v>160</v>
      </c>
      <c r="G239" t="s">
        <v>145</v>
      </c>
      <c r="H239" s="5">
        <f>F239*C239</f>
        <v>22830.400000000001</v>
      </c>
      <c r="M239" t="s">
        <v>143</v>
      </c>
    </row>
    <row r="240" spans="1:23" x14ac:dyDescent="0.25">
      <c r="A240" s="124"/>
      <c r="B240" t="s">
        <v>146</v>
      </c>
      <c r="C240" s="1">
        <v>466.35</v>
      </c>
      <c r="D240" t="s">
        <v>26</v>
      </c>
      <c r="E240" t="s">
        <v>7</v>
      </c>
      <c r="F240" s="5">
        <v>160</v>
      </c>
      <c r="G240" t="s">
        <v>145</v>
      </c>
      <c r="H240" s="5">
        <f t="shared" ref="H240:H244" si="13">F240*C240</f>
        <v>74616</v>
      </c>
      <c r="M240" s="44" t="s">
        <v>148</v>
      </c>
      <c r="N240" s="45"/>
      <c r="O240" s="45"/>
      <c r="P240" s="45"/>
      <c r="Q240" s="45"/>
      <c r="R240" s="45"/>
      <c r="S240" s="45"/>
      <c r="T240" s="45"/>
      <c r="U240" s="45" t="s">
        <v>144</v>
      </c>
      <c r="V240" s="46">
        <v>18</v>
      </c>
      <c r="W240" s="47">
        <v>23.5</v>
      </c>
    </row>
    <row r="241" spans="1:23" x14ac:dyDescent="0.25">
      <c r="A241" s="124"/>
      <c r="B241" t="s">
        <v>146</v>
      </c>
      <c r="C241" s="1">
        <v>1027.8599999999999</v>
      </c>
      <c r="D241" t="s">
        <v>26</v>
      </c>
      <c r="E241" t="s">
        <v>8</v>
      </c>
      <c r="F241" s="5">
        <v>160</v>
      </c>
      <c r="G241" t="s">
        <v>145</v>
      </c>
      <c r="H241" s="5">
        <f t="shared" si="13"/>
        <v>164457.59999999998</v>
      </c>
      <c r="M241" s="15" t="s">
        <v>142</v>
      </c>
    </row>
    <row r="242" spans="1:23" x14ac:dyDescent="0.25">
      <c r="A242" s="124"/>
      <c r="B242" t="s">
        <v>146</v>
      </c>
      <c r="C242" s="1">
        <v>1027.8599999999999</v>
      </c>
      <c r="D242" t="s">
        <v>26</v>
      </c>
      <c r="E242" t="s">
        <v>9</v>
      </c>
      <c r="F242" s="5">
        <v>160</v>
      </c>
      <c r="G242" t="s">
        <v>145</v>
      </c>
      <c r="H242" s="5">
        <f t="shared" si="13"/>
        <v>164457.59999999998</v>
      </c>
    </row>
    <row r="243" spans="1:23" x14ac:dyDescent="0.25">
      <c r="A243" s="124"/>
      <c r="B243" t="s">
        <v>146</v>
      </c>
      <c r="C243" s="1">
        <v>1027.8599999999999</v>
      </c>
      <c r="D243" t="s">
        <v>26</v>
      </c>
      <c r="E243" t="s">
        <v>10</v>
      </c>
      <c r="F243" s="5">
        <v>160</v>
      </c>
      <c r="G243" t="s">
        <v>145</v>
      </c>
      <c r="H243" s="5">
        <f t="shared" si="13"/>
        <v>164457.59999999998</v>
      </c>
      <c r="M243" s="9" t="s">
        <v>151</v>
      </c>
      <c r="N243" s="9"/>
      <c r="O243" s="9"/>
      <c r="P243" s="9"/>
      <c r="Q243" s="9"/>
      <c r="R243" s="9"/>
    </row>
    <row r="244" spans="1:23" x14ac:dyDescent="0.25">
      <c r="A244" s="124"/>
      <c r="B244" t="s">
        <v>146</v>
      </c>
      <c r="C244" s="1">
        <v>937.64</v>
      </c>
      <c r="D244" t="s">
        <v>26</v>
      </c>
      <c r="E244" t="s">
        <v>6</v>
      </c>
      <c r="F244" s="5">
        <v>160</v>
      </c>
      <c r="G244" t="s">
        <v>145</v>
      </c>
      <c r="H244" s="5">
        <f t="shared" si="13"/>
        <v>150022.39999999999</v>
      </c>
    </row>
    <row r="245" spans="1:23" x14ac:dyDescent="0.25">
      <c r="A245" s="124"/>
      <c r="C245" s="35">
        <f>SUM(C239:C244)</f>
        <v>4630.26</v>
      </c>
      <c r="H245" s="7">
        <f>SUM(H239:H244)</f>
        <v>740841.6</v>
      </c>
    </row>
    <row r="247" spans="1:23" x14ac:dyDescent="0.25">
      <c r="H247" s="7">
        <f>SUM(H233,H236,H245)</f>
        <v>878300.15999999992</v>
      </c>
    </row>
    <row r="248" spans="1:23" x14ac:dyDescent="0.25">
      <c r="A248" s="42" t="s">
        <v>154</v>
      </c>
      <c r="B248" s="3" t="s">
        <v>153</v>
      </c>
      <c r="C248" s="3"/>
      <c r="D248" s="3"/>
      <c r="E248" s="3"/>
      <c r="F248" s="3"/>
      <c r="G248" s="3"/>
      <c r="H248" s="3"/>
      <c r="I248" s="43"/>
      <c r="J248" s="3"/>
      <c r="L248" s="3"/>
      <c r="M248" s="14"/>
      <c r="N248" s="14"/>
      <c r="O248" s="14"/>
      <c r="P248" s="14"/>
      <c r="Q248" s="14"/>
      <c r="R248" s="14"/>
      <c r="S248" s="14"/>
      <c r="T248" s="14"/>
      <c r="U248" s="14"/>
      <c r="V248" s="55"/>
      <c r="W248" s="55"/>
    </row>
    <row r="249" spans="1:23" x14ac:dyDescent="0.25">
      <c r="A249" s="124"/>
      <c r="B249" s="2" t="s">
        <v>0</v>
      </c>
      <c r="C249" s="2" t="s">
        <v>1</v>
      </c>
      <c r="D249" s="2" t="s">
        <v>3</v>
      </c>
      <c r="E249" s="2" t="s">
        <v>5</v>
      </c>
      <c r="F249" s="6" t="s">
        <v>15</v>
      </c>
      <c r="G249" s="2" t="s">
        <v>16</v>
      </c>
      <c r="H249" s="2" t="s">
        <v>17</v>
      </c>
      <c r="I249" s="14"/>
      <c r="J249" s="3"/>
      <c r="L249" s="3"/>
      <c r="M249" s="14"/>
      <c r="N249" s="14"/>
      <c r="O249" s="14"/>
      <c r="P249" s="14"/>
      <c r="Q249" s="14"/>
      <c r="R249" s="14"/>
      <c r="S249" s="14"/>
      <c r="T249" s="14"/>
      <c r="U249" s="14"/>
      <c r="V249" s="55"/>
      <c r="W249" s="55"/>
    </row>
    <row r="250" spans="1:23" x14ac:dyDescent="0.25">
      <c r="A250" s="124"/>
    </row>
    <row r="251" spans="1:23" x14ac:dyDescent="0.25">
      <c r="A251" s="124"/>
      <c r="B251" t="s">
        <v>160</v>
      </c>
      <c r="C251" s="1">
        <f>AreaTotal16</f>
        <v>420.52</v>
      </c>
      <c r="D251" t="s">
        <v>26</v>
      </c>
      <c r="E251" t="s">
        <v>11</v>
      </c>
      <c r="F251" s="5">
        <v>5.95</v>
      </c>
      <c r="G251" t="s">
        <v>145</v>
      </c>
      <c r="H251" s="5">
        <f>F251*C251</f>
        <v>2502.0940000000001</v>
      </c>
      <c r="M251" s="8" t="s">
        <v>156</v>
      </c>
    </row>
    <row r="252" spans="1:23" x14ac:dyDescent="0.25">
      <c r="A252" s="124"/>
      <c r="H252" s="7">
        <f>SUM(H251)</f>
        <v>2502.0940000000001</v>
      </c>
      <c r="M252" t="s">
        <v>143</v>
      </c>
    </row>
    <row r="253" spans="1:23" x14ac:dyDescent="0.25">
      <c r="A253" s="124"/>
      <c r="M253" s="44" t="s">
        <v>157</v>
      </c>
      <c r="N253" s="45"/>
      <c r="O253" s="45"/>
      <c r="P253" s="45"/>
      <c r="Q253" s="45"/>
      <c r="R253" s="45"/>
      <c r="S253" s="45"/>
      <c r="T253" s="45"/>
      <c r="U253" s="45" t="s">
        <v>144</v>
      </c>
      <c r="V253" s="46">
        <v>48</v>
      </c>
      <c r="W253" s="47">
        <v>63</v>
      </c>
    </row>
    <row r="254" spans="1:23" x14ac:dyDescent="0.25">
      <c r="A254" s="124"/>
      <c r="B254" t="s">
        <v>161</v>
      </c>
      <c r="C254" s="1">
        <f>AreaTotal17</f>
        <v>618.52</v>
      </c>
      <c r="D254" s="5" t="s">
        <v>26</v>
      </c>
      <c r="E254" t="s">
        <v>11</v>
      </c>
      <c r="F254" s="5">
        <v>7.85</v>
      </c>
      <c r="G254" t="s">
        <v>145</v>
      </c>
      <c r="H254" s="10">
        <f>F254*C254</f>
        <v>4855.3819999999996</v>
      </c>
      <c r="I254" s="9" t="s">
        <v>150</v>
      </c>
      <c r="M254" s="15" t="s">
        <v>142</v>
      </c>
    </row>
    <row r="255" spans="1:23" x14ac:dyDescent="0.25">
      <c r="A255" s="124"/>
      <c r="H255" s="7">
        <f>SUM(H254)</f>
        <v>4855.3819999999996</v>
      </c>
      <c r="M255" s="15"/>
    </row>
    <row r="256" spans="1:23" x14ac:dyDescent="0.25">
      <c r="A256" s="124"/>
    </row>
    <row r="257" spans="1:23" x14ac:dyDescent="0.25">
      <c r="A257" s="124"/>
      <c r="M257" s="8" t="s">
        <v>156</v>
      </c>
    </row>
    <row r="258" spans="1:23" x14ac:dyDescent="0.25">
      <c r="A258" s="124"/>
      <c r="B258" t="s">
        <v>159</v>
      </c>
      <c r="C258" s="1">
        <f>AreaTotal10</f>
        <v>142.69</v>
      </c>
      <c r="D258" t="s">
        <v>26</v>
      </c>
      <c r="E258" t="s">
        <v>11</v>
      </c>
      <c r="F258" s="5">
        <v>48</v>
      </c>
      <c r="G258" t="s">
        <v>145</v>
      </c>
      <c r="H258" s="5">
        <f>F258*C258</f>
        <v>6849.12</v>
      </c>
      <c r="M258" t="s">
        <v>143</v>
      </c>
    </row>
    <row r="259" spans="1:23" x14ac:dyDescent="0.25">
      <c r="A259" s="124"/>
      <c r="B259" t="s">
        <v>159</v>
      </c>
      <c r="C259" s="1">
        <f>AreaTotal11</f>
        <v>466.35</v>
      </c>
      <c r="D259" t="s">
        <v>26</v>
      </c>
      <c r="E259" t="s">
        <v>7</v>
      </c>
      <c r="F259" s="5">
        <v>48</v>
      </c>
      <c r="G259" t="s">
        <v>145</v>
      </c>
      <c r="H259" s="5">
        <f t="shared" ref="H259:H263" si="14">F259*C259</f>
        <v>22384.800000000003</v>
      </c>
      <c r="M259" s="44" t="s">
        <v>158</v>
      </c>
      <c r="N259" s="45"/>
      <c r="O259" s="45"/>
      <c r="P259" s="45"/>
      <c r="Q259" s="45"/>
      <c r="R259" s="45"/>
      <c r="S259" s="45"/>
      <c r="T259" s="45"/>
      <c r="U259" s="45" t="s">
        <v>144</v>
      </c>
      <c r="V259" s="46">
        <v>5.95</v>
      </c>
      <c r="W259" s="49">
        <v>7.85</v>
      </c>
    </row>
    <row r="260" spans="1:23" x14ac:dyDescent="0.25">
      <c r="A260" s="124"/>
      <c r="B260" t="s">
        <v>159</v>
      </c>
      <c r="C260" s="1">
        <f>AreaTotal12</f>
        <v>1027.8599999999999</v>
      </c>
      <c r="D260" t="s">
        <v>26</v>
      </c>
      <c r="E260" t="s">
        <v>8</v>
      </c>
      <c r="F260" s="5">
        <v>48</v>
      </c>
      <c r="G260" t="s">
        <v>145</v>
      </c>
      <c r="H260" s="5">
        <f t="shared" si="14"/>
        <v>49337.279999999999</v>
      </c>
      <c r="M260" s="15" t="s">
        <v>142</v>
      </c>
    </row>
    <row r="261" spans="1:23" x14ac:dyDescent="0.25">
      <c r="A261" s="124"/>
      <c r="B261" t="s">
        <v>159</v>
      </c>
      <c r="C261" s="1">
        <f>AreaTotal13</f>
        <v>1027.8599999999999</v>
      </c>
      <c r="D261" t="s">
        <v>26</v>
      </c>
      <c r="E261" t="s">
        <v>9</v>
      </c>
      <c r="F261" s="5">
        <v>48</v>
      </c>
      <c r="G261" t="s">
        <v>145</v>
      </c>
      <c r="H261" s="5">
        <f t="shared" si="14"/>
        <v>49337.279999999999</v>
      </c>
    </row>
    <row r="262" spans="1:23" x14ac:dyDescent="0.25">
      <c r="A262" s="124"/>
      <c r="B262" t="s">
        <v>159</v>
      </c>
      <c r="C262" s="1">
        <f>AreaTotal14</f>
        <v>1027.8599999999999</v>
      </c>
      <c r="D262" t="s">
        <v>26</v>
      </c>
      <c r="E262" t="s">
        <v>10</v>
      </c>
      <c r="F262" s="5">
        <v>48</v>
      </c>
      <c r="G262" t="s">
        <v>145</v>
      </c>
      <c r="H262" s="5">
        <f t="shared" si="14"/>
        <v>49337.279999999999</v>
      </c>
      <c r="M262" s="9" t="s">
        <v>162</v>
      </c>
      <c r="N262" s="9"/>
      <c r="O262" s="9"/>
      <c r="P262" s="9"/>
      <c r="Q262" s="9"/>
      <c r="R262" s="9"/>
    </row>
    <row r="263" spans="1:23" x14ac:dyDescent="0.25">
      <c r="A263" s="124"/>
      <c r="B263" t="s">
        <v>159</v>
      </c>
      <c r="C263" s="1">
        <f>AreaTotal15</f>
        <v>937.64</v>
      </c>
      <c r="D263" t="s">
        <v>26</v>
      </c>
      <c r="E263" t="s">
        <v>6</v>
      </c>
      <c r="F263" s="5">
        <v>48</v>
      </c>
      <c r="G263" t="s">
        <v>145</v>
      </c>
      <c r="H263" s="5">
        <f t="shared" si="14"/>
        <v>45006.720000000001</v>
      </c>
    </row>
    <row r="264" spans="1:23" x14ac:dyDescent="0.25">
      <c r="A264" s="124"/>
      <c r="C264" s="35">
        <f>SUM(C258:C263)</f>
        <v>4630.26</v>
      </c>
      <c r="H264" s="7">
        <f>SUM(H258:H263)</f>
        <v>222252.48</v>
      </c>
    </row>
    <row r="265" spans="1:23" x14ac:dyDescent="0.25">
      <c r="A265" s="124"/>
    </row>
    <row r="266" spans="1:23" x14ac:dyDescent="0.25">
      <c r="H266" s="5">
        <f>SUM(H252,H255,H264)</f>
        <v>229609.95600000001</v>
      </c>
    </row>
    <row r="267" spans="1:23" x14ac:dyDescent="0.25">
      <c r="A267" s="42" t="s">
        <v>164</v>
      </c>
      <c r="B267" s="3" t="s">
        <v>165</v>
      </c>
      <c r="C267" s="3"/>
      <c r="D267" s="3"/>
      <c r="E267" s="3"/>
      <c r="F267" s="3"/>
      <c r="G267" s="3"/>
      <c r="H267" s="3"/>
      <c r="I267" s="43"/>
      <c r="J267" s="3"/>
      <c r="L267" s="3"/>
      <c r="M267" s="14"/>
      <c r="N267" s="14"/>
      <c r="O267" s="14"/>
      <c r="P267" s="14"/>
      <c r="Q267" s="14"/>
      <c r="R267" s="14"/>
      <c r="S267" s="14"/>
      <c r="T267" s="14"/>
      <c r="U267" s="14"/>
      <c r="V267" s="55"/>
      <c r="W267" s="55"/>
    </row>
    <row r="268" spans="1:23" x14ac:dyDescent="0.25">
      <c r="B268" s="2" t="s">
        <v>0</v>
      </c>
      <c r="C268" s="2" t="s">
        <v>1</v>
      </c>
      <c r="D268" s="2" t="s">
        <v>3</v>
      </c>
      <c r="E268" s="2" t="s">
        <v>5</v>
      </c>
      <c r="F268" s="6" t="s">
        <v>15</v>
      </c>
      <c r="G268" s="2" t="s">
        <v>16</v>
      </c>
      <c r="H268" s="2" t="s">
        <v>17</v>
      </c>
      <c r="I268" s="14"/>
      <c r="J268" s="3"/>
      <c r="L268" s="3"/>
      <c r="M268" s="14"/>
      <c r="N268" s="14"/>
      <c r="O268" s="14"/>
      <c r="P268" s="14"/>
      <c r="Q268" s="14"/>
      <c r="R268" s="14"/>
      <c r="S268" s="14"/>
      <c r="T268" s="14"/>
      <c r="U268" s="14"/>
      <c r="V268" s="55"/>
      <c r="W268" s="55"/>
    </row>
    <row r="269" spans="1:23" x14ac:dyDescent="0.25">
      <c r="A269" s="124"/>
    </row>
    <row r="270" spans="1:23" x14ac:dyDescent="0.25">
      <c r="A270" s="124"/>
      <c r="B270" t="s">
        <v>166</v>
      </c>
      <c r="C270" s="1">
        <f>AreaTotal16</f>
        <v>420.52</v>
      </c>
      <c r="D270" t="s">
        <v>26</v>
      </c>
      <c r="E270" t="s">
        <v>11</v>
      </c>
      <c r="F270" s="5">
        <v>75</v>
      </c>
      <c r="G270" t="s">
        <v>145</v>
      </c>
      <c r="H270" s="5">
        <f>F270*C270</f>
        <v>31539</v>
      </c>
      <c r="M270" s="8" t="s">
        <v>163</v>
      </c>
    </row>
    <row r="271" spans="1:23" x14ac:dyDescent="0.25">
      <c r="A271" s="124"/>
      <c r="H271" s="7">
        <f>SUM(H270)</f>
        <v>31539</v>
      </c>
      <c r="M271" t="s">
        <v>143</v>
      </c>
    </row>
    <row r="272" spans="1:23" x14ac:dyDescent="0.25">
      <c r="A272" s="124"/>
      <c r="M272" s="44" t="s">
        <v>169</v>
      </c>
      <c r="N272" s="45"/>
      <c r="O272" s="45"/>
      <c r="P272" s="45"/>
      <c r="Q272" s="45"/>
      <c r="R272" s="45"/>
      <c r="S272" s="45"/>
      <c r="T272" s="45"/>
      <c r="U272" s="45" t="s">
        <v>144</v>
      </c>
      <c r="V272" s="46">
        <v>200</v>
      </c>
      <c r="W272" s="47">
        <v>280</v>
      </c>
    </row>
    <row r="273" spans="1:23" x14ac:dyDescent="0.25">
      <c r="A273" s="124"/>
      <c r="B273" t="s">
        <v>167</v>
      </c>
      <c r="C273" s="1">
        <f>AreaTotal17</f>
        <v>618.52</v>
      </c>
      <c r="D273" s="5" t="s">
        <v>26</v>
      </c>
      <c r="E273" t="s">
        <v>11</v>
      </c>
      <c r="F273" s="5">
        <v>105</v>
      </c>
      <c r="G273" t="s">
        <v>145</v>
      </c>
      <c r="H273" s="10">
        <f>F273*C273</f>
        <v>64944.6</v>
      </c>
      <c r="I273" s="9" t="s">
        <v>150</v>
      </c>
      <c r="M273" s="15" t="s">
        <v>142</v>
      </c>
    </row>
    <row r="274" spans="1:23" x14ac:dyDescent="0.25">
      <c r="A274" s="124"/>
      <c r="H274" s="7">
        <f>SUM(H273)</f>
        <v>64944.6</v>
      </c>
      <c r="M274" s="15"/>
    </row>
    <row r="275" spans="1:23" x14ac:dyDescent="0.25">
      <c r="A275" s="124"/>
    </row>
    <row r="276" spans="1:23" x14ac:dyDescent="0.25">
      <c r="A276" s="124"/>
      <c r="M276" s="8" t="s">
        <v>163</v>
      </c>
    </row>
    <row r="277" spans="1:23" x14ac:dyDescent="0.25">
      <c r="A277" s="124"/>
      <c r="B277" t="s">
        <v>168</v>
      </c>
      <c r="C277" s="1">
        <f>AreaTotal10</f>
        <v>142.69</v>
      </c>
      <c r="D277" t="s">
        <v>26</v>
      </c>
      <c r="E277" t="s">
        <v>11</v>
      </c>
      <c r="F277" s="5">
        <v>200</v>
      </c>
      <c r="G277" t="s">
        <v>145</v>
      </c>
      <c r="H277" s="5">
        <f>F277*C277</f>
        <v>28538</v>
      </c>
      <c r="M277" t="s">
        <v>143</v>
      </c>
    </row>
    <row r="278" spans="1:23" x14ac:dyDescent="0.25">
      <c r="A278" s="124"/>
      <c r="B278" t="s">
        <v>168</v>
      </c>
      <c r="C278" s="1">
        <f>AreaTotal11</f>
        <v>466.35</v>
      </c>
      <c r="D278" t="s">
        <v>26</v>
      </c>
      <c r="E278" t="s">
        <v>7</v>
      </c>
      <c r="F278" s="5">
        <v>200</v>
      </c>
      <c r="G278" t="s">
        <v>145</v>
      </c>
      <c r="H278" s="5">
        <f t="shared" ref="H278:H282" si="15">F278*C278</f>
        <v>93270</v>
      </c>
      <c r="M278" s="44" t="s">
        <v>158</v>
      </c>
      <c r="N278" s="45"/>
      <c r="O278" s="45"/>
      <c r="P278" s="45"/>
      <c r="Q278" s="45"/>
      <c r="R278" s="45"/>
      <c r="S278" s="45"/>
      <c r="T278" s="45"/>
      <c r="U278" s="45" t="s">
        <v>144</v>
      </c>
      <c r="V278" s="46">
        <v>75</v>
      </c>
      <c r="W278" s="49">
        <v>105</v>
      </c>
    </row>
    <row r="279" spans="1:23" x14ac:dyDescent="0.25">
      <c r="A279" s="124"/>
      <c r="B279" t="s">
        <v>168</v>
      </c>
      <c r="C279" s="1">
        <f>AreaTotal12</f>
        <v>1027.8599999999999</v>
      </c>
      <c r="D279" t="s">
        <v>26</v>
      </c>
      <c r="E279" t="s">
        <v>8</v>
      </c>
      <c r="F279" s="5">
        <v>200</v>
      </c>
      <c r="G279" t="s">
        <v>145</v>
      </c>
      <c r="H279" s="5">
        <f t="shared" si="15"/>
        <v>205571.99999999997</v>
      </c>
      <c r="M279" s="15" t="s">
        <v>142</v>
      </c>
    </row>
    <row r="280" spans="1:23" x14ac:dyDescent="0.25">
      <c r="A280" s="124"/>
      <c r="B280" t="s">
        <v>168</v>
      </c>
      <c r="C280" s="1">
        <f>AreaTotal13</f>
        <v>1027.8599999999999</v>
      </c>
      <c r="D280" t="s">
        <v>26</v>
      </c>
      <c r="E280" t="s">
        <v>9</v>
      </c>
      <c r="F280" s="5">
        <v>200</v>
      </c>
      <c r="G280" t="s">
        <v>145</v>
      </c>
      <c r="H280" s="5">
        <f t="shared" si="15"/>
        <v>205571.99999999997</v>
      </c>
    </row>
    <row r="281" spans="1:23" x14ac:dyDescent="0.25">
      <c r="A281" s="124"/>
      <c r="B281" t="s">
        <v>168</v>
      </c>
      <c r="C281" s="1">
        <f>AreaTotal14</f>
        <v>1027.8599999999999</v>
      </c>
      <c r="D281" t="s">
        <v>26</v>
      </c>
      <c r="E281" t="s">
        <v>10</v>
      </c>
      <c r="F281" s="5">
        <v>200</v>
      </c>
      <c r="G281" t="s">
        <v>145</v>
      </c>
      <c r="H281" s="5">
        <f t="shared" si="15"/>
        <v>205571.99999999997</v>
      </c>
      <c r="M281" s="9" t="s">
        <v>170</v>
      </c>
      <c r="N281" s="9"/>
      <c r="O281" s="9"/>
      <c r="P281" s="9"/>
      <c r="Q281" s="9"/>
      <c r="R281" s="9"/>
    </row>
    <row r="282" spans="1:23" x14ac:dyDescent="0.25">
      <c r="A282" s="124"/>
      <c r="B282" t="s">
        <v>168</v>
      </c>
      <c r="C282" s="1">
        <f>AreaTotal15</f>
        <v>937.64</v>
      </c>
      <c r="D282" t="s">
        <v>26</v>
      </c>
      <c r="E282" t="s">
        <v>6</v>
      </c>
      <c r="F282" s="5">
        <v>200</v>
      </c>
      <c r="G282" t="s">
        <v>145</v>
      </c>
      <c r="H282" s="5">
        <f t="shared" si="15"/>
        <v>187528</v>
      </c>
    </row>
    <row r="283" spans="1:23" x14ac:dyDescent="0.25">
      <c r="A283" s="124"/>
      <c r="C283" s="35">
        <f>SUM(C277:C282)</f>
        <v>4630.26</v>
      </c>
      <c r="H283" s="7">
        <f>SUM(H277:H282)</f>
        <v>926052</v>
      </c>
    </row>
    <row r="284" spans="1:23" x14ac:dyDescent="0.25">
      <c r="A284" s="124"/>
    </row>
    <row r="285" spans="1:23" x14ac:dyDescent="0.25">
      <c r="H285" s="7">
        <f>SUM(H271,H274,H283)</f>
        <v>1022535.6</v>
      </c>
    </row>
    <row r="286" spans="1:23" x14ac:dyDescent="0.25">
      <c r="A286" s="42" t="s">
        <v>172</v>
      </c>
      <c r="B286" s="3" t="s">
        <v>176</v>
      </c>
      <c r="C286" s="3"/>
      <c r="D286" s="3"/>
      <c r="E286" s="3"/>
      <c r="F286" s="3"/>
      <c r="G286" s="3"/>
      <c r="H286" s="3"/>
      <c r="I286" s="43"/>
      <c r="J286" s="3"/>
      <c r="L286" s="3"/>
      <c r="M286" s="14"/>
      <c r="N286" s="14"/>
      <c r="O286" s="14"/>
      <c r="P286" s="14"/>
      <c r="Q286" s="14"/>
      <c r="R286" s="14"/>
      <c r="S286" s="14"/>
      <c r="T286" s="14"/>
      <c r="U286" s="14"/>
      <c r="V286" s="55"/>
      <c r="W286" s="55"/>
    </row>
    <row r="287" spans="1:23" x14ac:dyDescent="0.25">
      <c r="B287" s="2" t="s">
        <v>0</v>
      </c>
      <c r="C287" s="2" t="s">
        <v>1</v>
      </c>
      <c r="D287" s="2" t="s">
        <v>3</v>
      </c>
      <c r="E287" s="2" t="s">
        <v>5</v>
      </c>
      <c r="F287" s="6" t="s">
        <v>15</v>
      </c>
      <c r="G287" s="2" t="s">
        <v>16</v>
      </c>
      <c r="H287" s="2" t="s">
        <v>17</v>
      </c>
      <c r="I287" s="14"/>
      <c r="J287" s="3"/>
      <c r="L287" s="3"/>
      <c r="M287" s="14"/>
      <c r="N287" s="14"/>
      <c r="O287" s="14"/>
      <c r="P287" s="14"/>
      <c r="Q287" s="14"/>
      <c r="R287" s="14"/>
      <c r="S287" s="14"/>
      <c r="T287" s="14"/>
      <c r="U287" s="14"/>
      <c r="V287" s="55"/>
      <c r="W287" s="55"/>
    </row>
    <row r="288" spans="1:23" x14ac:dyDescent="0.25">
      <c r="A288" s="124"/>
    </row>
    <row r="289" spans="1:23" x14ac:dyDescent="0.25">
      <c r="A289" s="124"/>
      <c r="B289" t="s">
        <v>177</v>
      </c>
      <c r="C289" s="1">
        <f>AreaTotal16</f>
        <v>420.52</v>
      </c>
      <c r="D289" t="s">
        <v>26</v>
      </c>
      <c r="E289" t="s">
        <v>11</v>
      </c>
      <c r="F289" s="5">
        <v>30</v>
      </c>
      <c r="G289" t="s">
        <v>175</v>
      </c>
      <c r="H289" s="5">
        <f>F289*C289</f>
        <v>12615.599999999999</v>
      </c>
      <c r="M289" s="8" t="s">
        <v>171</v>
      </c>
    </row>
    <row r="290" spans="1:23" x14ac:dyDescent="0.25">
      <c r="A290" s="124"/>
      <c r="H290" s="7">
        <f>SUM(H289)</f>
        <v>12615.599999999999</v>
      </c>
      <c r="M290" t="s">
        <v>173</v>
      </c>
    </row>
    <row r="291" spans="1:23" x14ac:dyDescent="0.25">
      <c r="A291" s="124"/>
      <c r="M291" t="s">
        <v>143</v>
      </c>
    </row>
    <row r="292" spans="1:23" x14ac:dyDescent="0.25">
      <c r="A292" s="124"/>
      <c r="B292" t="s">
        <v>178</v>
      </c>
      <c r="C292" s="1">
        <f>AreaTotal17</f>
        <v>618.52</v>
      </c>
      <c r="D292" s="5" t="s">
        <v>26</v>
      </c>
      <c r="E292" t="s">
        <v>11</v>
      </c>
      <c r="F292" s="5">
        <v>41.5</v>
      </c>
      <c r="G292" t="s">
        <v>175</v>
      </c>
      <c r="H292" s="10">
        <f>F292*C292</f>
        <v>25668.579999999998</v>
      </c>
      <c r="I292" s="9" t="s">
        <v>150</v>
      </c>
      <c r="M292" s="44" t="s">
        <v>169</v>
      </c>
      <c r="N292" s="45"/>
      <c r="O292" s="45"/>
      <c r="P292" s="45"/>
      <c r="Q292" s="45"/>
      <c r="R292" s="45"/>
      <c r="S292" s="45"/>
      <c r="T292" s="45"/>
      <c r="U292" s="45" t="s">
        <v>144</v>
      </c>
      <c r="V292" s="46">
        <v>48</v>
      </c>
      <c r="W292" s="47">
        <v>67</v>
      </c>
    </row>
    <row r="293" spans="1:23" x14ac:dyDescent="0.25">
      <c r="A293" s="124"/>
      <c r="H293" s="7">
        <f>SUM(H292)</f>
        <v>25668.579999999998</v>
      </c>
      <c r="M293" s="15" t="s">
        <v>174</v>
      </c>
    </row>
    <row r="294" spans="1:23" x14ac:dyDescent="0.25">
      <c r="A294" s="124"/>
    </row>
    <row r="295" spans="1:23" x14ac:dyDescent="0.25">
      <c r="A295" s="124"/>
      <c r="M295" s="15"/>
    </row>
    <row r="296" spans="1:23" x14ac:dyDescent="0.25">
      <c r="A296" s="124"/>
      <c r="B296" t="s">
        <v>179</v>
      </c>
      <c r="C296" s="1">
        <f>AreaTotal10</f>
        <v>142.69</v>
      </c>
      <c r="D296" t="s">
        <v>26</v>
      </c>
      <c r="E296" t="s">
        <v>11</v>
      </c>
      <c r="F296" s="5">
        <v>48</v>
      </c>
      <c r="G296" t="s">
        <v>175</v>
      </c>
      <c r="H296" s="5">
        <f>F296*C296</f>
        <v>6849.12</v>
      </c>
      <c r="M296" s="8" t="s">
        <v>171</v>
      </c>
    </row>
    <row r="297" spans="1:23" x14ac:dyDescent="0.25">
      <c r="A297" s="124"/>
      <c r="B297" t="s">
        <v>179</v>
      </c>
      <c r="C297" s="1">
        <f>AreaTotal11</f>
        <v>466.35</v>
      </c>
      <c r="D297" t="s">
        <v>26</v>
      </c>
      <c r="E297" t="s">
        <v>7</v>
      </c>
      <c r="F297" s="5">
        <v>48</v>
      </c>
      <c r="G297" t="s">
        <v>175</v>
      </c>
      <c r="H297" s="5">
        <f t="shared" ref="H297:H301" si="16">F297*C297</f>
        <v>22384.800000000003</v>
      </c>
      <c r="M297" t="s">
        <v>173</v>
      </c>
    </row>
    <row r="298" spans="1:23" x14ac:dyDescent="0.25">
      <c r="A298" s="124"/>
      <c r="B298" t="s">
        <v>179</v>
      </c>
      <c r="C298" s="1">
        <f>AreaTotal12</f>
        <v>1027.8599999999999</v>
      </c>
      <c r="D298" t="s">
        <v>26</v>
      </c>
      <c r="E298" t="s">
        <v>8</v>
      </c>
      <c r="F298" s="5">
        <v>48</v>
      </c>
      <c r="G298" t="s">
        <v>175</v>
      </c>
      <c r="H298" s="5">
        <f t="shared" si="16"/>
        <v>49337.279999999999</v>
      </c>
      <c r="M298" t="s">
        <v>143</v>
      </c>
    </row>
    <row r="299" spans="1:23" x14ac:dyDescent="0.25">
      <c r="A299" s="124"/>
      <c r="B299" t="s">
        <v>179</v>
      </c>
      <c r="C299" s="1">
        <f>AreaTotal13</f>
        <v>1027.8599999999999</v>
      </c>
      <c r="D299" t="s">
        <v>26</v>
      </c>
      <c r="E299" t="s">
        <v>9</v>
      </c>
      <c r="F299" s="5">
        <v>48</v>
      </c>
      <c r="G299" t="s">
        <v>175</v>
      </c>
      <c r="H299" s="5">
        <f t="shared" si="16"/>
        <v>49337.279999999999</v>
      </c>
      <c r="M299" s="44" t="s">
        <v>158</v>
      </c>
      <c r="N299" s="45"/>
      <c r="O299" s="45"/>
      <c r="P299" s="45"/>
      <c r="Q299" s="45"/>
      <c r="R299" s="45"/>
      <c r="S299" s="45"/>
      <c r="T299" s="45"/>
      <c r="U299" s="45" t="s">
        <v>144</v>
      </c>
      <c r="V299" s="46">
        <v>30</v>
      </c>
      <c r="W299" s="49">
        <v>41.5</v>
      </c>
    </row>
    <row r="300" spans="1:23" x14ac:dyDescent="0.25">
      <c r="A300" s="124"/>
      <c r="B300" t="s">
        <v>179</v>
      </c>
      <c r="C300" s="1">
        <f>AreaTotal14</f>
        <v>1027.8599999999999</v>
      </c>
      <c r="D300" t="s">
        <v>26</v>
      </c>
      <c r="E300" t="s">
        <v>10</v>
      </c>
      <c r="F300" s="5">
        <v>48</v>
      </c>
      <c r="G300" t="s">
        <v>175</v>
      </c>
      <c r="H300" s="5">
        <f t="shared" si="16"/>
        <v>49337.279999999999</v>
      </c>
      <c r="M300" s="15" t="s">
        <v>174</v>
      </c>
    </row>
    <row r="301" spans="1:23" x14ac:dyDescent="0.25">
      <c r="A301" s="124"/>
      <c r="B301" t="s">
        <v>179</v>
      </c>
      <c r="C301" s="1">
        <f>AreaTotal15</f>
        <v>937.64</v>
      </c>
      <c r="D301" t="s">
        <v>26</v>
      </c>
      <c r="E301" t="s">
        <v>6</v>
      </c>
      <c r="F301" s="5">
        <v>48</v>
      </c>
      <c r="G301" t="s">
        <v>175</v>
      </c>
      <c r="H301" s="5">
        <f t="shared" si="16"/>
        <v>45006.720000000001</v>
      </c>
    </row>
    <row r="302" spans="1:23" x14ac:dyDescent="0.25">
      <c r="A302" s="124"/>
      <c r="C302" s="35">
        <f>SUM(C296:C301)</f>
        <v>4630.26</v>
      </c>
      <c r="H302" s="7">
        <f>SUM(H296:H301)</f>
        <v>222252.48</v>
      </c>
      <c r="M302" s="9" t="s">
        <v>180</v>
      </c>
      <c r="N302" s="9"/>
      <c r="O302" s="9"/>
      <c r="P302" s="9"/>
      <c r="Q302" s="9"/>
      <c r="R302" s="9"/>
    </row>
    <row r="303" spans="1:23" x14ac:dyDescent="0.25">
      <c r="A303" s="124"/>
    </row>
    <row r="304" spans="1:23" x14ac:dyDescent="0.25">
      <c r="H304" s="7">
        <f>SUM(H290,H293,H302)</f>
        <v>260536.66</v>
      </c>
    </row>
    <row r="305" spans="1:23" x14ac:dyDescent="0.25">
      <c r="A305" s="42" t="s">
        <v>181</v>
      </c>
      <c r="B305" s="3" t="s">
        <v>182</v>
      </c>
      <c r="C305" s="3"/>
      <c r="D305" s="3"/>
      <c r="E305" s="3"/>
      <c r="F305" s="3"/>
      <c r="G305" s="3"/>
      <c r="H305" s="3"/>
      <c r="I305" s="43"/>
      <c r="J305" s="3"/>
      <c r="L305" s="3"/>
      <c r="M305" s="14"/>
      <c r="N305" s="14"/>
      <c r="O305" s="14"/>
      <c r="P305" s="14"/>
      <c r="Q305" s="14"/>
      <c r="R305" s="14"/>
      <c r="S305" s="14"/>
      <c r="T305" s="14"/>
      <c r="U305" s="14"/>
      <c r="V305" s="55"/>
      <c r="W305" s="55"/>
    </row>
    <row r="306" spans="1:23" x14ac:dyDescent="0.25">
      <c r="B306" s="2" t="s">
        <v>0</v>
      </c>
      <c r="C306" s="2" t="s">
        <v>1</v>
      </c>
      <c r="D306" s="2" t="s">
        <v>3</v>
      </c>
      <c r="E306" s="2" t="s">
        <v>5</v>
      </c>
      <c r="F306" s="6" t="s">
        <v>15</v>
      </c>
      <c r="G306" s="2" t="s">
        <v>16</v>
      </c>
      <c r="H306" s="2" t="s">
        <v>17</v>
      </c>
      <c r="I306" s="14"/>
      <c r="J306" s="3"/>
      <c r="L306" s="3"/>
      <c r="M306" s="14"/>
      <c r="N306" s="14"/>
      <c r="O306" s="14"/>
      <c r="P306" s="14"/>
      <c r="Q306" s="14"/>
      <c r="R306" s="14"/>
      <c r="S306" s="14"/>
      <c r="T306" s="14"/>
      <c r="U306" s="14"/>
      <c r="V306" s="55"/>
      <c r="W306" s="55"/>
    </row>
    <row r="307" spans="1:23" x14ac:dyDescent="0.25">
      <c r="A307" s="124"/>
    </row>
    <row r="308" spans="1:23" x14ac:dyDescent="0.25">
      <c r="A308" s="124"/>
      <c r="B308" t="s">
        <v>189</v>
      </c>
      <c r="C308" s="1"/>
      <c r="D308" t="s">
        <v>26</v>
      </c>
      <c r="E308" t="s">
        <v>11</v>
      </c>
      <c r="H308" s="5">
        <f>F308*C308</f>
        <v>0</v>
      </c>
      <c r="M308" s="8" t="s">
        <v>183</v>
      </c>
    </row>
    <row r="309" spans="1:23" x14ac:dyDescent="0.25">
      <c r="A309" s="124"/>
      <c r="M309" s="8" t="s">
        <v>184</v>
      </c>
    </row>
    <row r="310" spans="1:23" x14ac:dyDescent="0.25">
      <c r="A310" s="124"/>
      <c r="M310" t="s">
        <v>185</v>
      </c>
    </row>
    <row r="311" spans="1:23" x14ac:dyDescent="0.25">
      <c r="A311" s="124"/>
      <c r="B311" t="s">
        <v>190</v>
      </c>
      <c r="C311" s="1"/>
      <c r="D311" s="5" t="s">
        <v>26</v>
      </c>
      <c r="E311" t="s">
        <v>11</v>
      </c>
      <c r="H311" s="5">
        <f>F311*C311</f>
        <v>0</v>
      </c>
      <c r="M311" t="s">
        <v>186</v>
      </c>
    </row>
    <row r="312" spans="1:23" x14ac:dyDescent="0.25">
      <c r="A312" s="124"/>
      <c r="M312" s="44" t="s">
        <v>187</v>
      </c>
      <c r="N312" s="45"/>
      <c r="O312" s="45"/>
      <c r="P312" s="45"/>
      <c r="Q312" s="45"/>
      <c r="R312" s="45"/>
      <c r="S312" s="45"/>
      <c r="T312" s="45"/>
      <c r="U312" s="45" t="s">
        <v>144</v>
      </c>
      <c r="V312" s="46">
        <v>260</v>
      </c>
      <c r="W312" s="47">
        <v>310</v>
      </c>
    </row>
    <row r="313" spans="1:23" x14ac:dyDescent="0.25">
      <c r="A313" s="124"/>
      <c r="M313" s="15" t="s">
        <v>188</v>
      </c>
    </row>
    <row r="314" spans="1:23" x14ac:dyDescent="0.25">
      <c r="A314" s="124"/>
    </row>
    <row r="315" spans="1:23" x14ac:dyDescent="0.25">
      <c r="A315" s="124"/>
      <c r="B315" t="s">
        <v>195</v>
      </c>
      <c r="C315" s="1">
        <v>65</v>
      </c>
      <c r="D315" t="s">
        <v>37</v>
      </c>
      <c r="E315" t="s">
        <v>191</v>
      </c>
      <c r="M315" s="9" t="s">
        <v>207</v>
      </c>
      <c r="N315" s="9"/>
      <c r="O315" s="9">
        <v>2.4500000000000002</v>
      </c>
      <c r="P315" s="9" t="s">
        <v>144</v>
      </c>
    </row>
    <row r="316" spans="1:23" ht="30" x14ac:dyDescent="0.25">
      <c r="A316" s="124"/>
      <c r="B316" s="12" t="s">
        <v>192</v>
      </c>
      <c r="C316">
        <f>CountTotal33+(3*4)</f>
        <v>77</v>
      </c>
      <c r="D316" t="s">
        <v>37</v>
      </c>
      <c r="E316" t="s">
        <v>191</v>
      </c>
      <c r="M316" s="15"/>
    </row>
    <row r="317" spans="1:23" x14ac:dyDescent="0.25">
      <c r="A317" s="124"/>
      <c r="B317" t="s">
        <v>193</v>
      </c>
      <c r="C317" s="9">
        <f>C316*2.45</f>
        <v>188.65</v>
      </c>
      <c r="D317" t="s">
        <v>194</v>
      </c>
      <c r="E317" t="s">
        <v>191</v>
      </c>
      <c r="F317" s="5">
        <v>260</v>
      </c>
      <c r="G317" t="s">
        <v>62</v>
      </c>
      <c r="H317" s="5">
        <f>F317*C317</f>
        <v>49049</v>
      </c>
    </row>
    <row r="318" spans="1:23" x14ac:dyDescent="0.25">
      <c r="A318" s="124"/>
      <c r="H318" s="7">
        <f>SUM(H317:H317)</f>
        <v>49049</v>
      </c>
    </row>
    <row r="319" spans="1:23" x14ac:dyDescent="0.25">
      <c r="A319" s="124"/>
    </row>
    <row r="321" spans="1:23" x14ac:dyDescent="0.25">
      <c r="A321" s="42" t="s">
        <v>202</v>
      </c>
      <c r="B321" s="3" t="s">
        <v>203</v>
      </c>
      <c r="C321" s="3"/>
      <c r="D321" s="3"/>
      <c r="E321" s="3"/>
      <c r="F321" s="3"/>
      <c r="G321" s="3"/>
      <c r="H321" s="3"/>
      <c r="I321" s="43"/>
      <c r="J321" s="3"/>
      <c r="L321" s="3"/>
      <c r="M321" s="14"/>
      <c r="N321" s="14"/>
      <c r="O321" s="14"/>
      <c r="P321" s="14"/>
      <c r="Q321" s="14"/>
      <c r="R321" s="14"/>
      <c r="S321" s="14"/>
      <c r="T321" s="14"/>
      <c r="U321" s="14"/>
      <c r="V321" s="55"/>
      <c r="W321" s="55"/>
    </row>
    <row r="322" spans="1:23" x14ac:dyDescent="0.25">
      <c r="B322" s="2" t="s">
        <v>0</v>
      </c>
      <c r="C322" s="2" t="s">
        <v>1</v>
      </c>
      <c r="D322" s="2" t="s">
        <v>3</v>
      </c>
      <c r="E322" s="2" t="s">
        <v>5</v>
      </c>
      <c r="F322" s="6" t="s">
        <v>15</v>
      </c>
      <c r="G322" s="2" t="s">
        <v>16</v>
      </c>
      <c r="H322" s="2" t="s">
        <v>17</v>
      </c>
      <c r="I322" s="14"/>
      <c r="J322" s="3"/>
      <c r="L322" s="3"/>
      <c r="M322" s="14"/>
      <c r="N322" s="14"/>
      <c r="O322" s="14"/>
      <c r="P322" s="14"/>
      <c r="Q322" s="14"/>
      <c r="R322" s="14"/>
      <c r="S322" s="14"/>
      <c r="T322" s="14"/>
      <c r="U322" s="14"/>
      <c r="V322" s="55"/>
      <c r="W322" s="55"/>
    </row>
    <row r="323" spans="1:23" x14ac:dyDescent="0.25">
      <c r="A323" s="124"/>
    </row>
    <row r="324" spans="1:23" x14ac:dyDescent="0.25">
      <c r="A324" s="125"/>
      <c r="B324" t="s">
        <v>204</v>
      </c>
      <c r="C324" s="1">
        <v>773.81</v>
      </c>
      <c r="D324" t="s">
        <v>26</v>
      </c>
      <c r="E324" t="s">
        <v>205</v>
      </c>
      <c r="F324" s="5">
        <v>1100</v>
      </c>
      <c r="G324" t="s">
        <v>206</v>
      </c>
      <c r="H324" s="5">
        <f>F324*C324</f>
        <v>851190.99999999988</v>
      </c>
      <c r="M324" s="8" t="s">
        <v>196</v>
      </c>
    </row>
    <row r="325" spans="1:23" x14ac:dyDescent="0.25">
      <c r="A325" s="124"/>
      <c r="H325" s="7">
        <f>SUM(H324)</f>
        <v>851190.99999999988</v>
      </c>
      <c r="M325" s="8" t="s">
        <v>197</v>
      </c>
    </row>
    <row r="326" spans="1:23" x14ac:dyDescent="0.25">
      <c r="A326" s="124"/>
      <c r="M326" s="8" t="s">
        <v>200</v>
      </c>
    </row>
    <row r="327" spans="1:23" x14ac:dyDescent="0.25">
      <c r="A327" s="125"/>
      <c r="B327" t="s">
        <v>212</v>
      </c>
      <c r="C327" s="1">
        <v>2164.9</v>
      </c>
      <c r="D327" t="s">
        <v>26</v>
      </c>
      <c r="E327" t="s">
        <v>205</v>
      </c>
      <c r="M327" t="s">
        <v>198</v>
      </c>
    </row>
    <row r="328" spans="1:23" ht="45" x14ac:dyDescent="0.25">
      <c r="A328" s="125"/>
      <c r="B328" s="12" t="s">
        <v>215</v>
      </c>
      <c r="C328">
        <f>AreaTotal19+380.89</f>
        <v>2545.79</v>
      </c>
      <c r="D328" t="s">
        <v>26</v>
      </c>
      <c r="E328" t="s">
        <v>205</v>
      </c>
      <c r="F328" s="5">
        <v>165</v>
      </c>
      <c r="G328" t="s">
        <v>214</v>
      </c>
      <c r="H328" s="5">
        <f>F328*C328</f>
        <v>420055.35</v>
      </c>
      <c r="M328" s="44" t="s">
        <v>199</v>
      </c>
      <c r="N328" s="45"/>
      <c r="O328" s="45"/>
      <c r="P328" s="45"/>
      <c r="Q328" s="45"/>
      <c r="R328" s="45"/>
      <c r="S328" s="45"/>
      <c r="T328" s="45"/>
      <c r="U328" s="45" t="s">
        <v>144</v>
      </c>
      <c r="V328" s="46">
        <v>1100</v>
      </c>
      <c r="W328" s="47">
        <v>1350</v>
      </c>
    </row>
    <row r="329" spans="1:23" x14ac:dyDescent="0.25">
      <c r="A329" s="124"/>
      <c r="H329" s="7">
        <f>SUM(H328)</f>
        <v>420055.35</v>
      </c>
      <c r="M329" s="15" t="s">
        <v>201</v>
      </c>
    </row>
    <row r="330" spans="1:23" x14ac:dyDescent="0.25">
      <c r="A330" s="124"/>
    </row>
    <row r="331" spans="1:23" x14ac:dyDescent="0.25">
      <c r="A331" s="124"/>
    </row>
    <row r="332" spans="1:23" x14ac:dyDescent="0.25">
      <c r="A332" s="125" t="s">
        <v>222</v>
      </c>
      <c r="B332" t="s">
        <v>219</v>
      </c>
      <c r="C332" s="1">
        <v>308.66000000000003</v>
      </c>
      <c r="D332" t="s">
        <v>26</v>
      </c>
      <c r="E332" t="s">
        <v>205</v>
      </c>
      <c r="F332" s="5">
        <v>55</v>
      </c>
      <c r="G332" t="s">
        <v>221</v>
      </c>
      <c r="H332" s="5">
        <f>F332*C332</f>
        <v>16976.300000000003</v>
      </c>
      <c r="M332" s="8" t="s">
        <v>196</v>
      </c>
    </row>
    <row r="333" spans="1:23" x14ac:dyDescent="0.25">
      <c r="A333" s="124"/>
      <c r="H333" s="7">
        <f>SUM(H332)</f>
        <v>16976.300000000003</v>
      </c>
      <c r="M333" s="8" t="s">
        <v>197</v>
      </c>
    </row>
    <row r="334" spans="1:23" x14ac:dyDescent="0.25">
      <c r="A334" s="124"/>
      <c r="M334" s="8" t="s">
        <v>213</v>
      </c>
    </row>
    <row r="335" spans="1:23" x14ac:dyDescent="0.25">
      <c r="A335" s="124"/>
      <c r="M335" t="s">
        <v>208</v>
      </c>
    </row>
    <row r="336" spans="1:23" x14ac:dyDescent="0.25">
      <c r="A336" s="125"/>
      <c r="B336" t="s">
        <v>328</v>
      </c>
      <c r="C336" s="1">
        <v>193.3</v>
      </c>
      <c r="D336" t="s">
        <v>26</v>
      </c>
      <c r="E336" t="s">
        <v>205</v>
      </c>
      <c r="F336" s="5">
        <v>250</v>
      </c>
      <c r="G336" t="s">
        <v>329</v>
      </c>
      <c r="H336" s="5">
        <f>F336*C336</f>
        <v>48325</v>
      </c>
      <c r="M336" t="s">
        <v>209</v>
      </c>
    </row>
    <row r="337" spans="1:23" x14ac:dyDescent="0.25">
      <c r="A337" s="124"/>
      <c r="B337" s="51" t="s">
        <v>240</v>
      </c>
      <c r="C337" s="35">
        <f>AreaTotal22+N358</f>
        <v>280.27</v>
      </c>
      <c r="H337" s="7">
        <f>SUM(H336)</f>
        <v>48325</v>
      </c>
      <c r="M337" s="44" t="s">
        <v>210</v>
      </c>
      <c r="N337" s="45"/>
      <c r="O337" s="45"/>
      <c r="P337" s="45"/>
      <c r="Q337" s="45"/>
      <c r="R337" s="45"/>
      <c r="S337" s="45"/>
      <c r="T337" s="45"/>
      <c r="U337" s="45" t="s">
        <v>144</v>
      </c>
      <c r="V337" s="46">
        <v>165</v>
      </c>
      <c r="W337" s="47">
        <v>200</v>
      </c>
    </row>
    <row r="338" spans="1:23" x14ac:dyDescent="0.25">
      <c r="A338" s="124"/>
      <c r="M338" s="15" t="s">
        <v>211</v>
      </c>
    </row>
    <row r="341" spans="1:23" x14ac:dyDescent="0.25">
      <c r="M341" s="8" t="s">
        <v>196</v>
      </c>
    </row>
    <row r="342" spans="1:23" x14ac:dyDescent="0.25">
      <c r="M342" s="8" t="s">
        <v>216</v>
      </c>
    </row>
    <row r="343" spans="1:23" x14ac:dyDescent="0.25">
      <c r="M343" t="s">
        <v>217</v>
      </c>
    </row>
    <row r="344" spans="1:23" x14ac:dyDescent="0.25">
      <c r="M344" s="44" t="s">
        <v>218</v>
      </c>
      <c r="N344" s="45"/>
      <c r="O344" s="45"/>
      <c r="P344" s="45"/>
      <c r="Q344" s="45"/>
      <c r="R344" s="45"/>
      <c r="S344" s="45"/>
      <c r="T344" s="45"/>
      <c r="U344" s="45" t="s">
        <v>144</v>
      </c>
      <c r="V344" s="46">
        <v>55</v>
      </c>
      <c r="W344" s="47">
        <v>67</v>
      </c>
    </row>
    <row r="345" spans="1:23" x14ac:dyDescent="0.25">
      <c r="M345" s="15" t="s">
        <v>220</v>
      </c>
    </row>
    <row r="348" spans="1:23" x14ac:dyDescent="0.25">
      <c r="M348" s="8" t="s">
        <v>196</v>
      </c>
    </row>
    <row r="349" spans="1:23" x14ac:dyDescent="0.25">
      <c r="M349" s="8" t="s">
        <v>216</v>
      </c>
    </row>
    <row r="350" spans="1:23" x14ac:dyDescent="0.25">
      <c r="M350" t="s">
        <v>325</v>
      </c>
    </row>
    <row r="351" spans="1:23" x14ac:dyDescent="0.25">
      <c r="M351" t="s">
        <v>326</v>
      </c>
    </row>
    <row r="352" spans="1:23" x14ac:dyDescent="0.25">
      <c r="M352" s="44" t="s">
        <v>327</v>
      </c>
      <c r="N352" s="45"/>
      <c r="O352" s="45"/>
      <c r="P352" s="45"/>
      <c r="Q352" s="45"/>
      <c r="R352" s="45"/>
      <c r="S352" s="45"/>
      <c r="T352" s="45"/>
      <c r="U352" s="45" t="s">
        <v>144</v>
      </c>
      <c r="V352" s="46">
        <v>250</v>
      </c>
      <c r="W352" s="47">
        <v>305</v>
      </c>
    </row>
    <row r="354" spans="1:23" x14ac:dyDescent="0.25">
      <c r="M354" s="93" t="s">
        <v>330</v>
      </c>
      <c r="N354" s="94" t="s">
        <v>331</v>
      </c>
      <c r="O354" s="95"/>
    </row>
    <row r="355" spans="1:23" x14ac:dyDescent="0.25">
      <c r="M355" s="96" t="s">
        <v>332</v>
      </c>
      <c r="N355" s="97" t="s">
        <v>295</v>
      </c>
      <c r="O355" s="98"/>
    </row>
    <row r="356" spans="1:23" x14ac:dyDescent="0.25">
      <c r="M356" s="74">
        <v>21.15</v>
      </c>
      <c r="N356" s="71">
        <f>M356*3</f>
        <v>63.449999999999996</v>
      </c>
      <c r="O356" s="73"/>
    </row>
    <row r="357" spans="1:23" x14ac:dyDescent="0.25">
      <c r="M357" s="74">
        <v>7.84</v>
      </c>
      <c r="N357" s="71">
        <f>M357*3</f>
        <v>23.52</v>
      </c>
      <c r="O357" s="73"/>
    </row>
    <row r="358" spans="1:23" x14ac:dyDescent="0.25">
      <c r="M358" s="91" t="s">
        <v>295</v>
      </c>
      <c r="N358" s="92">
        <f>SUM(N356:N357)</f>
        <v>86.97</v>
      </c>
      <c r="O358" s="73"/>
    </row>
    <row r="361" spans="1:23" x14ac:dyDescent="0.25">
      <c r="A361" s="42" t="s">
        <v>255</v>
      </c>
      <c r="B361" s="3" t="s">
        <v>256</v>
      </c>
      <c r="C361" s="3"/>
      <c r="D361" s="3"/>
      <c r="E361" s="3"/>
      <c r="F361" s="3"/>
      <c r="G361" s="3"/>
      <c r="H361" s="3"/>
      <c r="I361" s="43"/>
      <c r="J361" s="3"/>
      <c r="L361" s="3"/>
      <c r="M361" s="14"/>
      <c r="N361" s="14"/>
      <c r="O361" s="14"/>
      <c r="P361" s="14"/>
      <c r="Q361" s="14"/>
      <c r="R361" s="14"/>
      <c r="S361" s="14"/>
      <c r="T361" s="14"/>
      <c r="U361" s="14"/>
      <c r="V361" s="55"/>
      <c r="W361" s="55"/>
    </row>
    <row r="362" spans="1:23" x14ac:dyDescent="0.25">
      <c r="A362" s="124"/>
      <c r="B362" s="2" t="s">
        <v>0</v>
      </c>
      <c r="C362" s="2" t="s">
        <v>1</v>
      </c>
      <c r="D362" s="2" t="s">
        <v>3</v>
      </c>
      <c r="E362" s="2" t="s">
        <v>5</v>
      </c>
      <c r="F362" s="6" t="s">
        <v>15</v>
      </c>
      <c r="G362" s="2" t="s">
        <v>16</v>
      </c>
      <c r="H362" s="2" t="s">
        <v>17</v>
      </c>
      <c r="I362" s="14"/>
      <c r="J362" s="3"/>
      <c r="L362" s="3"/>
      <c r="M362" s="14"/>
      <c r="N362" s="14"/>
      <c r="O362" s="14"/>
      <c r="P362" s="14"/>
      <c r="Q362" s="14"/>
      <c r="R362" s="14"/>
      <c r="S362" s="14"/>
      <c r="T362" s="14"/>
      <c r="U362" s="14"/>
      <c r="V362" s="55"/>
      <c r="W362" s="55"/>
    </row>
    <row r="363" spans="1:23" x14ac:dyDescent="0.25">
      <c r="A363" s="124"/>
    </row>
    <row r="364" spans="1:23" x14ac:dyDescent="0.25">
      <c r="A364" s="125"/>
      <c r="B364" t="s">
        <v>257</v>
      </c>
      <c r="C364">
        <v>4</v>
      </c>
      <c r="D364" t="s">
        <v>110</v>
      </c>
      <c r="E364" t="s">
        <v>205</v>
      </c>
      <c r="F364" s="5">
        <v>9700</v>
      </c>
      <c r="G364" t="s">
        <v>259</v>
      </c>
      <c r="H364" s="5">
        <f>(C364*F364)*3</f>
        <v>116400</v>
      </c>
      <c r="M364" s="8" t="s">
        <v>244</v>
      </c>
    </row>
    <row r="365" spans="1:23" x14ac:dyDescent="0.25">
      <c r="A365" s="124"/>
      <c r="H365" s="7">
        <f>SUM(H364)</f>
        <v>116400</v>
      </c>
      <c r="M365" s="8" t="s">
        <v>245</v>
      </c>
    </row>
    <row r="366" spans="1:23" x14ac:dyDescent="0.25">
      <c r="A366" s="124"/>
      <c r="M366" t="s">
        <v>246</v>
      </c>
    </row>
    <row r="367" spans="1:23" x14ac:dyDescent="0.25">
      <c r="A367" s="125"/>
      <c r="M367" t="s">
        <v>247</v>
      </c>
    </row>
    <row r="368" spans="1:23" x14ac:dyDescent="0.25">
      <c r="A368" s="70"/>
      <c r="B368" s="12"/>
      <c r="H368" s="5"/>
      <c r="M368" s="44" t="s">
        <v>248</v>
      </c>
      <c r="N368" s="45"/>
      <c r="O368" s="45"/>
      <c r="P368" s="45"/>
      <c r="Q368" s="45"/>
      <c r="R368" s="45"/>
      <c r="S368" s="45"/>
      <c r="T368" s="45"/>
      <c r="U368" s="45" t="s">
        <v>110</v>
      </c>
      <c r="V368" s="46">
        <v>9700</v>
      </c>
      <c r="W368" s="47">
        <v>12000</v>
      </c>
    </row>
    <row r="369" spans="1:23" x14ac:dyDescent="0.25">
      <c r="H369" s="7"/>
      <c r="M369" t="s">
        <v>249</v>
      </c>
    </row>
    <row r="370" spans="1:23" x14ac:dyDescent="0.25">
      <c r="M370" s="15" t="s">
        <v>258</v>
      </c>
    </row>
    <row r="372" spans="1:23" x14ac:dyDescent="0.25">
      <c r="A372" s="70"/>
      <c r="H372" s="5"/>
      <c r="M372" s="76" t="s">
        <v>250</v>
      </c>
      <c r="N372" s="77"/>
      <c r="O372" s="77"/>
      <c r="P372" s="77"/>
      <c r="Q372" s="77"/>
      <c r="R372" s="77"/>
      <c r="S372" s="77"/>
      <c r="T372" s="45"/>
      <c r="U372" s="53"/>
    </row>
    <row r="373" spans="1:23" x14ac:dyDescent="0.25">
      <c r="M373" s="80" t="s">
        <v>251</v>
      </c>
      <c r="N373" s="80" t="s">
        <v>252</v>
      </c>
      <c r="O373" s="80"/>
      <c r="P373" s="80" t="s">
        <v>260</v>
      </c>
      <c r="Q373" s="80"/>
      <c r="R373" s="44" t="s">
        <v>253</v>
      </c>
      <c r="S373" s="53"/>
      <c r="T373" s="81"/>
      <c r="U373" s="80" t="s">
        <v>240</v>
      </c>
    </row>
    <row r="374" spans="1:23" x14ac:dyDescent="0.25">
      <c r="M374" s="75">
        <v>9700</v>
      </c>
      <c r="N374" s="71">
        <v>4</v>
      </c>
      <c r="O374" s="73"/>
      <c r="P374" s="71">
        <v>3</v>
      </c>
      <c r="Q374" s="73"/>
      <c r="R374" s="74" t="s">
        <v>254</v>
      </c>
      <c r="S374" s="74"/>
      <c r="T374" s="74"/>
      <c r="U374" s="75">
        <f>(N374*M374)*P374</f>
        <v>116400</v>
      </c>
    </row>
    <row r="377" spans="1:23" x14ac:dyDescent="0.25">
      <c r="A377" s="42" t="s">
        <v>261</v>
      </c>
      <c r="B377" s="3" t="s">
        <v>262</v>
      </c>
      <c r="C377" s="3"/>
      <c r="D377" s="3"/>
      <c r="E377" s="3"/>
      <c r="F377" s="3"/>
      <c r="G377" s="3"/>
      <c r="H377" s="3"/>
      <c r="I377" s="43"/>
      <c r="J377" s="3"/>
      <c r="L377" s="3"/>
      <c r="M377" s="14"/>
      <c r="N377" s="14"/>
      <c r="O377" s="14"/>
      <c r="P377" s="14"/>
      <c r="Q377" s="14"/>
      <c r="R377" s="14"/>
      <c r="S377" s="14"/>
      <c r="T377" s="14"/>
      <c r="U377" s="14"/>
      <c r="V377" s="55"/>
      <c r="W377" s="55"/>
    </row>
    <row r="378" spans="1:23" x14ac:dyDescent="0.25">
      <c r="A378" s="124"/>
      <c r="B378" s="2" t="s">
        <v>0</v>
      </c>
      <c r="C378" s="2" t="s">
        <v>1</v>
      </c>
      <c r="D378" s="2" t="s">
        <v>3</v>
      </c>
      <c r="E378" s="2" t="s">
        <v>5</v>
      </c>
      <c r="F378" s="6" t="s">
        <v>15</v>
      </c>
      <c r="G378" s="2" t="s">
        <v>16</v>
      </c>
      <c r="H378" s="2" t="s">
        <v>17</v>
      </c>
      <c r="I378" s="14"/>
      <c r="J378" s="3"/>
      <c r="L378" s="3"/>
      <c r="M378" s="14"/>
      <c r="N378" s="14"/>
      <c r="O378" s="14"/>
      <c r="P378" s="14"/>
      <c r="Q378" s="14"/>
      <c r="R378" s="14"/>
      <c r="S378" s="14"/>
      <c r="T378" s="14"/>
      <c r="U378" s="14"/>
      <c r="V378" s="55"/>
      <c r="W378" s="55"/>
    </row>
    <row r="379" spans="1:23" x14ac:dyDescent="0.25">
      <c r="A379" s="124"/>
    </row>
    <row r="380" spans="1:23" x14ac:dyDescent="0.25">
      <c r="A380" s="125"/>
      <c r="B380" t="s">
        <v>269</v>
      </c>
      <c r="C380" s="1">
        <v>988.81</v>
      </c>
      <c r="D380" t="s">
        <v>26</v>
      </c>
      <c r="E380" t="s">
        <v>270</v>
      </c>
      <c r="F380" s="5">
        <v>77</v>
      </c>
      <c r="G380" t="s">
        <v>271</v>
      </c>
      <c r="H380" s="5">
        <f>(C380*F380)*3</f>
        <v>228415.11</v>
      </c>
      <c r="M380" s="8" t="s">
        <v>263</v>
      </c>
    </row>
    <row r="381" spans="1:23" x14ac:dyDescent="0.25">
      <c r="A381" s="124"/>
      <c r="H381" s="7">
        <f>SUM(H380)</f>
        <v>228415.11</v>
      </c>
      <c r="M381" s="8" t="s">
        <v>264</v>
      </c>
    </row>
    <row r="382" spans="1:23" x14ac:dyDescent="0.25">
      <c r="A382" s="124"/>
      <c r="M382" t="s">
        <v>265</v>
      </c>
    </row>
    <row r="383" spans="1:23" x14ac:dyDescent="0.25">
      <c r="A383" s="124"/>
      <c r="M383" t="s">
        <v>266</v>
      </c>
    </row>
    <row r="384" spans="1:23" x14ac:dyDescent="0.25">
      <c r="A384" s="124"/>
      <c r="M384" s="44" t="s">
        <v>267</v>
      </c>
      <c r="N384" s="45"/>
      <c r="O384" s="45"/>
      <c r="P384" s="45"/>
      <c r="Q384" s="45"/>
      <c r="R384" s="45"/>
      <c r="S384" s="45"/>
      <c r="T384" s="45"/>
      <c r="U384" s="45" t="s">
        <v>144</v>
      </c>
      <c r="V384" s="46">
        <v>77</v>
      </c>
      <c r="W384" s="47">
        <v>93</v>
      </c>
    </row>
    <row r="385" spans="1:23" x14ac:dyDescent="0.25">
      <c r="M385" s="15" t="s">
        <v>268</v>
      </c>
    </row>
    <row r="388" spans="1:23" x14ac:dyDescent="0.25">
      <c r="A388" s="42" t="s">
        <v>272</v>
      </c>
      <c r="B388" s="3" t="s">
        <v>273</v>
      </c>
      <c r="C388" s="3"/>
      <c r="D388" s="3"/>
      <c r="E388" s="3"/>
      <c r="F388" s="3"/>
      <c r="G388" s="3"/>
      <c r="H388" s="3"/>
      <c r="I388" s="43"/>
      <c r="J388" s="3"/>
      <c r="L388" s="3"/>
      <c r="M388" s="14"/>
      <c r="N388" s="14"/>
      <c r="O388" s="14"/>
      <c r="P388" s="14"/>
      <c r="Q388" s="14"/>
      <c r="R388" s="14"/>
      <c r="S388" s="14"/>
      <c r="T388" s="14"/>
      <c r="U388" s="14"/>
      <c r="V388" s="55"/>
      <c r="W388" s="55"/>
    </row>
    <row r="389" spans="1:23" x14ac:dyDescent="0.25">
      <c r="A389" s="124"/>
      <c r="B389" s="2" t="s">
        <v>0</v>
      </c>
      <c r="C389" s="2" t="s">
        <v>1</v>
      </c>
      <c r="D389" s="2" t="s">
        <v>3</v>
      </c>
      <c r="E389" s="2" t="s">
        <v>5</v>
      </c>
      <c r="F389" s="6" t="s">
        <v>15</v>
      </c>
      <c r="G389" s="2" t="s">
        <v>16</v>
      </c>
      <c r="H389" s="2" t="s">
        <v>17</v>
      </c>
      <c r="I389" s="14"/>
      <c r="J389" s="3"/>
      <c r="L389" s="3"/>
      <c r="M389" s="14"/>
      <c r="N389" s="14"/>
      <c r="O389" s="14"/>
      <c r="P389" s="14"/>
      <c r="Q389" s="14"/>
      <c r="R389" s="14"/>
      <c r="S389" s="14"/>
      <c r="T389" s="14"/>
      <c r="U389" s="14"/>
      <c r="V389" s="55"/>
      <c r="W389" s="55"/>
    </row>
    <row r="390" spans="1:23" x14ac:dyDescent="0.25">
      <c r="A390" s="124"/>
    </row>
    <row r="391" spans="1:23" x14ac:dyDescent="0.25">
      <c r="A391" s="125"/>
      <c r="B391" t="s">
        <v>280</v>
      </c>
      <c r="C391">
        <f>AreaTotal21</f>
        <v>988.81</v>
      </c>
      <c r="D391" t="s">
        <v>26</v>
      </c>
      <c r="E391" t="s">
        <v>191</v>
      </c>
      <c r="F391" s="5">
        <v>95</v>
      </c>
      <c r="G391" t="s">
        <v>271</v>
      </c>
      <c r="H391" s="5"/>
      <c r="M391" s="8" t="s">
        <v>274</v>
      </c>
    </row>
    <row r="392" spans="1:23" x14ac:dyDescent="0.25">
      <c r="A392" s="124"/>
      <c r="B392" s="51" t="s">
        <v>281</v>
      </c>
      <c r="C392">
        <f>C391*4</f>
        <v>3955.24</v>
      </c>
      <c r="E392" t="s">
        <v>191</v>
      </c>
      <c r="F392" s="5">
        <v>95</v>
      </c>
      <c r="G392" t="s">
        <v>271</v>
      </c>
      <c r="H392" s="5">
        <f>(C392*F392)*4</f>
        <v>1502991.2</v>
      </c>
      <c r="M392" t="s">
        <v>275</v>
      </c>
    </row>
    <row r="393" spans="1:23" x14ac:dyDescent="0.25">
      <c r="A393" s="124"/>
      <c r="H393" s="7">
        <f>SUM(H392)</f>
        <v>1502991.2</v>
      </c>
      <c r="M393" t="s">
        <v>276</v>
      </c>
    </row>
    <row r="394" spans="1:23" x14ac:dyDescent="0.25">
      <c r="A394" s="124"/>
      <c r="M394" t="s">
        <v>277</v>
      </c>
    </row>
    <row r="395" spans="1:23" x14ac:dyDescent="0.25">
      <c r="M395" t="s">
        <v>278</v>
      </c>
    </row>
    <row r="396" spans="1:23" x14ac:dyDescent="0.25">
      <c r="M396" s="44" t="s">
        <v>279</v>
      </c>
      <c r="N396" s="45"/>
      <c r="O396" s="45"/>
      <c r="P396" s="45"/>
      <c r="Q396" s="45"/>
      <c r="R396" s="45"/>
      <c r="S396" s="45"/>
      <c r="T396" s="45"/>
      <c r="U396" s="45" t="s">
        <v>144</v>
      </c>
      <c r="V396" s="46">
        <v>95</v>
      </c>
      <c r="W396" s="47">
        <v>115</v>
      </c>
    </row>
    <row r="397" spans="1:23" x14ac:dyDescent="0.25">
      <c r="M397" s="15" t="s">
        <v>268</v>
      </c>
    </row>
    <row r="400" spans="1:23" x14ac:dyDescent="0.25">
      <c r="A400" s="42" t="s">
        <v>282</v>
      </c>
      <c r="B400" s="3" t="s">
        <v>283</v>
      </c>
      <c r="C400" s="3"/>
      <c r="D400" s="3"/>
      <c r="E400" s="3"/>
      <c r="F400" s="3"/>
      <c r="G400" s="3"/>
      <c r="H400" s="3"/>
      <c r="I400" s="43"/>
      <c r="J400" s="3"/>
      <c r="L400" s="3"/>
      <c r="M400" s="14"/>
      <c r="N400" s="14"/>
      <c r="O400" s="14"/>
      <c r="P400" s="14"/>
      <c r="Q400" s="14"/>
      <c r="R400" s="14"/>
      <c r="S400" s="14"/>
      <c r="T400" s="14"/>
      <c r="U400" s="14"/>
      <c r="V400" s="55"/>
      <c r="W400" s="55"/>
    </row>
    <row r="401" spans="1:25" x14ac:dyDescent="0.25">
      <c r="B401" s="2" t="s">
        <v>0</v>
      </c>
      <c r="C401" s="2" t="s">
        <v>1</v>
      </c>
      <c r="D401" s="2" t="s">
        <v>3</v>
      </c>
      <c r="E401" s="2" t="s">
        <v>5</v>
      </c>
      <c r="F401" s="6" t="s">
        <v>15</v>
      </c>
      <c r="G401" s="2" t="s">
        <v>16</v>
      </c>
      <c r="H401" s="2" t="s">
        <v>17</v>
      </c>
      <c r="I401" s="14"/>
      <c r="J401" s="3"/>
      <c r="L401" s="3"/>
      <c r="M401" s="14"/>
      <c r="N401" s="14"/>
      <c r="O401" s="14"/>
      <c r="P401" s="14"/>
      <c r="Q401" s="14"/>
      <c r="R401" s="14"/>
      <c r="S401" s="14"/>
      <c r="T401" s="14"/>
      <c r="U401" s="14"/>
      <c r="V401" s="55"/>
      <c r="W401" s="55"/>
    </row>
    <row r="403" spans="1:25" x14ac:dyDescent="0.25">
      <c r="A403" s="70"/>
      <c r="B403" t="s">
        <v>284</v>
      </c>
      <c r="C403" s="1">
        <v>317.14999999999998</v>
      </c>
      <c r="D403" t="s">
        <v>2</v>
      </c>
      <c r="E403" t="s">
        <v>205</v>
      </c>
      <c r="G403" t="s">
        <v>271</v>
      </c>
      <c r="H403" s="5"/>
      <c r="M403" s="8" t="s">
        <v>287</v>
      </c>
    </row>
    <row r="404" spans="1:25" x14ac:dyDescent="0.25">
      <c r="A404" s="124"/>
      <c r="B404" t="s">
        <v>285</v>
      </c>
      <c r="C404" s="1">
        <v>275.61</v>
      </c>
      <c r="D404" t="s">
        <v>2</v>
      </c>
      <c r="E404" t="s">
        <v>205</v>
      </c>
      <c r="G404" t="s">
        <v>271</v>
      </c>
      <c r="M404" s="8" t="s">
        <v>289</v>
      </c>
    </row>
    <row r="405" spans="1:25" x14ac:dyDescent="0.25">
      <c r="A405" s="124"/>
      <c r="B405" s="51" t="s">
        <v>240</v>
      </c>
      <c r="C405">
        <f>LengthTotal9+LengthTotal10</f>
        <v>592.76</v>
      </c>
      <c r="D405" t="s">
        <v>2</v>
      </c>
      <c r="M405" s="44" t="s">
        <v>288</v>
      </c>
      <c r="N405" s="45"/>
      <c r="O405" s="45"/>
      <c r="P405" s="45"/>
      <c r="Q405" s="45"/>
      <c r="R405" s="45"/>
      <c r="S405" s="45"/>
      <c r="T405" s="45"/>
      <c r="U405" s="45" t="s">
        <v>290</v>
      </c>
      <c r="V405" s="46">
        <v>2000</v>
      </c>
      <c r="W405" s="47">
        <v>2425</v>
      </c>
    </row>
    <row r="406" spans="1:25" x14ac:dyDescent="0.25">
      <c r="A406" s="124"/>
      <c r="M406" s="44" t="s">
        <v>292</v>
      </c>
      <c r="N406" s="45"/>
      <c r="O406" s="45"/>
      <c r="P406" s="45"/>
      <c r="Q406" s="45"/>
      <c r="R406" s="45"/>
      <c r="S406" s="45"/>
      <c r="T406" s="45"/>
      <c r="U406" s="45" t="s">
        <v>290</v>
      </c>
      <c r="V406" s="46">
        <v>2000</v>
      </c>
      <c r="W406" s="47">
        <v>2425</v>
      </c>
    </row>
    <row r="407" spans="1:25" x14ac:dyDescent="0.25">
      <c r="A407" s="124"/>
      <c r="B407" t="s">
        <v>286</v>
      </c>
      <c r="C407" s="1">
        <v>48</v>
      </c>
      <c r="D407" t="s">
        <v>37</v>
      </c>
      <c r="E407" t="s">
        <v>205</v>
      </c>
      <c r="G407" t="s">
        <v>271</v>
      </c>
      <c r="M407" s="15" t="s">
        <v>291</v>
      </c>
    </row>
    <row r="408" spans="1:25" x14ac:dyDescent="0.25">
      <c r="A408" s="124"/>
      <c r="M408" s="15"/>
    </row>
    <row r="409" spans="1:25" x14ac:dyDescent="0.25">
      <c r="A409" s="124"/>
      <c r="B409" t="s">
        <v>288</v>
      </c>
      <c r="C409">
        <f>V412</f>
        <v>126.456</v>
      </c>
      <c r="D409" t="s">
        <v>299</v>
      </c>
      <c r="E409" t="s">
        <v>205</v>
      </c>
      <c r="F409" s="5">
        <v>2000</v>
      </c>
      <c r="G409" t="s">
        <v>271</v>
      </c>
      <c r="H409" s="5">
        <f>F409*C409</f>
        <v>252912</v>
      </c>
      <c r="M409" s="9" t="s">
        <v>293</v>
      </c>
      <c r="N409" s="9"/>
      <c r="O409" s="9"/>
      <c r="P409" s="9"/>
      <c r="Q409" s="9"/>
      <c r="R409" s="9"/>
    </row>
    <row r="410" spans="1:25" x14ac:dyDescent="0.25">
      <c r="A410" s="124"/>
      <c r="B410" t="s">
        <v>292</v>
      </c>
      <c r="C410">
        <f>X415</f>
        <v>30.412800000000004</v>
      </c>
      <c r="D410" t="s">
        <v>299</v>
      </c>
      <c r="E410" t="s">
        <v>205</v>
      </c>
      <c r="F410" s="5">
        <v>2000</v>
      </c>
      <c r="G410" t="s">
        <v>271</v>
      </c>
      <c r="H410" s="5">
        <f>F410*C410</f>
        <v>60825.600000000006</v>
      </c>
    </row>
    <row r="411" spans="1:25" x14ac:dyDescent="0.25">
      <c r="A411" s="124"/>
      <c r="H411" s="7">
        <f>SUM(H409:H410)</f>
        <v>313737.59999999998</v>
      </c>
      <c r="M411" s="76" t="s">
        <v>302</v>
      </c>
      <c r="N411" s="78"/>
      <c r="O411" s="87" t="s">
        <v>294</v>
      </c>
      <c r="P411" s="76" t="s">
        <v>295</v>
      </c>
      <c r="Q411" s="78"/>
      <c r="R411" s="76" t="s">
        <v>296</v>
      </c>
      <c r="S411" s="78"/>
      <c r="T411" s="76" t="s">
        <v>240</v>
      </c>
      <c r="U411" s="78"/>
      <c r="V411" s="88" t="s">
        <v>298</v>
      </c>
      <c r="W411" s="89"/>
    </row>
    <row r="412" spans="1:25" x14ac:dyDescent="0.25">
      <c r="A412" s="124"/>
      <c r="M412" s="71">
        <v>598.75</v>
      </c>
      <c r="N412" s="73" t="s">
        <v>2</v>
      </c>
      <c r="O412" s="74">
        <v>5</v>
      </c>
      <c r="P412" s="71">
        <f>O412*M412</f>
        <v>2993.75</v>
      </c>
      <c r="Q412" s="73" t="s">
        <v>2</v>
      </c>
      <c r="R412" s="71">
        <v>42.24</v>
      </c>
      <c r="S412" s="73" t="s">
        <v>297</v>
      </c>
      <c r="T412" s="71">
        <f>R412*P412</f>
        <v>126456</v>
      </c>
      <c r="U412" s="73" t="s">
        <v>297</v>
      </c>
      <c r="V412" s="72">
        <f>T412/1000</f>
        <v>126.456</v>
      </c>
      <c r="W412" s="83" t="s">
        <v>299</v>
      </c>
    </row>
    <row r="413" spans="1:25" x14ac:dyDescent="0.25">
      <c r="A413" s="124"/>
    </row>
    <row r="414" spans="1:25" x14ac:dyDescent="0.25">
      <c r="A414" s="124"/>
      <c r="M414" s="76" t="s">
        <v>300</v>
      </c>
      <c r="N414" s="78"/>
      <c r="O414" s="87" t="s">
        <v>301</v>
      </c>
      <c r="P414" s="76" t="s">
        <v>303</v>
      </c>
      <c r="Q414" s="78"/>
      <c r="R414" s="76" t="s">
        <v>240</v>
      </c>
      <c r="S414" s="78"/>
      <c r="T414" s="76" t="s">
        <v>304</v>
      </c>
      <c r="U414" s="78"/>
      <c r="V414" s="90" t="s">
        <v>240</v>
      </c>
      <c r="W414" s="89"/>
      <c r="X414" s="77" t="s">
        <v>305</v>
      </c>
      <c r="Y414" s="78"/>
    </row>
    <row r="415" spans="1:25" x14ac:dyDescent="0.25">
      <c r="M415" s="84">
        <f>CountTotal34</f>
        <v>48</v>
      </c>
      <c r="N415" s="19" t="s">
        <v>110</v>
      </c>
      <c r="O415" s="79">
        <v>5</v>
      </c>
      <c r="P415" s="84">
        <v>3</v>
      </c>
      <c r="Q415" s="19" t="s">
        <v>2</v>
      </c>
      <c r="R415" s="84">
        <f>(M415*O415)*P415</f>
        <v>720</v>
      </c>
      <c r="S415" s="19" t="s">
        <v>2</v>
      </c>
      <c r="T415" s="84">
        <v>42.24</v>
      </c>
      <c r="U415" s="19" t="s">
        <v>297</v>
      </c>
      <c r="V415" s="84">
        <f>T415*R415</f>
        <v>30412.800000000003</v>
      </c>
      <c r="W415" s="85" t="s">
        <v>297</v>
      </c>
      <c r="X415" s="20">
        <f>V415/1000</f>
        <v>30.412800000000004</v>
      </c>
      <c r="Y415" s="19" t="s">
        <v>299</v>
      </c>
    </row>
    <row r="417" spans="1:23" x14ac:dyDescent="0.25">
      <c r="M417" s="87" t="s">
        <v>306</v>
      </c>
      <c r="N417" s="87"/>
      <c r="O417" s="87"/>
    </row>
    <row r="418" spans="1:23" x14ac:dyDescent="0.25">
      <c r="M418" s="86">
        <f>V412+X415</f>
        <v>156.86880000000002</v>
      </c>
      <c r="N418" s="72"/>
      <c r="O418" s="73"/>
    </row>
    <row r="421" spans="1:23" x14ac:dyDescent="0.25">
      <c r="A421" s="42" t="s">
        <v>333</v>
      </c>
      <c r="B421" s="3" t="s">
        <v>334</v>
      </c>
      <c r="C421" s="3"/>
      <c r="D421" s="3"/>
      <c r="E421" s="3"/>
      <c r="F421" s="3"/>
      <c r="G421" s="3"/>
      <c r="H421" s="3"/>
      <c r="I421" s="43"/>
      <c r="J421" s="3"/>
      <c r="L421" s="3"/>
      <c r="M421" s="14"/>
      <c r="N421" s="14"/>
      <c r="O421" s="14"/>
      <c r="P421" s="14"/>
      <c r="Q421" s="14"/>
      <c r="R421" s="14"/>
      <c r="S421" s="14"/>
      <c r="T421" s="14"/>
      <c r="U421" s="14"/>
      <c r="V421" s="55"/>
      <c r="W421" s="55"/>
    </row>
    <row r="422" spans="1:23" x14ac:dyDescent="0.25">
      <c r="B422" s="2" t="s">
        <v>0</v>
      </c>
      <c r="C422" s="2" t="s">
        <v>1</v>
      </c>
      <c r="D422" s="2" t="s">
        <v>3</v>
      </c>
      <c r="E422" s="2" t="s">
        <v>5</v>
      </c>
      <c r="F422" s="6" t="s">
        <v>15</v>
      </c>
      <c r="G422" s="2" t="s">
        <v>16</v>
      </c>
      <c r="H422" s="2" t="s">
        <v>17</v>
      </c>
      <c r="I422" s="14"/>
      <c r="J422" s="3"/>
      <c r="L422" s="3"/>
      <c r="M422" s="14"/>
      <c r="N422" s="14"/>
      <c r="O422" s="14"/>
      <c r="P422" s="14"/>
      <c r="Q422" s="14"/>
      <c r="R422" s="14"/>
      <c r="S422" s="14"/>
      <c r="T422" s="14"/>
      <c r="U422" s="14"/>
      <c r="V422" s="55"/>
      <c r="W422" s="55"/>
    </row>
    <row r="423" spans="1:23" x14ac:dyDescent="0.25">
      <c r="A423" s="124"/>
    </row>
    <row r="424" spans="1:23" x14ac:dyDescent="0.25">
      <c r="A424" s="124"/>
      <c r="B424" t="s">
        <v>347</v>
      </c>
      <c r="C424" s="1">
        <v>522.41</v>
      </c>
      <c r="D424" t="s">
        <v>350</v>
      </c>
      <c r="E424" t="s">
        <v>11</v>
      </c>
      <c r="F424" s="5">
        <v>11.3</v>
      </c>
      <c r="G424" t="s">
        <v>348</v>
      </c>
      <c r="H424" s="5">
        <f>F424*C424</f>
        <v>5903.2330000000002</v>
      </c>
      <c r="M424" s="8" t="s">
        <v>335</v>
      </c>
    </row>
    <row r="425" spans="1:23" x14ac:dyDescent="0.25">
      <c r="A425" s="124"/>
      <c r="M425" s="8" t="s">
        <v>336</v>
      </c>
    </row>
    <row r="426" spans="1:23" x14ac:dyDescent="0.25">
      <c r="A426" s="124"/>
      <c r="B426" t="s">
        <v>351</v>
      </c>
      <c r="C426">
        <v>1</v>
      </c>
      <c r="D426" t="s">
        <v>110</v>
      </c>
      <c r="E426" t="s">
        <v>11</v>
      </c>
      <c r="F426" s="5">
        <v>19000</v>
      </c>
      <c r="G426" t="s">
        <v>348</v>
      </c>
      <c r="H426" s="5">
        <f>F426*C426</f>
        <v>19000</v>
      </c>
      <c r="M426" t="s">
        <v>337</v>
      </c>
    </row>
    <row r="427" spans="1:23" x14ac:dyDescent="0.25">
      <c r="A427" s="124"/>
      <c r="M427" t="s">
        <v>338</v>
      </c>
    </row>
    <row r="428" spans="1:23" x14ac:dyDescent="0.25">
      <c r="A428" s="124"/>
      <c r="B428" t="s">
        <v>352</v>
      </c>
      <c r="C428">
        <v>2160</v>
      </c>
      <c r="D428" t="s">
        <v>2</v>
      </c>
      <c r="E428" t="s">
        <v>11</v>
      </c>
      <c r="F428" s="5">
        <v>83</v>
      </c>
      <c r="G428" t="s">
        <v>348</v>
      </c>
      <c r="H428" s="5">
        <f>F428*C428</f>
        <v>179280</v>
      </c>
      <c r="M428" s="44" t="s">
        <v>339</v>
      </c>
      <c r="N428" s="45"/>
      <c r="O428" s="45"/>
      <c r="P428" s="45"/>
      <c r="Q428" s="45"/>
      <c r="R428" s="45"/>
      <c r="S428" s="45"/>
      <c r="T428" s="45"/>
      <c r="U428" s="45" t="s">
        <v>340</v>
      </c>
      <c r="V428" s="46">
        <v>11.3</v>
      </c>
      <c r="W428" s="47">
        <v>13.7</v>
      </c>
    </row>
    <row r="429" spans="1:23" x14ac:dyDescent="0.25">
      <c r="A429" s="124"/>
      <c r="M429" s="62" t="s">
        <v>341</v>
      </c>
      <c r="N429" s="63"/>
      <c r="O429" s="63"/>
      <c r="P429" s="63"/>
      <c r="Q429" s="63"/>
      <c r="R429" s="63"/>
      <c r="S429" s="63"/>
      <c r="T429" s="63"/>
      <c r="U429" s="63"/>
      <c r="V429" s="64"/>
      <c r="W429" s="65"/>
    </row>
    <row r="430" spans="1:23" x14ac:dyDescent="0.25">
      <c r="A430" s="124"/>
      <c r="B430" t="s">
        <v>364</v>
      </c>
      <c r="C430">
        <f>CountTotal34</f>
        <v>48</v>
      </c>
      <c r="D430" t="s">
        <v>110</v>
      </c>
      <c r="E430" t="s">
        <v>11</v>
      </c>
      <c r="F430" s="5">
        <v>1675</v>
      </c>
      <c r="G430" t="s">
        <v>365</v>
      </c>
      <c r="H430" s="5">
        <f>F430*C430</f>
        <v>80400</v>
      </c>
      <c r="M430" s="58" t="s">
        <v>342</v>
      </c>
      <c r="N430" s="59"/>
      <c r="O430" s="59"/>
      <c r="P430" s="59"/>
      <c r="Q430" s="59"/>
      <c r="R430" s="59"/>
      <c r="S430" s="59"/>
      <c r="T430" s="59"/>
      <c r="U430" s="59" t="s">
        <v>343</v>
      </c>
      <c r="V430" s="60">
        <v>19000</v>
      </c>
      <c r="W430" s="61">
        <v>23000</v>
      </c>
    </row>
    <row r="431" spans="1:23" x14ac:dyDescent="0.25">
      <c r="A431" s="124"/>
      <c r="M431" s="62" t="s">
        <v>344</v>
      </c>
      <c r="N431" s="63"/>
      <c r="O431" s="63"/>
      <c r="P431" s="63"/>
      <c r="Q431" s="63"/>
      <c r="R431" s="63"/>
      <c r="S431" s="63"/>
      <c r="T431" s="63"/>
      <c r="U431" s="63"/>
      <c r="V431" s="64"/>
      <c r="W431" s="65"/>
    </row>
    <row r="432" spans="1:23" x14ac:dyDescent="0.25">
      <c r="A432" s="124"/>
      <c r="B432" t="s">
        <v>390</v>
      </c>
      <c r="C432">
        <f>C461</f>
        <v>1181.73</v>
      </c>
      <c r="D432" t="s">
        <v>144</v>
      </c>
      <c r="E432" t="s">
        <v>11</v>
      </c>
      <c r="F432" s="5">
        <v>96</v>
      </c>
      <c r="G432" t="s">
        <v>391</v>
      </c>
      <c r="H432" s="5">
        <f>F432*C432</f>
        <v>113446.08</v>
      </c>
      <c r="M432" s="99" t="s">
        <v>345</v>
      </c>
      <c r="N432" s="82"/>
      <c r="O432" s="82"/>
      <c r="P432" s="82"/>
      <c r="Q432" s="82"/>
      <c r="R432" s="82"/>
      <c r="S432" s="82"/>
      <c r="T432" s="82"/>
      <c r="U432" s="82"/>
      <c r="V432" s="66"/>
      <c r="W432" s="67"/>
    </row>
    <row r="433" spans="1:23" x14ac:dyDescent="0.25">
      <c r="A433" s="124"/>
      <c r="M433" s="58" t="s">
        <v>346</v>
      </c>
      <c r="N433" s="59"/>
      <c r="O433" s="59"/>
      <c r="P433" s="59"/>
      <c r="Q433" s="59"/>
      <c r="R433" s="59"/>
      <c r="S433" s="59"/>
      <c r="T433" s="59"/>
      <c r="U433" s="59" t="s">
        <v>2</v>
      </c>
      <c r="V433" s="60">
        <v>83</v>
      </c>
      <c r="W433" s="61">
        <v>100</v>
      </c>
    </row>
    <row r="434" spans="1:23" x14ac:dyDescent="0.25">
      <c r="A434" s="124"/>
      <c r="M434" s="15" t="s">
        <v>349</v>
      </c>
    </row>
    <row r="436" spans="1:23" ht="30" x14ac:dyDescent="0.25">
      <c r="M436" s="102" t="s">
        <v>354</v>
      </c>
      <c r="N436" s="102" t="s">
        <v>353</v>
      </c>
      <c r="O436" s="103" t="s">
        <v>240</v>
      </c>
      <c r="P436" s="102" t="s">
        <v>355</v>
      </c>
      <c r="Q436" s="103" t="s">
        <v>356</v>
      </c>
      <c r="R436" s="103" t="s">
        <v>357</v>
      </c>
      <c r="S436" s="100"/>
      <c r="T436" s="100"/>
      <c r="U436" s="100"/>
      <c r="V436" s="101"/>
      <c r="W436" s="101"/>
    </row>
    <row r="437" spans="1:23" x14ac:dyDescent="0.25">
      <c r="M437" s="104">
        <f>CountTotal34</f>
        <v>48</v>
      </c>
      <c r="N437" s="104">
        <v>3</v>
      </c>
      <c r="O437" s="104">
        <f>N437*M437</f>
        <v>144</v>
      </c>
      <c r="P437" s="104">
        <v>15</v>
      </c>
      <c r="Q437" s="104">
        <f>P437*O437</f>
        <v>2160</v>
      </c>
      <c r="R437" s="105">
        <f>V433*Q437</f>
        <v>179280</v>
      </c>
    </row>
    <row r="439" spans="1:23" x14ac:dyDescent="0.25">
      <c r="M439" s="8" t="s">
        <v>335</v>
      </c>
    </row>
    <row r="440" spans="1:23" x14ac:dyDescent="0.25">
      <c r="M440" s="8" t="s">
        <v>358</v>
      </c>
    </row>
    <row r="441" spans="1:23" x14ac:dyDescent="0.25">
      <c r="M441" t="s">
        <v>359</v>
      </c>
    </row>
    <row r="442" spans="1:23" x14ac:dyDescent="0.25">
      <c r="M442" t="s">
        <v>360</v>
      </c>
    </row>
    <row r="443" spans="1:23" x14ac:dyDescent="0.25">
      <c r="M443" t="s">
        <v>361</v>
      </c>
    </row>
    <row r="444" spans="1:23" x14ac:dyDescent="0.25">
      <c r="M444" s="44" t="s">
        <v>362</v>
      </c>
      <c r="N444" s="45"/>
      <c r="O444" s="45"/>
      <c r="P444" s="45"/>
      <c r="Q444" s="45"/>
      <c r="R444" s="45"/>
      <c r="S444" s="45"/>
      <c r="T444" s="45"/>
      <c r="U444" s="45" t="s">
        <v>110</v>
      </c>
      <c r="V444" s="46">
        <v>1675</v>
      </c>
      <c r="W444" s="47">
        <v>2050</v>
      </c>
    </row>
    <row r="445" spans="1:23" x14ac:dyDescent="0.25">
      <c r="M445" s="15" t="s">
        <v>363</v>
      </c>
    </row>
    <row r="447" spans="1:23" x14ac:dyDescent="0.25">
      <c r="M447" s="8" t="s">
        <v>383</v>
      </c>
    </row>
    <row r="448" spans="1:23" x14ac:dyDescent="0.25">
      <c r="M448" s="8" t="s">
        <v>384</v>
      </c>
    </row>
    <row r="449" spans="1:23" x14ac:dyDescent="0.25">
      <c r="M449" t="s">
        <v>385</v>
      </c>
    </row>
    <row r="450" spans="1:23" x14ac:dyDescent="0.25">
      <c r="M450" t="s">
        <v>386</v>
      </c>
    </row>
    <row r="451" spans="1:23" x14ac:dyDescent="0.25">
      <c r="M451" t="s">
        <v>387</v>
      </c>
    </row>
    <row r="452" spans="1:23" x14ac:dyDescent="0.25">
      <c r="M452" s="44" t="s">
        <v>388</v>
      </c>
      <c r="N452" s="45"/>
      <c r="O452" s="45"/>
      <c r="P452" s="45"/>
      <c r="Q452" s="45"/>
      <c r="R452" s="45"/>
      <c r="S452" s="45"/>
      <c r="T452" s="45"/>
      <c r="U452" s="45" t="s">
        <v>144</v>
      </c>
      <c r="V452" s="46">
        <v>96</v>
      </c>
      <c r="W452" s="47">
        <v>115</v>
      </c>
    </row>
    <row r="453" spans="1:23" x14ac:dyDescent="0.25">
      <c r="M453" s="15" t="s">
        <v>389</v>
      </c>
    </row>
    <row r="456" spans="1:23" x14ac:dyDescent="0.25">
      <c r="A456" s="106">
        <v>8.1999999999999993</v>
      </c>
      <c r="B456" s="3" t="s">
        <v>375</v>
      </c>
      <c r="C456" s="3"/>
      <c r="D456" s="3"/>
      <c r="E456" s="3"/>
      <c r="F456" s="3"/>
      <c r="G456" s="3"/>
      <c r="H456" s="3"/>
      <c r="I456" s="43"/>
      <c r="J456" s="3"/>
      <c r="L456" s="3"/>
      <c r="M456" s="14"/>
      <c r="N456" s="14"/>
      <c r="O456" s="14"/>
      <c r="P456" s="14"/>
      <c r="Q456" s="14"/>
      <c r="R456" s="14"/>
      <c r="S456" s="14"/>
      <c r="T456" s="14"/>
      <c r="U456" s="14"/>
      <c r="V456" s="55"/>
      <c r="W456" s="55"/>
    </row>
    <row r="457" spans="1:23" x14ac:dyDescent="0.25">
      <c r="B457" s="2" t="s">
        <v>0</v>
      </c>
      <c r="C457" s="2" t="s">
        <v>1</v>
      </c>
      <c r="D457" s="2" t="s">
        <v>3</v>
      </c>
      <c r="E457" s="2" t="s">
        <v>5</v>
      </c>
      <c r="F457" s="6" t="s">
        <v>15</v>
      </c>
      <c r="G457" s="2" t="s">
        <v>16</v>
      </c>
      <c r="H457" s="2" t="s">
        <v>17</v>
      </c>
      <c r="I457" s="14"/>
      <c r="J457" s="3"/>
      <c r="L457" s="3"/>
      <c r="M457" s="14"/>
      <c r="N457" s="14"/>
      <c r="O457" s="14"/>
      <c r="P457" s="14"/>
      <c r="Q457" s="14"/>
      <c r="R457" s="14"/>
      <c r="S457" s="14"/>
      <c r="T457" s="14"/>
      <c r="U457" s="14"/>
      <c r="V457" s="55"/>
      <c r="W457" s="55"/>
    </row>
    <row r="458" spans="1:23" x14ac:dyDescent="0.25">
      <c r="A458" s="124"/>
    </row>
    <row r="459" spans="1:23" x14ac:dyDescent="0.25">
      <c r="A459" s="124"/>
      <c r="B459" t="s">
        <v>376</v>
      </c>
      <c r="C459" s="1">
        <v>11</v>
      </c>
      <c r="D459" t="s">
        <v>37</v>
      </c>
      <c r="E459" t="s">
        <v>11</v>
      </c>
      <c r="F459" s="5">
        <v>2175</v>
      </c>
      <c r="G459" t="s">
        <v>377</v>
      </c>
      <c r="H459" s="5">
        <f>F459*C459</f>
        <v>23925</v>
      </c>
      <c r="M459" s="8" t="s">
        <v>366</v>
      </c>
    </row>
    <row r="460" spans="1:23" x14ac:dyDescent="0.25">
      <c r="A460" s="124"/>
      <c r="M460" s="8" t="s">
        <v>367</v>
      </c>
    </row>
    <row r="461" spans="1:23" x14ac:dyDescent="0.25">
      <c r="A461" s="124"/>
      <c r="B461" t="s">
        <v>378</v>
      </c>
      <c r="C461">
        <f>C289+C292+C296</f>
        <v>1181.73</v>
      </c>
      <c r="D461" t="s">
        <v>144</v>
      </c>
      <c r="E461" t="s">
        <v>11</v>
      </c>
      <c r="F461" s="5">
        <v>19.8</v>
      </c>
      <c r="G461" t="s">
        <v>379</v>
      </c>
      <c r="H461" s="5">
        <f>F461*C461</f>
        <v>23398.254000000001</v>
      </c>
      <c r="M461" t="s">
        <v>368</v>
      </c>
    </row>
    <row r="462" spans="1:23" x14ac:dyDescent="0.25">
      <c r="A462" s="124"/>
      <c r="M462" s="44" t="s">
        <v>369</v>
      </c>
      <c r="N462" s="45"/>
      <c r="O462" s="45"/>
      <c r="P462" s="45"/>
      <c r="Q462" s="45"/>
      <c r="R462" s="45"/>
      <c r="S462" s="45"/>
      <c r="T462" s="45"/>
      <c r="U462" s="45" t="s">
        <v>370</v>
      </c>
      <c r="V462" s="46">
        <v>2175</v>
      </c>
      <c r="W462" s="47">
        <v>2800</v>
      </c>
    </row>
    <row r="463" spans="1:23" x14ac:dyDescent="0.25">
      <c r="A463" s="124"/>
      <c r="M463" s="15" t="s">
        <v>371</v>
      </c>
    </row>
    <row r="464" spans="1:23" x14ac:dyDescent="0.25">
      <c r="A464" s="124"/>
    </row>
    <row r="466" spans="1:23" x14ac:dyDescent="0.25">
      <c r="M466" s="8" t="s">
        <v>372</v>
      </c>
    </row>
    <row r="467" spans="1:23" x14ac:dyDescent="0.25">
      <c r="M467" s="8" t="s">
        <v>373</v>
      </c>
    </row>
    <row r="468" spans="1:23" x14ac:dyDescent="0.25">
      <c r="M468" s="44" t="s">
        <v>382</v>
      </c>
      <c r="N468" s="45"/>
      <c r="O468" s="45"/>
      <c r="P468" s="45"/>
      <c r="Q468" s="45"/>
      <c r="R468" s="45"/>
      <c r="S468" s="45"/>
      <c r="T468" s="45"/>
      <c r="U468" s="45" t="s">
        <v>144</v>
      </c>
      <c r="V468" s="46">
        <v>19.8</v>
      </c>
      <c r="W468" s="47">
        <v>25</v>
      </c>
    </row>
    <row r="469" spans="1:23" x14ac:dyDescent="0.25">
      <c r="M469" s="15" t="s">
        <v>374</v>
      </c>
    </row>
    <row r="472" spans="1:23" x14ac:dyDescent="0.25">
      <c r="A472" s="106"/>
      <c r="B472" s="3"/>
      <c r="C472" s="3"/>
      <c r="D472" s="3"/>
      <c r="E472" s="3"/>
      <c r="F472" s="3"/>
      <c r="G472" s="3"/>
      <c r="H472" s="3"/>
      <c r="I472" s="43"/>
      <c r="J472" s="3"/>
      <c r="L472" s="3"/>
      <c r="M472" s="14"/>
      <c r="N472" s="14"/>
      <c r="O472" s="14"/>
      <c r="P472" s="14"/>
      <c r="Q472" s="14"/>
      <c r="R472" s="14"/>
      <c r="S472" s="14"/>
      <c r="T472" s="14"/>
      <c r="U472" s="14"/>
      <c r="V472" s="55"/>
      <c r="W472" s="55"/>
    </row>
    <row r="473" spans="1:23" x14ac:dyDescent="0.25">
      <c r="A473" s="106"/>
      <c r="B473" s="2"/>
      <c r="C473" s="2"/>
      <c r="D473" s="2"/>
      <c r="E473" s="2"/>
      <c r="F473" s="6"/>
      <c r="G473" s="2"/>
      <c r="H473" s="2"/>
      <c r="I473" s="14"/>
      <c r="J473" s="3"/>
      <c r="L473" s="3"/>
      <c r="M473" s="14"/>
      <c r="N473" s="14"/>
      <c r="O473" s="14"/>
      <c r="P473" s="14"/>
      <c r="Q473" s="14"/>
      <c r="R473" s="14"/>
      <c r="S473" s="14"/>
      <c r="T473" s="14"/>
      <c r="U473" s="14"/>
      <c r="V473" s="55"/>
      <c r="W473" s="55"/>
    </row>
  </sheetData>
  <phoneticPr fontId="2" type="noConversion"/>
  <pageMargins left="0.7" right="0.7" top="0.75" bottom="0.75" header="0.3" footer="0.3"/>
  <pageSetup paperSize="9" scale="45" fitToHeight="0" orientation="landscape" horizontalDpi="300" verticalDpi="300" r:id="rId1"/>
  <rowBreaks count="7" manualBreakCount="7">
    <brk id="67" max="16383" man="1"/>
    <brk id="125" max="16383" man="1"/>
    <brk id="194" max="24" man="1"/>
    <brk id="247" max="16383" man="1"/>
    <brk id="304" max="16383" man="1"/>
    <brk id="360" max="16383" man="1"/>
    <brk id="420" max="16383" man="1"/>
  </rowBreaks>
  <customProperties>
    <customPr name="BbLiveLink|AreaTotal1" r:id="rId2"/>
    <customPr name="BbLiveLink|AreaTotal10" r:id="rId3"/>
    <customPr name="BbLiveLink|AreaTotal11" r:id="rId4"/>
    <customPr name="BbLiveLink|AreaTotal12" r:id="rId5"/>
    <customPr name="BbLiveLink|AreaTotal13" r:id="rId6"/>
    <customPr name="BbLiveLink|AreaTotal14" r:id="rId7"/>
    <customPr name="BbLiveLink|AreaTotal15" r:id="rId8"/>
    <customPr name="BbLiveLink|AreaTotal16" r:id="rId9"/>
    <customPr name="BbLiveLink|AreaTotal17" r:id="rId10"/>
    <customPr name="BbLiveLink|AreaTotal18" r:id="rId11"/>
    <customPr name="BbLiveLink|AreaTotal19" r:id="rId12"/>
    <customPr name="BbLiveLink|AreaTotal2" r:id="rId13"/>
    <customPr name="BbLiveLink|AreaTotal20" r:id="rId14"/>
    <customPr name="BbLiveLink|AreaTotal21" r:id="rId15"/>
    <customPr name="BbLiveLink|AreaTotal22" r:id="rId16"/>
    <customPr name="BbLiveLink|AreaTotal3" r:id="rId17"/>
    <customPr name="BbLiveLink|AreaTotal4" r:id="rId18"/>
    <customPr name="BbLiveLink|AreaTotal5" r:id="rId19"/>
    <customPr name="BbLiveLink|AreaTotal6" r:id="rId20"/>
    <customPr name="BbLiveLink|AreaTotal7" r:id="rId21"/>
    <customPr name="BbLiveLink|AreaTotal8" r:id="rId22"/>
    <customPr name="BbLiveLink|AreaTotal9" r:id="rId23"/>
    <customPr name="BbLiveLink|CountTotal1" r:id="rId24"/>
    <customPr name="BbLiveLink|CountTotal10" r:id="rId25"/>
    <customPr name="BbLiveLink|CountTotal11" r:id="rId26"/>
    <customPr name="BbLiveLink|CountTotal12" r:id="rId27"/>
    <customPr name="BbLiveLink|CountTotal13" r:id="rId28"/>
    <customPr name="BbLiveLink|CountTotal14" r:id="rId29"/>
    <customPr name="BbLiveLink|CountTotal15" r:id="rId30"/>
    <customPr name="BbLiveLink|CountTotal16" r:id="rId31"/>
    <customPr name="BbLiveLink|CountTotal17" r:id="rId32"/>
    <customPr name="BbLiveLink|CountTotal18" r:id="rId33"/>
    <customPr name="BbLiveLink|CountTotal19" r:id="rId34"/>
    <customPr name="BbLiveLink|CountTotal2" r:id="rId35"/>
    <customPr name="BbLiveLink|CountTotal20" r:id="rId36"/>
    <customPr name="BbLiveLink|CountTotal21" r:id="rId37"/>
    <customPr name="BbLiveLink|CountTotal22" r:id="rId38"/>
    <customPr name="BbLiveLink|CountTotal23" r:id="rId39"/>
    <customPr name="BbLiveLink|CountTotal24" r:id="rId40"/>
    <customPr name="BbLiveLink|CountTotal25" r:id="rId41"/>
    <customPr name="BbLiveLink|CountTotal26" r:id="rId42"/>
    <customPr name="BbLiveLink|CountTotal27" r:id="rId43"/>
    <customPr name="BbLiveLink|CountTotal28" r:id="rId44"/>
    <customPr name="BbLiveLink|CountTotal29" r:id="rId45"/>
    <customPr name="BbLiveLink|CountTotal3" r:id="rId46"/>
    <customPr name="BbLiveLink|CountTotal30" r:id="rId47"/>
    <customPr name="BbLiveLink|CountTotal31" r:id="rId48"/>
    <customPr name="BbLiveLink|CountTotal32" r:id="rId49"/>
    <customPr name="BbLiveLink|CountTotal33" r:id="rId50"/>
    <customPr name="BbLiveLink|CountTotal34" r:id="rId51"/>
    <customPr name="BbLiveLink|CountTotal35" r:id="rId52"/>
    <customPr name="BbLiveLink|CountTotal4" r:id="rId53"/>
    <customPr name="BbLiveLink|CountTotal5" r:id="rId54"/>
    <customPr name="BbLiveLink|CountTotal6" r:id="rId55"/>
    <customPr name="BbLiveLink|CountTotal7" r:id="rId56"/>
    <customPr name="BbLiveLink|CountTotal8" r:id="rId57"/>
    <customPr name="BbLiveLink|CountTotal9" r:id="rId58"/>
    <customPr name="BbLiveLink|LengthTotal1" r:id="rId59"/>
    <customPr name="BbLiveLink|LengthTotal10" r:id="rId60"/>
    <customPr name="BbLiveLink|LengthTotal2" r:id="rId61"/>
    <customPr name="BbLiveLink|LengthTotal3" r:id="rId62"/>
    <customPr name="BbLiveLink|LengthTotal4" r:id="rId63"/>
    <customPr name="BbLiveLink|LengthTotal5" r:id="rId64"/>
    <customPr name="BbLiveLink|LengthTotal6" r:id="rId65"/>
    <customPr name="BbLiveLink|LengthTotal7" r:id="rId66"/>
    <customPr name="BbLiveLink|LengthTotal8" r:id="rId67"/>
    <customPr name="BbLiveLink|LengthTotal9" r:id="rId68"/>
    <customPr name="BbLiveLink|VolumeTotal1" r:id="rId69"/>
    <customPr name="BbLiveLink|WallAreaTotal1" r:id="rId70"/>
    <customPr name="BbLiveLink|WallAreaTotal2" r:id="rId71"/>
    <customPr name="BbLiveLink|WallAreaTotal3" r:id="rId72"/>
    <customPr name="BbLiveLink|WallAreaTotal4" r:id="rId73"/>
    <customPr name="BbLiveLink|WallAreaTotal5" r:id="rId74"/>
    <customPr name="BbLiveLink|WallAreaTotal6" r:id="rId75"/>
    <customPr name="BbLiveLink|WallAreaTotal7" r:id="rId76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b88a2b3-a887-4da5-bc58-1cd6fd79184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E20122F4455F4B9575FBE79886672E" ma:contentTypeVersion="17" ma:contentTypeDescription="Create a new document." ma:contentTypeScope="" ma:versionID="7cdc65175cc745b2cd4190d57d023887">
  <xsd:schema xmlns:xsd="http://www.w3.org/2001/XMLSchema" xmlns:xs="http://www.w3.org/2001/XMLSchema" xmlns:p="http://schemas.microsoft.com/office/2006/metadata/properties" xmlns:ns3="1b88a2b3-a887-4da5-bc58-1cd6fd79184b" xmlns:ns4="791995b0-624b-4c5a-90b4-d742ddd9de15" targetNamespace="http://schemas.microsoft.com/office/2006/metadata/properties" ma:root="true" ma:fieldsID="6cd87d1cd924be1cb36bd0d43e45dde0" ns3:_="" ns4:_="">
    <xsd:import namespace="1b88a2b3-a887-4da5-bc58-1cd6fd79184b"/>
    <xsd:import namespace="791995b0-624b-4c5a-90b4-d742ddd9de1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88a2b3-a887-4da5-bc58-1cd6fd7918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995b0-624b-4c5a-90b4-d742ddd9d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23DCAA-3DDB-4C45-9F7C-0BC9D8695A53}">
  <ds:schemaRefs>
    <ds:schemaRef ds:uri="http://schemas.microsoft.com/office/2006/documentManagement/types"/>
    <ds:schemaRef ds:uri="1b88a2b3-a887-4da5-bc58-1cd6fd79184b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791995b0-624b-4c5a-90b4-d742ddd9de15"/>
  </ds:schemaRefs>
</ds:datastoreItem>
</file>

<file path=customXml/itemProps2.xml><?xml version="1.0" encoding="utf-8"?>
<ds:datastoreItem xmlns:ds="http://schemas.openxmlformats.org/officeDocument/2006/customXml" ds:itemID="{77A8C7BB-3A4D-4FCE-B4DD-5A57D4EFF6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88a2b3-a887-4da5-bc58-1cd6fd79184b"/>
    <ds:schemaRef ds:uri="791995b0-624b-4c5a-90b4-d742ddd9de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0086D4-CFDF-470F-B761-1E2C3BEF2D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77</vt:i4>
      </vt:variant>
    </vt:vector>
  </HeadingPairs>
  <TitlesOfParts>
    <vt:vector size="79" baseType="lpstr">
      <vt:lpstr>Feasibility Estimate</vt:lpstr>
      <vt:lpstr>Take-off</vt:lpstr>
      <vt:lpstr>AreaTotal1</vt:lpstr>
      <vt:lpstr>AreaTotal10</vt:lpstr>
      <vt:lpstr>AreaTotal11</vt:lpstr>
      <vt:lpstr>AreaTotal12</vt:lpstr>
      <vt:lpstr>AreaTotal13</vt:lpstr>
      <vt:lpstr>AreaTotal14</vt:lpstr>
      <vt:lpstr>AreaTotal15</vt:lpstr>
      <vt:lpstr>AreaTotal16</vt:lpstr>
      <vt:lpstr>AreaTotal17</vt:lpstr>
      <vt:lpstr>AreaTotal18</vt:lpstr>
      <vt:lpstr>AreaTotal19</vt:lpstr>
      <vt:lpstr>AreaTotal2</vt:lpstr>
      <vt:lpstr>AreaTotal20</vt:lpstr>
      <vt:lpstr>AreaTotal21</vt:lpstr>
      <vt:lpstr>AreaTotal22</vt:lpstr>
      <vt:lpstr>AreaTotal3</vt:lpstr>
      <vt:lpstr>AreaTotal4</vt:lpstr>
      <vt:lpstr>AreaTotal5</vt:lpstr>
      <vt:lpstr>AreaTotal6</vt:lpstr>
      <vt:lpstr>AreaTotal7</vt:lpstr>
      <vt:lpstr>AreaTotal8</vt:lpstr>
      <vt:lpstr>AreaTotal9</vt:lpstr>
      <vt:lpstr>CountTotal1</vt:lpstr>
      <vt:lpstr>CountTotal10</vt:lpstr>
      <vt:lpstr>CountTotal11</vt:lpstr>
      <vt:lpstr>CountTotal12</vt:lpstr>
      <vt:lpstr>CountTotal13</vt:lpstr>
      <vt:lpstr>CountTotal14</vt:lpstr>
      <vt:lpstr>CountTotal15</vt:lpstr>
      <vt:lpstr>CountTotal16</vt:lpstr>
      <vt:lpstr>CountTotal17</vt:lpstr>
      <vt:lpstr>CountTotal18</vt:lpstr>
      <vt:lpstr>CountTotal19</vt:lpstr>
      <vt:lpstr>CountTotal2</vt:lpstr>
      <vt:lpstr>CountTotal20</vt:lpstr>
      <vt:lpstr>CountTotal21</vt:lpstr>
      <vt:lpstr>CountTotal22</vt:lpstr>
      <vt:lpstr>CountTotal23</vt:lpstr>
      <vt:lpstr>CountTotal24</vt:lpstr>
      <vt:lpstr>CountTotal25</vt:lpstr>
      <vt:lpstr>CountTotal26</vt:lpstr>
      <vt:lpstr>CountTotal27</vt:lpstr>
      <vt:lpstr>CountTotal28</vt:lpstr>
      <vt:lpstr>CountTotal29</vt:lpstr>
      <vt:lpstr>CountTotal3</vt:lpstr>
      <vt:lpstr>CountTotal30</vt:lpstr>
      <vt:lpstr>CountTotal31</vt:lpstr>
      <vt:lpstr>CountTotal32</vt:lpstr>
      <vt:lpstr>CountTotal33</vt:lpstr>
      <vt:lpstr>CountTotal34</vt:lpstr>
      <vt:lpstr>CountTotal35</vt:lpstr>
      <vt:lpstr>CountTotal4</vt:lpstr>
      <vt:lpstr>CountTotal5</vt:lpstr>
      <vt:lpstr>CountTotal6</vt:lpstr>
      <vt:lpstr>CountTotal7</vt:lpstr>
      <vt:lpstr>CountTotal8</vt:lpstr>
      <vt:lpstr>CountTotal9</vt:lpstr>
      <vt:lpstr>LengthTotal1</vt:lpstr>
      <vt:lpstr>LengthTotal10</vt:lpstr>
      <vt:lpstr>LengthTotal2</vt:lpstr>
      <vt:lpstr>LengthTotal3</vt:lpstr>
      <vt:lpstr>LengthTotal4</vt:lpstr>
      <vt:lpstr>LengthTotal5</vt:lpstr>
      <vt:lpstr>LengthTotal6</vt:lpstr>
      <vt:lpstr>LengthTotal7</vt:lpstr>
      <vt:lpstr>LengthTotal8</vt:lpstr>
      <vt:lpstr>LengthTotal9</vt:lpstr>
      <vt:lpstr>'Feasibility Estimate'!Print_Area</vt:lpstr>
      <vt:lpstr>'Take-off'!Print_Area</vt:lpstr>
      <vt:lpstr>VolumeTotal1</vt:lpstr>
      <vt:lpstr>WallAreaTotal1</vt:lpstr>
      <vt:lpstr>WallAreaTotal2</vt:lpstr>
      <vt:lpstr>WallAreaTotal3</vt:lpstr>
      <vt:lpstr>WallAreaTotal4</vt:lpstr>
      <vt:lpstr>WallAreaTotal5</vt:lpstr>
      <vt:lpstr>WallAreaTotal6</vt:lpstr>
      <vt:lpstr>WallAreaTotal7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 Hunwick (2016441)</dc:creator>
  <cp:lastModifiedBy>Niki Hunwick (2016441)</cp:lastModifiedBy>
  <cp:lastPrinted>2024-08-20T18:37:01Z</cp:lastPrinted>
  <dcterms:created xsi:type="dcterms:W3CDTF">2024-05-04T09:52:22Z</dcterms:created>
  <dcterms:modified xsi:type="dcterms:W3CDTF">2024-08-20T18:37:08Z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bLiveLinkDefaultFiles">
    <vt:lpwstr>224e5c96-9097-4849-ba1a-90fca9ca489e</vt:lpwstr>
  </property>
  <property fmtid="{D5CDD505-2E9C-101B-9397-08002B2CF9AE}" pid="3" name="ContentTypeId">
    <vt:lpwstr>0x010100A8E20122F4455F4B9575FBE79886672E</vt:lpwstr>
  </property>
</Properties>
</file>