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 filterPrivacy="1" defaultThemeVersion="124226"/>
  <xr:revisionPtr revIDLastSave="0" documentId="8_{8DFCA763-7873-8846-8697-613D32B4FC64}" xr6:coauthVersionLast="47" xr6:coauthVersionMax="47" xr10:uidLastSave="{00000000-0000-0000-0000-000000000000}"/>
  <bookViews>
    <workbookView xWindow="0" yWindow="780" windowWidth="34200" windowHeight="20020" tabRatio="840" activeTab="2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61" l="1"/>
  <c r="D21" i="61"/>
  <c r="E21" i="61"/>
  <c r="F21" i="61"/>
  <c r="G21" i="61"/>
  <c r="H21" i="61"/>
  <c r="I21" i="61"/>
  <c r="J21" i="61"/>
  <c r="K21" i="61"/>
  <c r="L21" i="61"/>
  <c r="M21" i="61"/>
  <c r="N21" i="61"/>
  <c r="O21" i="61"/>
  <c r="P21" i="61"/>
  <c r="Q21" i="61"/>
  <c r="R21" i="61"/>
  <c r="B21" i="61"/>
  <c r="C20" i="61"/>
  <c r="D20" i="61"/>
  <c r="E20" i="61"/>
  <c r="F20" i="61"/>
  <c r="G20" i="61"/>
  <c r="H20" i="61"/>
  <c r="I20" i="61"/>
  <c r="J20" i="61"/>
  <c r="K20" i="61"/>
  <c r="L20" i="61"/>
  <c r="M20" i="61"/>
  <c r="N20" i="61"/>
  <c r="O20" i="61"/>
  <c r="P20" i="61"/>
  <c r="Q20" i="61"/>
  <c r="R20" i="61"/>
  <c r="B20" i="61"/>
  <c r="M19" i="61"/>
  <c r="C18" i="61"/>
  <c r="D18" i="61"/>
  <c r="E18" i="61"/>
  <c r="F18" i="61"/>
  <c r="G18" i="61"/>
  <c r="H18" i="61"/>
  <c r="I18" i="61"/>
  <c r="J18" i="61"/>
  <c r="K18" i="61"/>
  <c r="L18" i="61"/>
  <c r="M18" i="61"/>
  <c r="N18" i="61"/>
  <c r="O18" i="61"/>
  <c r="P18" i="61"/>
  <c r="Q18" i="61"/>
  <c r="R18" i="61"/>
  <c r="B18" i="61"/>
  <c r="C17" i="61"/>
  <c r="D17" i="61"/>
  <c r="E17" i="61"/>
  <c r="F17" i="61"/>
  <c r="G17" i="61"/>
  <c r="H17" i="61"/>
  <c r="I17" i="61"/>
  <c r="J17" i="61"/>
  <c r="K17" i="61"/>
  <c r="L17" i="61"/>
  <c r="M17" i="61"/>
  <c r="N17" i="61"/>
  <c r="O17" i="61"/>
  <c r="P17" i="61"/>
  <c r="Q17" i="61"/>
  <c r="R17" i="61"/>
  <c r="B17" i="61"/>
  <c r="C23" i="52"/>
  <c r="D23" i="52"/>
  <c r="E23" i="52"/>
  <c r="F23" i="52"/>
  <c r="G23" i="52"/>
  <c r="H23" i="52"/>
  <c r="I23" i="52"/>
  <c r="J23" i="52"/>
  <c r="K23" i="52"/>
  <c r="L23" i="52"/>
  <c r="M23" i="52"/>
  <c r="N23" i="52"/>
  <c r="O23" i="52"/>
  <c r="P23" i="52"/>
  <c r="Q23" i="52"/>
  <c r="R23" i="52"/>
  <c r="S23" i="52"/>
  <c r="T23" i="52"/>
  <c r="U23" i="52"/>
  <c r="V23" i="52"/>
  <c r="W23" i="52"/>
  <c r="X23" i="52"/>
  <c r="Y23" i="52"/>
  <c r="Z23" i="52"/>
  <c r="AA23" i="52"/>
  <c r="AB23" i="52"/>
  <c r="B23" i="52"/>
  <c r="B22" i="52"/>
  <c r="C22" i="52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S22" i="52"/>
  <c r="T22" i="52"/>
  <c r="U22" i="52"/>
  <c r="V22" i="52"/>
  <c r="W22" i="52"/>
  <c r="X22" i="52"/>
  <c r="Y22" i="52"/>
  <c r="Z22" i="52"/>
  <c r="AA22" i="52"/>
  <c r="AB22" i="52"/>
  <c r="B20" i="52"/>
  <c r="N21" i="52"/>
  <c r="U21" i="52"/>
  <c r="Z21" i="52"/>
  <c r="C20" i="52"/>
  <c r="D20" i="52"/>
  <c r="E20" i="52"/>
  <c r="F20" i="52"/>
  <c r="G20" i="52"/>
  <c r="H20" i="52"/>
  <c r="I20" i="52"/>
  <c r="J20" i="52"/>
  <c r="K20" i="52"/>
  <c r="L20" i="52"/>
  <c r="M20" i="52"/>
  <c r="N20" i="52"/>
  <c r="O20" i="52"/>
  <c r="P20" i="52"/>
  <c r="Q20" i="52"/>
  <c r="R20" i="52"/>
  <c r="S20" i="52"/>
  <c r="T20" i="52"/>
  <c r="U20" i="52"/>
  <c r="V20" i="52"/>
  <c r="W20" i="52"/>
  <c r="X20" i="52"/>
  <c r="Y20" i="52"/>
  <c r="Z20" i="52"/>
  <c r="AA20" i="52"/>
  <c r="AB20" i="52"/>
  <c r="C19" i="52"/>
  <c r="D19" i="52"/>
  <c r="E19" i="52"/>
  <c r="F19" i="52"/>
  <c r="G19" i="52"/>
  <c r="H19" i="52"/>
  <c r="I19" i="52"/>
  <c r="J19" i="52"/>
  <c r="K19" i="52"/>
  <c r="L19" i="52"/>
  <c r="M19" i="52"/>
  <c r="N19" i="52"/>
  <c r="O19" i="52"/>
  <c r="P19" i="52"/>
  <c r="Q19" i="52"/>
  <c r="R19" i="52"/>
  <c r="S19" i="52"/>
  <c r="T19" i="52"/>
  <c r="U19" i="52"/>
  <c r="V19" i="52"/>
  <c r="W19" i="52"/>
  <c r="X19" i="52"/>
  <c r="Y19" i="52"/>
  <c r="Z19" i="52"/>
  <c r="AA19" i="52"/>
  <c r="AB19" i="52"/>
  <c r="B19" i="52"/>
  <c r="C35" i="44" l="1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B35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B34" i="46"/>
  <c r="C33" i="46"/>
  <c r="D33" i="46"/>
  <c r="F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2" i="46"/>
  <c r="C31" i="46"/>
  <c r="D31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B31" i="46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D33" i="44"/>
  <c r="E33" i="44"/>
  <c r="F33" i="44"/>
  <c r="M33" i="44"/>
  <c r="O32" i="44"/>
  <c r="N32" i="44"/>
  <c r="M32" i="44"/>
  <c r="L32" i="44"/>
  <c r="K32" i="44"/>
  <c r="J32" i="44"/>
  <c r="I32" i="44"/>
  <c r="H32" i="44"/>
  <c r="G32" i="44"/>
  <c r="F32" i="44"/>
  <c r="E32" i="44"/>
  <c r="D32" i="44"/>
  <c r="C32" i="44"/>
  <c r="B32" i="44"/>
  <c r="C31" i="44"/>
  <c r="D31" i="44"/>
  <c r="E31" i="44"/>
  <c r="F31" i="44"/>
  <c r="G31" i="44"/>
  <c r="H31" i="44"/>
  <c r="I31" i="44"/>
  <c r="J31" i="44"/>
  <c r="K31" i="44"/>
  <c r="L31" i="44"/>
  <c r="M31" i="44"/>
  <c r="N31" i="44"/>
  <c r="O31" i="44"/>
  <c r="B31" i="44"/>
</calcChain>
</file>

<file path=xl/sharedStrings.xml><?xml version="1.0" encoding="utf-8"?>
<sst xmlns="http://schemas.openxmlformats.org/spreadsheetml/2006/main" count="132" uniqueCount="115">
  <si>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</si>
  <si>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</si>
  <si>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</si>
  <si>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</si>
  <si>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</si>
  <si>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</si>
  <si>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</si>
  <si>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</si>
  <si>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</si>
  <si>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</si>
  <si>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</si>
  <si>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</si>
  <si>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</si>
  <si>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</si>
  <si>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</si>
  <si>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</si>
  <si>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</si>
  <si>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</si>
  <si>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Mean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</si>
  <si>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</si>
  <si>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</si>
  <si>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</si>
  <si>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</si>
  <si>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</si>
  <si>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</si>
  <si>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</si>
  <si>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</si>
  <si>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</si>
  <si>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</si>
  <si>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</si>
  <si>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</si>
  <si>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</si>
  <si>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</si>
  <si>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</si>
  <si>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</si>
  <si>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</si>
  <si>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</si>
  <si>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</si>
  <si>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</si>
  <si>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</si>
  <si>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</si>
  <si>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</si>
  <si>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</si>
  <si>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</si>
  <si>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</si>
  <si>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</si>
  <si>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</si>
  <si>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</si>
  <si>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</si>
  <si>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</si>
  <si>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</si>
  <si>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</si>
  <si>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</si>
  <si>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</si>
  <si>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</si>
  <si>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</si>
  <si>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</si>
  <si>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</si>
  <si>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</si>
  <si>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</si>
  <si>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</si>
  <si>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</si>
  <si>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</si>
  <si>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</si>
  <si>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</si>
  <si>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</si>
  <si>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</si>
  <si>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</si>
  <si>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</si>
  <si>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</si>
  <si>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</si>
  <si>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</si>
  <si>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</si>
  <si>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</si>
  <si>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</si>
  <si>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</si>
  <si>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</si>
  <si>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</si>
  <si>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</si>
  <si>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</si>
  <si>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</si>
  <si>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</si>
  <si>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</si>
  <si>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</si>
  <si>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</si>
  <si>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</si>
  <si>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</si>
  <si>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</si>
  <si>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</si>
  <si>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</si>
  <si>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</si>
  <si>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</si>
  <si>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</si>
  <si>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</si>
  <si>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</si>
  <si>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</si>
  <si>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</si>
  <si>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</si>
  <si>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</si>
  <si>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</si>
  <si>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</si>
  <si>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</si>
  <si>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</si>
  <si>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</si>
  <si>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</si>
  <si>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</si>
  <si>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Median</t>
  </si>
  <si>
    <t>Mode</t>
  </si>
  <si>
    <t>Stan. Deviation</t>
  </si>
  <si>
    <t xml:space="preserve">Range </t>
  </si>
  <si>
    <t>Range</t>
  </si>
  <si>
    <t>Medain</t>
  </si>
  <si>
    <t xml:space="preserve">Stan. Deviation </t>
  </si>
  <si>
    <t xml:space="preserve">Mode </t>
  </si>
  <si>
    <t xml:space="preserve">This pie chart shows the proportion of construction firms in 2010 by firm size. (number of employees)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</si>
</sst>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5" fontId="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4" applyNumberFormat="0" applyFont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0" applyNumberFormat="0" applyAlignment="0" applyProtection="0"/>
    <xf numFmtId="0" fontId="22" fillId="6" borderId="11" applyNumberFormat="0" applyAlignment="0" applyProtection="0"/>
    <xf numFmtId="0" fontId="23" fillId="6" borderId="10" applyNumberFormat="0" applyAlignment="0" applyProtection="0"/>
    <xf numFmtId="0" fontId="24" fillId="0" borderId="12" applyNumberFormat="0" applyFill="0" applyAlignment="0" applyProtection="0"/>
    <xf numFmtId="0" fontId="25" fillId="7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5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5" fillId="0" borderId="7" applyNumberFormat="0" applyFill="0" applyAlignment="0" applyProtection="0"/>
    <xf numFmtId="9" fontId="10" fillId="0" borderId="0" applyFont="0" applyFill="0" applyBorder="0" applyAlignment="0" applyProtection="0"/>
  </cellStyleXfs>
  <cellXfs count="38">
    <xf numFmtId="0" fontId="0" fillId="0" borderId="0" xfId="0"/>
    <xf numFmtId="165" fontId="1" fillId="0" borderId="0" xfId="0" applyNumberFormat="1" applyFont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5" xfId="0" applyFont="1" applyBorder="1" applyAlignment="1">
      <alignment horizontal="right"/>
    </xf>
    <xf numFmtId="0" fontId="32" fillId="0" borderId="5" xfId="0" applyFont="1" applyBorder="1" applyAlignment="1">
      <alignment horizontal="left"/>
    </xf>
    <xf numFmtId="0" fontId="32" fillId="0" borderId="6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5" xfId="0" applyFont="1" applyBorder="1" applyAlignment="1">
      <alignment horizontal="right" wrapText="1"/>
    </xf>
    <xf numFmtId="37" fontId="2" fillId="0" borderId="6" xfId="0" applyNumberFormat="1" applyFont="1" applyBorder="1" applyAlignment="1">
      <alignment horizontal="right" wrapText="1"/>
    </xf>
    <xf numFmtId="37" fontId="2" fillId="0" borderId="17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3" xfId="11" applyNumberFormat="1" applyFont="1" applyBorder="1" applyAlignment="1">
      <alignment horizontal="left" wrapText="1"/>
    </xf>
    <xf numFmtId="3" fontId="12" fillId="0" borderId="4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34" fillId="0" borderId="18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5" fontId="8" fillId="0" borderId="5" xfId="11" applyFont="1" applyBorder="1" applyAlignment="1">
      <alignment horizontal="left" wrapText="1"/>
    </xf>
    <xf numFmtId="165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3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12" fillId="0" borderId="19" xfId="0" applyNumberFormat="1" applyFont="1" applyBorder="1" applyAlignment="1">
      <alignment horizontal="right"/>
    </xf>
    <xf numFmtId="0" fontId="0" fillId="0" borderId="19" xfId="0" applyBorder="1"/>
    <xf numFmtId="165" fontId="0" fillId="0" borderId="19" xfId="0" applyNumberFormat="1" applyBorder="1"/>
    <xf numFmtId="165" fontId="1" fillId="0" borderId="19" xfId="0" applyNumberFormat="1" applyFont="1" applyBorder="1" applyAlignment="1">
      <alignment horizontal="left" vertical="center" wrapText="1"/>
    </xf>
    <xf numFmtId="3" fontId="0" fillId="0" borderId="19" xfId="0" applyNumberFormat="1" applyBorder="1"/>
    <xf numFmtId="37" fontId="0" fillId="0" borderId="19" xfId="0" applyNumberFormat="1" applyBorder="1"/>
    <xf numFmtId="37" fontId="7" fillId="0" borderId="19" xfId="0" applyNumberFormat="1" applyFont="1" applyBorder="1" applyAlignment="1">
      <alignment horizontal="left"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_);\(#,##0\)"/>
      <alignment horizontal="left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Total Public New Housing</a:t>
            </a:r>
          </a:p>
        </c:rich>
      </c:tx>
      <c:layout>
        <c:manualLayout>
          <c:xMode val="edge"/>
          <c:yMode val="edge"/>
          <c:x val="0.38948708645499158"/>
          <c:y val="2.0327045353919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9E-1049-9D43-25B671F816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9770864"/>
        <c:axId val="1877392560"/>
      </c:lineChart>
      <c:catAx>
        <c:axId val="1169770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  <a:p>
                <a:pPr>
                  <a:defRPr/>
                </a:pPr>
                <a:r>
                  <a:rPr lang="en-GB"/>
                  <a:t>This line</a:t>
                </a:r>
                <a:r>
                  <a:rPr lang="en-GB" baseline="0"/>
                  <a:t> GRAPH SHOWS THE AMOUNT OF total public new housing throughout the years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20957232967585193"/>
              <c:y val="0.917233822874400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7392560"/>
        <c:crosses val="autoZero"/>
        <c:auto val="1"/>
        <c:lblAlgn val="ctr"/>
        <c:lblOffset val="100"/>
        <c:noMultiLvlLbl val="0"/>
      </c:catAx>
      <c:valAx>
        <c:axId val="187739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new public housing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770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Private Sector Construction Output by Category (2023)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3278707280525144"/>
          <c:y val="0.12611189286647467"/>
          <c:w val="0.60817231518491521"/>
          <c:h val="0.81482322774169358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'Private Sector Value'!$B$4:$I$4</c:f>
              <c:strCache>
                <c:ptCount val="8"/>
                <c:pt idx="0">
                  <c:v>Total private new housing</c:v>
                </c:pt>
                <c:pt idx="1">
                  <c:v>Total private Infrastructure</c:v>
                </c:pt>
                <c:pt idx="2">
                  <c:v>Private industrial: factories</c:v>
                </c:pt>
                <c:pt idx="3">
                  <c:v>Private industrial: warehouses</c:v>
                </c:pt>
                <c:pt idx="4">
                  <c:v>Private industrial: oil, steel &amp; coal</c:v>
                </c:pt>
                <c:pt idx="5">
                  <c:v>All private industrial</c:v>
                </c:pt>
                <c:pt idx="6">
                  <c:v>Private commercial: schools &amp; universities</c:v>
                </c:pt>
                <c:pt idx="7">
                  <c:v>Private commercial: health</c:v>
                </c:pt>
              </c:strCache>
            </c:strRef>
          </c:cat>
          <c:val>
            <c:numRef>
              <c:f>'Private Sector Value'!$B$30:$I$30</c:f>
              <c:numCache>
                <c:formatCode>#,##0</c:formatCode>
                <c:ptCount val="8"/>
                <c:pt idx="0">
                  <c:v>46255</c:v>
                </c:pt>
                <c:pt idx="1">
                  <c:v>16643</c:v>
                </c:pt>
                <c:pt idx="2">
                  <c:v>3384</c:v>
                </c:pt>
                <c:pt idx="3">
                  <c:v>4686</c:v>
                </c:pt>
                <c:pt idx="4">
                  <c:v>438</c:v>
                </c:pt>
                <c:pt idx="5">
                  <c:v>8509</c:v>
                </c:pt>
                <c:pt idx="6">
                  <c:v>3870</c:v>
                </c:pt>
                <c:pt idx="7">
                  <c:v>1505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E2-1245-806A-A27F63EFC4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570402415"/>
        <c:axId val="1170045616"/>
      </c:barChart>
      <c:catAx>
        <c:axId val="57040241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Construction Category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45616"/>
        <c:crosses val="autoZero"/>
        <c:auto val="1"/>
        <c:lblAlgn val="ctr"/>
        <c:lblOffset val="100"/>
        <c:noMultiLvlLbl val="0"/>
      </c:catAx>
      <c:valAx>
        <c:axId val="117004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£ million</a:t>
                </a:r>
              </a:p>
              <a:p>
                <a:pPr>
                  <a:defRPr/>
                </a:pPr>
                <a:r>
                  <a:rPr lang="en-GB"/>
                  <a:t>This</a:t>
                </a:r>
                <a:r>
                  <a:rPr lang="en-GB" baseline="0"/>
                  <a:t> is a chart showing Construction output in the private sector by category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3274257955948509"/>
              <c:y val="0.959863382509183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4024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72410081417784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6125684518143527"/>
          <c:y val="7.3118197380998173E-2"/>
          <c:w val="0.486761722198229"/>
          <c:h val="0.83058947273095107"/>
        </c:manualLayout>
      </c:layout>
      <c:pieChart>
        <c:varyColors val="1"/>
        <c:ser>
          <c:idx val="0"/>
          <c:order val="0"/>
          <c:tx>
            <c:strRef>
              <c:f>'Firm Size'!$O$3</c:f>
              <c:strCache>
                <c:ptCount val="1"/>
                <c:pt idx="0">
                  <c:v>2010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2ABD-C24B-A063-53258CC1B8D6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2ABD-C24B-A063-53258CC1B8D6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2ABD-C24B-A063-53258CC1B8D6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2ABD-C24B-A063-53258CC1B8D6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5-2ABD-C24B-A063-53258CC1B8D6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2ABD-C24B-A063-53258CC1B8D6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2ABD-C24B-A063-53258CC1B8D6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2ABD-C24B-A063-53258CC1B8D6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2ABD-C24B-A063-53258CC1B8D6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2ABD-C24B-A063-53258CC1B8D6}"/>
              </c:ext>
            </c:extLst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4896-CE42-B5C3-2ABEDB49FA8F}"/>
              </c:ext>
            </c:extLst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7-4896-CE42-B5C3-2ABEDB49FA8F}"/>
              </c:ext>
            </c:extLst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2ABD-C24B-A063-53258CC1B8D6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ABD-C24B-A063-53258CC1B8D6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ABD-C24B-A063-53258CC1B8D6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ABD-C24B-A063-53258CC1B8D6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ABD-C24B-A063-53258CC1B8D6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ABD-C24B-A063-53258CC1B8D6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ABD-C24B-A063-53258CC1B8D6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ABD-C24B-A063-53258CC1B8D6}"/>
                </c:ext>
              </c:extLst>
            </c:dLbl>
            <c:dLbl>
              <c:idx val="7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ABD-C24B-A063-53258CC1B8D6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ABD-C24B-A063-53258CC1B8D6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ABD-C24B-A063-53258CC1B8D6}"/>
                </c:ext>
              </c:extLst>
            </c:dLbl>
            <c:dLbl>
              <c:idx val="12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ABD-C24B-A063-53258CC1B8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eparator>, </c:separator>
            <c:extLst>
              <c:ext xmlns:c15="http://schemas.microsoft.com/office/drawing/2012/chart" uri="{CE6537A1-D6FC-4f65-9D91-7224C49458BB}"/>
            </c:extLst>
          </c:dLbls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Size'!$O$4:$O$16</c:f>
              <c:numCache>
                <c:formatCode>#,##0</c:formatCode>
                <c:ptCount val="13"/>
                <c:pt idx="0">
                  <c:v>86274</c:v>
                </c:pt>
                <c:pt idx="1">
                  <c:v>65432</c:v>
                </c:pt>
                <c:pt idx="2">
                  <c:v>32119</c:v>
                </c:pt>
                <c:pt idx="3">
                  <c:v>11774</c:v>
                </c:pt>
                <c:pt idx="4">
                  <c:v>6029</c:v>
                </c:pt>
                <c:pt idx="5">
                  <c:v>1864</c:v>
                </c:pt>
                <c:pt idx="6">
                  <c:v>1896</c:v>
                </c:pt>
                <c:pt idx="7">
                  <c:v>593</c:v>
                </c:pt>
                <c:pt idx="8">
                  <c:v>472</c:v>
                </c:pt>
                <c:pt idx="9">
                  <c:v>525</c:v>
                </c:pt>
                <c:pt idx="10">
                  <c:v>145</c:v>
                </c:pt>
                <c:pt idx="11">
                  <c:v>60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BD-C24B-A063-53258CC1B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940456</xdr:colOff>
      <xdr:row>39</xdr:row>
      <xdr:rowOff>171989</xdr:rowOff>
    </xdr:from>
    <xdr:to>
      <xdr:col>9</xdr:col>
      <xdr:colOff>757512</xdr:colOff>
      <xdr:row>66</xdr:row>
      <xdr:rowOff>52345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6647A49-2944-377F-3AC8-9BC08213E9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14942</xdr:colOff>
      <xdr:row>36</xdr:row>
      <xdr:rowOff>177799</xdr:rowOff>
    </xdr:from>
    <xdr:to>
      <xdr:col>17</xdr:col>
      <xdr:colOff>177209</xdr:colOff>
      <xdr:row>78</xdr:row>
      <xdr:rowOff>44301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3C32539-1EF6-451F-3BC7-59AE456F80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163768</xdr:colOff>
      <xdr:row>24</xdr:row>
      <xdr:rowOff>88811</xdr:rowOff>
    </xdr:from>
    <xdr:to>
      <xdr:col>18</xdr:col>
      <xdr:colOff>290769</xdr:colOff>
      <xdr:row>56</xdr:row>
      <xdr:rowOff>137711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32CFDB8-3C44-0D80-80ED-B22962041B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1" totalsRowCount="1" headerRowDxfId="155" totalsRowDxfId="152" headerRowBorderDxfId="154" tableBorderDxfId="153" totalsRowBorderDxfId="151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totalsRowLabel="Mean" dataDxfId="150" totalsRowDxfId="149"/>
    <tableColumn id="2" xr3:uid="{2CEB802E-2C8B-438B-9945-35DD738C0281}" name="Total public new housing" totalsRowFunction="custom" dataDxfId="148" totalsRowDxfId="147">
      <totalsRowFormula>AVERAGE(B5:B30)</totalsRowFormula>
    </tableColumn>
    <tableColumn id="3" xr3:uid="{3C3BF752-4FFF-484B-B71F-F58604720080}" name="Total public infrastructure" totalsRowFunction="custom" dataDxfId="146" totalsRowDxfId="145">
      <totalsRowFormula>AVERAGE(C5:C30)</totalsRowFormula>
    </tableColumn>
    <tableColumn id="4" xr3:uid="{DEEA3593-9A6C-4595-A7F4-F7A1FF50902E}" name="Public other new work: factories" totalsRowFunction="custom" dataDxfId="144" totalsRowDxfId="143">
      <totalsRowFormula>AVERAGE(D5:D30)</totalsRowFormula>
    </tableColumn>
    <tableColumn id="5" xr3:uid="{701866BA-69BA-48CD-9D0D-81FD69DF739B}" name="Public other new work: warehouses" totalsRowFunction="custom" dataDxfId="142" totalsRowDxfId="141">
      <totalsRowFormula>AVERAGE(E5:E30)</totalsRowFormula>
    </tableColumn>
    <tableColumn id="6" xr3:uid="{50F5A838-140D-46C1-8047-15EFD622290F}" name="Public other new work: oil, steel &amp; coal" totalsRowFunction="custom" dataDxfId="140" totalsRowDxfId="139">
      <totalsRowFormula>AVERAGE(F5:F30)</totalsRowFormula>
    </tableColumn>
    <tableColumn id="7" xr3:uid="{6E0EFBDD-3A47-49CD-BF91-D293A5E27967}" name="Public other new work: schools &amp; colleges" totalsRowFunction="custom" dataDxfId="138" totalsRowDxfId="137">
      <totalsRowFormula>AVERAGE(G5:G30)</totalsRowFormula>
    </tableColumn>
    <tableColumn id="8" xr3:uid="{052798D4-9B72-4634-83FD-B570A0A4EF5E}" name="Public other new work: universities" totalsRowFunction="custom" dataDxfId="136" totalsRowDxfId="135">
      <totalsRowFormula>AVERAGE(H5:H30)</totalsRowFormula>
    </tableColumn>
    <tableColumn id="9" xr3:uid="{571F73C0-8F8D-4744-9CDA-7B688B842FEF}" name="Public other new work: health" totalsRowFunction="custom" dataDxfId="134" totalsRowDxfId="133">
      <totalsRowFormula>AVERAGE(I5:I30)</totalsRowFormula>
    </tableColumn>
    <tableColumn id="10" xr3:uid="{F2EE5416-E865-4168-999D-36C183FDD80C}" name="Public other new work: offices" totalsRowFunction="custom" dataDxfId="132" totalsRowDxfId="131">
      <totalsRowFormula>AVERAGE(J5:J30)</totalsRowFormula>
    </tableColumn>
    <tableColumn id="11" xr3:uid="{A7B4FAA5-F556-43C6-B0B4-B26DEC3A6BC2}" name="Public other new work: entertainment" totalsRowFunction="custom" dataDxfId="130" totalsRowDxfId="129">
      <totalsRowFormula>AVERAGE(K5:K30)</totalsRowFormula>
    </tableColumn>
    <tableColumn id="12" xr3:uid="{29535A53-8586-4C43-85ED-4497C85F3F49}" name="Public other new work: garages &amp; shops" totalsRowFunction="custom" dataDxfId="128" totalsRowDxfId="127">
      <totalsRowFormula>AVERAGE(L5:L30)</totalsRowFormula>
    </tableColumn>
    <tableColumn id="13" xr3:uid="{46E5855B-008E-4046-9A54-C371E654CFE7}" name="Public other new work: agriculture &amp; miscellaneous" totalsRowFunction="custom" dataDxfId="126" totalsRowDxfId="125">
      <totalsRowFormula>AVERAGE(M5:M30)</totalsRowFormula>
    </tableColumn>
    <tableColumn id="14" xr3:uid="{50113204-1E01-42B5-B32F-CB7AFABA9D95}" name="Total other new work" totalsRowFunction="custom" dataDxfId="124" totalsRowDxfId="123">
      <totalsRowFormula>AVERAGE(N5:N30)</totalsRowFormula>
    </tableColumn>
    <tableColumn id="15" xr3:uid="{DA379AB0-7BAB-4EF3-B6D5-77E85678C85D}" name="All Public Sector" totalsRowFunction="custom" dataDxfId="122" totalsRowDxfId="121">
      <totalsRowFormula>AVERAGE(O5:O30)</totalsRow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5" totalsRowShown="0" headerRowDxfId="120" headerRowBorderDxfId="119" tableBorderDxfId="118">
  <autoFilter ref="A4:P35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7"/>
    <tableColumn id="2" xr3:uid="{C23D8177-BE6A-461F-BDF0-6062E9A9C563}" name="Total private new housing" dataDxfId="116"/>
    <tableColumn id="3" xr3:uid="{A0112703-164B-4D8F-8127-1F9BC5377D92}" name="Total private Infrastructure" dataDxfId="115"/>
    <tableColumn id="4" xr3:uid="{5C3BDA6B-FFA2-4485-B69E-D43CA1A73A6D}" name="Private industrial: factories" dataDxfId="114"/>
    <tableColumn id="5" xr3:uid="{1A9A4962-83F1-4697-B041-646210503394}" name="Private industrial: warehouses" dataDxfId="113"/>
    <tableColumn id="6" xr3:uid="{B08A9504-9136-4E95-8379-17E65179B983}" name="Private industrial: oil, steel &amp; coal" dataDxfId="112"/>
    <tableColumn id="7" xr3:uid="{F0A3B3E8-2CD4-4411-B00D-94698CE6322C}" name="All private industrial" dataDxfId="111"/>
    <tableColumn id="8" xr3:uid="{184046F4-C3BE-4FCC-ACB7-18CDAFDF611E}" name="Private commercial: schools &amp; universities" dataDxfId="110"/>
    <tableColumn id="9" xr3:uid="{ECA96A0B-B560-45E2-8624-7571F89E8974}" name="Private commercial: health" dataDxfId="109"/>
    <tableColumn id="10" xr3:uid="{4F34749D-2332-4677-9A18-C2E983F4F1AA}" name="Private commercial: offices" dataDxfId="108"/>
    <tableColumn id="11" xr3:uid="{C563F708-AF4F-42F9-B9CC-B21C0F3DCD0F}" name="Private commercial: entertainment" dataDxfId="107"/>
    <tableColumn id="12" xr3:uid="{247D2649-72BC-4671-8FED-3BBD36116AAA}" name="Private commercial: garages" dataDxfId="106"/>
    <tableColumn id="13" xr3:uid="{26D1EE28-82B9-4E14-B03B-F99E6123F7F9}" name="Private commercial: shops" dataDxfId="105"/>
    <tableColumn id="14" xr3:uid="{305BAB87-4138-4069-96F6-BCD89AE70315}" name="Private commercial: agriculture &amp; miscellaneous" dataDxfId="104"/>
    <tableColumn id="15" xr3:uid="{2416E7D6-1E53-4B44-B96F-D447BA7D8C97}" name="All private commercial" dataDxfId="103"/>
    <tableColumn id="16" xr3:uid="{0B15AE04-565B-4968-A2E1-2333D8AF492C}" name="All Private Sector" dataDxfId="10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101" dataDxfId="99" headerRowBorderDxfId="100" tableBorderDxfId="98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7" totalsRowDxfId="96"/>
    <tableColumn id="2" xr3:uid="{B0F2A6A6-3283-4150-BE0B-7C2080238572}" name="1997" dataDxfId="95" totalsRowDxfId="94"/>
    <tableColumn id="3" xr3:uid="{7A412100-EA83-45B6-B94C-0CC26E44A30F}" name="1998" dataDxfId="93" totalsRowDxfId="92"/>
    <tableColumn id="4" xr3:uid="{930012D9-E799-426D-A875-B2326DBD55F4}" name="1999" dataDxfId="91" totalsRowDxfId="90"/>
    <tableColumn id="5" xr3:uid="{360ADF1A-3595-4433-8269-ECF0960327F1}" name="2000" dataDxfId="89" totalsRowDxfId="88"/>
    <tableColumn id="6" xr3:uid="{B8A820A4-B668-44EF-8933-1D96A2FADF03}" name="2001" dataDxfId="87" totalsRowDxfId="86"/>
    <tableColumn id="7" xr3:uid="{11F83E27-4927-45F5-A9CC-43237E2CADF0}" name="2002" dataDxfId="85" totalsRowDxfId="84"/>
    <tableColumn id="8" xr3:uid="{5E4AAD45-DCF0-42E8-851F-4D7FE4C75994}" name="2003" dataDxfId="83" totalsRowDxfId="82"/>
    <tableColumn id="9" xr3:uid="{CC5CDAF9-2908-403E-8524-8E458561A86C}" name="2004" dataDxfId="81" totalsRowDxfId="80"/>
    <tableColumn id="10" xr3:uid="{F8F10E6C-4C24-4987-86B9-2BC4604AA6FF}" name="2005" dataDxfId="79" totalsRowDxfId="78"/>
    <tableColumn id="11" xr3:uid="{634D9AB2-2F7D-42C4-861A-A48218543D52}" name="2006" dataDxfId="77" totalsRowDxfId="76"/>
    <tableColumn id="12" xr3:uid="{7A730D35-593C-410E-9351-5DCF7AEA046F}" name="2007" dataDxfId="75" totalsRowDxfId="74"/>
    <tableColumn id="13" xr3:uid="{E8E41471-48B0-4831-A7E6-07A1E35E2ACC}" name="2008" dataDxfId="73" totalsRowDxfId="72"/>
    <tableColumn id="14" xr3:uid="{6B01846A-0DD0-4E86-A5D2-F829644186A4}" name="2009" dataDxfId="71" totalsRowDxfId="70"/>
    <tableColumn id="15" xr3:uid="{D8AFF6A5-5D5A-4766-8F96-57E79DF3663F}" name="2010" dataDxfId="69" totalsRowDxfId="68"/>
    <tableColumn id="16" xr3:uid="{1D6E8742-788F-4B2E-9697-60AC14F35D18}" name="2011" dataDxfId="67" totalsRowDxfId="66"/>
    <tableColumn id="17" xr3:uid="{69C049AB-9C9F-4ADE-BECC-623E5690EC71}" name="2012" dataDxfId="65" totalsRowDxfId="64"/>
    <tableColumn id="18" xr3:uid="{D43A8FDC-D054-4128-AB18-089395291A62}" name="2013" dataDxfId="63" totalsRowDxfId="62"/>
    <tableColumn id="19" xr3:uid="{6A5E7EBF-7006-4A2D-93DE-FA3490C64C59}" name="2014" dataDxfId="61" totalsRowDxfId="60"/>
    <tableColumn id="20" xr3:uid="{7205CD9A-2C31-4724-97CB-C762076DBBAF}" name="2015" dataDxfId="59" totalsRowDxfId="58"/>
    <tableColumn id="21" xr3:uid="{23F28E5D-774C-402C-AAC0-BD710762A009}" name="2016" dataDxfId="57" totalsRowDxfId="56"/>
    <tableColumn id="22" xr3:uid="{6B0E8B0D-15FB-452A-B17A-DBF1F9144E49}" name="2017" dataDxfId="55" totalsRowDxfId="54"/>
    <tableColumn id="23" xr3:uid="{2A1FDA69-05A8-446B-AAAA-D031F3BBAD05}" name="2018" dataDxfId="53" totalsRowDxfId="52"/>
    <tableColumn id="24" xr3:uid="{3D10BF88-871C-4682-B0C8-E083CE171D1E}" name="2019" dataDxfId="51" totalsRowDxfId="50"/>
    <tableColumn id="25" xr3:uid="{9D538F5B-3878-417F-8425-2A0D3E354E45}" name="2020" dataDxfId="49" totalsRowDxfId="48"/>
    <tableColumn id="26" xr3:uid="{DD9C5EF2-8ED1-4799-8A41-D3913A1F0044}" name="2021" dataDxfId="47" totalsRowDxfId="46"/>
    <tableColumn id="27" xr3:uid="{5B253DE7-CFE8-406E-A7AA-546E3B30390D}" name="2022" dataDxfId="45" totalsRowDxfId="44"/>
    <tableColumn id="28" xr3:uid="{6E9710FE-6516-471A-802B-84FD325849B6}" name="2023" dataDxfId="43" totalsRowDxfId="4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41" dataDxfId="39" totalsRowDxfId="37" headerRowBorderDxfId="40" tableBorderDxfId="38" totalsRow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totalsRowLabel="Mode" dataDxfId="35" totalsRowDxfId="34" dataCellStyle="Normal_Structure" totalsRowCellStyle="Normal_Structure"/>
    <tableColumn id="2" xr3:uid="{2B0ED319-BDF4-462D-BA26-AA1BE0AFD462}" name="2007" totalsRowFunction="custom" dataDxfId="33" totalsRowDxfId="32">
      <totalsRowFormula>AVERAGE(B4:B15)</totalsRowFormula>
    </tableColumn>
    <tableColumn id="3" xr3:uid="{77F2849C-56C7-4DA1-AC0C-D55E7D6D694A}" name="2008" totalsRowFunction="custom" dataDxfId="31" totalsRowDxfId="30">
      <totalsRowFormula>AVERAGE(C4:C15)</totalsRowFormula>
    </tableColumn>
    <tableColumn id="4" xr3:uid="{9A1A21B1-FF17-4614-B44E-2AD012742D9C}" name="2009 " totalsRowFunction="custom" dataDxfId="29" totalsRowDxfId="28">
      <totalsRowFormula>AVERAGE(D4:D15)</totalsRowFormula>
    </tableColumn>
    <tableColumn id="5" xr3:uid="{7265F993-4BEA-4DD6-8F1F-7FD26B6D78D5}" name="2010 " totalsRowFunction="custom" dataDxfId="27" totalsRowDxfId="26">
      <totalsRowFormula>AVERAGE(E4:E15)</totalsRowFormula>
    </tableColumn>
    <tableColumn id="6" xr3:uid="{09518861-0455-459C-88E1-24FF001DA0D0}" name="2011 " totalsRowFunction="custom" dataDxfId="25" totalsRowDxfId="24">
      <totalsRowFormula>AVERAGE(F4:F15)</totalsRowFormula>
    </tableColumn>
    <tableColumn id="7" xr3:uid="{B5D524CF-EE6E-42DE-B6E6-1BA234BEBB35}" name="2012 " totalsRowFunction="custom" dataDxfId="23" totalsRowDxfId="22">
      <totalsRowFormula>AVERAGE(G4:G15)</totalsRowFormula>
    </tableColumn>
    <tableColumn id="8" xr3:uid="{74FB05A5-6EDB-43D0-B674-261380B53C98}" name="2013 " totalsRowFunction="custom" dataDxfId="21" totalsRowDxfId="20">
      <totalsRowFormula>AVERAGE(H4:H15)</totalsRowFormula>
    </tableColumn>
    <tableColumn id="9" xr3:uid="{E3D5D211-E5F3-4D89-9A54-45C89C90CA58}" name="2014 " totalsRowFunction="custom" dataDxfId="19" totalsRowDxfId="18">
      <totalsRowFormula>AVERAGE(I4:I15)</totalsRowFormula>
    </tableColumn>
    <tableColumn id="10" xr3:uid="{6659BB5D-89DB-418A-B6EB-1751E9306736}" name="2015 " totalsRowFunction="custom" dataDxfId="17" totalsRowDxfId="16">
      <totalsRowFormula>AVERAGE(J4:J15)</totalsRowFormula>
    </tableColumn>
    <tableColumn id="11" xr3:uid="{BC0F8EB9-8D5F-49CC-8256-4BA0676A88E1}" name="2016 " totalsRowFunction="custom" dataDxfId="15" totalsRowDxfId="14">
      <totalsRowFormula>AVERAGE(K4:K15)</totalsRowFormula>
    </tableColumn>
    <tableColumn id="12" xr3:uid="{D7445CA1-EFDC-436C-A8A1-28D1078DA8A7}" name="2017 " totalsRowFunction="custom" dataDxfId="13" totalsRowDxfId="12">
      <totalsRowFormula>AVERAGE(L4:L15)</totalsRowFormula>
    </tableColumn>
    <tableColumn id="13" xr3:uid="{C60437E4-5FDB-4BB4-B0A2-04D6F0461900}" name="2018 " totalsRowFunction="custom" dataDxfId="11" totalsRowDxfId="10">
      <totalsRowFormula>AVERAGE(M4:M15)</totalsRowFormula>
    </tableColumn>
    <tableColumn id="14" xr3:uid="{FE58B5FE-FCD9-4E27-A1B2-4BD4BB13404D}" name="2019 " totalsRowFunction="custom" dataDxfId="9" totalsRowDxfId="8">
      <totalsRowFormula>AVERAGE(N4:N15)</totalsRowFormula>
    </tableColumn>
    <tableColumn id="15" xr3:uid="{509EE9E5-9F66-4B95-9B38-BE0E47B10AD8}" name="2020 " totalsRowFunction="custom" dataDxfId="7" totalsRowDxfId="6">
      <totalsRowFormula>AVERAGE(O4:O15)</totalsRowFormula>
    </tableColumn>
    <tableColumn id="16" xr3:uid="{0AB424BA-148E-48AB-9FA9-8CDBE379AE70}" name="2021 " totalsRowFunction="custom" dataDxfId="5" totalsRowDxfId="4">
      <totalsRowFormula>AVERAGE(P4:P15)</totalsRowFormula>
    </tableColumn>
    <tableColumn id="17" xr3:uid="{A4AA9ED1-167B-4667-B809-4713DCB65C7D}" name="2022 " totalsRowFunction="custom" dataDxfId="3" totalsRowDxfId="2">
      <totalsRowFormula>AVERAGE(Q4:Q15)</totalsRowFormula>
    </tableColumn>
    <tableColumn id="18" xr3:uid="{04AAD7D3-88DF-46C7-8FC7-1AC98D7D5527}" name="2023" totalsRowFunction="custom" dataDxfId="1" totalsRowDxfId="0">
      <totalsRowFormula>AVERAGE(R4:R15)</totalsRow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A27" zoomScale="116" zoomScaleNormal="132" workbookViewId="0">
      <selection activeCell="F68" sqref="F68"/>
    </sheetView>
  </sheetViews>
  <sheetFormatPr baseColWidth="10" defaultColWidth="8.6640625" defaultRowHeight="15"/>
  <cols>
    <col min="1" max="1" width="13" customWidth="1"/>
    <col min="2" max="2" width="12" customWidth="1"/>
    <col min="3" max="3" width="16" customWidth="1"/>
    <col min="4" max="4" width="12.33203125" customWidth="1"/>
    <col min="5" max="5" width="12.5" customWidth="1"/>
    <col min="6" max="6" width="12.33203125" customWidth="1"/>
    <col min="7" max="7" width="12.6640625" customWidth="1"/>
    <col min="8" max="8" width="12.33203125" customWidth="1"/>
    <col min="9" max="9" width="11.6640625" customWidth="1"/>
    <col min="10" max="10" width="11.5" customWidth="1"/>
    <col min="11" max="11" width="13.5" customWidth="1"/>
    <col min="12" max="12" width="12.6640625" customWidth="1"/>
    <col min="13" max="13" width="14.6640625" customWidth="1"/>
    <col min="14" max="14" width="13.6640625" customWidth="1"/>
    <col min="15" max="15" width="16.83203125" customWidth="1"/>
  </cols>
  <sheetData>
    <row r="1" spans="1:17" ht="19">
      <c r="A1" s="4" t="s">
        <v>0</v>
      </c>
    </row>
    <row r="2" spans="1:17">
      <c r="A2" s="5" t="s">
        <v>1</v>
      </c>
    </row>
    <row r="3" spans="1:17">
      <c r="A3" s="5"/>
    </row>
    <row r="4" spans="1:17" ht="58.2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s="34" t="s">
        <v>18</v>
      </c>
      <c r="B31" s="31">
        <f>AVERAGE(B5:B30)</f>
        <v>3837.4230769230771</v>
      </c>
      <c r="C31" s="31">
        <f t="shared" ref="C31:O31" si="0">AVERAGE(C5:C30)</f>
        <v>6697.0384615384619</v>
      </c>
      <c r="D31" s="31">
        <f t="shared" si="0"/>
        <v>103</v>
      </c>
      <c r="E31" s="31">
        <f t="shared" si="0"/>
        <v>30.76923076923077</v>
      </c>
      <c r="F31" s="31">
        <f t="shared" si="0"/>
        <v>9.384615384615385</v>
      </c>
      <c r="G31" s="31">
        <f t="shared" si="0"/>
        <v>3618.9615384615386</v>
      </c>
      <c r="H31" s="31">
        <f t="shared" si="0"/>
        <v>986.30769230769226</v>
      </c>
      <c r="I31" s="31">
        <f t="shared" si="0"/>
        <v>1625.7307692307693</v>
      </c>
      <c r="J31" s="31">
        <f t="shared" si="0"/>
        <v>753.03846153846155</v>
      </c>
      <c r="K31" s="31">
        <f t="shared" si="0"/>
        <v>820.65384615384619</v>
      </c>
      <c r="L31" s="31">
        <f t="shared" si="0"/>
        <v>207.26923076923077</v>
      </c>
      <c r="M31" s="31">
        <f t="shared" si="0"/>
        <v>1055.6538461538462</v>
      </c>
      <c r="N31" s="31">
        <f t="shared" si="0"/>
        <v>9211</v>
      </c>
      <c r="O31" s="31">
        <f t="shared" si="0"/>
        <v>19745.423076923078</v>
      </c>
    </row>
    <row r="32" spans="1:15">
      <c r="A32" s="32" t="s">
        <v>106</v>
      </c>
      <c r="B32" s="33">
        <f>MEDIAN(Table1.1[Total public new housing])</f>
        <v>4186</v>
      </c>
      <c r="C32" s="33">
        <f>MEDIAN(Table1.1[Total public infrastructure])</f>
        <v>4599</v>
      </c>
      <c r="D32" s="33">
        <f>MEDIAN(Table1.1[Public other new work: factories])</f>
        <v>88</v>
      </c>
      <c r="E32" s="33">
        <f>MEDIAN(Table1.1[Public other new work: warehouses])</f>
        <v>29</v>
      </c>
      <c r="F32" s="33">
        <f>MEDIAN(Table1.1[Public other new work: oil, steel &amp; coal])</f>
        <v>4</v>
      </c>
      <c r="G32" s="33">
        <f>MEDIAN(Table1.1[Public other new work: schools &amp; colleges])</f>
        <v>3977</v>
      </c>
      <c r="H32" s="33">
        <f>MEDIAN(Table1.1[Public other new work: universities])</f>
        <v>960.5</v>
      </c>
      <c r="I32" s="33">
        <f>MEDIAN(Table1.1[Public other new work: health])</f>
        <v>1676.5</v>
      </c>
      <c r="J32" s="33">
        <f>MEDIAN(Table1.1[Public other new work: offices])</f>
        <v>818.5</v>
      </c>
      <c r="K32" s="33">
        <f>MEDIAN(Table1.1[Public other new work: entertainment])</f>
        <v>829.5</v>
      </c>
      <c r="L32" s="33">
        <f>MEDIAN(Table1.1[Public other new work: garages &amp; shops])</f>
        <v>152.5</v>
      </c>
      <c r="M32" s="33">
        <f>MEDIAN(Table1.1[Public other new work: agriculture &amp; miscellaneous])</f>
        <v>1080</v>
      </c>
      <c r="N32" s="33">
        <f>MEDIAN(Table1.1[Total other new work])</f>
        <v>10049.5</v>
      </c>
      <c r="O32" s="33">
        <f>MEDIAN(Table1.1[All Public Sector])</f>
        <v>19814.5</v>
      </c>
    </row>
    <row r="33" spans="1:15">
      <c r="A33" s="32" t="s">
        <v>107</v>
      </c>
      <c r="B33" s="32"/>
      <c r="C33" s="32"/>
      <c r="D33" s="32">
        <f t="shared" ref="D33:M33" si="1">_xlfn.MODE.SNGL(D5:D30)</f>
        <v>77</v>
      </c>
      <c r="E33" s="32">
        <f t="shared" si="1"/>
        <v>29</v>
      </c>
      <c r="F33" s="32">
        <f t="shared" si="1"/>
        <v>4</v>
      </c>
      <c r="G33" s="32"/>
      <c r="H33" s="32"/>
      <c r="I33" s="32"/>
      <c r="J33" s="32"/>
      <c r="K33" s="32"/>
      <c r="L33" s="32"/>
      <c r="M33" s="32">
        <f t="shared" si="1"/>
        <v>668</v>
      </c>
      <c r="N33" s="32"/>
      <c r="O33" s="32"/>
    </row>
    <row r="34" spans="1:15">
      <c r="A34" s="32" t="s">
        <v>108</v>
      </c>
      <c r="B34" s="32">
        <f>_xlfn.STDEV.S(B5:B30)</f>
        <v>1933.7118331970134</v>
      </c>
      <c r="C34" s="32">
        <f t="shared" ref="C34:O34" si="2">_xlfn.STDEV.S(C5:C30)</f>
        <v>5042.993805118299</v>
      </c>
      <c r="D34" s="32">
        <f t="shared" si="2"/>
        <v>54.568855586314072</v>
      </c>
      <c r="E34" s="32">
        <f t="shared" si="2"/>
        <v>15.77417558494311</v>
      </c>
      <c r="F34" s="32">
        <f t="shared" si="2"/>
        <v>12.079989811508694</v>
      </c>
      <c r="G34" s="32">
        <f t="shared" si="2"/>
        <v>1527.4180693122421</v>
      </c>
      <c r="H34" s="32">
        <f t="shared" si="2"/>
        <v>431.73925179263188</v>
      </c>
      <c r="I34" s="32">
        <f t="shared" si="2"/>
        <v>527.53294173481174</v>
      </c>
      <c r="J34" s="32">
        <f t="shared" si="2"/>
        <v>191.38620238026169</v>
      </c>
      <c r="K34" s="32">
        <f t="shared" si="2"/>
        <v>280.68216078799054</v>
      </c>
      <c r="L34" s="32">
        <f t="shared" si="2"/>
        <v>150.02627974919801</v>
      </c>
      <c r="M34" s="32">
        <f t="shared" si="2"/>
        <v>357.87907927764564</v>
      </c>
      <c r="N34" s="32">
        <f t="shared" si="2"/>
        <v>2952.5899681466099</v>
      </c>
      <c r="O34" s="32">
        <f t="shared" si="2"/>
        <v>8569.7219519565588</v>
      </c>
    </row>
    <row r="35" spans="1:15">
      <c r="A35" s="32" t="s">
        <v>109</v>
      </c>
      <c r="B35" s="35">
        <f>MAX(B5:B30) -MIN(B5:B30)</f>
        <v>6214</v>
      </c>
      <c r="C35" s="35">
        <f t="shared" ref="C35:O35" si="3">MAX(C5:C30) -MIN(C5:C30)</f>
        <v>17417</v>
      </c>
      <c r="D35" s="35">
        <f t="shared" si="3"/>
        <v>229</v>
      </c>
      <c r="E35" s="35">
        <f t="shared" si="3"/>
        <v>65</v>
      </c>
      <c r="F35" s="35">
        <f t="shared" si="3"/>
        <v>44</v>
      </c>
      <c r="G35" s="35">
        <f t="shared" si="3"/>
        <v>6138</v>
      </c>
      <c r="H35" s="35">
        <f t="shared" si="3"/>
        <v>1562</v>
      </c>
      <c r="I35" s="35">
        <f t="shared" si="3"/>
        <v>1902</v>
      </c>
      <c r="J35" s="35">
        <f t="shared" si="3"/>
        <v>645</v>
      </c>
      <c r="K35" s="35">
        <f t="shared" si="3"/>
        <v>1201</v>
      </c>
      <c r="L35" s="35">
        <f t="shared" si="3"/>
        <v>619</v>
      </c>
      <c r="M35" s="35">
        <f t="shared" si="3"/>
        <v>1742</v>
      </c>
      <c r="N35" s="35">
        <f t="shared" si="3"/>
        <v>11029</v>
      </c>
      <c r="O35" s="35">
        <f t="shared" si="3"/>
        <v>31608</v>
      </c>
    </row>
    <row r="36" spans="1:15">
      <c r="F36" s="18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5"/>
  <sheetViews>
    <sheetView topLeftCell="A42" zoomScale="92" zoomScaleNormal="86" workbookViewId="0">
      <selection activeCell="S72" sqref="S72"/>
    </sheetView>
  </sheetViews>
  <sheetFormatPr baseColWidth="10" defaultColWidth="8.6640625" defaultRowHeight="15"/>
  <cols>
    <col min="1" max="1" width="13" customWidth="1"/>
    <col min="2" max="2" width="14.6640625" customWidth="1"/>
    <col min="3" max="3" width="14" customWidth="1"/>
    <col min="4" max="4" width="9.6640625" customWidth="1"/>
    <col min="5" max="5" width="11.33203125" customWidth="1"/>
    <col min="6" max="6" width="10.6640625" customWidth="1"/>
    <col min="7" max="7" width="11.33203125" customWidth="1"/>
    <col min="8" max="8" width="11.5" customWidth="1"/>
    <col min="9" max="9" width="11.6640625" customWidth="1"/>
    <col min="10" max="10" width="12.33203125" customWidth="1"/>
    <col min="11" max="11" width="13.1640625" customWidth="1"/>
    <col min="12" max="12" width="11.33203125" customWidth="1"/>
    <col min="13" max="13" width="11.5" customWidth="1"/>
    <col min="14" max="14" width="13.6640625" customWidth="1"/>
    <col min="15" max="15" width="10.6640625" customWidth="1"/>
    <col min="16" max="16" width="15.5" customWidth="1"/>
  </cols>
  <sheetData>
    <row r="1" spans="1:16" ht="19">
      <c r="A1" s="7" t="s">
        <v>19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20</v>
      </c>
      <c r="C4" s="10" t="s">
        <v>21</v>
      </c>
      <c r="D4" s="11" t="s">
        <v>22</v>
      </c>
      <c r="E4" s="11" t="s">
        <v>23</v>
      </c>
      <c r="F4" s="12" t="s">
        <v>24</v>
      </c>
      <c r="G4" s="12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  <c r="N4" s="12" t="s">
        <v>32</v>
      </c>
      <c r="O4" s="13" t="s">
        <v>33</v>
      </c>
      <c r="P4" s="14" t="s">
        <v>34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A31" s="34" t="s">
        <v>18</v>
      </c>
      <c r="B31" s="31">
        <f>AVERAGE(B5:B30)</f>
        <v>23301.807692307691</v>
      </c>
      <c r="C31" s="31">
        <f t="shared" ref="C31:P31" si="0">AVERAGE(C5:C30)</f>
        <v>8636.1923076923085</v>
      </c>
      <c r="D31" s="31">
        <f t="shared" si="0"/>
        <v>2613.6153846153848</v>
      </c>
      <c r="E31" s="31">
        <f t="shared" si="0"/>
        <v>2281.7307692307691</v>
      </c>
      <c r="F31" s="31">
        <f t="shared" si="0"/>
        <v>163.30769230769232</v>
      </c>
      <c r="G31" s="31">
        <f t="shared" si="0"/>
        <v>5058.6923076923076</v>
      </c>
      <c r="H31" s="31">
        <f t="shared" si="0"/>
        <v>3076.3076923076924</v>
      </c>
      <c r="I31" s="31">
        <f t="shared" si="0"/>
        <v>1503.0769230769231</v>
      </c>
      <c r="J31" s="31">
        <f t="shared" si="0"/>
        <v>8734.3076923076915</v>
      </c>
      <c r="K31" s="31">
        <f t="shared" si="0"/>
        <v>5328.5</v>
      </c>
      <c r="L31" s="31">
        <f t="shared" si="0"/>
        <v>510.84615384615387</v>
      </c>
      <c r="M31" s="31">
        <f t="shared" si="0"/>
        <v>4985.9615384615381</v>
      </c>
      <c r="N31" s="31">
        <f t="shared" si="0"/>
        <v>1540.1538461538462</v>
      </c>
      <c r="O31" s="31">
        <f t="shared" si="0"/>
        <v>25678.807692307691</v>
      </c>
      <c r="P31" s="31">
        <f t="shared" si="0"/>
        <v>62675.5</v>
      </c>
    </row>
    <row r="32" spans="1:16">
      <c r="A32" s="34" t="s">
        <v>106</v>
      </c>
      <c r="B32" s="31">
        <f>MEDIAN(B5:B30)</f>
        <v>19846</v>
      </c>
      <c r="C32" s="31">
        <f t="shared" ref="C32:P32" si="1">MEDIAN(C5:C30)</f>
        <v>8715.5</v>
      </c>
      <c r="D32" s="31">
        <f t="shared" si="1"/>
        <v>2678</v>
      </c>
      <c r="E32" s="31">
        <f t="shared" si="1"/>
        <v>2025.5</v>
      </c>
      <c r="F32" s="31">
        <f t="shared" si="1"/>
        <v>151</v>
      </c>
      <c r="G32" s="31">
        <f t="shared" si="1"/>
        <v>4859.5</v>
      </c>
      <c r="H32" s="31">
        <f t="shared" si="1"/>
        <v>3188.5</v>
      </c>
      <c r="I32" s="31">
        <f t="shared" si="1"/>
        <v>1196.5</v>
      </c>
      <c r="J32" s="31">
        <f t="shared" si="1"/>
        <v>8883.5</v>
      </c>
      <c r="K32" s="31">
        <f t="shared" si="1"/>
        <v>4749</v>
      </c>
      <c r="L32" s="31">
        <f t="shared" si="1"/>
        <v>499</v>
      </c>
      <c r="M32" s="31">
        <f t="shared" si="1"/>
        <v>4989.5</v>
      </c>
      <c r="N32" s="31">
        <f t="shared" si="1"/>
        <v>1266.5</v>
      </c>
      <c r="O32" s="31">
        <f t="shared" si="1"/>
        <v>25533.5</v>
      </c>
      <c r="P32" s="31">
        <f t="shared" si="1"/>
        <v>60478.5</v>
      </c>
    </row>
    <row r="33" spans="1:16">
      <c r="A33" s="34" t="s">
        <v>107</v>
      </c>
      <c r="B33" s="31"/>
      <c r="C33" s="31">
        <f t="shared" ref="C33:F33" si="2">_xlfn.MODE.SNGL(C5:C30)</f>
        <v>5305</v>
      </c>
      <c r="D33" s="31">
        <f t="shared" si="2"/>
        <v>3296</v>
      </c>
      <c r="E33" s="31"/>
      <c r="F33" s="31">
        <f t="shared" si="2"/>
        <v>73</v>
      </c>
      <c r="G33" s="31"/>
      <c r="H33" s="31"/>
      <c r="I33" s="31"/>
      <c r="J33" s="31"/>
      <c r="K33" s="31"/>
      <c r="L33" s="31"/>
      <c r="M33" s="31"/>
      <c r="N33" s="31"/>
      <c r="O33" s="31"/>
      <c r="P33" s="31"/>
    </row>
    <row r="34" spans="1:16">
      <c r="A34" s="34" t="s">
        <v>108</v>
      </c>
      <c r="B34" s="31">
        <f>_xlfn.STDEV.S(B5:B30)</f>
        <v>12315.36673272617</v>
      </c>
      <c r="C34" s="31">
        <f t="shared" ref="C34:P34" si="3">_xlfn.STDEV.S(C5:C30)</f>
        <v>3395.0424211692052</v>
      </c>
      <c r="D34" s="31">
        <f t="shared" si="3"/>
        <v>501.18069211996368</v>
      </c>
      <c r="E34" s="31">
        <f t="shared" si="3"/>
        <v>963.5538203003423</v>
      </c>
      <c r="F34" s="31">
        <f t="shared" si="3"/>
        <v>105.8254295453675</v>
      </c>
      <c r="G34" s="31">
        <f t="shared" si="3"/>
        <v>1272.6617388522618</v>
      </c>
      <c r="H34" s="31">
        <f t="shared" si="3"/>
        <v>1453.219398968532</v>
      </c>
      <c r="I34" s="31">
        <f t="shared" si="3"/>
        <v>834.15753538894194</v>
      </c>
      <c r="J34" s="31">
        <f t="shared" si="3"/>
        <v>2079.8119678322983</v>
      </c>
      <c r="K34" s="31">
        <f t="shared" si="3"/>
        <v>1524.3703815018187</v>
      </c>
      <c r="L34" s="31">
        <f t="shared" si="3"/>
        <v>133.24164283216939</v>
      </c>
      <c r="M34" s="31">
        <f t="shared" si="3"/>
        <v>1498.0525619822349</v>
      </c>
      <c r="N34" s="31">
        <f t="shared" si="3"/>
        <v>779.65359960986223</v>
      </c>
      <c r="O34" s="31">
        <f t="shared" si="3"/>
        <v>5047.2798695474048</v>
      </c>
      <c r="P34" s="31">
        <f t="shared" si="3"/>
        <v>19252.42941605033</v>
      </c>
    </row>
    <row r="35" spans="1:16">
      <c r="A35" s="34" t="s">
        <v>110</v>
      </c>
      <c r="B35" s="31">
        <f>MAX(B5:B30) -MIN(B5:B30)</f>
        <v>42400</v>
      </c>
      <c r="C35" s="31">
        <f t="shared" ref="C35:P35" si="4">MAX(C5:C30) -MIN(C5:C30)</f>
        <v>11836</v>
      </c>
      <c r="D35" s="31">
        <f t="shared" si="4"/>
        <v>1726</v>
      </c>
      <c r="E35" s="31">
        <f t="shared" si="4"/>
        <v>3529</v>
      </c>
      <c r="F35" s="31">
        <f t="shared" si="4"/>
        <v>424</v>
      </c>
      <c r="G35" s="31">
        <f t="shared" si="4"/>
        <v>5160</v>
      </c>
      <c r="H35" s="31">
        <f t="shared" si="4"/>
        <v>5400</v>
      </c>
      <c r="I35" s="31">
        <f t="shared" si="4"/>
        <v>3640</v>
      </c>
      <c r="J35" s="31">
        <f t="shared" si="4"/>
        <v>7795</v>
      </c>
      <c r="K35" s="31">
        <f t="shared" si="4"/>
        <v>5212</v>
      </c>
      <c r="L35" s="31">
        <f t="shared" si="4"/>
        <v>495</v>
      </c>
      <c r="M35" s="31">
        <f t="shared" si="4"/>
        <v>5340</v>
      </c>
      <c r="N35" s="31">
        <f t="shared" si="4"/>
        <v>2783</v>
      </c>
      <c r="O35" s="31">
        <f t="shared" si="4"/>
        <v>20443</v>
      </c>
      <c r="P35" s="31">
        <f t="shared" si="4"/>
        <v>67708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30"/>
  <sheetViews>
    <sheetView tabSelected="1" zoomScale="83" workbookViewId="0">
      <selection activeCell="U39" sqref="U39"/>
    </sheetView>
  </sheetViews>
  <sheetFormatPr baseColWidth="10" defaultColWidth="8.6640625" defaultRowHeight="15"/>
  <cols>
    <col min="1" max="1" width="17.5" customWidth="1"/>
    <col min="2" max="27" width="8.83203125" customWidth="1"/>
  </cols>
  <sheetData>
    <row r="1" spans="1:28" ht="19">
      <c r="A1" s="3" t="s">
        <v>35</v>
      </c>
    </row>
    <row r="2" spans="1:28" ht="19">
      <c r="A2" s="3"/>
    </row>
    <row r="3" spans="1:28" ht="16">
      <c r="A3" s="24" t="s">
        <v>36</v>
      </c>
      <c r="B3" s="15" t="s">
        <v>37</v>
      </c>
      <c r="C3" s="15" t="s">
        <v>38</v>
      </c>
      <c r="D3" s="15" t="s">
        <v>39</v>
      </c>
      <c r="E3" s="15" t="s">
        <v>40</v>
      </c>
      <c r="F3" s="15" t="s">
        <v>41</v>
      </c>
      <c r="G3" s="15" t="s">
        <v>42</v>
      </c>
      <c r="H3" s="15" t="s">
        <v>43</v>
      </c>
      <c r="I3" s="15" t="s">
        <v>44</v>
      </c>
      <c r="J3" s="15" t="s">
        <v>45</v>
      </c>
      <c r="K3" s="15" t="s">
        <v>46</v>
      </c>
      <c r="L3" s="15" t="s">
        <v>47</v>
      </c>
      <c r="M3" s="15" t="s">
        <v>48</v>
      </c>
      <c r="N3" s="8" t="s">
        <v>49</v>
      </c>
      <c r="O3" s="15" t="s">
        <v>50</v>
      </c>
      <c r="P3" s="15" t="s">
        <v>51</v>
      </c>
      <c r="Q3" s="15" t="s">
        <v>52</v>
      </c>
      <c r="R3" s="15" t="s">
        <v>53</v>
      </c>
      <c r="S3" s="15" t="s">
        <v>54</v>
      </c>
      <c r="T3" s="15" t="s">
        <v>55</v>
      </c>
      <c r="U3" s="15" t="s">
        <v>56</v>
      </c>
      <c r="V3" s="15" t="s">
        <v>57</v>
      </c>
      <c r="W3" s="15" t="s">
        <v>58</v>
      </c>
      <c r="X3" s="15" t="s">
        <v>59</v>
      </c>
      <c r="Y3" s="15" t="s">
        <v>60</v>
      </c>
      <c r="Z3" s="15" t="s">
        <v>61</v>
      </c>
      <c r="AA3" s="15" t="s">
        <v>62</v>
      </c>
      <c r="AB3" s="15" t="s">
        <v>63</v>
      </c>
    </row>
    <row r="4" spans="1:28">
      <c r="A4" s="6" t="s">
        <v>64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65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67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68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69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70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75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76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5" customHeight="1">
      <c r="A17" s="16" t="s">
        <v>77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1:28">
      <c r="A19" s="32" t="s">
        <v>18</v>
      </c>
      <c r="B19" s="36">
        <f>AVERAGE(B4:B16)</f>
        <v>12319.076923076924</v>
      </c>
      <c r="C19" s="36">
        <f t="shared" ref="C19:AB19" si="0">AVERAGE(C4:C16)</f>
        <v>12556.615384615385</v>
      </c>
      <c r="D19" s="36">
        <f t="shared" si="0"/>
        <v>12735.461538461539</v>
      </c>
      <c r="E19" s="36">
        <f t="shared" si="0"/>
        <v>12571.23076923077</v>
      </c>
      <c r="F19" s="36">
        <f t="shared" si="0"/>
        <v>12932.538461538461</v>
      </c>
      <c r="G19" s="36">
        <f t="shared" si="0"/>
        <v>12783.153846153846</v>
      </c>
      <c r="H19" s="36">
        <f t="shared" si="0"/>
        <v>13160.923076923076</v>
      </c>
      <c r="I19" s="36">
        <f t="shared" si="0"/>
        <v>13569.461538461539</v>
      </c>
      <c r="J19" s="36">
        <f t="shared" si="0"/>
        <v>14049.538461538461</v>
      </c>
      <c r="K19" s="36">
        <f t="shared" si="0"/>
        <v>14315.923076923076</v>
      </c>
      <c r="L19" s="36">
        <f t="shared" si="0"/>
        <v>14784.538461538461</v>
      </c>
      <c r="M19" s="36">
        <f t="shared" si="0"/>
        <v>15569.76923076923</v>
      </c>
      <c r="N19" s="36">
        <f t="shared" si="0"/>
        <v>14925</v>
      </c>
      <c r="O19" s="36">
        <f t="shared" si="0"/>
        <v>15941.923076923076</v>
      </c>
      <c r="P19" s="36">
        <f t="shared" si="0"/>
        <v>15938.846153846154</v>
      </c>
      <c r="Q19" s="36">
        <f t="shared" si="0"/>
        <v>15720.23076923077</v>
      </c>
      <c r="R19" s="36">
        <f t="shared" si="0"/>
        <v>16175.615384615385</v>
      </c>
      <c r="S19" s="36">
        <f t="shared" si="0"/>
        <v>16218.153846153846</v>
      </c>
      <c r="T19" s="36">
        <f t="shared" si="0"/>
        <v>18081.846153846152</v>
      </c>
      <c r="U19" s="36">
        <f t="shared" si="0"/>
        <v>19739.153846153848</v>
      </c>
      <c r="V19" s="36">
        <f t="shared" si="0"/>
        <v>21136.23076923077</v>
      </c>
      <c r="W19" s="36">
        <f t="shared" si="0"/>
        <v>22065.23076923077</v>
      </c>
      <c r="X19" s="36">
        <f t="shared" si="0"/>
        <v>22862.384615384617</v>
      </c>
      <c r="Y19" s="36">
        <f t="shared" si="0"/>
        <v>23505</v>
      </c>
      <c r="Z19" s="36">
        <f t="shared" si="0"/>
        <v>24462.538461538461</v>
      </c>
      <c r="AA19" s="36">
        <f t="shared" si="0"/>
        <v>25325.461538461539</v>
      </c>
      <c r="AB19" s="36">
        <f t="shared" si="0"/>
        <v>25158.692307692309</v>
      </c>
    </row>
    <row r="20" spans="1:28">
      <c r="A20" s="32" t="s">
        <v>111</v>
      </c>
      <c r="B20" s="35">
        <f>MEDIAN(B5:B16)</f>
        <v>776</v>
      </c>
      <c r="C20" s="35">
        <f t="shared" ref="C20:AB20" si="1">MEDIAN(C5:C16)</f>
        <v>810</v>
      </c>
      <c r="D20" s="35">
        <f t="shared" si="1"/>
        <v>792.5</v>
      </c>
      <c r="E20" s="35">
        <f t="shared" si="1"/>
        <v>736.5</v>
      </c>
      <c r="F20" s="35">
        <f t="shared" si="1"/>
        <v>716</v>
      </c>
      <c r="G20" s="35">
        <f t="shared" si="1"/>
        <v>1151</v>
      </c>
      <c r="H20" s="35">
        <f t="shared" si="1"/>
        <v>1202</v>
      </c>
      <c r="I20" s="35">
        <f t="shared" si="1"/>
        <v>1233</v>
      </c>
      <c r="J20" s="35">
        <f t="shared" si="1"/>
        <v>1250.5</v>
      </c>
      <c r="K20" s="35">
        <f t="shared" si="1"/>
        <v>1308.5</v>
      </c>
      <c r="L20" s="35">
        <f t="shared" si="1"/>
        <v>1362.5</v>
      </c>
      <c r="M20" s="35">
        <f t="shared" si="1"/>
        <v>1429</v>
      </c>
      <c r="N20" s="35">
        <f t="shared" si="1"/>
        <v>1330</v>
      </c>
      <c r="O20" s="35">
        <f t="shared" si="1"/>
        <v>1228.5</v>
      </c>
      <c r="P20" s="35">
        <f t="shared" si="1"/>
        <v>1130</v>
      </c>
      <c r="Q20" s="35">
        <f t="shared" si="1"/>
        <v>1163</v>
      </c>
      <c r="R20" s="35">
        <f t="shared" si="1"/>
        <v>1139.5</v>
      </c>
      <c r="S20" s="35">
        <f t="shared" si="1"/>
        <v>1136.5</v>
      </c>
      <c r="T20" s="35">
        <f t="shared" si="1"/>
        <v>1116.5</v>
      </c>
      <c r="U20" s="35">
        <f t="shared" si="1"/>
        <v>1188</v>
      </c>
      <c r="V20" s="35">
        <f t="shared" si="1"/>
        <v>1210.5</v>
      </c>
      <c r="W20" s="35">
        <f t="shared" si="1"/>
        <v>1244</v>
      </c>
      <c r="X20" s="35">
        <f t="shared" si="1"/>
        <v>1239</v>
      </c>
      <c r="Y20" s="35">
        <f t="shared" si="1"/>
        <v>1248.5</v>
      </c>
      <c r="Z20" s="35">
        <f t="shared" si="1"/>
        <v>1224.5</v>
      </c>
      <c r="AA20" s="35">
        <f t="shared" si="1"/>
        <v>1238.5</v>
      </c>
      <c r="AB20" s="35">
        <f t="shared" si="1"/>
        <v>1239.5</v>
      </c>
    </row>
    <row r="21" spans="1:28">
      <c r="A21" s="32" t="s">
        <v>107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>
        <f t="shared" ref="N21:Z21" si="2">_xlfn.MODE.SNGL(N4:N16)</f>
        <v>62</v>
      </c>
      <c r="O21" s="32"/>
      <c r="P21" s="32"/>
      <c r="Q21" s="32"/>
      <c r="R21" s="32"/>
      <c r="S21" s="32"/>
      <c r="T21" s="32"/>
      <c r="U21" s="32">
        <f t="shared" si="2"/>
        <v>57</v>
      </c>
      <c r="V21" s="32"/>
      <c r="W21" s="32"/>
      <c r="X21" s="32"/>
      <c r="Y21" s="32"/>
      <c r="Z21" s="32">
        <f t="shared" si="2"/>
        <v>56</v>
      </c>
      <c r="AA21" s="32"/>
      <c r="AB21" s="32"/>
    </row>
    <row r="22" spans="1:28">
      <c r="A22" s="32" t="s">
        <v>112</v>
      </c>
      <c r="B22" s="32">
        <f>_xlfn.STDEV.S(B4:B16)</f>
        <v>25842.716096486256</v>
      </c>
      <c r="C22" s="32">
        <f t="shared" ref="C22:AB22" si="3">_xlfn.STDEV.S(C4:C16)</f>
        <v>26237.011077034102</v>
      </c>
      <c r="D22" s="32">
        <f t="shared" si="3"/>
        <v>26447.341972982795</v>
      </c>
      <c r="E22" s="32">
        <f t="shared" si="3"/>
        <v>26330.858152092977</v>
      </c>
      <c r="F22" s="32">
        <f t="shared" si="3"/>
        <v>24258.457681859414</v>
      </c>
      <c r="G22" s="32">
        <f t="shared" si="3"/>
        <v>22759.585284176253</v>
      </c>
      <c r="H22" s="32">
        <f t="shared" si="3"/>
        <v>22958.796794335492</v>
      </c>
      <c r="I22" s="32">
        <f t="shared" si="3"/>
        <v>23545.040987489574</v>
      </c>
      <c r="J22" s="32">
        <f t="shared" si="3"/>
        <v>24251.56650821889</v>
      </c>
      <c r="K22" s="32">
        <f t="shared" si="3"/>
        <v>24341.528613535957</v>
      </c>
      <c r="L22" s="32">
        <f t="shared" si="3"/>
        <v>25083.239661891712</v>
      </c>
      <c r="M22" s="32">
        <f t="shared" si="3"/>
        <v>26443.331377853556</v>
      </c>
      <c r="N22" s="32">
        <f t="shared" si="3"/>
        <v>25431.198094073352</v>
      </c>
      <c r="O22" s="32">
        <f t="shared" si="3"/>
        <v>28336.107367519446</v>
      </c>
      <c r="P22" s="32">
        <f t="shared" si="3"/>
        <v>28913.552934699881</v>
      </c>
      <c r="Q22" s="32">
        <f t="shared" si="3"/>
        <v>28662.398911447981</v>
      </c>
      <c r="R22" s="32">
        <f t="shared" si="3"/>
        <v>29661.907762140716</v>
      </c>
      <c r="S22" s="32">
        <f t="shared" si="3"/>
        <v>29739.452247382749</v>
      </c>
      <c r="T22" s="32">
        <f t="shared" si="3"/>
        <v>34041.100544895613</v>
      </c>
      <c r="U22" s="32">
        <f t="shared" si="3"/>
        <v>38004.210097580311</v>
      </c>
      <c r="V22" s="32">
        <f t="shared" si="3"/>
        <v>41048.753176667553</v>
      </c>
      <c r="W22" s="32">
        <f t="shared" si="3"/>
        <v>42819.045455174593</v>
      </c>
      <c r="X22" s="32">
        <f t="shared" si="3"/>
        <v>44684.487023907343</v>
      </c>
      <c r="Y22" s="32">
        <f t="shared" si="3"/>
        <v>46035.133630014949</v>
      </c>
      <c r="Z22" s="32">
        <f t="shared" si="3"/>
        <v>47932.122740766419</v>
      </c>
      <c r="AA22" s="32">
        <f t="shared" si="3"/>
        <v>49217.351348576558</v>
      </c>
      <c r="AB22" s="32">
        <f t="shared" si="3"/>
        <v>48927.618305657415</v>
      </c>
    </row>
    <row r="23" spans="1:28">
      <c r="A23" s="32" t="s">
        <v>110</v>
      </c>
      <c r="B23" s="35">
        <f>MAX(B4:B16) -MIN(B4:B16)</f>
        <v>86231</v>
      </c>
      <c r="C23" s="35">
        <f t="shared" ref="C23:AB23" si="4">MAX(C4:C16) -MIN(C4:C16)</f>
        <v>87797</v>
      </c>
      <c r="D23" s="35">
        <f t="shared" si="4"/>
        <v>87976</v>
      </c>
      <c r="E23" s="35">
        <f t="shared" si="4"/>
        <v>87677</v>
      </c>
      <c r="F23" s="35">
        <f t="shared" si="4"/>
        <v>77870</v>
      </c>
      <c r="G23" s="35">
        <f t="shared" si="4"/>
        <v>71374</v>
      </c>
      <c r="H23" s="35">
        <f t="shared" si="4"/>
        <v>70306</v>
      </c>
      <c r="I23" s="35">
        <f t="shared" si="4"/>
        <v>71560</v>
      </c>
      <c r="J23" s="35">
        <f t="shared" si="4"/>
        <v>73061</v>
      </c>
      <c r="K23" s="35">
        <f t="shared" si="4"/>
        <v>71906</v>
      </c>
      <c r="L23" s="35">
        <f t="shared" si="4"/>
        <v>74265</v>
      </c>
      <c r="M23" s="35">
        <f t="shared" si="4"/>
        <v>78767</v>
      </c>
      <c r="N23" s="35">
        <f t="shared" si="4"/>
        <v>75320</v>
      </c>
      <c r="O23" s="35">
        <f t="shared" si="4"/>
        <v>86214</v>
      </c>
      <c r="P23" s="35">
        <f t="shared" si="4"/>
        <v>89076</v>
      </c>
      <c r="Q23" s="35">
        <f t="shared" si="4"/>
        <v>90592</v>
      </c>
      <c r="R23" s="35">
        <f t="shared" si="4"/>
        <v>92584</v>
      </c>
      <c r="S23" s="35">
        <f t="shared" si="4"/>
        <v>92878</v>
      </c>
      <c r="T23" s="35">
        <f t="shared" si="4"/>
        <v>108635</v>
      </c>
      <c r="U23" s="35">
        <f t="shared" si="4"/>
        <v>123432</v>
      </c>
      <c r="V23" s="35">
        <f t="shared" si="4"/>
        <v>133416</v>
      </c>
      <c r="W23" s="35">
        <f t="shared" si="4"/>
        <v>138013</v>
      </c>
      <c r="X23" s="35">
        <f t="shared" si="4"/>
        <v>144175</v>
      </c>
      <c r="Y23" s="35">
        <f t="shared" si="4"/>
        <v>148530</v>
      </c>
      <c r="Z23" s="35">
        <f t="shared" si="4"/>
        <v>153566</v>
      </c>
      <c r="AA23" s="35">
        <f t="shared" si="4"/>
        <v>156960</v>
      </c>
      <c r="AB23" s="35">
        <f t="shared" si="4"/>
        <v>156101</v>
      </c>
    </row>
    <row r="30" spans="1:28">
      <c r="T30" t="s">
        <v>114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B19:AB20 B22:C22 D22:AB23 B23:C23 N21 U21" formulaRange="1"/>
  </ignoredError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1"/>
  <sheetViews>
    <sheetView workbookViewId="0">
      <selection activeCell="C26" sqref="C26"/>
    </sheetView>
  </sheetViews>
  <sheetFormatPr baseColWidth="10" defaultColWidth="8.83203125" defaultRowHeight="15"/>
  <cols>
    <col min="1" max="1" width="35.33203125" customWidth="1"/>
  </cols>
  <sheetData>
    <row r="1" spans="1:18" ht="19">
      <c r="A1" s="7" t="s">
        <v>78</v>
      </c>
    </row>
    <row r="2" spans="1:18" ht="19">
      <c r="A2" s="7"/>
    </row>
    <row r="3" spans="1:18" ht="16">
      <c r="A3" s="24" t="s">
        <v>79</v>
      </c>
      <c r="B3" s="28" t="s">
        <v>47</v>
      </c>
      <c r="C3" s="29" t="s">
        <v>48</v>
      </c>
      <c r="D3" s="25" t="s">
        <v>80</v>
      </c>
      <c r="E3" s="25" t="s">
        <v>81</v>
      </c>
      <c r="F3" s="25" t="s">
        <v>82</v>
      </c>
      <c r="G3" s="25" t="s">
        <v>83</v>
      </c>
      <c r="H3" s="25" t="s">
        <v>84</v>
      </c>
      <c r="I3" s="25" t="s">
        <v>85</v>
      </c>
      <c r="J3" s="25" t="s">
        <v>86</v>
      </c>
      <c r="K3" s="25" t="s">
        <v>87</v>
      </c>
      <c r="L3" s="25" t="s">
        <v>88</v>
      </c>
      <c r="M3" s="25" t="s">
        <v>89</v>
      </c>
      <c r="N3" s="25" t="s">
        <v>90</v>
      </c>
      <c r="O3" s="25" t="s">
        <v>91</v>
      </c>
      <c r="P3" s="25" t="s">
        <v>92</v>
      </c>
      <c r="Q3" s="25" t="s">
        <v>93</v>
      </c>
      <c r="R3" s="25" t="s">
        <v>63</v>
      </c>
    </row>
    <row r="4" spans="1:18" ht="16">
      <c r="A4" s="26" t="s">
        <v>94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 ht="16">
      <c r="A5" s="23" t="s">
        <v>95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 ht="16">
      <c r="A6" s="23" t="s">
        <v>96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 ht="16">
      <c r="A7" s="23" t="s">
        <v>97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 ht="16">
      <c r="A8" s="23" t="s">
        <v>98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 ht="16">
      <c r="A9" s="23" t="s">
        <v>99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 ht="16">
      <c r="A10" s="23" t="s">
        <v>100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 ht="16">
      <c r="A11" s="23" t="s">
        <v>101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 ht="16">
      <c r="A12" s="23" t="s">
        <v>102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 ht="16">
      <c r="A13" s="23" t="s">
        <v>103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 ht="16">
      <c r="A14" s="23" t="s">
        <v>104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 ht="16">
      <c r="A15" s="23" t="s">
        <v>105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7" t="s">
        <v>77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1">
        <v>364514</v>
      </c>
    </row>
    <row r="17" spans="1:18" ht="16">
      <c r="A17" s="37" t="s">
        <v>107</v>
      </c>
      <c r="B17" s="31">
        <f>AVERAGE(B4:B15)</f>
        <v>23106.666666666668</v>
      </c>
      <c r="C17" s="31">
        <f t="shared" ref="C17:R17" si="0">AVERAGE(C4:C15)</f>
        <v>23279.666666666668</v>
      </c>
      <c r="D17" s="31">
        <f t="shared" si="0"/>
        <v>22056.583333333332</v>
      </c>
      <c r="E17" s="31">
        <f t="shared" si="0"/>
        <v>21189.166666666668</v>
      </c>
      <c r="F17" s="31">
        <f t="shared" si="0"/>
        <v>21093.416666666668</v>
      </c>
      <c r="G17" s="31">
        <f t="shared" si="0"/>
        <v>20592.083333333332</v>
      </c>
      <c r="H17" s="31">
        <f t="shared" si="0"/>
        <v>20978.916666666668</v>
      </c>
      <c r="I17" s="31">
        <f t="shared" si="0"/>
        <v>21700.333333333332</v>
      </c>
      <c r="J17" s="31">
        <f t="shared" si="0"/>
        <v>22814.583333333332</v>
      </c>
      <c r="K17" s="31">
        <f t="shared" si="0"/>
        <v>24674.416666666668</v>
      </c>
      <c r="L17" s="31">
        <f t="shared" si="0"/>
        <v>26215.833333333332</v>
      </c>
      <c r="M17" s="31">
        <f t="shared" si="0"/>
        <v>27144.666666666668</v>
      </c>
      <c r="N17" s="31">
        <f t="shared" si="0"/>
        <v>27977.583333333332</v>
      </c>
      <c r="O17" s="31">
        <f t="shared" si="0"/>
        <v>28538</v>
      </c>
      <c r="P17" s="31">
        <f t="shared" si="0"/>
        <v>29447.083333333332</v>
      </c>
      <c r="Q17" s="31">
        <f t="shared" si="0"/>
        <v>31194.333333333332</v>
      </c>
      <c r="R17" s="31">
        <f t="shared" si="0"/>
        <v>30376.166666666668</v>
      </c>
    </row>
    <row r="18" spans="1:18">
      <c r="A18" s="32" t="s">
        <v>106</v>
      </c>
      <c r="B18" s="35">
        <f>MEDIAN(B4:B15)</f>
        <v>296.5</v>
      </c>
      <c r="C18" s="35">
        <f t="shared" ref="C18:R18" si="1">MEDIAN(C4:C15)</f>
        <v>312</v>
      </c>
      <c r="D18" s="35">
        <f t="shared" si="1"/>
        <v>304</v>
      </c>
      <c r="E18" s="35">
        <f t="shared" si="1"/>
        <v>265.5</v>
      </c>
      <c r="F18" s="35">
        <f t="shared" si="1"/>
        <v>252.5</v>
      </c>
      <c r="G18" s="35">
        <f t="shared" si="1"/>
        <v>241.5</v>
      </c>
      <c r="H18" s="35">
        <f t="shared" si="1"/>
        <v>239</v>
      </c>
      <c r="I18" s="35">
        <f t="shared" si="1"/>
        <v>254.5</v>
      </c>
      <c r="J18" s="35">
        <f t="shared" si="1"/>
        <v>264.5</v>
      </c>
      <c r="K18" s="35">
        <f t="shared" si="1"/>
        <v>319.5</v>
      </c>
      <c r="L18" s="35">
        <f t="shared" si="1"/>
        <v>351.5</v>
      </c>
      <c r="M18" s="35">
        <f t="shared" si="1"/>
        <v>380</v>
      </c>
      <c r="N18" s="35">
        <f t="shared" si="1"/>
        <v>398</v>
      </c>
      <c r="O18" s="35">
        <f t="shared" si="1"/>
        <v>426</v>
      </c>
      <c r="P18" s="35">
        <f t="shared" si="1"/>
        <v>380</v>
      </c>
      <c r="Q18" s="35">
        <f t="shared" si="1"/>
        <v>354</v>
      </c>
      <c r="R18" s="35">
        <f t="shared" si="1"/>
        <v>424</v>
      </c>
    </row>
    <row r="19" spans="1:18">
      <c r="A19" s="32" t="s">
        <v>113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>
        <f t="shared" ref="M19" si="2">_xlfn.MODE.SNGL(M4:M15)</f>
        <v>19</v>
      </c>
      <c r="N19" s="32"/>
      <c r="O19" s="32"/>
      <c r="P19" s="32"/>
      <c r="Q19" s="32"/>
      <c r="R19" s="32"/>
    </row>
    <row r="20" spans="1:18">
      <c r="A20" s="32" t="s">
        <v>112</v>
      </c>
      <c r="B20" s="32">
        <f>_xlfn.STDEV.S(B4:B15)</f>
        <v>64629.526608949949</v>
      </c>
      <c r="C20" s="32">
        <f t="shared" ref="C20:R20" si="3">_xlfn.STDEV.S(C4:C15)</f>
        <v>64271.939728191195</v>
      </c>
      <c r="D20" s="32">
        <f t="shared" si="3"/>
        <v>61164.41540108154</v>
      </c>
      <c r="E20" s="32">
        <f t="shared" si="3"/>
        <v>60100.075411892387</v>
      </c>
      <c r="F20" s="32">
        <f t="shared" si="3"/>
        <v>60241.106005871159</v>
      </c>
      <c r="G20" s="32">
        <f t="shared" si="3"/>
        <v>59068.27171311382</v>
      </c>
      <c r="H20" s="32">
        <f t="shared" si="3"/>
        <v>60110.954515883423</v>
      </c>
      <c r="I20" s="32">
        <f t="shared" si="3"/>
        <v>62311.068780803791</v>
      </c>
      <c r="J20" s="32">
        <f t="shared" si="3"/>
        <v>65258.314395329704</v>
      </c>
      <c r="K20" s="32">
        <f t="shared" si="3"/>
        <v>70308.25348351014</v>
      </c>
      <c r="L20" s="32">
        <f t="shared" si="3"/>
        <v>74491.777229965373</v>
      </c>
      <c r="M20" s="32">
        <f t="shared" si="3"/>
        <v>76855.032995815433</v>
      </c>
      <c r="N20" s="32">
        <f t="shared" si="3"/>
        <v>79015.116494432805</v>
      </c>
      <c r="O20" s="32">
        <f t="shared" si="3"/>
        <v>80138.512888623038</v>
      </c>
      <c r="P20" s="32">
        <f t="shared" si="3"/>
        <v>82649.956669909268</v>
      </c>
      <c r="Q20" s="32">
        <f t="shared" si="3"/>
        <v>89147.168607801999</v>
      </c>
      <c r="R20" s="32">
        <f t="shared" si="3"/>
        <v>84223.874134069105</v>
      </c>
    </row>
    <row r="21" spans="1:18">
      <c r="A21" s="32" t="s">
        <v>110</v>
      </c>
      <c r="B21" s="35">
        <f>MAX(B4:B15)-MIN((B4:B15))</f>
        <v>226435</v>
      </c>
      <c r="C21" s="35">
        <f t="shared" ref="C21:R21" si="4">MAX(C4:C15)-MIN((C4:C15))</f>
        <v>225221</v>
      </c>
      <c r="D21" s="35">
        <f t="shared" si="4"/>
        <v>214328</v>
      </c>
      <c r="E21" s="35">
        <f t="shared" si="4"/>
        <v>210520</v>
      </c>
      <c r="F21" s="35">
        <f t="shared" si="4"/>
        <v>210988</v>
      </c>
      <c r="G21" s="35">
        <f t="shared" si="4"/>
        <v>206868</v>
      </c>
      <c r="H21" s="35">
        <f t="shared" si="4"/>
        <v>210544</v>
      </c>
      <c r="I21" s="35">
        <f t="shared" si="4"/>
        <v>218240</v>
      </c>
      <c r="J21" s="35">
        <f t="shared" si="4"/>
        <v>228595</v>
      </c>
      <c r="K21" s="35">
        <f t="shared" si="4"/>
        <v>246331</v>
      </c>
      <c r="L21" s="35">
        <f t="shared" si="4"/>
        <v>261015</v>
      </c>
      <c r="M21" s="35">
        <f t="shared" si="4"/>
        <v>269326</v>
      </c>
      <c r="N21" s="35">
        <f t="shared" si="4"/>
        <v>276911</v>
      </c>
      <c r="O21" s="35">
        <f t="shared" si="4"/>
        <v>280845</v>
      </c>
      <c r="P21" s="35">
        <f t="shared" si="4"/>
        <v>289635</v>
      </c>
      <c r="Q21" s="35">
        <f t="shared" si="4"/>
        <v>312216</v>
      </c>
      <c r="R21" s="35">
        <f t="shared" si="4"/>
        <v>295149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B18:R18 M19 B20:R20 B21:R21" formulaRange="1"/>
  </ignoredError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schemas.microsoft.com/office/2006/documentManagement/types"/>
    <ds:schemaRef ds:uri="96a98433-1569-4222-be80-afd48d89a184"/>
    <ds:schemaRef ds:uri="http://schemas.microsoft.com/office/2006/metadata/properties"/>
    <ds:schemaRef ds:uri="http://www.w3.org/XML/1998/namespace"/>
    <ds:schemaRef ds:uri="1e572c8d-6813-4013-8a4a-be491ac59459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2025-12-10T18:58:33Z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