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0"/>
  <workbookPr autoCompressPictures="0"/>
  <mc:AlternateContent xmlns:mc="http://schemas.openxmlformats.org/markup-compatibility/2006">
    <mc:Choice Requires="x15">
      <x15ac:absPath xmlns:x15ac="http://schemas.microsoft.com/office/spreadsheetml/2010/11/ac" url="/Users/Andy/Dropbox/Andrew Harrison/Lecture Info/Motorcycle Dynamics (BEng Yr1)/Gearing Lecture/"/>
    </mc:Choice>
  </mc:AlternateContent>
  <xr:revisionPtr revIDLastSave="0" documentId="11_6B9097B36FCADFC01C8C825A472A1E50D2791154" xr6:coauthVersionLast="41" xr6:coauthVersionMax="41" xr10:uidLastSave="{00000000-0000-0000-0000-000000000000}"/>
  <bookViews>
    <workbookView xWindow="580" yWindow="460" windowWidth="24860" windowHeight="15540" xr2:uid="{00000000-000D-0000-FFFF-FFFF00000000}"/>
  </bookViews>
  <sheets>
    <sheet name="Gearbox CRF450" sheetId="15" r:id="rId1"/>
    <sheet name="Shift Point Data" sheetId="16" r:id="rId2"/>
    <sheet name="Power Torque Curve" sheetId="17" r:id="rId3"/>
    <sheet name="Shift Point Chart" sheetId="18" r:id="rId4"/>
  </sheets>
  <definedNames>
    <definedName name="ChainSize">'Gearbox CRF450'!$BO$5:$BO$7</definedName>
    <definedName name="First">'Gearbox CRF450'!$C$9</definedName>
    <definedName name="First_1">#REF!</definedName>
    <definedName name="FrontSprockets">'Gearbox CRF450'!$BO$17:$BO$20</definedName>
    <definedName name="Number_of_Links">'Gearbox CRF450'!$BO$10:$BO$14</definedName>
    <definedName name="RearSprockets">'Gearbox CRF450'!$BP$17:$BP$26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19" i="15" l="1"/>
  <c r="L9" i="15"/>
  <c r="K9" i="15"/>
  <c r="M9" i="15"/>
  <c r="T9" i="15"/>
  <c r="S9" i="15"/>
  <c r="U9" i="15"/>
  <c r="T17" i="15"/>
  <c r="S17" i="15"/>
  <c r="U17" i="15"/>
  <c r="T15" i="15"/>
  <c r="S15" i="15"/>
  <c r="U15" i="15"/>
  <c r="T13" i="15"/>
  <c r="S13" i="15"/>
  <c r="U13" i="15"/>
  <c r="T11" i="15"/>
  <c r="S11" i="15"/>
  <c r="U11" i="15"/>
  <c r="L17" i="15"/>
  <c r="K17" i="15"/>
  <c r="M17" i="15"/>
  <c r="L15" i="15"/>
  <c r="K15" i="15"/>
  <c r="M15" i="15"/>
  <c r="L13" i="15"/>
  <c r="K13" i="15"/>
  <c r="M13" i="15"/>
  <c r="L11" i="15"/>
  <c r="K11" i="15"/>
  <c r="M11" i="15"/>
  <c r="D17" i="15"/>
  <c r="C17" i="15"/>
  <c r="E17" i="15"/>
  <c r="D15" i="15"/>
  <c r="C15" i="15"/>
  <c r="E15" i="15"/>
  <c r="D13" i="15"/>
  <c r="C13" i="15"/>
  <c r="E13" i="15"/>
  <c r="D11" i="15"/>
  <c r="C11" i="15"/>
  <c r="E11" i="15"/>
  <c r="D9" i="15"/>
  <c r="C9" i="15"/>
  <c r="E9" i="15"/>
  <c r="A20" i="16"/>
  <c r="BH19" i="15"/>
  <c r="BH20" i="15"/>
  <c r="BH21" i="15"/>
  <c r="BH22" i="15"/>
  <c r="M5" i="15"/>
  <c r="H20" i="16"/>
  <c r="A21" i="16"/>
  <c r="H21" i="16"/>
  <c r="A22" i="16"/>
  <c r="H22" i="16"/>
  <c r="A23" i="16"/>
  <c r="H23" i="16"/>
  <c r="A24" i="16"/>
  <c r="H24" i="16"/>
  <c r="A25" i="16"/>
  <c r="H25" i="16"/>
  <c r="A26" i="16"/>
  <c r="H26" i="16"/>
  <c r="A27" i="16"/>
  <c r="H27" i="16"/>
  <c r="A28" i="16"/>
  <c r="H28" i="16"/>
  <c r="A29" i="16"/>
  <c r="H29" i="16"/>
  <c r="A30" i="16"/>
  <c r="H30" i="16"/>
  <c r="A31" i="16"/>
  <c r="H31" i="16"/>
  <c r="A32" i="16"/>
  <c r="H32" i="16"/>
  <c r="A33" i="16"/>
  <c r="H33" i="16"/>
  <c r="E5" i="15"/>
  <c r="I19" i="16"/>
  <c r="J19" i="16"/>
  <c r="K19" i="16"/>
  <c r="D19" i="16"/>
  <c r="Q19" i="16"/>
  <c r="L19" i="16"/>
  <c r="H19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L20" i="16"/>
  <c r="D20" i="16"/>
  <c r="R20" i="16"/>
  <c r="K20" i="16"/>
  <c r="Q20" i="16"/>
  <c r="R19" i="16"/>
  <c r="O19" i="16"/>
  <c r="P19" i="16"/>
  <c r="C19" i="16"/>
  <c r="L21" i="16"/>
  <c r="R21" i="16"/>
  <c r="K21" i="16"/>
  <c r="I21" i="16"/>
  <c r="O21" i="16"/>
  <c r="J21" i="16"/>
  <c r="P21" i="16"/>
  <c r="C21" i="16"/>
  <c r="N21" i="16"/>
  <c r="Q21" i="16"/>
  <c r="C20" i="16"/>
  <c r="N19" i="16"/>
  <c r="N20" i="16"/>
  <c r="I20" i="16"/>
  <c r="O20" i="16"/>
  <c r="J20" i="16"/>
  <c r="P20" i="16"/>
  <c r="BP6" i="15"/>
  <c r="D16" i="16"/>
  <c r="A3" i="16"/>
  <c r="D15" i="16"/>
  <c r="D14" i="16"/>
  <c r="D13" i="16"/>
  <c r="D12" i="16"/>
  <c r="D11" i="16"/>
  <c r="D10" i="16"/>
  <c r="D9" i="16"/>
  <c r="D8" i="16"/>
  <c r="D7" i="16"/>
  <c r="D6" i="16"/>
  <c r="D5" i="16"/>
  <c r="D4" i="16"/>
  <c r="D3" i="16"/>
  <c r="D2" i="16"/>
  <c r="C2" i="16"/>
  <c r="B75" i="15"/>
  <c r="B76" i="15"/>
  <c r="B77" i="15"/>
  <c r="E77" i="15"/>
  <c r="I76" i="15"/>
  <c r="E76" i="15"/>
  <c r="D76" i="15"/>
  <c r="H75" i="15"/>
  <c r="C75" i="15"/>
  <c r="I74" i="15"/>
  <c r="H74" i="15"/>
  <c r="G74" i="15"/>
  <c r="F74" i="15"/>
  <c r="E74" i="15"/>
  <c r="D74" i="15"/>
  <c r="C74" i="15"/>
  <c r="AB19" i="15"/>
  <c r="AE19" i="15"/>
  <c r="W17" i="15"/>
  <c r="O17" i="15"/>
  <c r="G17" i="15"/>
  <c r="O16" i="15"/>
  <c r="P16" i="15"/>
  <c r="W15" i="15"/>
  <c r="O15" i="15"/>
  <c r="G15" i="15"/>
  <c r="AA14" i="15"/>
  <c r="AB14" i="15"/>
  <c r="O14" i="15"/>
  <c r="P14" i="15"/>
  <c r="W13" i="15"/>
  <c r="O13" i="15"/>
  <c r="G13" i="15"/>
  <c r="W12" i="15"/>
  <c r="X12" i="15"/>
  <c r="O12" i="15"/>
  <c r="P12" i="15"/>
  <c r="W11" i="15"/>
  <c r="O11" i="15"/>
  <c r="G11" i="15"/>
  <c r="AU10" i="15"/>
  <c r="AR10" i="15"/>
  <c r="AO10" i="15"/>
  <c r="AL10" i="15"/>
  <c r="O10" i="15"/>
  <c r="P10" i="15"/>
  <c r="P9" i="15"/>
  <c r="AU9" i="15"/>
  <c r="AR9" i="15"/>
  <c r="AO9" i="15"/>
  <c r="AL9" i="15"/>
  <c r="AA9" i="15"/>
  <c r="AB9" i="15"/>
  <c r="W9" i="15"/>
  <c r="O9" i="15"/>
  <c r="G9" i="15"/>
  <c r="AU8" i="15"/>
  <c r="AR8" i="15"/>
  <c r="AO8" i="15"/>
  <c r="AL8" i="15"/>
  <c r="AU7" i="15"/>
  <c r="AR7" i="15"/>
  <c r="AO7" i="15"/>
  <c r="AL7" i="15"/>
  <c r="AU6" i="15"/>
  <c r="AR6" i="15"/>
  <c r="AO6" i="15"/>
  <c r="AL6" i="15"/>
  <c r="AU5" i="15"/>
  <c r="AR5" i="15"/>
  <c r="AO5" i="15"/>
  <c r="AL5" i="15"/>
  <c r="AE4" i="15"/>
  <c r="N22" i="16"/>
  <c r="K22" i="16"/>
  <c r="Q22" i="16"/>
  <c r="J22" i="16"/>
  <c r="P22" i="16"/>
  <c r="C22" i="16"/>
  <c r="L22" i="16"/>
  <c r="R22" i="16"/>
  <c r="I22" i="16"/>
  <c r="O22" i="16"/>
  <c r="AE14" i="15"/>
  <c r="AE9" i="15"/>
  <c r="B78" i="15"/>
  <c r="I77" i="15"/>
  <c r="H77" i="15"/>
  <c r="G77" i="15"/>
  <c r="F77" i="15"/>
  <c r="D77" i="15"/>
  <c r="C77" i="15"/>
  <c r="W14" i="15"/>
  <c r="X14" i="15"/>
  <c r="H76" i="15"/>
  <c r="G76" i="15"/>
  <c r="F76" i="15"/>
  <c r="C76" i="15"/>
  <c r="G16" i="15"/>
  <c r="H16" i="15"/>
  <c r="G14" i="15"/>
  <c r="H14" i="15"/>
  <c r="W16" i="15"/>
  <c r="X16" i="15"/>
  <c r="U5" i="15"/>
  <c r="V15" i="15"/>
  <c r="V16" i="15"/>
  <c r="V9" i="15"/>
  <c r="V10" i="15"/>
  <c r="G10" i="15"/>
  <c r="H10" i="15"/>
  <c r="H9" i="15"/>
  <c r="C3" i="16"/>
  <c r="A4" i="16"/>
  <c r="G12" i="15"/>
  <c r="H12" i="15"/>
  <c r="D75" i="15"/>
  <c r="N11" i="15"/>
  <c r="N12" i="15"/>
  <c r="K3" i="16"/>
  <c r="Q3" i="16"/>
  <c r="V11" i="15"/>
  <c r="V12" i="15"/>
  <c r="W10" i="15"/>
  <c r="X10" i="15"/>
  <c r="X9" i="15"/>
  <c r="I75" i="15"/>
  <c r="G75" i="15"/>
  <c r="F75" i="15"/>
  <c r="E75" i="15"/>
  <c r="K23" i="16"/>
  <c r="Q23" i="16"/>
  <c r="J23" i="16"/>
  <c r="P23" i="16"/>
  <c r="I23" i="16"/>
  <c r="O23" i="16"/>
  <c r="L23" i="16"/>
  <c r="R23" i="16"/>
  <c r="N23" i="16"/>
  <c r="C23" i="16"/>
  <c r="J3" i="16"/>
  <c r="P3" i="16"/>
  <c r="L2" i="16"/>
  <c r="R2" i="16"/>
  <c r="H2" i="16"/>
  <c r="N2" i="16"/>
  <c r="F17" i="15"/>
  <c r="L3" i="16"/>
  <c r="R3" i="16"/>
  <c r="N17" i="15"/>
  <c r="N13" i="15"/>
  <c r="N14" i="15"/>
  <c r="I2" i="16"/>
  <c r="O2" i="16"/>
  <c r="B79" i="15"/>
  <c r="I78" i="15"/>
  <c r="H78" i="15"/>
  <c r="C78" i="15"/>
  <c r="G78" i="15"/>
  <c r="F78" i="15"/>
  <c r="E78" i="15"/>
  <c r="D78" i="15"/>
  <c r="V17" i="15"/>
  <c r="V13" i="15"/>
  <c r="V14" i="15"/>
  <c r="V8" i="15"/>
  <c r="N15" i="15"/>
  <c r="N16" i="15"/>
  <c r="N9" i="15"/>
  <c r="N10" i="15"/>
  <c r="I4" i="16"/>
  <c r="O4" i="16"/>
  <c r="L4" i="16"/>
  <c r="R4" i="16"/>
  <c r="H4" i="16"/>
  <c r="N4" i="16"/>
  <c r="A5" i="16"/>
  <c r="J4" i="16"/>
  <c r="P4" i="16"/>
  <c r="C4" i="16"/>
  <c r="K4" i="16"/>
  <c r="Q4" i="16"/>
  <c r="F9" i="15"/>
  <c r="F10" i="15"/>
  <c r="J2" i="16"/>
  <c r="P2" i="16"/>
  <c r="K2" i="16"/>
  <c r="Q2" i="16"/>
  <c r="F8" i="15"/>
  <c r="F15" i="15"/>
  <c r="F16" i="15"/>
  <c r="F13" i="15"/>
  <c r="F14" i="15"/>
  <c r="F11" i="15"/>
  <c r="F12" i="15"/>
  <c r="H3" i="16"/>
  <c r="N3" i="16"/>
  <c r="N8" i="15"/>
  <c r="I3" i="16"/>
  <c r="O3" i="16"/>
  <c r="C24" i="16"/>
  <c r="L24" i="16"/>
  <c r="R24" i="16"/>
  <c r="J24" i="16"/>
  <c r="P24" i="16"/>
  <c r="K24" i="16"/>
  <c r="Q24" i="16"/>
  <c r="I24" i="16"/>
  <c r="O24" i="16"/>
  <c r="N24" i="16"/>
  <c r="A6" i="16"/>
  <c r="K5" i="16"/>
  <c r="Q5" i="16"/>
  <c r="C5" i="16"/>
  <c r="J5" i="16"/>
  <c r="P5" i="16"/>
  <c r="L5" i="16"/>
  <c r="R5" i="16"/>
  <c r="I5" i="16"/>
  <c r="O5" i="16"/>
  <c r="H5" i="16"/>
  <c r="N5" i="16"/>
  <c r="C79" i="15"/>
  <c r="B80" i="15"/>
  <c r="I79" i="15"/>
  <c r="G79" i="15"/>
  <c r="F79" i="15"/>
  <c r="D79" i="15"/>
  <c r="H79" i="15"/>
  <c r="E79" i="15"/>
  <c r="I25" i="16"/>
  <c r="O25" i="16"/>
  <c r="N25" i="16"/>
  <c r="K25" i="16"/>
  <c r="Q25" i="16"/>
  <c r="J25" i="16"/>
  <c r="P25" i="16"/>
  <c r="C25" i="16"/>
  <c r="L25" i="16"/>
  <c r="R25" i="16"/>
  <c r="D80" i="15"/>
  <c r="C80" i="15"/>
  <c r="B81" i="15"/>
  <c r="H80" i="15"/>
  <c r="G80" i="15"/>
  <c r="E80" i="15"/>
  <c r="F80" i="15"/>
  <c r="I80" i="15"/>
  <c r="I6" i="16"/>
  <c r="O6" i="16"/>
  <c r="A7" i="16"/>
  <c r="L6" i="16"/>
  <c r="R6" i="16"/>
  <c r="H6" i="16"/>
  <c r="N6" i="16"/>
  <c r="J6" i="16"/>
  <c r="P6" i="16"/>
  <c r="K6" i="16"/>
  <c r="Q6" i="16"/>
  <c r="C6" i="16"/>
  <c r="L26" i="16"/>
  <c r="R26" i="16"/>
  <c r="K26" i="16"/>
  <c r="Q26" i="16"/>
  <c r="J26" i="16"/>
  <c r="P26" i="16"/>
  <c r="N26" i="16"/>
  <c r="C26" i="16"/>
  <c r="I26" i="16"/>
  <c r="O26" i="16"/>
  <c r="E81" i="15"/>
  <c r="D81" i="15"/>
  <c r="C81" i="15"/>
  <c r="G81" i="15"/>
  <c r="F81" i="15"/>
  <c r="B82" i="15"/>
  <c r="I81" i="15"/>
  <c r="H81" i="15"/>
  <c r="K7" i="16"/>
  <c r="Q7" i="16"/>
  <c r="C7" i="16"/>
  <c r="A8" i="16"/>
  <c r="J7" i="16"/>
  <c r="P7" i="16"/>
  <c r="L7" i="16"/>
  <c r="R7" i="16"/>
  <c r="I7" i="16"/>
  <c r="O7" i="16"/>
  <c r="H7" i="16"/>
  <c r="N7" i="16"/>
  <c r="C27" i="16"/>
  <c r="K27" i="16"/>
  <c r="Q27" i="16"/>
  <c r="I27" i="16"/>
  <c r="O27" i="16"/>
  <c r="L27" i="16"/>
  <c r="R27" i="16"/>
  <c r="J27" i="16"/>
  <c r="P27" i="16"/>
  <c r="N27" i="16"/>
  <c r="F82" i="15"/>
  <c r="E82" i="15"/>
  <c r="D82" i="15"/>
  <c r="H82" i="15"/>
  <c r="G82" i="15"/>
  <c r="I82" i="15"/>
  <c r="C82" i="15"/>
  <c r="B83" i="15"/>
  <c r="I8" i="16"/>
  <c r="O8" i="16"/>
  <c r="A9" i="16"/>
  <c r="L8" i="16"/>
  <c r="R8" i="16"/>
  <c r="H8" i="16"/>
  <c r="N8" i="16"/>
  <c r="K8" i="16"/>
  <c r="Q8" i="16"/>
  <c r="J8" i="16"/>
  <c r="P8" i="16"/>
  <c r="C8" i="16"/>
  <c r="J28" i="16"/>
  <c r="P28" i="16"/>
  <c r="I28" i="16"/>
  <c r="O28" i="16"/>
  <c r="L28" i="16"/>
  <c r="R28" i="16"/>
  <c r="N28" i="16"/>
  <c r="C28" i="16"/>
  <c r="K28" i="16"/>
  <c r="Q28" i="16"/>
  <c r="G83" i="15"/>
  <c r="F83" i="15"/>
  <c r="E83" i="15"/>
  <c r="D83" i="15"/>
  <c r="C83" i="15"/>
  <c r="H83" i="15"/>
  <c r="B84" i="15"/>
  <c r="I83" i="15"/>
  <c r="K9" i="16"/>
  <c r="Q9" i="16"/>
  <c r="C9" i="16"/>
  <c r="J9" i="16"/>
  <c r="P9" i="16"/>
  <c r="H9" i="16"/>
  <c r="N9" i="16"/>
  <c r="L9" i="16"/>
  <c r="R9" i="16"/>
  <c r="I9" i="16"/>
  <c r="O9" i="16"/>
  <c r="A10" i="16"/>
  <c r="L29" i="16"/>
  <c r="R29" i="16"/>
  <c r="N29" i="16"/>
  <c r="K29" i="16"/>
  <c r="Q29" i="16"/>
  <c r="I29" i="16"/>
  <c r="O29" i="16"/>
  <c r="J29" i="16"/>
  <c r="P29" i="16"/>
  <c r="C29" i="16"/>
  <c r="I10" i="16"/>
  <c r="O10" i="16"/>
  <c r="L10" i="16"/>
  <c r="R10" i="16"/>
  <c r="H10" i="16"/>
  <c r="N10" i="16"/>
  <c r="J10" i="16"/>
  <c r="P10" i="16"/>
  <c r="K10" i="16"/>
  <c r="Q10" i="16"/>
  <c r="A11" i="16"/>
  <c r="C10" i="16"/>
  <c r="H84" i="15"/>
  <c r="G84" i="15"/>
  <c r="F84" i="15"/>
  <c r="E84" i="15"/>
  <c r="D84" i="15"/>
  <c r="B85" i="15"/>
  <c r="I84" i="15"/>
  <c r="C84" i="15"/>
  <c r="N30" i="16"/>
  <c r="K30" i="16"/>
  <c r="Q30" i="16"/>
  <c r="C30" i="16"/>
  <c r="L30" i="16"/>
  <c r="R30" i="16"/>
  <c r="J30" i="16"/>
  <c r="P30" i="16"/>
  <c r="I30" i="16"/>
  <c r="O30" i="16"/>
  <c r="K11" i="16"/>
  <c r="Q11" i="16"/>
  <c r="C11" i="16"/>
  <c r="J11" i="16"/>
  <c r="P11" i="16"/>
  <c r="I11" i="16"/>
  <c r="O11" i="16"/>
  <c r="H11" i="16"/>
  <c r="N11" i="16"/>
  <c r="L11" i="16"/>
  <c r="R11" i="16"/>
  <c r="A12" i="16"/>
  <c r="B86" i="15"/>
  <c r="I85" i="15"/>
  <c r="H85" i="15"/>
  <c r="G85" i="15"/>
  <c r="D85" i="15"/>
  <c r="C85" i="15"/>
  <c r="F85" i="15"/>
  <c r="E85" i="15"/>
  <c r="K31" i="16"/>
  <c r="Q31" i="16"/>
  <c r="J31" i="16"/>
  <c r="P31" i="16"/>
  <c r="C31" i="16"/>
  <c r="I31" i="16"/>
  <c r="O31" i="16"/>
  <c r="L31" i="16"/>
  <c r="R31" i="16"/>
  <c r="N31" i="16"/>
  <c r="B87" i="15"/>
  <c r="I86" i="15"/>
  <c r="H86" i="15"/>
  <c r="G86" i="15"/>
  <c r="E86" i="15"/>
  <c r="D86" i="15"/>
  <c r="F86" i="15"/>
  <c r="C86" i="15"/>
  <c r="I12" i="16"/>
  <c r="O12" i="16"/>
  <c r="L12" i="16"/>
  <c r="R12" i="16"/>
  <c r="H12" i="16"/>
  <c r="N12" i="16"/>
  <c r="A13" i="16"/>
  <c r="K12" i="16"/>
  <c r="Q12" i="16"/>
  <c r="J12" i="16"/>
  <c r="P12" i="16"/>
  <c r="C12" i="16"/>
  <c r="C32" i="16"/>
  <c r="I32" i="16"/>
  <c r="O32" i="16"/>
  <c r="L32" i="16"/>
  <c r="R32" i="16"/>
  <c r="J32" i="16"/>
  <c r="P32" i="16"/>
  <c r="N32" i="16"/>
  <c r="K32" i="16"/>
  <c r="Q32" i="16"/>
  <c r="A14" i="16"/>
  <c r="K13" i="16"/>
  <c r="Q13" i="16"/>
  <c r="C13" i="16"/>
  <c r="J13" i="16"/>
  <c r="P13" i="16"/>
  <c r="I13" i="16"/>
  <c r="O13" i="16"/>
  <c r="L13" i="16"/>
  <c r="R13" i="16"/>
  <c r="H13" i="16"/>
  <c r="N13" i="16"/>
  <c r="C87" i="15"/>
  <c r="B88" i="15"/>
  <c r="I87" i="15"/>
  <c r="D87" i="15"/>
  <c r="H87" i="15"/>
  <c r="E87" i="15"/>
  <c r="G87" i="15"/>
  <c r="F87" i="15"/>
  <c r="I33" i="16"/>
  <c r="O33" i="16"/>
  <c r="N33" i="16"/>
  <c r="L33" i="16"/>
  <c r="R33" i="16"/>
  <c r="K33" i="16"/>
  <c r="Q33" i="16"/>
  <c r="J33" i="16"/>
  <c r="P33" i="16"/>
  <c r="C33" i="16"/>
  <c r="D88" i="15"/>
  <c r="C88" i="15"/>
  <c r="B89" i="15"/>
  <c r="H88" i="15"/>
  <c r="G88" i="15"/>
  <c r="E88" i="15"/>
  <c r="I88" i="15"/>
  <c r="F88" i="15"/>
  <c r="I14" i="16"/>
  <c r="O14" i="16"/>
  <c r="A15" i="16"/>
  <c r="L14" i="16"/>
  <c r="R14" i="16"/>
  <c r="H14" i="16"/>
  <c r="N14" i="16"/>
  <c r="C14" i="16"/>
  <c r="K14" i="16"/>
  <c r="Q14" i="16"/>
  <c r="J14" i="16"/>
  <c r="P14" i="16"/>
  <c r="E89" i="15"/>
  <c r="D89" i="15"/>
  <c r="C89" i="15"/>
  <c r="B90" i="15"/>
  <c r="I89" i="15"/>
  <c r="H89" i="15"/>
  <c r="G89" i="15"/>
  <c r="F89" i="15"/>
  <c r="K15" i="16"/>
  <c r="Q15" i="16"/>
  <c r="C15" i="16"/>
  <c r="A16" i="16"/>
  <c r="J15" i="16"/>
  <c r="P15" i="16"/>
  <c r="H15" i="16"/>
  <c r="N15" i="16"/>
  <c r="I15" i="16"/>
  <c r="O15" i="16"/>
  <c r="L15" i="16"/>
  <c r="R15" i="16"/>
  <c r="F90" i="15"/>
  <c r="E90" i="15"/>
  <c r="D90" i="15"/>
  <c r="H90" i="15"/>
  <c r="G90" i="15"/>
  <c r="I90" i="15"/>
  <c r="B91" i="15"/>
  <c r="C90" i="15"/>
  <c r="L16" i="16"/>
  <c r="R16" i="16"/>
  <c r="J16" i="16"/>
  <c r="P16" i="16"/>
  <c r="H16" i="16"/>
  <c r="N16" i="16"/>
  <c r="K16" i="16"/>
  <c r="Q16" i="16"/>
  <c r="C16" i="16"/>
  <c r="I16" i="16"/>
  <c r="O16" i="16"/>
  <c r="G91" i="15"/>
  <c r="F91" i="15"/>
  <c r="E91" i="15"/>
  <c r="B92" i="15"/>
  <c r="I91" i="15"/>
  <c r="H91" i="15"/>
  <c r="D91" i="15"/>
  <c r="C91" i="15"/>
  <c r="H92" i="15"/>
  <c r="G92" i="15"/>
  <c r="F92" i="15"/>
  <c r="E92" i="15"/>
  <c r="D92" i="15"/>
  <c r="B93" i="15"/>
  <c r="I92" i="15"/>
  <c r="C92" i="15"/>
  <c r="B94" i="15"/>
  <c r="I93" i="15"/>
  <c r="H93" i="15"/>
  <c r="G93" i="15"/>
  <c r="F93" i="15"/>
  <c r="E93" i="15"/>
  <c r="D93" i="15"/>
  <c r="C93" i="15"/>
  <c r="B95" i="15"/>
  <c r="I94" i="15"/>
  <c r="H94" i="15"/>
  <c r="E94" i="15"/>
  <c r="D94" i="15"/>
  <c r="F94" i="15"/>
  <c r="C94" i="15"/>
  <c r="G94" i="15"/>
  <c r="C95" i="15"/>
  <c r="B96" i="15"/>
  <c r="I95" i="15"/>
  <c r="H95" i="15"/>
  <c r="F95" i="15"/>
  <c r="E95" i="15"/>
  <c r="G95" i="15"/>
  <c r="D95" i="15"/>
  <c r="D96" i="15"/>
  <c r="C96" i="15"/>
  <c r="E96" i="15"/>
  <c r="I96" i="15"/>
  <c r="B97" i="15"/>
  <c r="H96" i="15"/>
  <c r="G96" i="15"/>
  <c r="F96" i="15"/>
  <c r="E97" i="15"/>
  <c r="D97" i="15"/>
  <c r="C97" i="15"/>
  <c r="I97" i="15"/>
  <c r="H97" i="15"/>
  <c r="F97" i="15"/>
  <c r="G97" i="15"/>
  <c r="B98" i="15"/>
  <c r="F98" i="15"/>
  <c r="E98" i="15"/>
  <c r="D98" i="15"/>
  <c r="I98" i="15"/>
  <c r="C98" i="15"/>
  <c r="H98" i="15"/>
  <c r="G98" i="15"/>
  <c r="B99" i="15"/>
  <c r="G99" i="15"/>
  <c r="F99" i="15"/>
  <c r="E99" i="15"/>
  <c r="B100" i="15"/>
  <c r="I99" i="15"/>
  <c r="H99" i="15"/>
  <c r="C99" i="15"/>
  <c r="D99" i="15"/>
  <c r="H100" i="15"/>
  <c r="G100" i="15"/>
  <c r="F100" i="15"/>
  <c r="B101" i="15"/>
  <c r="I100" i="15"/>
  <c r="E100" i="15"/>
  <c r="D100" i="15"/>
  <c r="C100" i="15"/>
  <c r="B102" i="15"/>
  <c r="I101" i="15"/>
  <c r="H101" i="15"/>
  <c r="G101" i="15"/>
  <c r="F101" i="15"/>
  <c r="E101" i="15"/>
  <c r="C101" i="15"/>
  <c r="D101" i="15"/>
  <c r="B103" i="15"/>
  <c r="I102" i="15"/>
  <c r="H102" i="15"/>
  <c r="G102" i="15"/>
  <c r="F102" i="15"/>
  <c r="C102" i="15"/>
  <c r="E102" i="15"/>
  <c r="D102" i="15"/>
  <c r="C103" i="15"/>
  <c r="B104" i="15"/>
  <c r="I103" i="15"/>
  <c r="F103" i="15"/>
  <c r="E103" i="15"/>
  <c r="H103" i="15"/>
  <c r="G103" i="15"/>
  <c r="D103" i="15"/>
  <c r="D104" i="15"/>
  <c r="C104" i="15"/>
  <c r="I104" i="15"/>
  <c r="G104" i="15"/>
  <c r="F104" i="15"/>
  <c r="H104" i="15"/>
  <c r="E104" i="15"/>
  <c r="B105" i="15"/>
  <c r="E105" i="15"/>
  <c r="D105" i="15"/>
  <c r="C105" i="15"/>
  <c r="F105" i="15"/>
  <c r="B106" i="15"/>
  <c r="G105" i="15"/>
  <c r="H105" i="15"/>
  <c r="I105" i="15"/>
  <c r="F106" i="15"/>
  <c r="E106" i="15"/>
  <c r="D106" i="15"/>
  <c r="I106" i="15"/>
  <c r="G106" i="15"/>
  <c r="B107" i="15"/>
  <c r="C106" i="15"/>
  <c r="H106" i="15"/>
  <c r="G107" i="15"/>
  <c r="F107" i="15"/>
  <c r="E107" i="15"/>
  <c r="C107" i="15"/>
  <c r="B108" i="15"/>
  <c r="I107" i="15"/>
  <c r="H107" i="15"/>
  <c r="D107" i="15"/>
  <c r="H108" i="15"/>
  <c r="G108" i="15"/>
  <c r="F108" i="15"/>
  <c r="I108" i="15"/>
  <c r="D108" i="15"/>
  <c r="C108" i="15"/>
  <c r="E108" i="15"/>
  <c r="B109" i="15"/>
  <c r="B110" i="15"/>
  <c r="I109" i="15"/>
  <c r="H109" i="15"/>
  <c r="G109" i="15"/>
  <c r="C109" i="15"/>
  <c r="D109" i="15"/>
  <c r="F109" i="15"/>
  <c r="E109" i="15"/>
  <c r="B111" i="15"/>
  <c r="I110" i="15"/>
  <c r="H110" i="15"/>
  <c r="G110" i="15"/>
  <c r="F110" i="15"/>
  <c r="D110" i="15"/>
  <c r="C110" i="15"/>
  <c r="E110" i="15"/>
  <c r="C111" i="15"/>
  <c r="B112" i="15"/>
  <c r="I111" i="15"/>
  <c r="H111" i="15"/>
  <c r="G111" i="15"/>
  <c r="F111" i="15"/>
  <c r="E111" i="15"/>
  <c r="D111" i="15"/>
  <c r="D112" i="15"/>
  <c r="C112" i="15"/>
  <c r="G112" i="15"/>
  <c r="F112" i="15"/>
  <c r="B113" i="15"/>
  <c r="H112" i="15"/>
  <c r="E112" i="15"/>
  <c r="I112" i="15"/>
  <c r="E113" i="15"/>
  <c r="D113" i="15"/>
  <c r="C113" i="15"/>
  <c r="B114" i="15"/>
  <c r="H113" i="15"/>
  <c r="G113" i="15"/>
  <c r="F113" i="15"/>
  <c r="I113" i="15"/>
  <c r="F114" i="15"/>
  <c r="E114" i="15"/>
  <c r="D114" i="15"/>
  <c r="G114" i="15"/>
  <c r="B115" i="15"/>
  <c r="C114" i="15"/>
  <c r="I114" i="15"/>
  <c r="H114" i="15"/>
  <c r="G115" i="15"/>
  <c r="F115" i="15"/>
  <c r="E115" i="15"/>
  <c r="H115" i="15"/>
  <c r="D115" i="15"/>
  <c r="I115" i="15"/>
  <c r="C11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Andrew Harrison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Andrew Harrison:</t>
        </r>
        <r>
          <rPr>
            <sz val="9"/>
            <color indexed="81"/>
            <rFont val="Tahoma"/>
            <family val="2"/>
          </rPr>
          <t xml:space="preserve">
Mainshaft</t>
        </r>
      </text>
    </comment>
    <comment ref="D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Andrew Harrison:</t>
        </r>
        <r>
          <rPr>
            <sz val="9"/>
            <color indexed="81"/>
            <rFont val="Tahoma"/>
            <family val="2"/>
          </rPr>
          <t xml:space="preserve">
Countershaft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Andrew Harrison</author>
  </authors>
  <commentList>
    <comment ref="N2" authorId="0" shapeId="0" xr:uid="{00000000-0006-0000-0100-000001000000}">
      <text>
        <r>
          <rPr>
            <b/>
            <sz val="9"/>
            <color indexed="81"/>
            <rFont val="Arial"/>
            <family val="2"/>
          </rPr>
          <t>Andrew Harrison:</t>
        </r>
        <r>
          <rPr>
            <sz val="9"/>
            <color indexed="81"/>
            <rFont val="Arial"/>
            <family val="2"/>
          </rPr>
          <t xml:space="preserve">
P = FV
F = P/V</t>
        </r>
      </text>
    </comment>
    <comment ref="N19" authorId="0" shapeId="0" xr:uid="{00000000-0006-0000-0100-000002000000}">
      <text>
        <r>
          <rPr>
            <b/>
            <sz val="9"/>
            <color indexed="81"/>
            <rFont val="Arial"/>
            <family val="2"/>
          </rPr>
          <t>Andrew Harrison:</t>
        </r>
        <r>
          <rPr>
            <sz val="9"/>
            <color indexed="81"/>
            <rFont val="Arial"/>
            <family val="2"/>
          </rPr>
          <t xml:space="preserve">
P = FV
F = P/V</t>
        </r>
      </text>
    </comment>
  </commentList>
</comments>
</file>

<file path=xl/sharedStrings.xml><?xml version="1.0" encoding="utf-8"?>
<sst xmlns="http://schemas.openxmlformats.org/spreadsheetml/2006/main" count="169" uniqueCount="78">
  <si>
    <t>CRF 450 2003 Supermoto</t>
  </si>
  <si>
    <t>Gear Calc.</t>
  </si>
  <si>
    <t>Gearbox N°</t>
  </si>
  <si>
    <t>1 - Fitted</t>
  </si>
  <si>
    <t>2 - Option 1</t>
  </si>
  <si>
    <t>3 - Option 2</t>
  </si>
  <si>
    <t>Chain Length</t>
  </si>
  <si>
    <t>Primary</t>
  </si>
  <si>
    <t>Chain size</t>
  </si>
  <si>
    <t>Front sprocket</t>
  </si>
  <si>
    <t>Rear sprocket</t>
  </si>
  <si>
    <t xml:space="preserve">Chain </t>
  </si>
  <si>
    <t>Distance between front sprocket and pivot</t>
  </si>
  <si>
    <t>Swing arm Length</t>
  </si>
  <si>
    <t>FINAL</t>
  </si>
  <si>
    <t>5/8"</t>
  </si>
  <si>
    <t>Gear</t>
  </si>
  <si>
    <t>Gearbox A</t>
  </si>
  <si>
    <t>Gearbox B</t>
  </si>
  <si>
    <t>Gearbox C</t>
  </si>
  <si>
    <t>Gearbox D</t>
  </si>
  <si>
    <t>Chain Size</t>
  </si>
  <si>
    <t>Dimension</t>
  </si>
  <si>
    <t>Diam</t>
  </si>
  <si>
    <t>Goldspeed Dry</t>
  </si>
  <si>
    <t>m</t>
  </si>
  <si>
    <t>A</t>
  </si>
  <si>
    <t>1/2"</t>
  </si>
  <si>
    <t>RPM</t>
  </si>
  <si>
    <t>rev/min</t>
  </si>
  <si>
    <t>Gearbox 1</t>
  </si>
  <si>
    <t>B</t>
  </si>
  <si>
    <t>Ratios</t>
  </si>
  <si>
    <t>Speeds</t>
  </si>
  <si>
    <t>Revs</t>
  </si>
  <si>
    <t>Falls</t>
  </si>
  <si>
    <t>C</t>
  </si>
  <si>
    <t>3/4"</t>
  </si>
  <si>
    <t>D</t>
  </si>
  <si>
    <t>1st</t>
  </si>
  <si>
    <t>Number of Links</t>
  </si>
  <si>
    <t>2nd</t>
  </si>
  <si>
    <t>Gearbox 2</t>
  </si>
  <si>
    <t>3rd</t>
  </si>
  <si>
    <t>Cluster 3-4</t>
  </si>
  <si>
    <t>A-A</t>
  </si>
  <si>
    <t>A-B</t>
  </si>
  <si>
    <t>4th</t>
  </si>
  <si>
    <t>A-D</t>
  </si>
  <si>
    <t>B-A</t>
  </si>
  <si>
    <t>Gearbox 3</t>
  </si>
  <si>
    <t>B-B</t>
  </si>
  <si>
    <t>B-C</t>
  </si>
  <si>
    <t>Front Sprockets</t>
  </si>
  <si>
    <t>Rear Sprockets</t>
  </si>
  <si>
    <t>5th</t>
  </si>
  <si>
    <t>Rear Tyre Dimensions</t>
  </si>
  <si>
    <t>Diameter</t>
  </si>
  <si>
    <t>Width</t>
  </si>
  <si>
    <t>Aspect Ratio</t>
  </si>
  <si>
    <t>Rim Size</t>
  </si>
  <si>
    <t>SMALL</t>
  </si>
  <si>
    <t>INTER</t>
  </si>
  <si>
    <t>Michelin Rain</t>
  </si>
  <si>
    <t>Ratio Calculator</t>
  </si>
  <si>
    <t>Power (hp)</t>
  </si>
  <si>
    <t>Torque (Nm)</t>
  </si>
  <si>
    <t>Power (Kw)</t>
  </si>
  <si>
    <t>Road Speed 1st (km/h)</t>
  </si>
  <si>
    <t>Road Speed 2nd</t>
  </si>
  <si>
    <t>Road Speed 3rd</t>
  </si>
  <si>
    <t>Road Speed 4th</t>
  </si>
  <si>
    <t>Road Speed 5th</t>
  </si>
  <si>
    <t>Driving Force 1st (N)</t>
  </si>
  <si>
    <t>Driving Force 2nd</t>
  </si>
  <si>
    <t>Driving Force 3rd</t>
  </si>
  <si>
    <t>Driving Force 4th</t>
  </si>
  <si>
    <t>Driving Force 5th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</si>
</sst>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9">
    <font>
      <sz val="11"/>
      <color indexed="8"/>
      <name val="Helvetica Neue"/>
    </font>
    <font>
      <sz val="10"/>
      <name val="Arial"/>
      <family val="2"/>
    </font>
    <font>
      <b/>
      <sz val="16"/>
      <name val="Times New Roman"/>
      <family val="1"/>
    </font>
    <font>
      <sz val="9.75"/>
      <name val="Times New Roman"/>
      <family val="1"/>
    </font>
    <font>
      <b/>
      <sz val="14"/>
      <name val="Times New Roman"/>
      <family val="1"/>
    </font>
    <font>
      <i/>
      <sz val="16"/>
      <name val="Times New Roman"/>
      <family val="1"/>
    </font>
    <font>
      <b/>
      <i/>
      <sz val="16"/>
      <color rgb="FF00B050"/>
      <name val="Times New Roman"/>
      <family val="1"/>
    </font>
    <font>
      <b/>
      <i/>
      <sz val="16"/>
      <color rgb="FF0070C0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6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b/>
      <sz val="11"/>
      <color indexed="10"/>
      <name val="Times New Roman"/>
      <family val="1"/>
    </font>
    <font>
      <sz val="14"/>
      <color indexed="10"/>
      <name val="Times New Roman"/>
      <family val="1"/>
    </font>
    <font>
      <b/>
      <sz val="9.75"/>
      <name val="Times New Roman"/>
      <family val="1"/>
    </font>
    <font>
      <sz val="12"/>
      <color rgb="FF00B050"/>
      <name val="Times New Roman"/>
      <family val="1"/>
    </font>
    <font>
      <b/>
      <sz val="11"/>
      <color rgb="FF00B050"/>
      <name val="Times New Roman"/>
      <family val="1"/>
    </font>
    <font>
      <sz val="12"/>
      <color indexed="9"/>
      <name val="Times New Roman"/>
      <family val="1"/>
    </font>
    <font>
      <b/>
      <sz val="11"/>
      <color rgb="FF0070C0"/>
      <name val="Times New Roman"/>
      <family val="1"/>
    </font>
    <font>
      <b/>
      <sz val="11"/>
      <color rgb="FFFF0000"/>
      <name val="Times New Roman"/>
      <family val="1"/>
    </font>
    <font>
      <b/>
      <sz val="11"/>
      <color indexed="12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2"/>
      <color rgb="FFFF0000"/>
      <name val="Times New Roman"/>
      <family val="1"/>
    </font>
    <font>
      <b/>
      <i/>
      <sz val="12"/>
      <name val="Times New Roman"/>
    </font>
    <font>
      <b/>
      <sz val="12"/>
      <name val="Times New Roman"/>
    </font>
    <font>
      <sz val="11"/>
      <color theme="1"/>
      <name val="Calibri"/>
      <family val="2"/>
      <scheme val="minor"/>
    </font>
    <font>
      <b/>
      <sz val="9"/>
      <color indexed="81"/>
      <name val="Arial"/>
      <family val="2"/>
    </font>
    <font>
      <sz val="9"/>
      <color indexed="81"/>
      <name val="Arial"/>
      <family val="2"/>
    </font>
    <font>
      <u/>
      <sz val="11"/>
      <color theme="10"/>
      <name val="Helvetica Neue"/>
    </font>
    <font>
      <u/>
      <sz val="11"/>
      <color theme="11"/>
      <name val="Helvetica Neue"/>
    </font>
    <font>
      <sz val="9.75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 applyNumberFormat="0" applyFill="0" applyBorder="0" applyProtection="0">
      <alignment vertical="top"/>
    </xf>
    <xf numFmtId="0" fontId="1" fillId="0" borderId="0"/>
    <xf numFmtId="0" fontId="30" fillId="0" borderId="0"/>
    <xf numFmtId="0" fontId="33" fillId="0" borderId="0" applyNumberFormat="0" applyFill="0" applyBorder="0" applyAlignment="0" applyProtection="0">
      <alignment vertical="top"/>
    </xf>
    <xf numFmtId="0" fontId="34" fillId="0" borderId="0" applyNumberFormat="0" applyFill="0" applyBorder="0" applyAlignment="0" applyProtection="0">
      <alignment vertical="top"/>
    </xf>
    <xf numFmtId="0" fontId="33" fillId="0" borderId="0" applyNumberFormat="0" applyFill="0" applyBorder="0" applyAlignment="0" applyProtection="0">
      <alignment vertical="top"/>
    </xf>
    <xf numFmtId="0" fontId="34" fillId="0" borderId="0" applyNumberFormat="0" applyFill="0" applyBorder="0" applyAlignment="0" applyProtection="0">
      <alignment vertical="top"/>
    </xf>
    <xf numFmtId="0" fontId="33" fillId="0" borderId="0" applyNumberFormat="0" applyFill="0" applyBorder="0" applyAlignment="0" applyProtection="0">
      <alignment vertical="top"/>
    </xf>
    <xf numFmtId="0" fontId="34" fillId="0" borderId="0" applyNumberFormat="0" applyFill="0" applyBorder="0" applyAlignment="0" applyProtection="0">
      <alignment vertical="top"/>
    </xf>
  </cellStyleXfs>
  <cellXfs count="133">
    <xf numFmtId="0" fontId="0" fillId="0" borderId="0" xfId="0">
      <alignment vertical="top"/>
    </xf>
    <xf numFmtId="0" fontId="3" fillId="0" borderId="0" xfId="1" applyFont="1"/>
    <xf numFmtId="0" fontId="4" fillId="2" borderId="17" xfId="1" applyFont="1" applyFill="1" applyBorder="1" applyAlignment="1">
      <alignment horizontal="left" vertical="center"/>
    </xf>
    <xf numFmtId="0" fontId="4" fillId="2" borderId="18" xfId="1" applyFont="1" applyFill="1" applyBorder="1" applyAlignment="1">
      <alignment horizontal="left" vertical="center"/>
    </xf>
    <xf numFmtId="0" fontId="5" fillId="2" borderId="18" xfId="1" applyFont="1" applyFill="1" applyBorder="1" applyAlignment="1">
      <alignment horizontal="left" vertical="center"/>
    </xf>
    <xf numFmtId="0" fontId="3" fillId="0" borderId="18" xfId="1" applyFont="1" applyBorder="1" applyAlignment="1">
      <alignment vertical="center"/>
    </xf>
    <xf numFmtId="0" fontId="5" fillId="2" borderId="18" xfId="1" applyFont="1" applyFill="1" applyBorder="1" applyAlignment="1">
      <alignment horizontal="right" vertical="center"/>
    </xf>
    <xf numFmtId="0" fontId="6" fillId="0" borderId="18" xfId="1" applyFont="1" applyFill="1" applyBorder="1" applyAlignment="1">
      <alignment horizontal="left" vertical="center"/>
    </xf>
    <xf numFmtId="0" fontId="5" fillId="2" borderId="19" xfId="1" applyFont="1" applyFill="1" applyBorder="1" applyAlignment="1">
      <alignment horizontal="left" vertical="center"/>
    </xf>
    <xf numFmtId="0" fontId="7" fillId="2" borderId="18" xfId="1" applyFont="1" applyFill="1" applyBorder="1" applyAlignment="1">
      <alignment horizontal="left" vertical="center"/>
    </xf>
    <xf numFmtId="17" fontId="8" fillId="2" borderId="18" xfId="1" applyNumberFormat="1" applyFont="1" applyFill="1" applyBorder="1" applyAlignment="1">
      <alignment horizontal="left" vertical="center"/>
    </xf>
    <xf numFmtId="0" fontId="5" fillId="2" borderId="0" xfId="1" applyFont="1" applyFill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center"/>
    </xf>
    <xf numFmtId="0" fontId="9" fillId="2" borderId="0" xfId="1" applyFont="1" applyFill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1" fillId="0" borderId="0" xfId="1" applyFont="1" applyBorder="1" applyAlignment="1" applyProtection="1">
      <alignment horizontal="center"/>
      <protection hidden="1"/>
    </xf>
    <xf numFmtId="0" fontId="12" fillId="0" borderId="0" xfId="1" applyFont="1" applyBorder="1" applyAlignment="1">
      <alignment horizontal="center"/>
    </xf>
    <xf numFmtId="0" fontId="12" fillId="0" borderId="21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2" xfId="1" applyFont="1" applyBorder="1" applyAlignment="1"/>
    <xf numFmtId="0" fontId="3" fillId="0" borderId="3" xfId="1" applyFont="1" applyBorder="1" applyAlignment="1"/>
    <xf numFmtId="0" fontId="3" fillId="0" borderId="4" xfId="1" applyFont="1" applyBorder="1" applyAlignment="1">
      <alignment wrapText="1"/>
    </xf>
    <xf numFmtId="0" fontId="13" fillId="2" borderId="0" xfId="1" applyFont="1" applyFill="1" applyBorder="1"/>
    <xf numFmtId="0" fontId="11" fillId="0" borderId="0" xfId="1" applyFont="1" applyBorder="1" applyAlignment="1" applyProtection="1">
      <alignment horizontal="center"/>
      <protection locked="0"/>
    </xf>
    <xf numFmtId="0" fontId="14" fillId="0" borderId="21" xfId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16" fillId="0" borderId="22" xfId="1" applyFont="1" applyBorder="1"/>
    <xf numFmtId="0" fontId="1" fillId="0" borderId="0" xfId="1"/>
    <xf numFmtId="0" fontId="12" fillId="0" borderId="0" xfId="1" applyFont="1"/>
    <xf numFmtId="0" fontId="11" fillId="0" borderId="0" xfId="1" applyFont="1" applyBorder="1" applyAlignment="1">
      <alignment horizontal="center"/>
    </xf>
    <xf numFmtId="0" fontId="11" fillId="0" borderId="0" xfId="1" applyFont="1" applyBorder="1" applyAlignment="1">
      <alignment horizontal="left"/>
    </xf>
    <xf numFmtId="0" fontId="16" fillId="0" borderId="0" xfId="1" applyFont="1" applyBorder="1" applyAlignment="1">
      <alignment horizontal="center"/>
    </xf>
    <xf numFmtId="0" fontId="16" fillId="0" borderId="22" xfId="1" applyFont="1" applyBorder="1" applyAlignment="1">
      <alignment horizontal="center"/>
    </xf>
    <xf numFmtId="0" fontId="3" fillId="0" borderId="23" xfId="1" applyFont="1" applyFill="1" applyBorder="1" applyAlignment="1">
      <alignment horizontal="center"/>
    </xf>
    <xf numFmtId="0" fontId="3" fillId="0" borderId="22" xfId="1" applyFont="1" applyFill="1" applyBorder="1" applyAlignment="1">
      <alignment horizontal="center"/>
    </xf>
    <xf numFmtId="164" fontId="3" fillId="0" borderId="22" xfId="1" applyNumberFormat="1" applyFont="1" applyFill="1" applyBorder="1" applyAlignment="1">
      <alignment horizontal="center"/>
    </xf>
    <xf numFmtId="2" fontId="3" fillId="0" borderId="22" xfId="1" applyNumberFormat="1" applyFont="1" applyFill="1" applyBorder="1" applyAlignment="1">
      <alignment horizontal="center"/>
    </xf>
    <xf numFmtId="2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1" fillId="0" borderId="22" xfId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/>
    </xf>
    <xf numFmtId="0" fontId="3" fillId="3" borderId="22" xfId="1" applyFont="1" applyFill="1" applyBorder="1" applyAlignment="1">
      <alignment horizontal="center"/>
    </xf>
    <xf numFmtId="164" fontId="3" fillId="3" borderId="22" xfId="1" applyNumberFormat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" fillId="0" borderId="0" xfId="1" applyBorder="1"/>
    <xf numFmtId="0" fontId="3" fillId="0" borderId="22" xfId="1" applyFont="1" applyFill="1" applyBorder="1" applyAlignment="1" applyProtection="1">
      <alignment horizontal="center"/>
    </xf>
    <xf numFmtId="0" fontId="12" fillId="0" borderId="16" xfId="1" applyFont="1" applyBorder="1" applyAlignment="1">
      <alignment horizontal="center"/>
    </xf>
    <xf numFmtId="1" fontId="11" fillId="0" borderId="0" xfId="1" applyNumberFormat="1" applyFont="1" applyBorder="1" applyAlignment="1">
      <alignment horizontal="center"/>
    </xf>
    <xf numFmtId="0" fontId="3" fillId="3" borderId="22" xfId="1" applyFont="1" applyFill="1" applyBorder="1" applyAlignment="1" applyProtection="1">
      <alignment horizontal="center"/>
    </xf>
    <xf numFmtId="0" fontId="10" fillId="0" borderId="16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1" fillId="0" borderId="22" xfId="1" applyBorder="1" applyAlignment="1">
      <alignment horizontal="center"/>
    </xf>
    <xf numFmtId="164" fontId="12" fillId="0" borderId="0" xfId="1" applyNumberFormat="1" applyFont="1" applyBorder="1" applyAlignment="1">
      <alignment horizontal="center"/>
    </xf>
    <xf numFmtId="1" fontId="19" fillId="0" borderId="21" xfId="1" applyNumberFormat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1" fillId="0" borderId="0" xfId="1" applyFont="1" applyBorder="1" applyAlignment="1">
      <alignment horizontal="center"/>
    </xf>
    <xf numFmtId="164" fontId="11" fillId="0" borderId="0" xfId="1" applyNumberFormat="1" applyFont="1" applyBorder="1" applyAlignment="1">
      <alignment horizontal="center"/>
    </xf>
    <xf numFmtId="2" fontId="1" fillId="0" borderId="0" xfId="1" applyNumberFormat="1" applyBorder="1"/>
    <xf numFmtId="0" fontId="22" fillId="0" borderId="0" xfId="1" applyFont="1" applyBorder="1" applyAlignment="1">
      <alignment horizontal="center"/>
    </xf>
    <xf numFmtId="0" fontId="1" fillId="0" borderId="0" xfId="1" applyBorder="1" applyAlignment="1">
      <alignment horizontal="center"/>
    </xf>
    <xf numFmtId="1" fontId="19" fillId="0" borderId="0" xfId="1" applyNumberFormat="1" applyFont="1" applyBorder="1" applyAlignment="1" applyProtection="1">
      <alignment horizontal="center"/>
      <protection hidden="1"/>
    </xf>
    <xf numFmtId="1" fontId="23" fillId="0" borderId="0" xfId="1" applyNumberFormat="1" applyFont="1" applyBorder="1" applyAlignment="1" applyProtection="1">
      <alignment horizontal="center"/>
      <protection hidden="1"/>
    </xf>
    <xf numFmtId="1" fontId="11" fillId="0" borderId="21" xfId="1" applyNumberFormat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1" fontId="24" fillId="0" borderId="0" xfId="1" applyNumberFormat="1" applyFont="1" applyBorder="1" applyAlignment="1" applyProtection="1">
      <alignment horizontal="center"/>
      <protection hidden="1"/>
    </xf>
    <xf numFmtId="1" fontId="25" fillId="0" borderId="0" xfId="1" applyNumberFormat="1" applyFont="1" applyBorder="1" applyAlignment="1" applyProtection="1">
      <alignment horizontal="center"/>
      <protection hidden="1"/>
    </xf>
    <xf numFmtId="0" fontId="1" fillId="0" borderId="22" xfId="1" applyFont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3" fillId="2" borderId="0" xfId="1" applyFont="1" applyFill="1"/>
    <xf numFmtId="0" fontId="3" fillId="0" borderId="24" xfId="1" applyFont="1" applyBorder="1"/>
    <xf numFmtId="0" fontId="3" fillId="0" borderId="10" xfId="1" applyFont="1" applyBorder="1"/>
    <xf numFmtId="0" fontId="3" fillId="0" borderId="15" xfId="1" applyFont="1" applyBorder="1"/>
    <xf numFmtId="0" fontId="16" fillId="0" borderId="25" xfId="1" applyFont="1" applyBorder="1" applyAlignment="1"/>
    <xf numFmtId="0" fontId="16" fillId="0" borderId="1" xfId="1" applyFont="1" applyBorder="1" applyAlignment="1"/>
    <xf numFmtId="0" fontId="3" fillId="0" borderId="1" xfId="1" applyFont="1" applyBorder="1"/>
    <xf numFmtId="0" fontId="3" fillId="0" borderId="0" xfId="1" applyFont="1" applyBorder="1"/>
    <xf numFmtId="0" fontId="3" fillId="0" borderId="25" xfId="1" applyFont="1" applyBorder="1" applyAlignment="1">
      <alignment horizontal="center"/>
    </xf>
    <xf numFmtId="0" fontId="29" fillId="0" borderId="1" xfId="1" applyFont="1" applyBorder="1"/>
    <xf numFmtId="0" fontId="29" fillId="0" borderId="6" xfId="1" applyFont="1" applyBorder="1"/>
    <xf numFmtId="0" fontId="29" fillId="0" borderId="1" xfId="1" applyFont="1" applyBorder="1" applyAlignment="1"/>
    <xf numFmtId="2" fontId="11" fillId="0" borderId="1" xfId="1" applyNumberFormat="1" applyFont="1" applyBorder="1"/>
    <xf numFmtId="2" fontId="11" fillId="0" borderId="6" xfId="1" applyNumberFormat="1" applyFont="1" applyBorder="1"/>
    <xf numFmtId="164" fontId="3" fillId="0" borderId="0" xfId="1" applyNumberFormat="1" applyFont="1"/>
    <xf numFmtId="0" fontId="29" fillId="0" borderId="8" xfId="1" applyFont="1" applyBorder="1"/>
    <xf numFmtId="2" fontId="11" fillId="0" borderId="8" xfId="1" applyNumberFormat="1" applyFont="1" applyBorder="1"/>
    <xf numFmtId="2" fontId="11" fillId="0" borderId="9" xfId="1" applyNumberFormat="1" applyFont="1" applyBorder="1"/>
    <xf numFmtId="0" fontId="30" fillId="0" borderId="0" xfId="2"/>
    <xf numFmtId="1" fontId="30" fillId="0" borderId="0" xfId="2" applyNumberFormat="1"/>
    <xf numFmtId="2" fontId="30" fillId="0" borderId="0" xfId="2" applyNumberFormat="1"/>
    <xf numFmtId="164" fontId="11" fillId="0" borderId="0" xfId="1" applyNumberFormat="1" applyFont="1" applyBorder="1" applyAlignment="1" applyProtection="1">
      <alignment horizontal="center"/>
      <protection locked="0"/>
    </xf>
    <xf numFmtId="0" fontId="1" fillId="0" borderId="23" xfId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 wrapText="1"/>
    </xf>
    <xf numFmtId="0" fontId="38" fillId="0" borderId="3" xfId="1" applyFont="1" applyBorder="1" applyAlignment="1">
      <alignment wrapText="1"/>
    </xf>
    <xf numFmtId="0" fontId="3" fillId="0" borderId="1" xfId="1" applyFont="1" applyBorder="1" applyAlignment="1">
      <alignment horizont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20" xfId="1" applyFont="1" applyFill="1" applyBorder="1" applyAlignment="1">
      <alignment horizontal="center" vertical="center"/>
    </xf>
    <xf numFmtId="0" fontId="10" fillId="0" borderId="16" xfId="1" applyFont="1" applyBorder="1" applyAlignment="1" applyProtection="1">
      <alignment horizontal="center"/>
      <protection hidden="1"/>
    </xf>
    <xf numFmtId="0" fontId="16" fillId="0" borderId="22" xfId="1" applyFont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1" fontId="10" fillId="0" borderId="6" xfId="1" applyNumberFormat="1" applyFont="1" applyBorder="1" applyAlignment="1">
      <alignment horizontal="center" vertical="center"/>
    </xf>
    <xf numFmtId="1" fontId="10" fillId="0" borderId="9" xfId="1" applyNumberFormat="1" applyFont="1" applyBorder="1" applyAlignment="1">
      <alignment horizontal="center" vertical="center"/>
    </xf>
    <xf numFmtId="0" fontId="17" fillId="0" borderId="12" xfId="1" applyFont="1" applyBorder="1" applyAlignment="1">
      <alignment horizontal="center"/>
    </xf>
    <xf numFmtId="0" fontId="17" fillId="0" borderId="20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38" fillId="0" borderId="3" xfId="1" applyFont="1" applyBorder="1" applyAlignment="1">
      <alignment horizontal="center" wrapText="1"/>
    </xf>
    <xf numFmtId="0" fontId="38" fillId="0" borderId="1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6" xfId="1" applyFont="1" applyBorder="1" applyAlignment="1">
      <alignment horizontal="center" wrapText="1"/>
    </xf>
    <xf numFmtId="164" fontId="26" fillId="0" borderId="12" xfId="1" applyNumberFormat="1" applyFont="1" applyBorder="1" applyAlignment="1">
      <alignment horizontal="center"/>
    </xf>
    <xf numFmtId="164" fontId="26" fillId="0" borderId="20" xfId="1" applyNumberFormat="1" applyFont="1" applyBorder="1" applyAlignment="1">
      <alignment horizontal="center"/>
    </xf>
    <xf numFmtId="0" fontId="10" fillId="0" borderId="5" xfId="1" applyNumberFormat="1" applyFont="1" applyBorder="1" applyAlignment="1">
      <alignment horizontal="center" vertical="center"/>
    </xf>
    <xf numFmtId="0" fontId="10" fillId="0" borderId="7" xfId="1" applyNumberFormat="1" applyFont="1" applyBorder="1" applyAlignment="1">
      <alignment horizontal="center" vertical="center"/>
    </xf>
    <xf numFmtId="164" fontId="27" fillId="0" borderId="12" xfId="1" applyNumberFormat="1" applyFont="1" applyBorder="1" applyAlignment="1">
      <alignment horizontal="center"/>
    </xf>
    <xf numFmtId="164" fontId="27" fillId="0" borderId="20" xfId="1" applyNumberFormat="1" applyFont="1" applyBorder="1" applyAlignment="1">
      <alignment horizontal="center"/>
    </xf>
    <xf numFmtId="0" fontId="28" fillId="0" borderId="11" xfId="1" applyFont="1" applyBorder="1" applyAlignment="1">
      <alignment horizontal="center" wrapText="1"/>
    </xf>
    <xf numFmtId="0" fontId="28" fillId="0" borderId="13" xfId="1" applyFont="1" applyBorder="1" applyAlignment="1">
      <alignment horizontal="center" wrapText="1"/>
    </xf>
    <xf numFmtId="0" fontId="28" fillId="0" borderId="14" xfId="1" applyFont="1" applyBorder="1" applyAlignment="1">
      <alignment horizontal="center" wrapText="1"/>
    </xf>
    <xf numFmtId="0" fontId="28" fillId="0" borderId="15" xfId="1" applyFont="1" applyBorder="1" applyAlignment="1">
      <alignment horizontal="center" wrapText="1"/>
    </xf>
    <xf numFmtId="0" fontId="28" fillId="0" borderId="3" xfId="1" applyFont="1" applyBorder="1" applyAlignment="1">
      <alignment horizontal="center"/>
    </xf>
    <xf numFmtId="0" fontId="28" fillId="0" borderId="4" xfId="1" applyFont="1" applyBorder="1" applyAlignment="1">
      <alignment horizontal="center"/>
    </xf>
    <xf numFmtId="0" fontId="28" fillId="0" borderId="5" xfId="1" applyFont="1" applyBorder="1" applyAlignment="1">
      <alignment horizontal="right" vertical="center" textRotation="90"/>
    </xf>
    <xf numFmtId="0" fontId="28" fillId="0" borderId="7" xfId="1" applyFont="1" applyBorder="1" applyAlignment="1">
      <alignment horizontal="right" vertical="center" textRotation="90"/>
    </xf>
  </cellXfs>
  <cellStyles count="9">
    <cellStyle name="Followed Hyperlink" xfId="8" builtinId="9" hidden="1"/>
    <cellStyle name="Followed Hyperlink" xfId="6" builtinId="9" hidden="1"/>
    <cellStyle name="Followed Hyperlink" xfId="4" builtinId="9" hidden="1"/>
    <cellStyle name="Hyperlink" xfId="7" builtinId="8" hidden="1"/>
    <cellStyle name="Hyperlink" xfId="5" builtinId="8" hidden="1"/>
    <cellStyle name="Hyperlink" xfId="3" builtinId="8" hidden="1"/>
    <cellStyle name="Normal" xfId="0" builtinId="0"/>
    <cellStyle name="Normal 2" xfId="1" xr:uid="{00000000-0005-0000-0000-000007000000}"/>
    <cellStyle name="Normal 2 2" xfId="2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Revs</a:t>
            </a:r>
          </a:p>
        </c:rich>
      </c:tx>
      <c:layout>
        <c:manualLayout>
          <c:xMode val="edge"/>
          <c:yMode val="edge"/>
          <c:x val="0.104323310257359"/>
          <c:y val="0.1337581846855130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"/>
          <c:y val="0.22929983848327801"/>
          <c:w val="0.76503759398496196"/>
          <c:h val="0.69639210206032298"/>
        </c:manualLayout>
      </c:layout>
      <c:scatterChart>
        <c:scatterStyle val="lineMarker"/>
        <c:varyColors val="0"/>
        <c:ser>
          <c:idx val="0"/>
          <c:order val="0"/>
          <c:spPr>
            <a:ln w="3175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CRF450'!$F$8:$F$17</c:f>
              <c:numCache>
                <c:formatCode>0</c:formatCode>
                <c:ptCount val="10"/>
                <c:pt idx="0">
                  <c:v>27.502122651036871</c:v>
                </c:pt>
                <c:pt idx="1">
                  <c:v>86.435242617544461</c:v>
                </c:pt>
                <c:pt idx="2">
                  <c:v>86.435242617544461</c:v>
                </c:pt>
                <c:pt idx="3">
                  <c:v>105.79673696387439</c:v>
                </c:pt>
                <c:pt idx="4">
                  <c:v>105.79673696387439</c:v>
                </c:pt>
                <c:pt idx="5">
                  <c:v>125.94849638556477</c:v>
                </c:pt>
                <c:pt idx="6">
                  <c:v>125.94849638556477</c:v>
                </c:pt>
                <c:pt idx="7">
                  <c:v>148.17470163007621</c:v>
                </c:pt>
                <c:pt idx="8">
                  <c:v>148.17470163007621</c:v>
                </c:pt>
                <c:pt idx="9">
                  <c:v>171.14178038273803</c:v>
                </c:pt>
              </c:numCache>
            </c:numRef>
          </c:xVal>
          <c:yVal>
            <c:numRef>
              <c:f>'Gearbox CRF450'!$G$8:$G$17</c:f>
              <c:numCache>
                <c:formatCode>0</c:formatCode>
                <c:ptCount val="10"/>
                <c:pt idx="0" formatCode="General">
                  <c:v>3500</c:v>
                </c:pt>
                <c:pt idx="1">
                  <c:v>11000</c:v>
                </c:pt>
                <c:pt idx="2">
                  <c:v>8986.928104575165</c:v>
                </c:pt>
                <c:pt idx="3">
                  <c:v>11000</c:v>
                </c:pt>
                <c:pt idx="4">
                  <c:v>9240.0000000000018</c:v>
                </c:pt>
                <c:pt idx="5">
                  <c:v>11000</c:v>
                </c:pt>
                <c:pt idx="6">
                  <c:v>9350</c:v>
                </c:pt>
                <c:pt idx="7">
                  <c:v>11000</c:v>
                </c:pt>
                <c:pt idx="8">
                  <c:v>9523.8095238095229</c:v>
                </c:pt>
                <c:pt idx="9">
                  <c:v>11000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69-4FEA-82B6-6A94655DD14C}"/>
            </c:ext>
          </c:extLst>
        </c:ser>
        <c:ser>
          <c:idx val="1"/>
          <c:order val="1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CRF450'!$N$8:$N$17</c:f>
              <c:numCache>
                <c:formatCode>0</c:formatCode>
                <c:ptCount val="10"/>
                <c:pt idx="0">
                  <c:v>68.755306627592176</c:v>
                </c:pt>
                <c:pt idx="1">
                  <c:v>108.04405327193057</c:v>
                </c:pt>
                <c:pt idx="2">
                  <c:v>108.04405327193057</c:v>
                </c:pt>
                <c:pt idx="3">
                  <c:v>132.245921204843</c:v>
                </c:pt>
                <c:pt idx="4">
                  <c:v>132.245921204843</c:v>
                </c:pt>
                <c:pt idx="5">
                  <c:v>157.43562048195597</c:v>
                </c:pt>
                <c:pt idx="6">
                  <c:v>157.43562048195597</c:v>
                </c:pt>
                <c:pt idx="7">
                  <c:v>185.21837703759525</c:v>
                </c:pt>
                <c:pt idx="8">
                  <c:v>185.21837703759525</c:v>
                </c:pt>
                <c:pt idx="9">
                  <c:v>213.92722547842254</c:v>
                </c:pt>
              </c:numCache>
            </c:numRef>
          </c:xVal>
          <c:yVal>
            <c:numRef>
              <c:f>'Gearbox CRF450'!$O$8:$O$17</c:f>
              <c:numCache>
                <c:formatCode>0</c:formatCode>
                <c:ptCount val="10"/>
                <c:pt idx="0" formatCode="General">
                  <c:v>7000</c:v>
                </c:pt>
                <c:pt idx="1">
                  <c:v>11000</c:v>
                </c:pt>
                <c:pt idx="2">
                  <c:v>8986.928104575165</c:v>
                </c:pt>
                <c:pt idx="3">
                  <c:v>11000</c:v>
                </c:pt>
                <c:pt idx="4">
                  <c:v>9240.0000000000018</c:v>
                </c:pt>
                <c:pt idx="5">
                  <c:v>11000</c:v>
                </c:pt>
                <c:pt idx="6">
                  <c:v>9350</c:v>
                </c:pt>
                <c:pt idx="7">
                  <c:v>11000</c:v>
                </c:pt>
                <c:pt idx="8">
                  <c:v>9523.8095238095229</c:v>
                </c:pt>
                <c:pt idx="9">
                  <c:v>11000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69-4FEA-82B6-6A94655DD14C}"/>
            </c:ext>
          </c:extLst>
        </c:ser>
        <c:ser>
          <c:idx val="2"/>
          <c:order val="2"/>
          <c:tx>
            <c:v>Series3</c:v>
          </c:tx>
          <c:xVal>
            <c:numRef>
              <c:f>'Gearbox CRF450'!$V$8:$V$17</c:f>
              <c:numCache>
                <c:formatCode>0</c:formatCode>
                <c:ptCount val="10"/>
                <c:pt idx="0">
                  <c:v>53.517644077693369</c:v>
                </c:pt>
                <c:pt idx="1">
                  <c:v>84.099154979232438</c:v>
                </c:pt>
                <c:pt idx="2">
                  <c:v>84.099154979232438</c:v>
                </c:pt>
                <c:pt idx="3">
                  <c:v>102.93736569458051</c:v>
                </c:pt>
                <c:pt idx="4">
                  <c:v>102.93736569458051</c:v>
                </c:pt>
                <c:pt idx="5">
                  <c:v>122.5444829697387</c:v>
                </c:pt>
                <c:pt idx="6">
                  <c:v>122.5444829697387</c:v>
                </c:pt>
                <c:pt idx="7">
                  <c:v>144.16997996439849</c:v>
                </c:pt>
                <c:pt idx="8">
                  <c:v>144.16997996439849</c:v>
                </c:pt>
                <c:pt idx="9">
                  <c:v>166.51632685888026</c:v>
                </c:pt>
              </c:numCache>
            </c:numRef>
          </c:xVal>
          <c:yVal>
            <c:numRef>
              <c:f>'Gearbox CRF450'!$W$8:$W$17</c:f>
              <c:numCache>
                <c:formatCode>0</c:formatCode>
                <c:ptCount val="10"/>
                <c:pt idx="0" formatCode="General">
                  <c:v>7000</c:v>
                </c:pt>
                <c:pt idx="1">
                  <c:v>11000</c:v>
                </c:pt>
                <c:pt idx="2">
                  <c:v>8986.928104575165</c:v>
                </c:pt>
                <c:pt idx="3">
                  <c:v>11000</c:v>
                </c:pt>
                <c:pt idx="4">
                  <c:v>9240.0000000000018</c:v>
                </c:pt>
                <c:pt idx="5">
                  <c:v>11000</c:v>
                </c:pt>
                <c:pt idx="6">
                  <c:v>9350</c:v>
                </c:pt>
                <c:pt idx="7">
                  <c:v>11000</c:v>
                </c:pt>
                <c:pt idx="8">
                  <c:v>9523.8095238095229</c:v>
                </c:pt>
                <c:pt idx="9">
                  <c:v>11000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A69-4FEA-82B6-6A94655DD1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30738400"/>
        <c:axId val="-2131258720"/>
      </c:scatterChart>
      <c:scatterChart>
        <c:scatterStyle val="lineMarker"/>
        <c:varyColors val="0"/>
        <c:ser>
          <c:idx val="0"/>
          <c:order val="3"/>
          <c:spPr>
            <a:ln w="12700">
              <a:solidFill>
                <a:srgbClr val="00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CRF450'!$F$8:$F$17</c:f>
              <c:numCache>
                <c:formatCode>0</c:formatCode>
                <c:ptCount val="10"/>
                <c:pt idx="0">
                  <c:v>27.502122651036871</c:v>
                </c:pt>
                <c:pt idx="1">
                  <c:v>86.435242617544461</c:v>
                </c:pt>
                <c:pt idx="2">
                  <c:v>86.435242617544461</c:v>
                </c:pt>
                <c:pt idx="3">
                  <c:v>105.79673696387439</c:v>
                </c:pt>
                <c:pt idx="4">
                  <c:v>105.79673696387439</c:v>
                </c:pt>
                <c:pt idx="5">
                  <c:v>125.94849638556477</c:v>
                </c:pt>
                <c:pt idx="6">
                  <c:v>125.94849638556477</c:v>
                </c:pt>
                <c:pt idx="7">
                  <c:v>148.17470163007621</c:v>
                </c:pt>
                <c:pt idx="8">
                  <c:v>148.17470163007621</c:v>
                </c:pt>
                <c:pt idx="9">
                  <c:v>171.14178038273803</c:v>
                </c:pt>
              </c:numCache>
            </c:numRef>
          </c:xVal>
          <c:yVal>
            <c:numRef>
              <c:f>'Gearbox CRF450'!$F$8:$F$17</c:f>
              <c:numCache>
                <c:formatCode>0</c:formatCode>
                <c:ptCount val="10"/>
                <c:pt idx="0">
                  <c:v>27.502122651036871</c:v>
                </c:pt>
                <c:pt idx="1">
                  <c:v>86.435242617544461</c:v>
                </c:pt>
                <c:pt idx="2">
                  <c:v>86.435242617544461</c:v>
                </c:pt>
                <c:pt idx="3">
                  <c:v>105.79673696387439</c:v>
                </c:pt>
                <c:pt idx="4">
                  <c:v>105.79673696387439</c:v>
                </c:pt>
                <c:pt idx="5">
                  <c:v>125.94849638556477</c:v>
                </c:pt>
                <c:pt idx="6">
                  <c:v>125.94849638556477</c:v>
                </c:pt>
                <c:pt idx="7">
                  <c:v>148.17470163007621</c:v>
                </c:pt>
                <c:pt idx="8">
                  <c:v>148.17470163007621</c:v>
                </c:pt>
                <c:pt idx="9">
                  <c:v>171.14178038273803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A69-4FEA-82B6-6A94655DD14C}"/>
            </c:ext>
          </c:extLst>
        </c:ser>
        <c:ser>
          <c:idx val="1"/>
          <c:order val="4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x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CRF450'!$N$8:$N$17</c:f>
              <c:numCache>
                <c:formatCode>0</c:formatCode>
                <c:ptCount val="10"/>
                <c:pt idx="0">
                  <c:v>68.755306627592176</c:v>
                </c:pt>
                <c:pt idx="1">
                  <c:v>108.04405327193057</c:v>
                </c:pt>
                <c:pt idx="2">
                  <c:v>108.04405327193057</c:v>
                </c:pt>
                <c:pt idx="3">
                  <c:v>132.245921204843</c:v>
                </c:pt>
                <c:pt idx="4">
                  <c:v>132.245921204843</c:v>
                </c:pt>
                <c:pt idx="5">
                  <c:v>157.43562048195597</c:v>
                </c:pt>
                <c:pt idx="6">
                  <c:v>157.43562048195597</c:v>
                </c:pt>
                <c:pt idx="7">
                  <c:v>185.21837703759525</c:v>
                </c:pt>
                <c:pt idx="8">
                  <c:v>185.21837703759525</c:v>
                </c:pt>
                <c:pt idx="9">
                  <c:v>213.92722547842254</c:v>
                </c:pt>
              </c:numCache>
            </c:numRef>
          </c:xVal>
          <c:yVal>
            <c:numRef>
              <c:f>'Gearbox CRF450'!$N$8:$N$17</c:f>
              <c:numCache>
                <c:formatCode>0</c:formatCode>
                <c:ptCount val="10"/>
                <c:pt idx="0">
                  <c:v>68.755306627592176</c:v>
                </c:pt>
                <c:pt idx="1">
                  <c:v>108.04405327193057</c:v>
                </c:pt>
                <c:pt idx="2">
                  <c:v>108.04405327193057</c:v>
                </c:pt>
                <c:pt idx="3">
                  <c:v>132.245921204843</c:v>
                </c:pt>
                <c:pt idx="4">
                  <c:v>132.245921204843</c:v>
                </c:pt>
                <c:pt idx="5">
                  <c:v>157.43562048195597</c:v>
                </c:pt>
                <c:pt idx="6">
                  <c:v>157.43562048195597</c:v>
                </c:pt>
                <c:pt idx="7">
                  <c:v>185.21837703759525</c:v>
                </c:pt>
                <c:pt idx="8">
                  <c:v>185.21837703759525</c:v>
                </c:pt>
                <c:pt idx="9">
                  <c:v>213.92722547842254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A69-4FEA-82B6-6A94655DD14C}"/>
            </c:ext>
          </c:extLst>
        </c:ser>
        <c:ser>
          <c:idx val="3"/>
          <c:order val="5"/>
          <c:tx>
            <c:v>Series3</c:v>
          </c:tx>
          <c:xVal>
            <c:numRef>
              <c:f>'Gearbox CRF450'!$V$8:$V$17</c:f>
              <c:numCache>
                <c:formatCode>0</c:formatCode>
                <c:ptCount val="10"/>
                <c:pt idx="0">
                  <c:v>53.517644077693369</c:v>
                </c:pt>
                <c:pt idx="1">
                  <c:v>84.099154979232438</c:v>
                </c:pt>
                <c:pt idx="2">
                  <c:v>84.099154979232438</c:v>
                </c:pt>
                <c:pt idx="3">
                  <c:v>102.93736569458051</c:v>
                </c:pt>
                <c:pt idx="4">
                  <c:v>102.93736569458051</c:v>
                </c:pt>
                <c:pt idx="5">
                  <c:v>122.5444829697387</c:v>
                </c:pt>
                <c:pt idx="6">
                  <c:v>122.5444829697387</c:v>
                </c:pt>
                <c:pt idx="7">
                  <c:v>144.16997996439849</c:v>
                </c:pt>
                <c:pt idx="8">
                  <c:v>144.16997996439849</c:v>
                </c:pt>
                <c:pt idx="9">
                  <c:v>166.51632685888026</c:v>
                </c:pt>
              </c:numCache>
            </c:numRef>
          </c:xVal>
          <c:yVal>
            <c:numRef>
              <c:f>'Gearbox CRF450'!$V$8:$V$17</c:f>
              <c:numCache>
                <c:formatCode>0</c:formatCode>
                <c:ptCount val="10"/>
                <c:pt idx="0">
                  <c:v>53.517644077693369</c:v>
                </c:pt>
                <c:pt idx="1">
                  <c:v>84.099154979232438</c:v>
                </c:pt>
                <c:pt idx="2">
                  <c:v>84.099154979232438</c:v>
                </c:pt>
                <c:pt idx="3">
                  <c:v>102.93736569458051</c:v>
                </c:pt>
                <c:pt idx="4">
                  <c:v>102.93736569458051</c:v>
                </c:pt>
                <c:pt idx="5">
                  <c:v>122.5444829697387</c:v>
                </c:pt>
                <c:pt idx="6">
                  <c:v>122.5444829697387</c:v>
                </c:pt>
                <c:pt idx="7">
                  <c:v>144.16997996439849</c:v>
                </c:pt>
                <c:pt idx="8">
                  <c:v>144.16997996439849</c:v>
                </c:pt>
                <c:pt idx="9">
                  <c:v>166.51632685888026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A69-4FEA-82B6-6A94655DD1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31306336"/>
        <c:axId val="-2131271328"/>
      </c:scatterChart>
      <c:valAx>
        <c:axId val="-2130738400"/>
        <c:scaling>
          <c:orientation val="minMax"/>
          <c:max val="170"/>
          <c:min val="80"/>
        </c:scaling>
        <c:delete val="0"/>
        <c:axPos val="b"/>
        <c:numFmt formatCode="0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-2131258720"/>
        <c:crossesAt val="0"/>
        <c:crossBetween val="midCat"/>
        <c:majorUnit val="50"/>
        <c:minorUnit val="16.666666666666671"/>
      </c:valAx>
      <c:valAx>
        <c:axId val="-2131258720"/>
        <c:scaling>
          <c:orientation val="minMax"/>
          <c:max val="11000"/>
          <c:min val="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-2130738400"/>
        <c:crossesAt val="0"/>
        <c:crossBetween val="midCat"/>
        <c:majorUnit val="1000"/>
        <c:minorUnit val="250"/>
      </c:valAx>
      <c:valAx>
        <c:axId val="-2131271328"/>
        <c:scaling>
          <c:orientation val="minMax"/>
          <c:max val="360"/>
          <c:min val="0"/>
        </c:scaling>
        <c:delete val="0"/>
        <c:axPos val="r"/>
        <c:numFmt formatCode="0" sourceLinked="1"/>
        <c:majorTickMark val="out"/>
        <c:minorTickMark val="none"/>
        <c:tickLblPos val="nextTo"/>
        <c:crossAx val="-2131306336"/>
        <c:crosses val="max"/>
        <c:crossBetween val="midCat"/>
      </c:valAx>
      <c:valAx>
        <c:axId val="-2131306336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one"/>
        <c:crossAx val="-2131271328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802254290393704"/>
          <c:y val="0.40413005352389197"/>
          <c:w val="6.6119154254591597E-2"/>
          <c:h val="0.282254336450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1180555555555696" footer="0.51180555555555696"/>
    <c:pageSetup firstPageNumber="0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45112781955E-2"/>
          <c:y val="0.198992688071533"/>
          <c:w val="0.89379699248120303"/>
          <c:h val="0.72040390871465998"/>
        </c:manualLayout>
      </c:layout>
      <c:lineChart>
        <c:grouping val="standard"/>
        <c:varyColors val="0"/>
        <c:ser>
          <c:idx val="0"/>
          <c:order val="0"/>
          <c:spPr>
            <a:ln w="3175">
              <a:solidFill>
                <a:srgbClr val="0000FF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('Gearbox CRF450'!$H$10,'Gearbox CRF450'!$H$12,'Gearbox CRF450'!$H$14,'Gearbox CRF450'!$H$16)</c:f>
              <c:numCache>
                <c:formatCode>0</c:formatCode>
                <c:ptCount val="4"/>
                <c:pt idx="0">
                  <c:v>2013.071895424835</c:v>
                </c:pt>
                <c:pt idx="1">
                  <c:v>1759.9999999999982</c:v>
                </c:pt>
                <c:pt idx="2">
                  <c:v>1650</c:v>
                </c:pt>
                <c:pt idx="3">
                  <c:v>1476.1904761904771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7E-4DE5-85E1-6A0ECA7CFF24}"/>
            </c:ext>
          </c:extLst>
        </c:ser>
        <c:ser>
          <c:idx val="1"/>
          <c:order val="1"/>
          <c:spPr>
            <a:ln w="3175">
              <a:solidFill>
                <a:srgbClr val="FF0000"/>
              </a:solidFill>
              <a:prstDash val="solid"/>
            </a:ln>
          </c:spPr>
          <c:marker>
            <c:symbol val="squar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('Gearbox CRF450'!$P$10,'Gearbox CRF450'!$P$12,'Gearbox CRF450'!$P$14,'Gearbox CRF450'!$P$16)</c:f>
              <c:numCache>
                <c:formatCode>0</c:formatCode>
                <c:ptCount val="4"/>
                <c:pt idx="0">
                  <c:v>2013.071895424835</c:v>
                </c:pt>
                <c:pt idx="1">
                  <c:v>1759.9999999999982</c:v>
                </c:pt>
                <c:pt idx="2">
                  <c:v>1650</c:v>
                </c:pt>
                <c:pt idx="3">
                  <c:v>1476.1904761904771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7E-4DE5-85E1-6A0ECA7CFF24}"/>
            </c:ext>
          </c:extLst>
        </c:ser>
        <c:ser>
          <c:idx val="2"/>
          <c:order val="2"/>
          <c:tx>
            <c:v>Series 3</c:v>
          </c:tx>
          <c:val>
            <c:numRef>
              <c:f>('Gearbox CRF450'!$X$10,'Gearbox CRF450'!$X$12,'Gearbox CRF450'!$X$14,'Gearbox CRF450'!$X$16)</c:f>
              <c:numCache>
                <c:formatCode>0</c:formatCode>
                <c:ptCount val="4"/>
                <c:pt idx="0">
                  <c:v>2013.071895424835</c:v>
                </c:pt>
                <c:pt idx="1">
                  <c:v>1759.9999999999982</c:v>
                </c:pt>
                <c:pt idx="2">
                  <c:v>1650</c:v>
                </c:pt>
                <c:pt idx="3">
                  <c:v>1476.1904761904771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7E-4DE5-85E1-6A0ECA7CFF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0086032"/>
        <c:axId val="-2130087968"/>
      </c:lineChart>
      <c:catAx>
        <c:axId val="-213008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-213008796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2130087968"/>
        <c:scaling>
          <c:orientation val="minMax"/>
          <c:max val="3500"/>
          <c:min val="50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-2130086032"/>
        <c:crossesAt val="1"/>
        <c:crossBetween val="midCat"/>
        <c:majorUnit val="500"/>
        <c:minorUnit val="10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1180555555555696" footer="0.51180555555555696"/>
    <c:pageSetup firstPageNumber="0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Power (hp)</c:v>
          </c:tx>
          <c:marker>
            <c:symbol val="none"/>
          </c:marker>
          <c:cat>
            <c:numRef>
              <c:f>'Shift Point Data'!$A$2:$A$16</c:f>
              <c:numCache>
                <c:formatCode>General</c:formatCode>
                <c:ptCount val="15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</c:numCache>
            </c:numRef>
          </c:cat>
          <c:val>
            <c:numRef>
              <c:f>'Shift Point Data'!$B$2:$B$16</c:f>
              <c:numCache>
                <c:formatCode>General</c:formatCode>
                <c:ptCount val="15"/>
                <c:pt idx="0">
                  <c:v>16</c:v>
                </c:pt>
                <c:pt idx="1">
                  <c:v>20</c:v>
                </c:pt>
                <c:pt idx="2">
                  <c:v>25</c:v>
                </c:pt>
                <c:pt idx="3">
                  <c:v>32</c:v>
                </c:pt>
                <c:pt idx="4">
                  <c:v>37</c:v>
                </c:pt>
                <c:pt idx="5">
                  <c:v>42</c:v>
                </c:pt>
                <c:pt idx="6">
                  <c:v>46</c:v>
                </c:pt>
                <c:pt idx="7">
                  <c:v>48</c:v>
                </c:pt>
                <c:pt idx="8">
                  <c:v>50</c:v>
                </c:pt>
                <c:pt idx="9">
                  <c:v>50</c:v>
                </c:pt>
                <c:pt idx="10">
                  <c:v>49</c:v>
                </c:pt>
                <c:pt idx="11">
                  <c:v>48</c:v>
                </c:pt>
                <c:pt idx="12">
                  <c:v>47</c:v>
                </c:pt>
                <c:pt idx="13">
                  <c:v>46</c:v>
                </c:pt>
                <c:pt idx="14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3B-4202-804E-9CB8618B6B15}"/>
            </c:ext>
          </c:extLst>
        </c:ser>
        <c:ser>
          <c:idx val="1"/>
          <c:order val="1"/>
          <c:tx>
            <c:v>Torque (Nm)</c:v>
          </c:tx>
          <c:marker>
            <c:symbol val="none"/>
          </c:marker>
          <c:cat>
            <c:numRef>
              <c:f>'Shift Point Data'!$A$2:$A$16</c:f>
              <c:numCache>
                <c:formatCode>General</c:formatCode>
                <c:ptCount val="15"/>
                <c:pt idx="0">
                  <c:v>3500</c:v>
                </c:pt>
                <c:pt idx="1">
                  <c:v>4000</c:v>
                </c:pt>
                <c:pt idx="2">
                  <c:v>4500</c:v>
                </c:pt>
                <c:pt idx="3">
                  <c:v>5000</c:v>
                </c:pt>
                <c:pt idx="4">
                  <c:v>5500</c:v>
                </c:pt>
                <c:pt idx="5">
                  <c:v>6000</c:v>
                </c:pt>
                <c:pt idx="6">
                  <c:v>6500</c:v>
                </c:pt>
                <c:pt idx="7">
                  <c:v>7000</c:v>
                </c:pt>
                <c:pt idx="8">
                  <c:v>7500</c:v>
                </c:pt>
                <c:pt idx="9">
                  <c:v>8000</c:v>
                </c:pt>
                <c:pt idx="10">
                  <c:v>8500</c:v>
                </c:pt>
                <c:pt idx="11">
                  <c:v>9000</c:v>
                </c:pt>
                <c:pt idx="12">
                  <c:v>9500</c:v>
                </c:pt>
                <c:pt idx="13">
                  <c:v>10000</c:v>
                </c:pt>
                <c:pt idx="14">
                  <c:v>10500</c:v>
                </c:pt>
              </c:numCache>
            </c:numRef>
          </c:cat>
          <c:val>
            <c:numRef>
              <c:f>'Shift Point Data'!$C$2:$C$17</c:f>
              <c:numCache>
                <c:formatCode>0.00</c:formatCode>
                <c:ptCount val="16"/>
                <c:pt idx="0">
                  <c:v>24.009142857142859</c:v>
                </c:pt>
                <c:pt idx="1">
                  <c:v>26.26</c:v>
                </c:pt>
                <c:pt idx="2">
                  <c:v>29.177777777777777</c:v>
                </c:pt>
                <c:pt idx="3">
                  <c:v>33.6128</c:v>
                </c:pt>
                <c:pt idx="4">
                  <c:v>35.331636363636363</c:v>
                </c:pt>
                <c:pt idx="5">
                  <c:v>36.764000000000003</c:v>
                </c:pt>
                <c:pt idx="6">
                  <c:v>37.167999999999999</c:v>
                </c:pt>
                <c:pt idx="7">
                  <c:v>36.013714285714286</c:v>
                </c:pt>
                <c:pt idx="8">
                  <c:v>35.013333333333335</c:v>
                </c:pt>
                <c:pt idx="9">
                  <c:v>32.825000000000003</c:v>
                </c:pt>
                <c:pt idx="10">
                  <c:v>30.276235294117647</c:v>
                </c:pt>
                <c:pt idx="11">
                  <c:v>28.010666666666665</c:v>
                </c:pt>
                <c:pt idx="12">
                  <c:v>25.983578947368422</c:v>
                </c:pt>
                <c:pt idx="13">
                  <c:v>24.159199999999998</c:v>
                </c:pt>
                <c:pt idx="14">
                  <c:v>22.008380952380953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3B-4202-804E-9CB8618B6B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7097552"/>
        <c:axId val="2133810080"/>
      </c:lineChart>
      <c:catAx>
        <c:axId val="213709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Engine RPM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33810080"/>
        <c:crosses val="autoZero"/>
        <c:auto val="1"/>
        <c:lblAlgn val="ctr"/>
        <c:lblOffset val="100"/>
        <c:noMultiLvlLbl val="0"/>
      </c:catAx>
      <c:valAx>
        <c:axId val="21338100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Power (hp) / Torque (Nm)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37097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 Gearbox 1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xVal>
            <c:numRef>
              <c:f>'Shift Point Data'!$H$2:$H$16</c:f>
              <c:numCache>
                <c:formatCode>0</c:formatCode>
                <c:ptCount val="15"/>
                <c:pt idx="0">
                  <c:v>27.502122651036871</c:v>
                </c:pt>
                <c:pt idx="1">
                  <c:v>31.430997315470709</c:v>
                </c:pt>
                <c:pt idx="2">
                  <c:v>35.35987197990454</c:v>
                </c:pt>
                <c:pt idx="3">
                  <c:v>39.288746644338389</c:v>
                </c:pt>
                <c:pt idx="4">
                  <c:v>43.217621308772223</c:v>
                </c:pt>
                <c:pt idx="5">
                  <c:v>47.146495973206058</c:v>
                </c:pt>
                <c:pt idx="6">
                  <c:v>51.075370637639907</c:v>
                </c:pt>
                <c:pt idx="7">
                  <c:v>55.004245302073741</c:v>
                </c:pt>
                <c:pt idx="8">
                  <c:v>58.933119966507562</c:v>
                </c:pt>
                <c:pt idx="9">
                  <c:v>62.861994630941417</c:v>
                </c:pt>
                <c:pt idx="10">
                  <c:v>66.790869295375259</c:v>
                </c:pt>
                <c:pt idx="11">
                  <c:v>70.71974395980908</c:v>
                </c:pt>
                <c:pt idx="12">
                  <c:v>74.648618624242943</c:v>
                </c:pt>
                <c:pt idx="13">
                  <c:v>78.577493288676777</c:v>
                </c:pt>
                <c:pt idx="14">
                  <c:v>82.506367953110612</c:v>
                </c:pt>
              </c:numCache>
            </c:numRef>
          </c:xVal>
          <c:yVal>
            <c:numRef>
              <c:f>'Shift Point Data'!$N$2:$N$16</c:f>
              <c:numCache>
                <c:formatCode>0</c:formatCode>
                <c:ptCount val="15"/>
                <c:pt idx="0">
                  <c:v>1561.7819957028166</c:v>
                </c:pt>
                <c:pt idx="1">
                  <c:v>1708.1990577999559</c:v>
                </c:pt>
                <c:pt idx="2">
                  <c:v>1897.9989531110625</c:v>
                </c:pt>
                <c:pt idx="3">
                  <c:v>2186.4947939839431</c:v>
                </c:pt>
                <c:pt idx="4">
                  <c:v>2298.3041868581222</c:v>
                </c:pt>
                <c:pt idx="5">
                  <c:v>2391.4786809199381</c:v>
                </c:pt>
                <c:pt idx="6">
                  <c:v>2417.7586664245523</c:v>
                </c:pt>
                <c:pt idx="7">
                  <c:v>2342.6729935542248</c:v>
                </c:pt>
                <c:pt idx="8">
                  <c:v>2277.5987437332751</c:v>
                </c:pt>
                <c:pt idx="9">
                  <c:v>2135.2488222499451</c:v>
                </c:pt>
                <c:pt idx="10">
                  <c:v>1969.4530313458311</c:v>
                </c:pt>
                <c:pt idx="11">
                  <c:v>1822.0789949866196</c:v>
                </c:pt>
                <c:pt idx="12">
                  <c:v>1690.2180150862716</c:v>
                </c:pt>
                <c:pt idx="13">
                  <c:v>1571.5431331759589</c:v>
                </c:pt>
                <c:pt idx="14">
                  <c:v>1431.6334960609151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48-4942-8DCC-DCE3D9BB34DE}"/>
            </c:ext>
          </c:extLst>
        </c:ser>
        <c:ser>
          <c:idx val="1"/>
          <c:order val="1"/>
          <c:tx>
            <c:v>2nd Gear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'Shift Point Data'!$I$2:$I$16</c:f>
              <c:numCache>
                <c:formatCode>0</c:formatCode>
                <c:ptCount val="15"/>
                <c:pt idx="0">
                  <c:v>33.662598124869128</c:v>
                </c:pt>
                <c:pt idx="1">
                  <c:v>38.47154071413614</c:v>
                </c:pt>
                <c:pt idx="2">
                  <c:v>43.280483303403152</c:v>
                </c:pt>
                <c:pt idx="3">
                  <c:v>48.089425892670192</c:v>
                </c:pt>
                <c:pt idx="4">
                  <c:v>52.898368481937197</c:v>
                </c:pt>
                <c:pt idx="5">
                  <c:v>57.707311071204231</c:v>
                </c:pt>
                <c:pt idx="6">
                  <c:v>62.516253660471236</c:v>
                </c:pt>
                <c:pt idx="7">
                  <c:v>67.325196249738255</c:v>
                </c:pt>
                <c:pt idx="8">
                  <c:v>72.13413883900526</c:v>
                </c:pt>
                <c:pt idx="9">
                  <c:v>76.943081428272279</c:v>
                </c:pt>
                <c:pt idx="10">
                  <c:v>81.752024017539298</c:v>
                </c:pt>
                <c:pt idx="11">
                  <c:v>86.560966606806304</c:v>
                </c:pt>
                <c:pt idx="12">
                  <c:v>91.369909196073337</c:v>
                </c:pt>
                <c:pt idx="13">
                  <c:v>96.178851785340385</c:v>
                </c:pt>
                <c:pt idx="14">
                  <c:v>100.98779437460738</c:v>
                </c:pt>
              </c:numCache>
            </c:numRef>
          </c:xVal>
          <c:yVal>
            <c:numRef>
              <c:f>'Shift Point Data'!$O$2:$O$16</c:f>
              <c:numCache>
                <c:formatCode>0</c:formatCode>
                <c:ptCount val="15"/>
                <c:pt idx="0">
                  <c:v>1275.9656827637391</c:v>
                </c:pt>
                <c:pt idx="1">
                  <c:v>1395.5874655228399</c:v>
                </c:pt>
                <c:pt idx="2">
                  <c:v>1550.6527394698226</c:v>
                </c:pt>
                <c:pt idx="3">
                  <c:v>1786.3519558692344</c:v>
                </c:pt>
                <c:pt idx="4">
                  <c:v>1877.6994990670935</c:v>
                </c:pt>
                <c:pt idx="5">
                  <c:v>1953.822451731975</c:v>
                </c:pt>
                <c:pt idx="6">
                  <c:v>1975.2930281246342</c:v>
                </c:pt>
                <c:pt idx="7">
                  <c:v>1913.9485241456086</c:v>
                </c:pt>
                <c:pt idx="8">
                  <c:v>1860.7832873637867</c:v>
                </c:pt>
                <c:pt idx="9">
                  <c:v>1744.4843319035501</c:v>
                </c:pt>
                <c:pt idx="10">
                  <c:v>1609.0302543675093</c:v>
                </c:pt>
                <c:pt idx="11">
                  <c:v>1488.6266298910293</c:v>
                </c:pt>
                <c:pt idx="12">
                  <c:v>1380.8970711489151</c:v>
                </c:pt>
                <c:pt idx="13">
                  <c:v>1283.940468281012</c:v>
                </c:pt>
                <c:pt idx="14">
                  <c:v>1169.6352092000943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F48-4942-8DCC-DCE3D9BB34DE}"/>
            </c:ext>
          </c:extLst>
        </c:ser>
        <c:ser>
          <c:idx val="2"/>
          <c:order val="2"/>
          <c:tx>
            <c:v>3rd Gear</c:v>
          </c:tx>
          <c:spPr>
            <a:ln w="25400">
              <a:solidFill>
                <a:srgbClr val="90713A"/>
              </a:solidFill>
              <a:prstDash val="solid"/>
            </a:ln>
          </c:spPr>
          <c:marker>
            <c:symbol val="none"/>
          </c:marker>
          <c:xVal>
            <c:numRef>
              <c:f>'Shift Point Data'!$J$2:$J$16</c:f>
              <c:numCache>
                <c:formatCode>0</c:formatCode>
                <c:ptCount val="15"/>
                <c:pt idx="0">
                  <c:v>40.074521577225156</c:v>
                </c:pt>
                <c:pt idx="1">
                  <c:v>45.799453231114455</c:v>
                </c:pt>
                <c:pt idx="2">
                  <c:v>51.524384885003769</c:v>
                </c:pt>
                <c:pt idx="3">
                  <c:v>57.249316538893083</c:v>
                </c:pt>
                <c:pt idx="4">
                  <c:v>62.974248192782383</c:v>
                </c:pt>
                <c:pt idx="5">
                  <c:v>68.699179846671683</c:v>
                </c:pt>
                <c:pt idx="6">
                  <c:v>74.424111500560997</c:v>
                </c:pt>
                <c:pt idx="7">
                  <c:v>80.149043154450311</c:v>
                </c:pt>
                <c:pt idx="8">
                  <c:v>85.873974808339611</c:v>
                </c:pt>
                <c:pt idx="9">
                  <c:v>91.598906462228911</c:v>
                </c:pt>
                <c:pt idx="10">
                  <c:v>97.323838116118225</c:v>
                </c:pt>
                <c:pt idx="11">
                  <c:v>103.04876977000754</c:v>
                </c:pt>
                <c:pt idx="12">
                  <c:v>108.77370142389682</c:v>
                </c:pt>
                <c:pt idx="13">
                  <c:v>114.49863307778617</c:v>
                </c:pt>
                <c:pt idx="14">
                  <c:v>120.22356473167545</c:v>
                </c:pt>
              </c:numCache>
            </c:numRef>
          </c:xVal>
          <c:yVal>
            <c:numRef>
              <c:f>'Shift Point Data'!$P$2:$P$16</c:f>
              <c:numCache>
                <c:formatCode>0</c:formatCode>
                <c:ptCount val="15"/>
                <c:pt idx="0">
                  <c:v>1071.8111735215407</c:v>
                </c:pt>
                <c:pt idx="1">
                  <c:v>1172.2934710391855</c:v>
                </c:pt>
                <c:pt idx="2">
                  <c:v>1302.5483011546505</c:v>
                </c:pt>
                <c:pt idx="3">
                  <c:v>1500.5356429301569</c:v>
                </c:pt>
                <c:pt idx="4">
                  <c:v>1577.2675792163584</c:v>
                </c:pt>
                <c:pt idx="5">
                  <c:v>1641.2108594548595</c:v>
                </c:pt>
                <c:pt idx="6">
                  <c:v>1659.2461436246929</c:v>
                </c:pt>
                <c:pt idx="7">
                  <c:v>1607.716760282311</c:v>
                </c:pt>
                <c:pt idx="8">
                  <c:v>1563.0579613855805</c:v>
                </c:pt>
                <c:pt idx="9">
                  <c:v>1465.3668387989819</c:v>
                </c:pt>
                <c:pt idx="10">
                  <c:v>1351.5854136687078</c:v>
                </c:pt>
                <c:pt idx="11">
                  <c:v>1250.4463691084643</c:v>
                </c:pt>
                <c:pt idx="12">
                  <c:v>1159.9535397650889</c:v>
                </c:pt>
                <c:pt idx="13">
                  <c:v>1078.5099933560502</c:v>
                </c:pt>
                <c:pt idx="14">
                  <c:v>982.49357572807912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F48-4942-8DCC-DCE3D9BB34DE}"/>
            </c:ext>
          </c:extLst>
        </c:ser>
        <c:ser>
          <c:idx val="3"/>
          <c:order val="3"/>
          <c:tx>
            <c:v>4th Gear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xVal>
            <c:numRef>
              <c:f>'Shift Point Data'!$K$2:$K$16</c:f>
              <c:numCache>
                <c:formatCode>0</c:formatCode>
                <c:ptCount val="15"/>
                <c:pt idx="0">
                  <c:v>47.146495973206058</c:v>
                </c:pt>
                <c:pt idx="1">
                  <c:v>53.88170968366407</c:v>
                </c:pt>
                <c:pt idx="2">
                  <c:v>60.616923394122075</c:v>
                </c:pt>
                <c:pt idx="3">
                  <c:v>67.352137104580081</c:v>
                </c:pt>
                <c:pt idx="4">
                  <c:v>74.087350815038093</c:v>
                </c:pt>
                <c:pt idx="5">
                  <c:v>80.822564525496091</c:v>
                </c:pt>
                <c:pt idx="6">
                  <c:v>87.557778235954117</c:v>
                </c:pt>
                <c:pt idx="7">
                  <c:v>94.292991946412116</c:v>
                </c:pt>
                <c:pt idx="8">
                  <c:v>101.02820565687013</c:v>
                </c:pt>
                <c:pt idx="9">
                  <c:v>107.76341936732814</c:v>
                </c:pt>
                <c:pt idx="10">
                  <c:v>114.49863307778614</c:v>
                </c:pt>
                <c:pt idx="11">
                  <c:v>121.23384678824415</c:v>
                </c:pt>
                <c:pt idx="12">
                  <c:v>127.96906049870216</c:v>
                </c:pt>
                <c:pt idx="13">
                  <c:v>134.70427420916016</c:v>
                </c:pt>
                <c:pt idx="14">
                  <c:v>141.43948791961816</c:v>
                </c:pt>
              </c:numCache>
            </c:numRef>
          </c:xVal>
          <c:yVal>
            <c:numRef>
              <c:f>'Shift Point Data'!$Q$2:$Q$16</c:f>
              <c:numCache>
                <c:formatCode>0</c:formatCode>
                <c:ptCount val="15"/>
                <c:pt idx="0">
                  <c:v>911.0394974933098</c:v>
                </c:pt>
                <c:pt idx="1">
                  <c:v>996.44945038330764</c:v>
                </c:pt>
                <c:pt idx="2">
                  <c:v>1107.1660559814532</c:v>
                </c:pt>
                <c:pt idx="3">
                  <c:v>1275.4552964906338</c:v>
                </c:pt>
                <c:pt idx="4">
                  <c:v>1340.6774423339048</c:v>
                </c:pt>
                <c:pt idx="5">
                  <c:v>1395.0292305366306</c:v>
                </c:pt>
                <c:pt idx="6">
                  <c:v>1410.3592220809887</c:v>
                </c:pt>
                <c:pt idx="7">
                  <c:v>1366.5592462399645</c:v>
                </c:pt>
                <c:pt idx="8">
                  <c:v>1328.5992671777435</c:v>
                </c:pt>
                <c:pt idx="9">
                  <c:v>1245.5618129791346</c:v>
                </c:pt>
                <c:pt idx="10">
                  <c:v>1148.8476016184018</c:v>
                </c:pt>
                <c:pt idx="11">
                  <c:v>1062.8794137421946</c:v>
                </c:pt>
                <c:pt idx="12">
                  <c:v>985.96050880032521</c:v>
                </c:pt>
                <c:pt idx="13">
                  <c:v>916.73349435264288</c:v>
                </c:pt>
                <c:pt idx="14">
                  <c:v>835.11953936886732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F48-4942-8DCC-DCE3D9BB34DE}"/>
            </c:ext>
          </c:extLst>
        </c:ser>
        <c:ser>
          <c:idx val="4"/>
          <c:order val="4"/>
          <c:tx>
            <c:v>5th Gear</c:v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ymbol val="none"/>
          </c:marker>
          <c:xVal>
            <c:numRef>
              <c:f>'Shift Point Data'!$L$2:$L$16</c:f>
              <c:numCache>
                <c:formatCode>0</c:formatCode>
                <c:ptCount val="15"/>
                <c:pt idx="0">
                  <c:v>54.454202849053004</c:v>
                </c:pt>
                <c:pt idx="1">
                  <c:v>62.233374684632004</c:v>
                </c:pt>
                <c:pt idx="2">
                  <c:v>70.012546520210989</c:v>
                </c:pt>
                <c:pt idx="3">
                  <c:v>77.791718355789996</c:v>
                </c:pt>
                <c:pt idx="4">
                  <c:v>85.570890191369017</c:v>
                </c:pt>
                <c:pt idx="5">
                  <c:v>93.350062026947995</c:v>
                </c:pt>
                <c:pt idx="6">
                  <c:v>101.129233862527</c:v>
                </c:pt>
                <c:pt idx="7">
                  <c:v>108.90840569810601</c:v>
                </c:pt>
                <c:pt idx="8">
                  <c:v>116.68757753368502</c:v>
                </c:pt>
                <c:pt idx="9">
                  <c:v>124.46674936926401</c:v>
                </c:pt>
                <c:pt idx="10">
                  <c:v>132.245921204843</c:v>
                </c:pt>
                <c:pt idx="11">
                  <c:v>140.02509304042198</c:v>
                </c:pt>
                <c:pt idx="12">
                  <c:v>147.80426487600101</c:v>
                </c:pt>
                <c:pt idx="13">
                  <c:v>155.58343671157999</c:v>
                </c:pt>
                <c:pt idx="14">
                  <c:v>163.36260854715903</c:v>
                </c:pt>
              </c:numCache>
            </c:numRef>
          </c:xVal>
          <c:yVal>
            <c:numRef>
              <c:f>'Shift Point Data'!$R$2:$R$16</c:f>
              <c:numCache>
                <c:formatCode>0</c:formatCode>
                <c:ptCount val="15"/>
                <c:pt idx="0">
                  <c:v>788.77878570849327</c:v>
                </c:pt>
                <c:pt idx="1">
                  <c:v>862.72679686866456</c:v>
                </c:pt>
                <c:pt idx="2">
                  <c:v>958.58532985407192</c:v>
                </c:pt>
                <c:pt idx="3">
                  <c:v>1104.2902999918906</c:v>
                </c:pt>
                <c:pt idx="4">
                  <c:v>1160.7596903323847</c:v>
                </c:pt>
                <c:pt idx="5">
                  <c:v>1207.8175156161303</c:v>
                </c:pt>
                <c:pt idx="6">
                  <c:v>1221.0902355679557</c:v>
                </c:pt>
                <c:pt idx="7">
                  <c:v>1183.1681785627397</c:v>
                </c:pt>
                <c:pt idx="8">
                  <c:v>1150.3023958248862</c:v>
                </c:pt>
                <c:pt idx="9">
                  <c:v>1078.4084960858308</c:v>
                </c:pt>
                <c:pt idx="10">
                  <c:v>994.67324815446034</c:v>
                </c:pt>
                <c:pt idx="11">
                  <c:v>920.24191665990884</c:v>
                </c:pt>
                <c:pt idx="12">
                  <c:v>853.64546216478379</c:v>
                </c:pt>
                <c:pt idx="13">
                  <c:v>793.70865311917123</c:v>
                </c:pt>
                <c:pt idx="14">
                  <c:v>723.04722023278532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F48-4942-8DCC-DCE3D9BB34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3614464"/>
        <c:axId val="-2133470608"/>
      </c:scatterChart>
      <c:valAx>
        <c:axId val="2143614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Road</a:t>
                </a:r>
                <a:r>
                  <a:rPr lang="en-US" baseline="0"/>
                  <a:t> Speed (Km/h)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2133470608"/>
        <c:crosses val="autoZero"/>
        <c:crossBetween val="midCat"/>
      </c:valAx>
      <c:valAx>
        <c:axId val="-2133470608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Driving Force (N)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2143614464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89931034482758598"/>
          <c:y val="0.37556561085972801"/>
          <c:w val="0.100689636348357"/>
          <c:h val="0.18892596518805899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zoomScale="119" workbookViewId="0" zoomToFit="1" xr3:uid="{842E5F09-E766-5B8D-85AF-A39847EA96FD}"/>
  </sheetViews>
  <pageMargins left="0.75" right="0.75" top="1" bottom="1" header="0.5" footer="0.5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zoomScale="126" workbookViewId="0" xr3:uid="{51F8DEE0-4D01-5F28-A812-FC0BD7CAC4A5}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86394</xdr:rowOff>
    </xdr:from>
    <xdr:to>
      <xdr:col>23</xdr:col>
      <xdr:colOff>454526</xdr:colOff>
      <xdr:row>46</xdr:row>
      <xdr:rowOff>90404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47</xdr:row>
      <xdr:rowOff>16878</xdr:rowOff>
    </xdr:from>
    <xdr:to>
      <xdr:col>23</xdr:col>
      <xdr:colOff>454526</xdr:colOff>
      <xdr:row>69</xdr:row>
      <xdr:rowOff>82049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32253</xdr:colOff>
      <xdr:row>42</xdr:row>
      <xdr:rowOff>114300</xdr:rowOff>
    </xdr:from>
    <xdr:to>
      <xdr:col>6</xdr:col>
      <xdr:colOff>624474</xdr:colOff>
      <xdr:row>44</xdr:row>
      <xdr:rowOff>85725</xdr:rowOff>
    </xdr:to>
    <xdr:sp macro="" textlink="" fLocksText="0">
      <xdr:nvSpPr>
        <xdr:cNvPr id="4" name="Testo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394453" y="7708900"/>
          <a:ext cx="1125621" cy="2762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xdr:txBody>
    </xdr:sp>
    <xdr:clientData/>
  </xdr:twoCellAnchor>
  <xdr:twoCellAnchor>
    <xdr:from>
      <xdr:col>8</xdr:col>
      <xdr:colOff>260672</xdr:colOff>
      <xdr:row>42</xdr:row>
      <xdr:rowOff>91407</xdr:rowOff>
    </xdr:from>
    <xdr:to>
      <xdr:col>11</xdr:col>
      <xdr:colOff>79697</xdr:colOff>
      <xdr:row>44</xdr:row>
      <xdr:rowOff>72357</xdr:rowOff>
    </xdr:to>
    <xdr:sp macro="" textlink="" fLocksText="0">
      <xdr:nvSpPr>
        <xdr:cNvPr id="5" name="Testo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337372" y="7686007"/>
          <a:ext cx="1101725" cy="28575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xdr:txBody>
    </xdr:sp>
    <xdr:clientData/>
  </xdr:twoCellAnchor>
  <xdr:twoCellAnchor>
    <xdr:from>
      <xdr:col>12</xdr:col>
      <xdr:colOff>568285</xdr:colOff>
      <xdr:row>42</xdr:row>
      <xdr:rowOff>114300</xdr:rowOff>
    </xdr:from>
    <xdr:to>
      <xdr:col>14</xdr:col>
      <xdr:colOff>333335</xdr:colOff>
      <xdr:row>44</xdr:row>
      <xdr:rowOff>85725</xdr:rowOff>
    </xdr:to>
    <xdr:sp macro="" textlink="" fLocksText="0">
      <xdr:nvSpPr>
        <xdr:cNvPr id="6" name="Testo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435685" y="7708900"/>
          <a:ext cx="869950" cy="2762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xdr:txBody>
    </xdr:sp>
    <xdr:clientData/>
  </xdr:twoCellAnchor>
  <xdr:twoCellAnchor>
    <xdr:from>
      <xdr:col>16</xdr:col>
      <xdr:colOff>394296</xdr:colOff>
      <xdr:row>42</xdr:row>
      <xdr:rowOff>114300</xdr:rowOff>
    </xdr:from>
    <xdr:to>
      <xdr:col>18</xdr:col>
      <xdr:colOff>438746</xdr:colOff>
      <xdr:row>44</xdr:row>
      <xdr:rowOff>85725</xdr:rowOff>
    </xdr:to>
    <xdr:sp macro="" textlink="" fLocksText="0">
      <xdr:nvSpPr>
        <xdr:cNvPr id="7" name="Testo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382596" y="7708900"/>
          <a:ext cx="1060450" cy="2762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xdr:txBody>
    </xdr:sp>
    <xdr:clientData/>
  </xdr:twoCellAnchor>
  <xdr:twoCellAnchor editAs="oneCell">
    <xdr:from>
      <xdr:col>25</xdr:col>
      <xdr:colOff>0</xdr:colOff>
      <xdr:row>20</xdr:row>
      <xdr:rowOff>57150</xdr:rowOff>
    </xdr:from>
    <xdr:to>
      <xdr:col>46</xdr:col>
      <xdr:colOff>352425</xdr:colOff>
      <xdr:row>65</xdr:row>
      <xdr:rowOff>47625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5125" y="4467225"/>
          <a:ext cx="9906000" cy="7429500"/>
        </a:xfrm>
        <a:prstGeom prst="rect">
          <a:avLst/>
        </a:prstGeom>
      </xdr:spPr>
    </xdr:pic>
    <xdr:clientData/>
  </xdr:twoCellAnchor>
  <xdr:oneCellAnchor>
    <xdr:from>
      <xdr:col>30</xdr:col>
      <xdr:colOff>209550</xdr:colOff>
      <xdr:row>55</xdr:row>
      <xdr:rowOff>104775</xdr:rowOff>
    </xdr:from>
    <xdr:ext cx="457200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4792325" y="10334625"/>
          <a:ext cx="4572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15T</a:t>
          </a:r>
        </a:p>
      </xdr:txBody>
    </xdr:sp>
    <xdr:clientData/>
  </xdr:oneCellAnchor>
  <xdr:oneCellAnchor>
    <xdr:from>
      <xdr:col>28</xdr:col>
      <xdr:colOff>581025</xdr:colOff>
      <xdr:row>30</xdr:row>
      <xdr:rowOff>152400</xdr:rowOff>
    </xdr:from>
    <xdr:ext cx="39639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3325475" y="6181725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27T</a:t>
          </a:r>
        </a:p>
      </xdr:txBody>
    </xdr:sp>
    <xdr:clientData/>
  </xdr:oneCellAnchor>
  <xdr:oneCellAnchor>
    <xdr:from>
      <xdr:col>29</xdr:col>
      <xdr:colOff>895350</xdr:colOff>
      <xdr:row>43</xdr:row>
      <xdr:rowOff>95250</xdr:rowOff>
    </xdr:from>
    <xdr:ext cx="972959" cy="374141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4316075" y="8229600"/>
          <a:ext cx="972959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800">
              <a:solidFill>
                <a:srgbClr val="FF0000"/>
              </a:solidFill>
            </a:rPr>
            <a:t>1st Gear</a:t>
          </a:r>
        </a:p>
      </xdr:txBody>
    </xdr:sp>
    <xdr:clientData/>
  </xdr:oneCellAnchor>
  <xdr:oneCellAnchor>
    <xdr:from>
      <xdr:col>32</xdr:col>
      <xdr:colOff>19050</xdr:colOff>
      <xdr:row>56</xdr:row>
      <xdr:rowOff>76200</xdr:rowOff>
    </xdr:from>
    <xdr:ext cx="39639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5773400" y="10467975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22T</a:t>
          </a:r>
        </a:p>
      </xdr:txBody>
    </xdr:sp>
    <xdr:clientData/>
  </xdr:oneCellAnchor>
  <xdr:oneCellAnchor>
    <xdr:from>
      <xdr:col>30</xdr:col>
      <xdr:colOff>76200</xdr:colOff>
      <xdr:row>30</xdr:row>
      <xdr:rowOff>28575</xdr:rowOff>
    </xdr:from>
    <xdr:ext cx="39639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4658975" y="6057900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20T</a:t>
          </a:r>
        </a:p>
      </xdr:txBody>
    </xdr:sp>
    <xdr:clientData/>
  </xdr:oneCellAnchor>
  <xdr:oneCellAnchor>
    <xdr:from>
      <xdr:col>30</xdr:col>
      <xdr:colOff>342900</xdr:colOff>
      <xdr:row>40</xdr:row>
      <xdr:rowOff>9525</xdr:rowOff>
    </xdr:from>
    <xdr:ext cx="1003929" cy="374141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4925675" y="7658100"/>
          <a:ext cx="1003929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800">
              <a:solidFill>
                <a:srgbClr val="FF0000"/>
              </a:solidFill>
            </a:rPr>
            <a:t>5th Gear</a:t>
          </a:r>
        </a:p>
      </xdr:txBody>
    </xdr:sp>
    <xdr:clientData/>
  </xdr:oneCellAnchor>
  <xdr:oneCellAnchor>
    <xdr:from>
      <xdr:col>34</xdr:col>
      <xdr:colOff>333375</xdr:colOff>
      <xdr:row>54</xdr:row>
      <xdr:rowOff>47625</xdr:rowOff>
    </xdr:from>
    <xdr:ext cx="39639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6944975" y="10115550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17T</a:t>
          </a:r>
        </a:p>
      </xdr:txBody>
    </xdr:sp>
    <xdr:clientData/>
  </xdr:oneCellAnchor>
  <xdr:oneCellAnchor>
    <xdr:from>
      <xdr:col>32</xdr:col>
      <xdr:colOff>314325</xdr:colOff>
      <xdr:row>39</xdr:row>
      <xdr:rowOff>123825</xdr:rowOff>
    </xdr:from>
    <xdr:ext cx="1007071" cy="374141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6068675" y="7610475"/>
          <a:ext cx="10070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800">
              <a:solidFill>
                <a:srgbClr val="FF0000"/>
              </a:solidFill>
            </a:rPr>
            <a:t>3rd Gear</a:t>
          </a:r>
        </a:p>
      </xdr:txBody>
    </xdr:sp>
    <xdr:clientData/>
  </xdr:oneCellAnchor>
  <xdr:oneCellAnchor>
    <xdr:from>
      <xdr:col>31</xdr:col>
      <xdr:colOff>514350</xdr:colOff>
      <xdr:row>27</xdr:row>
      <xdr:rowOff>114300</xdr:rowOff>
    </xdr:from>
    <xdr:ext cx="39639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5716250" y="5657850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21T</a:t>
          </a:r>
        </a:p>
      </xdr:txBody>
    </xdr:sp>
    <xdr:clientData/>
  </xdr:oneCellAnchor>
  <xdr:oneCellAnchor>
    <xdr:from>
      <xdr:col>38</xdr:col>
      <xdr:colOff>47625</xdr:colOff>
      <xdr:row>53</xdr:row>
      <xdr:rowOff>95250</xdr:rowOff>
    </xdr:from>
    <xdr:ext cx="39639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7897475" y="10001250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20T</a:t>
          </a:r>
        </a:p>
      </xdr:txBody>
    </xdr:sp>
    <xdr:clientData/>
  </xdr:oneCellAnchor>
  <xdr:oneCellAnchor>
    <xdr:from>
      <xdr:col>34</xdr:col>
      <xdr:colOff>342900</xdr:colOff>
      <xdr:row>38</xdr:row>
      <xdr:rowOff>95250</xdr:rowOff>
    </xdr:from>
    <xdr:ext cx="1003929" cy="374141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6954500" y="7419975"/>
          <a:ext cx="1003929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800">
              <a:solidFill>
                <a:srgbClr val="FF0000"/>
              </a:solidFill>
            </a:rPr>
            <a:t>4th Gear</a:t>
          </a:r>
        </a:p>
      </xdr:txBody>
    </xdr:sp>
    <xdr:clientData/>
  </xdr:oneCellAnchor>
  <xdr:oneCellAnchor>
    <xdr:from>
      <xdr:col>33</xdr:col>
      <xdr:colOff>333375</xdr:colOff>
      <xdr:row>27</xdr:row>
      <xdr:rowOff>47625</xdr:rowOff>
    </xdr:from>
    <xdr:ext cx="39639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6573500" y="5591175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21T</a:t>
          </a:r>
        </a:p>
      </xdr:txBody>
    </xdr:sp>
    <xdr:clientData/>
  </xdr:oneCellAnchor>
  <xdr:oneCellAnchor>
    <xdr:from>
      <xdr:col>28</xdr:col>
      <xdr:colOff>295275</xdr:colOff>
      <xdr:row>48</xdr:row>
      <xdr:rowOff>9525</xdr:rowOff>
    </xdr:from>
    <xdr:ext cx="766492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3039725" y="8953500"/>
          <a:ext cx="7664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Mainshaft</a:t>
          </a:r>
        </a:p>
      </xdr:txBody>
    </xdr:sp>
    <xdr:clientData/>
  </xdr:oneCellAnchor>
  <xdr:oneCellAnchor>
    <xdr:from>
      <xdr:col>27</xdr:col>
      <xdr:colOff>685800</xdr:colOff>
      <xdr:row>36</xdr:row>
      <xdr:rowOff>142875</xdr:rowOff>
    </xdr:from>
    <xdr:ext cx="936282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77775" y="7143750"/>
          <a:ext cx="9362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Countershaft</a:t>
          </a:r>
        </a:p>
      </xdr:txBody>
    </xdr:sp>
    <xdr:clientData/>
  </xdr:oneCellAnchor>
  <xdr:oneCellAnchor>
    <xdr:from>
      <xdr:col>40</xdr:col>
      <xdr:colOff>228600</xdr:colOff>
      <xdr:row>29</xdr:row>
      <xdr:rowOff>123825</xdr:rowOff>
    </xdr:from>
    <xdr:ext cx="688394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8573750" y="5991225"/>
          <a:ext cx="6883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Sprocket</a:t>
          </a:r>
        </a:p>
      </xdr:txBody>
    </xdr:sp>
    <xdr:clientData/>
  </xdr:oneCellAnchor>
  <xdr:oneCellAnchor>
    <xdr:from>
      <xdr:col>38</xdr:col>
      <xdr:colOff>0</xdr:colOff>
      <xdr:row>38</xdr:row>
      <xdr:rowOff>152400</xdr:rowOff>
    </xdr:from>
    <xdr:ext cx="1047851" cy="374141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7849850" y="7477125"/>
          <a:ext cx="104785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800">
              <a:solidFill>
                <a:srgbClr val="FF0000"/>
              </a:solidFill>
            </a:rPr>
            <a:t>2nd Gear</a:t>
          </a:r>
        </a:p>
      </xdr:txBody>
    </xdr:sp>
    <xdr:clientData/>
  </xdr:oneCellAnchor>
  <xdr:oneCellAnchor>
    <xdr:from>
      <xdr:col>40</xdr:col>
      <xdr:colOff>114300</xdr:colOff>
      <xdr:row>51</xdr:row>
      <xdr:rowOff>57150</xdr:rowOff>
    </xdr:from>
    <xdr:ext cx="39639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8459450" y="9639300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17T</a:t>
          </a:r>
        </a:p>
      </xdr:txBody>
    </xdr:sp>
    <xdr:clientData/>
  </xdr:oneCellAnchor>
  <xdr:oneCellAnchor>
    <xdr:from>
      <xdr:col>36</xdr:col>
      <xdr:colOff>66675</xdr:colOff>
      <xdr:row>25</xdr:row>
      <xdr:rowOff>57150</xdr:rowOff>
    </xdr:from>
    <xdr:ext cx="39639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7297400" y="5276850"/>
          <a:ext cx="3963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25T</a:t>
          </a:r>
        </a:p>
      </xdr:txBody>
    </xdr:sp>
    <xdr:clientData/>
  </xdr:oneCellAnchor>
  <xdr:oneCellAnchor>
    <xdr:from>
      <xdr:col>26</xdr:col>
      <xdr:colOff>638175</xdr:colOff>
      <xdr:row>56</xdr:row>
      <xdr:rowOff>38100</xdr:rowOff>
    </xdr:from>
    <xdr:ext cx="960328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1839575" y="10429875"/>
          <a:ext cx="9603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>
              <a:solidFill>
                <a:srgbClr val="FF0000"/>
              </a:solidFill>
            </a:rPr>
            <a:t>Clutch Basket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0.39846</cdr:x>
      <cdr:y>0.49927</cdr:y>
    </cdr:from>
    <cdr:to>
      <cdr:x>0.40688</cdr:x>
      <cdr:y>0.53401</cdr:y>
    </cdr:to>
    <cdr:sp macro="" textlink="">
      <cdr:nvSpPr>
        <cdr:cNvPr id="2049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45228" y="2247775"/>
          <a:ext cx="85415" cy="1562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1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2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3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4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0.49136</cdr:x>
      <cdr:y>0.47026</cdr:y>
    </cdr:from>
    <cdr:to>
      <cdr:x>0.51869</cdr:x>
      <cdr:y>0.52127</cdr:y>
    </cdr:to>
    <cdr:sp macro="" textlink="" fLocksText="0">
      <cdr:nvSpPr>
        <cdr:cNvPr id="3073" name="Testo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15425" y="1627437"/>
          <a:ext cx="340149" cy="176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wrap="none" lIns="20160" tIns="20160" rIns="20160" bIns="20160" anchor="ctr" upright="1">
          <a:no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1000" b="0" i="0" strike="noStrike">
              <a:solidFill>
                <a:srgbClr val="000000"/>
              </a:solidFill>
              <a:latin typeface="Arial"/>
              <a:cs typeface="Arial"/>
            </a:rPr>
            <a:t>Falls</a:t>
          </a:r>
        </a:p>
      </cdr:txBody>
    </cdr:sp>
  </cdr:relSizeAnchor>
  <cdr:relSizeAnchor xmlns:cdr="http://schemas.openxmlformats.org/drawingml/2006/chartDrawing">
    <cdr:from>
      <cdr:x>0.05857</cdr:x>
      <cdr:y>0.83452</cdr:y>
    </cdr:from>
    <cdr:to>
      <cdr:x>0.15664</cdr:x>
      <cdr:y>0.88619</cdr:y>
    </cdr:to>
    <cdr:sp macro="" textlink="" fLocksText="0">
      <cdr:nvSpPr>
        <cdr:cNvPr id="3074" name="Testo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29004" y="2888060"/>
          <a:ext cx="1220579" cy="17881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cdr:txBody>
    </cdr:sp>
  </cdr:relSizeAnchor>
  <cdr:relSizeAnchor xmlns:cdr="http://schemas.openxmlformats.org/drawingml/2006/chartDrawing">
    <cdr:from>
      <cdr:x>0.33621</cdr:x>
      <cdr:y>0.82679</cdr:y>
    </cdr:from>
    <cdr:to>
      <cdr:x>0.44444</cdr:x>
      <cdr:y>0.87772</cdr:y>
    </cdr:to>
    <cdr:sp macro="" textlink="" fLocksText="0">
      <cdr:nvSpPr>
        <cdr:cNvPr id="3075" name="Testo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184485" y="2861324"/>
          <a:ext cx="1347030" cy="1762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cdr:txBody>
    </cdr:sp>
  </cdr:relSizeAnchor>
  <cdr:relSizeAnchor xmlns:cdr="http://schemas.openxmlformats.org/drawingml/2006/chartDrawing">
    <cdr:from>
      <cdr:x>0.63749</cdr:x>
      <cdr:y>0.83452</cdr:y>
    </cdr:from>
    <cdr:to>
      <cdr:x>0.74373</cdr:x>
      <cdr:y>0.88545</cdr:y>
    </cdr:to>
    <cdr:sp macro="" textlink="" fLocksText="0">
      <cdr:nvSpPr>
        <cdr:cNvPr id="3076" name="Testo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934246" y="2888060"/>
          <a:ext cx="1322263" cy="1762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cdr:txBody>
    </cdr:sp>
  </cdr:relSizeAnchor>
  <cdr:relSizeAnchor xmlns:cdr="http://schemas.openxmlformats.org/drawingml/2006/chartDrawing">
    <cdr:from>
      <cdr:x>0.95381</cdr:x>
      <cdr:y>0.83452</cdr:y>
    </cdr:from>
    <cdr:to>
      <cdr:x>1</cdr:x>
      <cdr:y>0.87586</cdr:y>
    </cdr:to>
    <cdr:sp macro="" textlink="" fLocksText="0">
      <cdr:nvSpPr>
        <cdr:cNvPr id="3077" name="Testo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871158" y="2888060"/>
          <a:ext cx="574842" cy="14306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6218" cy="606184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6777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128"/>
  <sheetViews>
    <sheetView showGridLines="0" tabSelected="1" workbookViewId="0" xr3:uid="{AEA406A1-0E4B-5B11-9CD5-51D6E497D94C}">
      <selection activeCell="G5" sqref="G5"/>
    </sheetView>
  </sheetViews>
  <sheetFormatPr defaultColWidth="7.625" defaultRowHeight="12.95"/>
  <cols>
    <col min="1" max="1" width="4.625" style="1" customWidth="1"/>
    <col min="2" max="2" width="4.125" style="1" customWidth="1"/>
    <col min="3" max="3" width="8.375" style="1" customWidth="1"/>
    <col min="4" max="4" width="6.125" style="1" bestFit="1" customWidth="1"/>
    <col min="5" max="5" width="6.375" style="1" bestFit="1" customWidth="1"/>
    <col min="6" max="6" width="6" style="1" customWidth="1"/>
    <col min="7" max="7" width="7.625" style="1" bestFit="1" customWidth="1"/>
    <col min="8" max="8" width="5.625" style="1" customWidth="1"/>
    <col min="9" max="9" width="4.625" style="1" customWidth="1"/>
    <col min="10" max="10" width="4.125" style="1" customWidth="1"/>
    <col min="11" max="11" width="7.375" style="1" customWidth="1"/>
    <col min="12" max="12" width="6.125" style="1" bestFit="1" customWidth="1"/>
    <col min="13" max="13" width="6.375" style="1" bestFit="1" customWidth="1"/>
    <col min="14" max="14" width="6" style="1" customWidth="1"/>
    <col min="15" max="18" width="5.625" style="1" customWidth="1"/>
    <col min="19" max="19" width="7.125" style="1" customWidth="1"/>
    <col min="20" max="20" width="6.875" style="1" customWidth="1"/>
    <col min="21" max="21" width="5.375" style="1" bestFit="1" customWidth="1"/>
    <col min="22" max="24" width="5.625" style="1" customWidth="1"/>
    <col min="25" max="25" width="2.375" style="1" customWidth="1"/>
    <col min="26" max="26" width="8.875" style="1" bestFit="1" customWidth="1"/>
    <col min="27" max="27" width="10.375" style="1" bestFit="1" customWidth="1"/>
    <col min="28" max="28" width="9.875" style="1" bestFit="1" customWidth="1"/>
    <col min="29" max="29" width="8.875" style="1" bestFit="1" customWidth="1"/>
    <col min="30" max="30" width="15.125" style="1" customWidth="1"/>
    <col min="31" max="31" width="8.125" style="1" customWidth="1"/>
    <col min="32" max="32" width="7.125" style="1" customWidth="1"/>
    <col min="33" max="33" width="6.375" style="1" customWidth="1"/>
    <col min="34" max="35" width="4.875" style="1" customWidth="1"/>
    <col min="36" max="37" width="3.125" style="1" customWidth="1"/>
    <col min="38" max="38" width="4.875" style="1" customWidth="1"/>
    <col min="39" max="40" width="3.125" style="1" customWidth="1"/>
    <col min="41" max="41" width="4.875" style="1" customWidth="1"/>
    <col min="42" max="43" width="3.125" style="1" customWidth="1"/>
    <col min="44" max="44" width="4.875" style="1" customWidth="1"/>
    <col min="45" max="46" width="3.125" style="1" customWidth="1"/>
    <col min="47" max="47" width="4.875" style="1" customWidth="1"/>
    <col min="48" max="49" width="3.125" style="1" customWidth="1"/>
    <col min="50" max="50" width="4.875" style="1" customWidth="1"/>
    <col min="51" max="52" width="3.125" style="1" customWidth="1"/>
    <col min="53" max="53" width="4.875" style="1" customWidth="1"/>
    <col min="54" max="58" width="7.625" style="1"/>
    <col min="59" max="59" width="14.375" style="1" bestFit="1" customWidth="1"/>
    <col min="60" max="60" width="7.625" style="1"/>
    <col min="61" max="61" width="4.625" style="1" bestFit="1" customWidth="1"/>
    <col min="62" max="62" width="8.375" style="1" bestFit="1" customWidth="1"/>
    <col min="63" max="66" width="7.625" style="1"/>
    <col min="67" max="67" width="11.625" style="1" bestFit="1" customWidth="1"/>
    <col min="68" max="68" width="11" style="1" bestFit="1" customWidth="1"/>
    <col min="69" max="16384" width="7.625" style="1"/>
  </cols>
  <sheetData>
    <row r="1" spans="1:68" ht="18.75" customHeight="1" thickBot="1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</row>
    <row r="2" spans="1:68" s="14" customFormat="1" ht="28.35" customHeight="1" thickBot="1">
      <c r="A2" s="2" t="s">
        <v>1</v>
      </c>
      <c r="B2" s="3"/>
      <c r="C2" s="4"/>
      <c r="D2" s="5"/>
      <c r="E2" s="5"/>
      <c r="F2" s="6" t="s">
        <v>2</v>
      </c>
      <c r="G2" s="7" t="s">
        <v>3</v>
      </c>
      <c r="H2" s="8"/>
      <c r="I2" s="2" t="s">
        <v>1</v>
      </c>
      <c r="J2" s="3"/>
      <c r="K2" s="4"/>
      <c r="L2" s="5"/>
      <c r="M2" s="5"/>
      <c r="N2" s="6" t="s">
        <v>2</v>
      </c>
      <c r="O2" s="9" t="s">
        <v>4</v>
      </c>
      <c r="P2" s="8"/>
      <c r="Q2" s="2" t="s">
        <v>1</v>
      </c>
      <c r="R2" s="3"/>
      <c r="S2" s="4"/>
      <c r="T2" s="5"/>
      <c r="U2" s="5"/>
      <c r="V2" s="6" t="s">
        <v>2</v>
      </c>
      <c r="W2" s="10" t="s">
        <v>5</v>
      </c>
      <c r="X2" s="8"/>
      <c r="Y2" s="11"/>
      <c r="Z2" s="101" t="s">
        <v>6</v>
      </c>
      <c r="AA2" s="102"/>
      <c r="AB2" s="11"/>
      <c r="AC2" s="11"/>
      <c r="AD2" s="11"/>
      <c r="AE2" s="11"/>
      <c r="AF2" s="12"/>
      <c r="AG2" s="13"/>
    </row>
    <row r="3" spans="1:68" ht="26.25" customHeight="1">
      <c r="A3" s="103" t="s">
        <v>7</v>
      </c>
      <c r="B3" s="103"/>
      <c r="C3" s="15">
        <v>23</v>
      </c>
      <c r="D3" s="15">
        <v>63</v>
      </c>
      <c r="E3" s="16"/>
      <c r="F3" s="16"/>
      <c r="G3" s="16"/>
      <c r="H3" s="17"/>
      <c r="I3" s="103" t="s">
        <v>7</v>
      </c>
      <c r="J3" s="103"/>
      <c r="K3" s="15">
        <v>23</v>
      </c>
      <c r="L3" s="15">
        <v>63</v>
      </c>
      <c r="M3" s="16"/>
      <c r="N3" s="16"/>
      <c r="O3" s="16"/>
      <c r="P3" s="17"/>
      <c r="Q3" s="103" t="s">
        <v>7</v>
      </c>
      <c r="R3" s="103"/>
      <c r="S3" s="15">
        <v>23</v>
      </c>
      <c r="T3" s="15">
        <v>63</v>
      </c>
      <c r="U3" s="16"/>
      <c r="V3" s="16"/>
      <c r="W3" s="16"/>
      <c r="X3" s="17"/>
      <c r="Y3" s="18"/>
      <c r="Z3" s="19" t="s">
        <v>8</v>
      </c>
      <c r="AA3" s="20" t="s">
        <v>9</v>
      </c>
      <c r="AB3" s="20" t="s">
        <v>10</v>
      </c>
      <c r="AC3" s="20" t="s">
        <v>11</v>
      </c>
      <c r="AD3" s="94" t="s">
        <v>12</v>
      </c>
      <c r="AE3" s="21" t="s">
        <v>13</v>
      </c>
      <c r="AF3" s="18"/>
      <c r="AG3" s="22"/>
      <c r="BM3" s="1">
        <v>17000</v>
      </c>
    </row>
    <row r="4" spans="1:68" ht="18">
      <c r="A4" s="103" t="s">
        <v>14</v>
      </c>
      <c r="B4" s="103"/>
      <c r="C4" s="23">
        <v>13</v>
      </c>
      <c r="D4" s="23">
        <v>39</v>
      </c>
      <c r="E4" s="16"/>
      <c r="F4" s="16"/>
      <c r="G4" s="16"/>
      <c r="H4" s="24"/>
      <c r="I4" s="103" t="s">
        <v>14</v>
      </c>
      <c r="J4" s="103"/>
      <c r="K4" s="23">
        <v>15</v>
      </c>
      <c r="L4" s="23">
        <v>36</v>
      </c>
      <c r="M4" s="16"/>
      <c r="N4" s="16"/>
      <c r="O4" s="16"/>
      <c r="P4" s="24"/>
      <c r="Q4" s="103" t="s">
        <v>14</v>
      </c>
      <c r="R4" s="103"/>
      <c r="S4" s="23">
        <v>12</v>
      </c>
      <c r="T4" s="23">
        <v>37</v>
      </c>
      <c r="U4" s="16"/>
      <c r="V4" s="16"/>
      <c r="W4" s="16"/>
      <c r="X4" s="24"/>
      <c r="Y4" s="25"/>
      <c r="Z4" s="96" t="s">
        <v>15</v>
      </c>
      <c r="AA4" s="98">
        <v>13</v>
      </c>
      <c r="AB4" s="98">
        <v>42</v>
      </c>
      <c r="AC4" s="98">
        <v>108</v>
      </c>
      <c r="AD4" s="98">
        <v>67</v>
      </c>
      <c r="AE4" s="106">
        <f>0.5*(AC4-0.5*(AA4+AB4))*25.4*VLOOKUP(Z4,'Gearbox CRF450'!BO5:BP7,2,FALSE)-AD4</f>
        <v>571.96875</v>
      </c>
      <c r="AF4" s="18"/>
      <c r="AG4" s="22"/>
      <c r="AI4" s="26" t="s">
        <v>16</v>
      </c>
      <c r="AJ4" s="104" t="s">
        <v>17</v>
      </c>
      <c r="AK4" s="104"/>
      <c r="AL4" s="104"/>
      <c r="AM4" s="104" t="s">
        <v>18</v>
      </c>
      <c r="AN4" s="104"/>
      <c r="AO4" s="104"/>
      <c r="AP4" s="104" t="s">
        <v>19</v>
      </c>
      <c r="AQ4" s="104"/>
      <c r="AR4" s="104"/>
      <c r="AS4" s="104" t="s">
        <v>20</v>
      </c>
      <c r="AT4" s="104"/>
      <c r="AU4" s="104"/>
      <c r="AV4" s="105"/>
      <c r="AW4" s="105"/>
      <c r="AX4" s="105"/>
      <c r="AY4" s="105"/>
      <c r="AZ4" s="105"/>
      <c r="BA4" s="105"/>
      <c r="BG4" s="93">
        <v>11</v>
      </c>
      <c r="BH4" s="93">
        <v>36</v>
      </c>
      <c r="BM4" s="1">
        <v>16900</v>
      </c>
      <c r="BO4" s="27" t="s">
        <v>21</v>
      </c>
      <c r="BP4" s="27" t="s">
        <v>22</v>
      </c>
    </row>
    <row r="5" spans="1:68" ht="17.100000000000001" thickBot="1">
      <c r="A5" s="103" t="s">
        <v>23</v>
      </c>
      <c r="B5" s="103"/>
      <c r="C5" s="28" t="s">
        <v>24</v>
      </c>
      <c r="D5" s="29"/>
      <c r="E5" s="23">
        <f>$BH$19*IF(C5="Goldspeed Dry",1,0)+$BH$20*IF(C5="Small",1,0)+$BH$21*IF(C5="INTER",1,0)+$BH$22*IF(C5="Michelin Rain",1,0)</f>
        <v>0.61660000000000004</v>
      </c>
      <c r="F5" s="30" t="s">
        <v>25</v>
      </c>
      <c r="G5" s="16"/>
      <c r="H5" s="17"/>
      <c r="I5" s="103" t="s">
        <v>23</v>
      </c>
      <c r="J5" s="103"/>
      <c r="K5" s="28" t="s">
        <v>24</v>
      </c>
      <c r="L5" s="29"/>
      <c r="M5" s="23">
        <f>$BH$19*IF(K5="Goldspeed Dry",1,0)+$BH$20*IF(K5="Small",1,0)+$BH$21*IF(K5="INTER",1,0)+$BH$22*IF(K5="Michelin Rain",1,0)</f>
        <v>0.61660000000000004</v>
      </c>
      <c r="N5" s="30" t="s">
        <v>25</v>
      </c>
      <c r="O5" s="16"/>
      <c r="P5" s="17"/>
      <c r="Q5" s="103" t="s">
        <v>23</v>
      </c>
      <c r="R5" s="103"/>
      <c r="S5" s="28" t="s">
        <v>24</v>
      </c>
      <c r="T5" s="29"/>
      <c r="U5" s="91">
        <f>$BH$19*IF(S5="Goldspeed Dry",1,0)+$BH$20*IF(S5="Small",1,0)+$BH$21*IF(S5="INTER",1,0)+$BH$22*IF(S5="Michelin Rain",1,0)</f>
        <v>0.61660000000000004</v>
      </c>
      <c r="V5" s="30" t="s">
        <v>25</v>
      </c>
      <c r="W5" s="16"/>
      <c r="X5" s="17"/>
      <c r="Y5" s="31"/>
      <c r="Z5" s="97"/>
      <c r="AA5" s="99"/>
      <c r="AB5" s="99"/>
      <c r="AC5" s="99"/>
      <c r="AD5" s="99"/>
      <c r="AE5" s="107"/>
      <c r="AF5" s="18"/>
      <c r="AG5" s="22"/>
      <c r="AI5" s="32">
        <v>1</v>
      </c>
      <c r="AJ5" s="33">
        <v>15</v>
      </c>
      <c r="AK5" s="34">
        <v>27</v>
      </c>
      <c r="AL5" s="35">
        <f t="shared" ref="AL5:AL10" si="0">AK5/AJ5</f>
        <v>1.8</v>
      </c>
      <c r="AM5" s="34">
        <v>14</v>
      </c>
      <c r="AN5" s="34">
        <v>37</v>
      </c>
      <c r="AO5" s="35">
        <f t="shared" ref="AO5:AO10" si="1">AN5/AM5</f>
        <v>2.6428571428571428</v>
      </c>
      <c r="AP5" s="34">
        <v>14</v>
      </c>
      <c r="AQ5" s="34">
        <v>36</v>
      </c>
      <c r="AR5" s="35">
        <f t="shared" ref="AR5:AR10" si="2">AQ5/AP5</f>
        <v>2.5714285714285716</v>
      </c>
      <c r="AS5" s="34">
        <v>16</v>
      </c>
      <c r="AT5" s="34">
        <v>40</v>
      </c>
      <c r="AU5" s="36">
        <f t="shared" ref="AU5:AU10" si="3">AT5/AS5</f>
        <v>2.5</v>
      </c>
      <c r="AV5" s="37"/>
      <c r="AW5" s="37"/>
      <c r="AX5" s="37"/>
      <c r="AY5" s="38"/>
      <c r="AZ5" s="38"/>
      <c r="BA5" s="37"/>
      <c r="BC5" s="1" t="s">
        <v>26</v>
      </c>
      <c r="BG5" s="92">
        <v>12</v>
      </c>
      <c r="BH5" s="92">
        <v>37</v>
      </c>
      <c r="BM5" s="1">
        <v>16800</v>
      </c>
      <c r="BO5" s="27" t="s">
        <v>27</v>
      </c>
      <c r="BP5" s="27">
        <v>0.5</v>
      </c>
    </row>
    <row r="6" spans="1:68" ht="17.100000000000001" thickBot="1">
      <c r="A6" s="103" t="s">
        <v>28</v>
      </c>
      <c r="B6" s="103"/>
      <c r="C6" s="23">
        <v>11000</v>
      </c>
      <c r="D6" s="23">
        <v>11000</v>
      </c>
      <c r="E6" s="114" t="s">
        <v>29</v>
      </c>
      <c r="F6" s="114"/>
      <c r="G6" s="16"/>
      <c r="H6" s="17"/>
      <c r="I6" s="103" t="s">
        <v>28</v>
      </c>
      <c r="J6" s="103"/>
      <c r="K6" s="23">
        <v>11000</v>
      </c>
      <c r="L6" s="23">
        <v>11000</v>
      </c>
      <c r="M6" s="114" t="s">
        <v>29</v>
      </c>
      <c r="N6" s="114"/>
      <c r="O6" s="16"/>
      <c r="P6" s="17"/>
      <c r="Q6" s="103" t="s">
        <v>28</v>
      </c>
      <c r="R6" s="103"/>
      <c r="S6" s="23">
        <v>11000</v>
      </c>
      <c r="T6" s="23">
        <v>11000</v>
      </c>
      <c r="U6" s="114" t="s">
        <v>29</v>
      </c>
      <c r="V6" s="114"/>
      <c r="W6" s="16"/>
      <c r="X6" s="17"/>
      <c r="Y6" s="18"/>
      <c r="Z6" s="108" t="s">
        <v>30</v>
      </c>
      <c r="AA6" s="109"/>
      <c r="AB6" s="18"/>
      <c r="AC6" s="18"/>
      <c r="AD6" s="18"/>
      <c r="AE6" s="18"/>
      <c r="AF6" s="18"/>
      <c r="AG6" s="22"/>
      <c r="AI6" s="40">
        <v>2</v>
      </c>
      <c r="AJ6" s="41">
        <v>17</v>
      </c>
      <c r="AK6" s="41">
        <v>25</v>
      </c>
      <c r="AL6" s="42">
        <f t="shared" si="0"/>
        <v>1.4705882352941178</v>
      </c>
      <c r="AM6" s="41">
        <v>18</v>
      </c>
      <c r="AN6" s="41">
        <v>39</v>
      </c>
      <c r="AO6" s="42">
        <f t="shared" si="1"/>
        <v>2.1666666666666665</v>
      </c>
      <c r="AP6" s="41">
        <v>16</v>
      </c>
      <c r="AQ6" s="41">
        <v>34</v>
      </c>
      <c r="AR6" s="42">
        <f t="shared" si="2"/>
        <v>2.125</v>
      </c>
      <c r="AS6" s="41">
        <v>16</v>
      </c>
      <c r="AT6" s="41">
        <v>36</v>
      </c>
      <c r="AU6" s="42">
        <f t="shared" si="3"/>
        <v>2.25</v>
      </c>
      <c r="AV6" s="43"/>
      <c r="AW6" s="43"/>
      <c r="AX6" s="43"/>
      <c r="AY6" s="38"/>
      <c r="AZ6" s="38"/>
      <c r="BA6" s="37"/>
      <c r="BC6" s="1" t="s">
        <v>31</v>
      </c>
      <c r="BG6" s="39">
        <v>13</v>
      </c>
      <c r="BH6" s="39">
        <v>38</v>
      </c>
      <c r="BM6" s="1">
        <v>16700</v>
      </c>
      <c r="BO6" s="27" t="s">
        <v>15</v>
      </c>
      <c r="BP6" s="27">
        <f>5/8</f>
        <v>0.625</v>
      </c>
    </row>
    <row r="7" spans="1:68" ht="14.1">
      <c r="A7" s="103" t="s">
        <v>32</v>
      </c>
      <c r="B7" s="103"/>
      <c r="C7" s="44"/>
      <c r="D7" s="44"/>
      <c r="E7" s="44"/>
      <c r="F7" s="44" t="s">
        <v>33</v>
      </c>
      <c r="G7" s="44" t="s">
        <v>34</v>
      </c>
      <c r="H7" s="45" t="s">
        <v>35</v>
      </c>
      <c r="I7" s="103" t="s">
        <v>32</v>
      </c>
      <c r="J7" s="103"/>
      <c r="K7" s="44"/>
      <c r="L7" s="44"/>
      <c r="M7" s="44"/>
      <c r="N7" s="44" t="s">
        <v>33</v>
      </c>
      <c r="O7" s="44" t="s">
        <v>34</v>
      </c>
      <c r="P7" s="45" t="s">
        <v>35</v>
      </c>
      <c r="Q7" s="103" t="s">
        <v>32</v>
      </c>
      <c r="R7" s="103"/>
      <c r="S7" s="44"/>
      <c r="T7" s="44"/>
      <c r="U7" s="44"/>
      <c r="V7" s="44" t="s">
        <v>33</v>
      </c>
      <c r="W7" s="44" t="s">
        <v>34</v>
      </c>
      <c r="X7" s="45" t="s">
        <v>35</v>
      </c>
      <c r="Y7" s="46"/>
      <c r="Z7" s="110" t="s">
        <v>8</v>
      </c>
      <c r="AA7" s="112" t="s">
        <v>9</v>
      </c>
      <c r="AB7" s="112" t="s">
        <v>10</v>
      </c>
      <c r="AC7" s="112" t="s">
        <v>11</v>
      </c>
      <c r="AD7" s="115" t="s">
        <v>12</v>
      </c>
      <c r="AE7" s="117" t="s">
        <v>13</v>
      </c>
      <c r="AF7" s="46"/>
      <c r="AG7" s="46"/>
      <c r="AI7" s="32">
        <v>3</v>
      </c>
      <c r="AJ7" s="34">
        <v>17</v>
      </c>
      <c r="AK7" s="34">
        <v>21</v>
      </c>
      <c r="AL7" s="35">
        <f t="shared" si="0"/>
        <v>1.2352941176470589</v>
      </c>
      <c r="AM7" s="34">
        <v>17</v>
      </c>
      <c r="AN7" s="34">
        <v>32</v>
      </c>
      <c r="AO7" s="35">
        <f t="shared" si="1"/>
        <v>1.8823529411764706</v>
      </c>
      <c r="AP7" s="47">
        <v>22</v>
      </c>
      <c r="AQ7" s="47">
        <v>40</v>
      </c>
      <c r="AR7" s="35">
        <f>AQ7/AP7</f>
        <v>1.8181818181818181</v>
      </c>
      <c r="AS7" s="34">
        <v>21</v>
      </c>
      <c r="AT7" s="34">
        <v>40</v>
      </c>
      <c r="AU7" s="35">
        <f t="shared" si="3"/>
        <v>1.9047619047619047</v>
      </c>
      <c r="AV7" s="43"/>
      <c r="AW7" s="43"/>
      <c r="AX7" s="43"/>
      <c r="AY7" s="38"/>
      <c r="AZ7" s="38"/>
      <c r="BA7" s="37"/>
      <c r="BC7" s="1" t="s">
        <v>36</v>
      </c>
      <c r="BG7" s="39">
        <v>14</v>
      </c>
      <c r="BH7" s="39">
        <v>39</v>
      </c>
      <c r="BM7" s="1">
        <v>16600</v>
      </c>
      <c r="BO7" s="27" t="s">
        <v>37</v>
      </c>
      <c r="BP7" s="27">
        <v>0.75</v>
      </c>
    </row>
    <row r="8" spans="1:68" ht="16.5" customHeight="1">
      <c r="A8" s="48"/>
      <c r="B8" s="16"/>
      <c r="C8" s="16"/>
      <c r="D8" s="16"/>
      <c r="E8" s="16"/>
      <c r="F8" s="49">
        <f>G8*60*(C9/D9)*($C$3/$D$3)*$E$5*PI()/1000*$C$4/$D$4</f>
        <v>27.502122651036871</v>
      </c>
      <c r="G8" s="29">
        <v>3500</v>
      </c>
      <c r="H8" s="17"/>
      <c r="I8" s="48"/>
      <c r="J8" s="16"/>
      <c r="K8" s="16"/>
      <c r="L8" s="16"/>
      <c r="M8" s="16"/>
      <c r="N8" s="49">
        <f>O8*60*(K9/L9)*($K$3/$L$3)*$M$5*PI()/1000*$K$4/$L$4</f>
        <v>68.755306627592176</v>
      </c>
      <c r="O8" s="29">
        <v>7000</v>
      </c>
      <c r="P8" s="17"/>
      <c r="Q8" s="48"/>
      <c r="R8" s="16"/>
      <c r="S8" s="16"/>
      <c r="T8" s="16"/>
      <c r="U8" s="16"/>
      <c r="V8" s="49">
        <f>W8*60*(S9/T9)*($S$3/$T$3)*$U$5*PI()/1000*$S$4/$T$4</f>
        <v>53.517644077693369</v>
      </c>
      <c r="W8" s="29">
        <v>7000</v>
      </c>
      <c r="X8" s="17"/>
      <c r="Y8" s="46"/>
      <c r="Z8" s="111"/>
      <c r="AA8" s="113"/>
      <c r="AB8" s="113"/>
      <c r="AC8" s="113"/>
      <c r="AD8" s="116"/>
      <c r="AE8" s="118"/>
      <c r="AF8" s="46"/>
      <c r="AG8" s="46"/>
      <c r="AI8" s="40">
        <v>4</v>
      </c>
      <c r="AJ8" s="41">
        <v>20</v>
      </c>
      <c r="AK8" s="41">
        <v>21</v>
      </c>
      <c r="AL8" s="42">
        <f t="shared" si="0"/>
        <v>1.05</v>
      </c>
      <c r="AM8" s="41">
        <v>20</v>
      </c>
      <c r="AN8" s="41">
        <v>33</v>
      </c>
      <c r="AO8" s="42">
        <f t="shared" si="1"/>
        <v>1.65</v>
      </c>
      <c r="AP8" s="50">
        <v>23</v>
      </c>
      <c r="AQ8" s="50">
        <v>39</v>
      </c>
      <c r="AR8" s="42">
        <f t="shared" si="2"/>
        <v>1.6956521739130435</v>
      </c>
      <c r="AS8" s="41">
        <v>19</v>
      </c>
      <c r="AT8" s="41">
        <v>30</v>
      </c>
      <c r="AU8" s="42">
        <f t="shared" si="3"/>
        <v>1.5789473684210527</v>
      </c>
      <c r="AV8" s="43"/>
      <c r="AW8" s="43"/>
      <c r="AX8" s="43"/>
      <c r="AY8" s="38"/>
      <c r="AZ8" s="38"/>
      <c r="BA8" s="43"/>
      <c r="BC8" s="1" t="s">
        <v>38</v>
      </c>
      <c r="BG8" s="39">
        <v>15</v>
      </c>
      <c r="BH8" s="39">
        <v>40</v>
      </c>
      <c r="BM8" s="1">
        <v>16500</v>
      </c>
      <c r="BO8" s="27"/>
      <c r="BP8" s="27"/>
    </row>
    <row r="9" spans="1:68" ht="16.5" customHeight="1">
      <c r="A9" s="51" t="s">
        <v>39</v>
      </c>
      <c r="B9" s="52" t="s">
        <v>26</v>
      </c>
      <c r="C9" s="53">
        <f>$AJ$5*IF(B9="A",1,0)+$AM$5*IF(B9="B",1,0)+$AP$5*IF(B9="C",1,0)</f>
        <v>15</v>
      </c>
      <c r="D9" s="53">
        <f>$AK$5*IF(B9="A",1,0)+$AN$5*IF(B9="B",1,0)+$AQ$5*IF(B9="C",1,0)</f>
        <v>27</v>
      </c>
      <c r="E9" s="54">
        <f>D9/First</f>
        <v>1.8</v>
      </c>
      <c r="F9" s="49">
        <f>(($C$6*60*(C9/D9)*($C$3/$D$3)*$E$5*PI())/1000)*$C$4/$D$4</f>
        <v>86.435242617544461</v>
      </c>
      <c r="G9" s="49">
        <f>$C$6</f>
        <v>11000</v>
      </c>
      <c r="H9" s="55">
        <f>H10</f>
        <v>2013.071895424835</v>
      </c>
      <c r="I9" s="51" t="s">
        <v>39</v>
      </c>
      <c r="J9" s="56" t="s">
        <v>26</v>
      </c>
      <c r="K9" s="53">
        <f>$AJ$5*IF(J9="A",1,0)+$AM$5*IF(J9="B",1,0)+$AP$5*IF(J9="C",1,0)+$AS$5*IF(J9="D",1,0)</f>
        <v>15</v>
      </c>
      <c r="L9" s="53">
        <f>$AK$5*IF(J9="A",1,0)+$AN$5*IF(J9="B",1,0)+$AQ$5*IF(J9="C",1,0)+$AT$5*IF(J9="D",1,0)</f>
        <v>27</v>
      </c>
      <c r="M9" s="54">
        <f>L9/K9</f>
        <v>1.8</v>
      </c>
      <c r="N9" s="49">
        <f>$K$6*60*(K9/L9)*($K$3/$L$3)*$M$5*PI()/1000*$K$4/$L$4</f>
        <v>108.04405327193057</v>
      </c>
      <c r="O9" s="49">
        <f>$K$6</f>
        <v>11000</v>
      </c>
      <c r="P9" s="55">
        <f>P10</f>
        <v>2013.071895424835</v>
      </c>
      <c r="Q9" s="51" t="s">
        <v>39</v>
      </c>
      <c r="R9" s="57" t="s">
        <v>26</v>
      </c>
      <c r="S9" s="53">
        <f>$AJ$5*IF(R9="A",1,0)+$AM$5*IF(R9="B",1,0)+$AP$5*IF(R9="C",1,0)+$AS$5*IF(R9="D",1,0)</f>
        <v>15</v>
      </c>
      <c r="T9" s="53">
        <f>$AK$5*IF(R9="A",1,0)+$AN$5*IF(R9="B",1,0)+$AQ$5*IF(R9="C",1,0)+$AT$5*IF(R9="D",1,0)</f>
        <v>27</v>
      </c>
      <c r="U9" s="54">
        <f>T9/S9</f>
        <v>1.8</v>
      </c>
      <c r="V9" s="49">
        <f>$S$6*60*(S9/T9)*($S$3/$T$3)*$U$5*PI()/1000*$S$4/$T$4</f>
        <v>84.099154979232438</v>
      </c>
      <c r="W9" s="49">
        <f>$S$6</f>
        <v>11000</v>
      </c>
      <c r="X9" s="55">
        <f>X10</f>
        <v>2013.071895424835</v>
      </c>
      <c r="Y9" s="58"/>
      <c r="Z9" s="96" t="s">
        <v>15</v>
      </c>
      <c r="AA9" s="98">
        <f>C4</f>
        <v>13</v>
      </c>
      <c r="AB9" s="98">
        <f>D4</f>
        <v>39</v>
      </c>
      <c r="AC9" s="98">
        <v>108</v>
      </c>
      <c r="AD9" s="98">
        <v>67</v>
      </c>
      <c r="AE9" s="106">
        <f>0.5*(AC9-0.5*(AA9+AB9))*25.4*VLOOKUP(Z9,'Gearbox CRF450'!BO5:BP7,2,FALSE)-AD9</f>
        <v>583.87499999999989</v>
      </c>
      <c r="AF9" s="58"/>
      <c r="AG9" s="59"/>
      <c r="AI9" s="32">
        <v>5</v>
      </c>
      <c r="AJ9" s="34">
        <v>22</v>
      </c>
      <c r="AK9" s="34">
        <v>20</v>
      </c>
      <c r="AL9" s="35">
        <f t="shared" si="0"/>
        <v>0.90909090909090906</v>
      </c>
      <c r="AM9" s="34">
        <v>20</v>
      </c>
      <c r="AN9" s="34">
        <v>30</v>
      </c>
      <c r="AO9" s="35">
        <f t="shared" si="1"/>
        <v>1.5</v>
      </c>
      <c r="AP9" s="34">
        <v>22</v>
      </c>
      <c r="AQ9" s="34">
        <v>32</v>
      </c>
      <c r="AR9" s="35">
        <f t="shared" si="2"/>
        <v>1.4545454545454546</v>
      </c>
      <c r="AS9" s="34">
        <v>23</v>
      </c>
      <c r="AT9" s="34">
        <v>32</v>
      </c>
      <c r="AU9" s="35">
        <f t="shared" si="3"/>
        <v>1.3913043478260869</v>
      </c>
      <c r="AV9" s="43"/>
      <c r="AW9" s="43"/>
      <c r="AX9" s="43"/>
      <c r="AY9" s="38"/>
      <c r="AZ9" s="38"/>
      <c r="BA9" s="43"/>
      <c r="BH9" s="39">
        <v>41</v>
      </c>
      <c r="BM9" s="1">
        <v>16400</v>
      </c>
      <c r="BO9" s="27" t="s">
        <v>40</v>
      </c>
      <c r="BP9" s="27"/>
    </row>
    <row r="10" spans="1:68" ht="17.100000000000001" thickBot="1">
      <c r="A10" s="51"/>
      <c r="B10" s="60"/>
      <c r="C10" s="61"/>
      <c r="D10" s="61"/>
      <c r="E10" s="54"/>
      <c r="F10" s="62">
        <f>F9</f>
        <v>86.435242617544461</v>
      </c>
      <c r="G10" s="63">
        <f>$C$6*(C9/D9)*(D11/C11)</f>
        <v>8986.928104575165</v>
      </c>
      <c r="H10" s="64">
        <f>$C$6-G10</f>
        <v>2013.071895424835</v>
      </c>
      <c r="I10" s="51"/>
      <c r="J10" s="65"/>
      <c r="K10" s="61"/>
      <c r="L10" s="61"/>
      <c r="M10" s="54"/>
      <c r="N10" s="62">
        <f>N9</f>
        <v>108.04405327193057</v>
      </c>
      <c r="O10" s="66">
        <f>$K$6*(K9/L9)*(L11/K11)</f>
        <v>8986.928104575165</v>
      </c>
      <c r="P10" s="64">
        <f>$K$6-O10</f>
        <v>2013.071895424835</v>
      </c>
      <c r="Q10" s="51"/>
      <c r="R10" s="65"/>
      <c r="S10" s="61"/>
      <c r="T10" s="61"/>
      <c r="U10" s="54"/>
      <c r="V10" s="62">
        <f>V9</f>
        <v>84.099154979232438</v>
      </c>
      <c r="W10" s="67">
        <f>$S$6*(S9/T9)*(T11/S11)</f>
        <v>8986.928104575165</v>
      </c>
      <c r="X10" s="64">
        <f>$S$6-W10</f>
        <v>2013.071895424835</v>
      </c>
      <c r="Y10" s="58"/>
      <c r="Z10" s="97"/>
      <c r="AA10" s="99"/>
      <c r="AB10" s="99"/>
      <c r="AC10" s="99"/>
      <c r="AD10" s="99"/>
      <c r="AE10" s="107"/>
      <c r="AF10" s="58"/>
      <c r="AG10" s="59"/>
      <c r="AI10" s="40">
        <v>6</v>
      </c>
      <c r="AJ10" s="41">
        <v>0</v>
      </c>
      <c r="AK10" s="41">
        <v>0</v>
      </c>
      <c r="AL10" s="42" t="e">
        <f t="shared" si="0"/>
        <v>#DIV/0!</v>
      </c>
      <c r="AM10" s="41">
        <v>23</v>
      </c>
      <c r="AN10" s="41">
        <v>32</v>
      </c>
      <c r="AO10" s="42">
        <f t="shared" si="1"/>
        <v>1.3913043478260869</v>
      </c>
      <c r="AP10" s="41">
        <v>26</v>
      </c>
      <c r="AQ10" s="41">
        <v>35</v>
      </c>
      <c r="AR10" s="42">
        <f t="shared" si="2"/>
        <v>1.3461538461538463</v>
      </c>
      <c r="AS10" s="41">
        <v>23</v>
      </c>
      <c r="AT10" s="41">
        <v>29</v>
      </c>
      <c r="AU10" s="42">
        <f t="shared" si="3"/>
        <v>1.2608695652173914</v>
      </c>
      <c r="AV10" s="43"/>
      <c r="AW10" s="43"/>
      <c r="AX10" s="43"/>
      <c r="AY10" s="38"/>
      <c r="AZ10" s="38"/>
      <c r="BA10" s="43"/>
      <c r="BH10" s="39">
        <v>42</v>
      </c>
      <c r="BM10" s="1">
        <v>16300</v>
      </c>
      <c r="BO10" s="27">
        <v>108</v>
      </c>
      <c r="BP10" s="27"/>
    </row>
    <row r="11" spans="1:68" ht="17.100000000000001" thickBot="1">
      <c r="A11" s="51" t="s">
        <v>41</v>
      </c>
      <c r="B11" s="52" t="s">
        <v>26</v>
      </c>
      <c r="C11" s="53">
        <f>$AJ$6*IF(B11="A",1,0)+$AM$6*IF(B11="B",1,0)+$AP$6*IF(B11="C",1,0)+$AS$6*IF(B11="D",1,0)+$AV$6*IF(B11="E",1,0)+$AY$6*IF(B11="f",1,0)</f>
        <v>17</v>
      </c>
      <c r="D11" s="68">
        <f>$AK$6*IF(B11="A",1,0)+$AN$6*IF(B11="B",1,0)+$AQ$6*IF(B11="C",1,0)+$AT$6*IF(B11="D",1,0)+$AW$6*IF(B11="E",1,0)+$AZ$6*IF(B11="f",1,0)</f>
        <v>25</v>
      </c>
      <c r="E11" s="54">
        <f>D11/C11</f>
        <v>1.4705882352941178</v>
      </c>
      <c r="F11" s="49">
        <f>$C$6*60*(C11/D11)*($C$3/$D$3)*$E$5*PI()/1000*$C$4/$D$4</f>
        <v>105.79673696387439</v>
      </c>
      <c r="G11" s="49">
        <f>$C$6</f>
        <v>11000</v>
      </c>
      <c r="H11" s="64"/>
      <c r="I11" s="51" t="s">
        <v>41</v>
      </c>
      <c r="J11" s="56" t="s">
        <v>26</v>
      </c>
      <c r="K11" s="53">
        <f>$AJ$6*IF(J11="A",1,0)+$AM$6*IF(J11="B",1,0)+$AP$6*IF(J11="C",1,0)+$AS$6*IF(J11="D",1,0)+$AV$6*IF(J11="E",1,0)+$AY$6*IF(J11="f",1,0)</f>
        <v>17</v>
      </c>
      <c r="L11" s="68">
        <f>$AK$6*IF(J11="A",1,0)+$AN$6*IF(J11="B",1,0)+$AQ$6*IF(J11="C",1,0)+$AT$6*IF(J11="D",1,0)+$AW$6*IF(J11="E",1,0)+$AZ$6*IF(J11="f",1,0)</f>
        <v>25</v>
      </c>
      <c r="M11" s="54">
        <f>L11/K11</f>
        <v>1.4705882352941178</v>
      </c>
      <c r="N11" s="49">
        <f>$K$6*60*(K11/L11)*($K$3/$L$3)*$M$5*PI()/1000*$K$4/$L$4</f>
        <v>132.245921204843</v>
      </c>
      <c r="O11" s="49">
        <f>$K$6</f>
        <v>11000</v>
      </c>
      <c r="P11" s="64"/>
      <c r="Q11" s="51" t="s">
        <v>41</v>
      </c>
      <c r="R11" s="57" t="s">
        <v>26</v>
      </c>
      <c r="S11" s="53">
        <f>$AJ$6*IF(R11="A",1,0)+$AM$6*IF(R11="B",1,0)+$AP$6*IF(R11="C",1,0)+$AS$6*IF(R11="D",1,0)+$AV$6*IF(R11="E",1,0)+$AY$6*IF(R11="f",1,0)</f>
        <v>17</v>
      </c>
      <c r="T11" s="68">
        <f>$AK$6*IF(R11="A",1,0)+$AN$6*IF(R11="B",1,0)+$AQ$6*IF(R11="C",1,0)+$AT$6*IF(R11="D",1,0)+$AW$6*IF(R11="E",1,0)+$AZ$6*IF(R11="f",1,0)</f>
        <v>25</v>
      </c>
      <c r="U11" s="54">
        <f>T11/S11</f>
        <v>1.4705882352941178</v>
      </c>
      <c r="V11" s="49">
        <f>$S$6*60*(S11/T11)*($S$3/$T$3)*$U$5*PI()/1000*$S$4/$T$4</f>
        <v>102.93736569458051</v>
      </c>
      <c r="W11" s="49">
        <f>$S$6</f>
        <v>11000</v>
      </c>
      <c r="X11" s="64"/>
      <c r="Y11" s="58"/>
      <c r="Z11" s="119" t="s">
        <v>42</v>
      </c>
      <c r="AA11" s="120"/>
      <c r="AB11" s="58"/>
      <c r="AC11" s="58"/>
      <c r="AD11" s="58"/>
      <c r="AE11" s="58"/>
      <c r="AF11" s="58"/>
      <c r="AG11" s="59"/>
      <c r="BH11" s="39">
        <v>43</v>
      </c>
      <c r="BM11" s="1">
        <v>16200</v>
      </c>
      <c r="BO11" s="27">
        <v>110</v>
      </c>
      <c r="BP11" s="27"/>
    </row>
    <row r="12" spans="1:68" ht="15.95">
      <c r="A12" s="51"/>
      <c r="B12" s="60"/>
      <c r="C12" s="61"/>
      <c r="D12" s="69"/>
      <c r="E12" s="54"/>
      <c r="F12" s="62">
        <f>F11</f>
        <v>105.79673696387439</v>
      </c>
      <c r="G12" s="63">
        <f>$C$6*(C11/D11)*(D13/C13)</f>
        <v>9240.0000000000018</v>
      </c>
      <c r="H12" s="64">
        <f>$C$6-G12</f>
        <v>1759.9999999999982</v>
      </c>
      <c r="I12" s="51"/>
      <c r="J12" s="65"/>
      <c r="K12" s="61"/>
      <c r="L12" s="69"/>
      <c r="M12" s="54"/>
      <c r="N12" s="62">
        <f>N11</f>
        <v>132.245921204843</v>
      </c>
      <c r="O12" s="66">
        <f>$K$6*(K11/L11)*(L13/K13)</f>
        <v>9240.0000000000018</v>
      </c>
      <c r="P12" s="64">
        <f>$K$6-O12</f>
        <v>1759.9999999999982</v>
      </c>
      <c r="Q12" s="51"/>
      <c r="R12" s="65"/>
      <c r="S12" s="61"/>
      <c r="T12" s="69"/>
      <c r="U12" s="54"/>
      <c r="V12" s="62">
        <f>V11</f>
        <v>102.93736569458051</v>
      </c>
      <c r="W12" s="67">
        <f>$S$6*(S11/T11)*(T13/S13)</f>
        <v>9240.0000000000018</v>
      </c>
      <c r="X12" s="64">
        <f>$S$6-W12</f>
        <v>1759.9999999999982</v>
      </c>
      <c r="Y12" s="58"/>
      <c r="Z12" s="110" t="s">
        <v>8</v>
      </c>
      <c r="AA12" s="112" t="s">
        <v>9</v>
      </c>
      <c r="AB12" s="112" t="s">
        <v>10</v>
      </c>
      <c r="AC12" s="112" t="s">
        <v>11</v>
      </c>
      <c r="AD12" s="115" t="s">
        <v>12</v>
      </c>
      <c r="AE12" s="117" t="s">
        <v>13</v>
      </c>
      <c r="AF12" s="58"/>
      <c r="AG12" s="59"/>
      <c r="BH12" s="39">
        <v>44</v>
      </c>
      <c r="BM12" s="1">
        <v>16100</v>
      </c>
      <c r="BO12" s="27">
        <v>112</v>
      </c>
      <c r="BP12" s="27"/>
    </row>
    <row r="13" spans="1:68" ht="15.75" customHeight="1">
      <c r="A13" s="51" t="s">
        <v>43</v>
      </c>
      <c r="B13" s="52" t="s">
        <v>26</v>
      </c>
      <c r="C13" s="53">
        <f>$AJ$7*IF(B13="A",1,0)+$AM$7*IF(B13="B",1,0)+$AP$7*IF(B13="C",1,0)+$AS$7*IF(B13="D",1,0)+$AV$7*IF(B13="E",1,0)+$AY$7*IF(B13="f",1,0)</f>
        <v>17</v>
      </c>
      <c r="D13" s="68">
        <f>$AK$7*IF(B13="A",1,0)+$AN$7*IF(B13="B",1,0)+$AQ$7*IF(B13="C",1,0)+$AT$7*IF(B13="D",1,0)+$AW$7*IF(B13="E",1,0)+$AZ$7*IF(B13="f",1,0)</f>
        <v>21</v>
      </c>
      <c r="E13" s="54">
        <f>D13/C13</f>
        <v>1.2352941176470589</v>
      </c>
      <c r="F13" s="49">
        <f>$C$6*60*(C13/D13)*($C$3/$D$3)*$E$5*PI()/1000*$C$4/$D$4</f>
        <v>125.94849638556477</v>
      </c>
      <c r="G13" s="49">
        <f>$C$6</f>
        <v>11000</v>
      </c>
      <c r="H13" s="64"/>
      <c r="I13" s="51" t="s">
        <v>43</v>
      </c>
      <c r="J13" s="56" t="s">
        <v>26</v>
      </c>
      <c r="K13" s="53">
        <f>$AJ$7*IF(J13="A",1,0)+$AM$7*IF(J13="B",1,0)+$AP$7*IF(J13="C",1,0)+$AS$7*IF(J13="D",1,0)</f>
        <v>17</v>
      </c>
      <c r="L13" s="68">
        <f>$AK$7*IF(J13="A",1,0)+$AN$7*IF(J13="B",1,0)+$AQ$7*IF(J13="C",1,0)+$AT$7*IF(J13="D",1,0)</f>
        <v>21</v>
      </c>
      <c r="M13" s="54">
        <f>L13/K13</f>
        <v>1.2352941176470589</v>
      </c>
      <c r="N13" s="49">
        <f>$K$6*60*(K13/L13)*($K$3/$L$3)*$M$5*PI()/1000*$K$4/$L$4</f>
        <v>157.43562048195597</v>
      </c>
      <c r="O13" s="49">
        <f>$K$6</f>
        <v>11000</v>
      </c>
      <c r="P13" s="64"/>
      <c r="Q13" s="51" t="s">
        <v>43</v>
      </c>
      <c r="R13" s="57" t="s">
        <v>26</v>
      </c>
      <c r="S13" s="53">
        <f>$AJ$7*IF(R13="A",1,0)+$AM$7*IF(R13="B",1,0)+$AP$7*IF(R13="C",1,0)+$AS$7*IF(R13="D",1,0)</f>
        <v>17</v>
      </c>
      <c r="T13" s="68">
        <f>$AK$7*IF(R13="A",1,0)+$AN$7*IF(R13="B",1,0)+$AQ$7*IF(R13="C",1,0)+$AT$7*IF(R13="D",1,0)</f>
        <v>21</v>
      </c>
      <c r="U13" s="54">
        <f>T13/S13</f>
        <v>1.2352941176470589</v>
      </c>
      <c r="V13" s="49">
        <f>$S$6*60*(S13/T13)*($S$3/$T$3)*$U$5*PI()/1000*$S$4/$T$4</f>
        <v>122.5444829697387</v>
      </c>
      <c r="W13" s="49">
        <f>$S$6</f>
        <v>11000</v>
      </c>
      <c r="X13" s="64"/>
      <c r="Y13" s="58"/>
      <c r="Z13" s="111"/>
      <c r="AA13" s="113"/>
      <c r="AB13" s="113"/>
      <c r="AC13" s="113"/>
      <c r="AD13" s="116"/>
      <c r="AE13" s="118"/>
      <c r="AF13" s="58"/>
      <c r="AG13" s="59"/>
      <c r="AI13" s="70"/>
      <c r="AJ13" s="70"/>
      <c r="AK13" s="70"/>
      <c r="AL13" s="70"/>
      <c r="AM13" s="1" t="s">
        <v>44</v>
      </c>
      <c r="BH13" s="39">
        <v>45</v>
      </c>
      <c r="BM13" s="1">
        <v>16000</v>
      </c>
      <c r="BO13" s="27">
        <v>114</v>
      </c>
      <c r="BP13" s="27"/>
    </row>
    <row r="14" spans="1:68" ht="15.95">
      <c r="A14" s="51"/>
      <c r="B14" s="60"/>
      <c r="C14" s="61"/>
      <c r="D14" s="69"/>
      <c r="E14" s="54"/>
      <c r="F14" s="62">
        <f>F13</f>
        <v>125.94849638556477</v>
      </c>
      <c r="G14" s="63">
        <f>$C$6*(C13/D13)*(D15/C15)</f>
        <v>9350</v>
      </c>
      <c r="H14" s="64">
        <f>$C$6-G14</f>
        <v>1650</v>
      </c>
      <c r="I14" s="51"/>
      <c r="J14" s="65"/>
      <c r="K14" s="61"/>
      <c r="L14" s="69"/>
      <c r="M14" s="54"/>
      <c r="N14" s="62">
        <f>N13</f>
        <v>157.43562048195597</v>
      </c>
      <c r="O14" s="66">
        <f>$K$6*(K13/L13)*(L15/K15)</f>
        <v>9350</v>
      </c>
      <c r="P14" s="64">
        <f>$K$6-O14</f>
        <v>1650</v>
      </c>
      <c r="Q14" s="51"/>
      <c r="R14" s="65"/>
      <c r="S14" s="61"/>
      <c r="T14" s="69"/>
      <c r="U14" s="54"/>
      <c r="V14" s="62">
        <f>V13</f>
        <v>122.5444829697387</v>
      </c>
      <c r="W14" s="67">
        <f>$S$6*(S13/T13)*(T15/S15)</f>
        <v>9350</v>
      </c>
      <c r="X14" s="64">
        <f>$S$6-W14</f>
        <v>1650</v>
      </c>
      <c r="Y14" s="58"/>
      <c r="Z14" s="121" t="s">
        <v>15</v>
      </c>
      <c r="AA14" s="98">
        <f>K4</f>
        <v>15</v>
      </c>
      <c r="AB14" s="98">
        <f>L4</f>
        <v>36</v>
      </c>
      <c r="AC14" s="98">
        <v>108</v>
      </c>
      <c r="AD14" s="98">
        <v>67</v>
      </c>
      <c r="AE14" s="106">
        <f>0.5*(AC14-0.5*(AA14+AB14))*25.4*VLOOKUP(Z14,'Gearbox CRF450'!BO5:BP7,2,FALSE)-AD14</f>
        <v>587.84375</v>
      </c>
      <c r="AF14" s="58"/>
      <c r="AG14" s="59"/>
      <c r="AN14" s="71" t="s">
        <v>45</v>
      </c>
      <c r="AO14" s="71" t="s">
        <v>46</v>
      </c>
      <c r="BH14" s="39">
        <v>46</v>
      </c>
      <c r="BM14" s="1">
        <v>15900</v>
      </c>
      <c r="BO14" s="27">
        <v>116</v>
      </c>
      <c r="BP14" s="27"/>
    </row>
    <row r="15" spans="1:68" ht="17.100000000000001" thickBot="1">
      <c r="A15" s="51" t="s">
        <v>47</v>
      </c>
      <c r="B15" s="52" t="s">
        <v>26</v>
      </c>
      <c r="C15" s="53">
        <f>$AJ$8*IF(B15="A",1,0)+$AM$8*IF(B15="B",1,0)+$AP$8*IF(B15="C",1,0)+$AS$8*IF(B15="D",1,0)+$AV$8*IF(B15="E",1,0)+$AY$8*IF(B15="f",1,0)</f>
        <v>20</v>
      </c>
      <c r="D15" s="68">
        <f>$AK$8*IF(B15="A",1,0)+$AN$8*IF(B15="B",1,0)+$AQ$8*IF(B15="C",1,0)+$AT$8*IF(B15="D",1,0)+$AW$8*IF(B15="E",1,0)+$AZ$8*IF(B15="f",1,0)</f>
        <v>21</v>
      </c>
      <c r="E15" s="54">
        <f>D15/C15</f>
        <v>1.05</v>
      </c>
      <c r="F15" s="49">
        <f>$C$6*60*(C15/D15)*($C$3/$D$3)*$E$5*PI()/1000*$C$4/$D$4</f>
        <v>148.17470163007621</v>
      </c>
      <c r="G15" s="49">
        <f>$C$6</f>
        <v>11000</v>
      </c>
      <c r="H15" s="64"/>
      <c r="I15" s="51" t="s">
        <v>47</v>
      </c>
      <c r="J15" s="56" t="s">
        <v>26</v>
      </c>
      <c r="K15" s="53">
        <f>$AJ$8*IF(J15="A",1,0)+$AM$8*IF(J15="B",1,0)+$AP$8*IF(J15="C",1,0)+$AS$8*IF(J15="D",1,0)+$AV$8*IF(J15="E",1,0)+$AY$8*IF(J15="f",1,0)</f>
        <v>20</v>
      </c>
      <c r="L15" s="68">
        <f>$AK$8*IF(J15="A",1,0)+$AN$8*IF(J15="B",1,0)+$AQ$8*IF(J15="C",1,0)+$AT$8*IF(J15="D",1,0)+$AW$8*IF(J15="E",1,0)+$AZ$8*IF(J15="f",1,0)</f>
        <v>21</v>
      </c>
      <c r="M15" s="54">
        <f>L15/K15</f>
        <v>1.05</v>
      </c>
      <c r="N15" s="49">
        <f>$K$6*60*(K15/L15)*($K$3/$L$3)*$M$5*PI()/1000*$K$4/$L$4</f>
        <v>185.21837703759525</v>
      </c>
      <c r="O15" s="49">
        <f>$K$6</f>
        <v>11000</v>
      </c>
      <c r="P15" s="64"/>
      <c r="Q15" s="51" t="s">
        <v>47</v>
      </c>
      <c r="R15" s="57" t="s">
        <v>26</v>
      </c>
      <c r="S15" s="53">
        <f>$AJ$8*IF(R15="A",1,0)+$AM$8*IF(R15="B",1,0)+$AP$8*IF(R15="C",1,0)+$AS$8*IF(R15="D",1,0)+$AV$8*IF(R15="E",1,0)+$AY$8*IF(R15="f",1,0)</f>
        <v>20</v>
      </c>
      <c r="T15" s="68">
        <f>$AK$8*IF(R15="A",1,0)+$AN$8*IF(R15="B",1,0)+$AQ$8*IF(R15="C",1,0)+$AT$8*IF(R15="D",1,0)+$AW$8*IF(R15="E",1,0)+$AZ$8*IF(R15="f",1,0)</f>
        <v>21</v>
      </c>
      <c r="U15" s="54">
        <f>T15/S15</f>
        <v>1.05</v>
      </c>
      <c r="V15" s="49">
        <f>$S$6*60*(S15/T15)*($S$3/$T$3)*$U$5*PI()/1000*$S$4/$T$4</f>
        <v>144.16997996439849</v>
      </c>
      <c r="W15" s="49">
        <f>$S$6</f>
        <v>11000</v>
      </c>
      <c r="X15" s="64"/>
      <c r="Y15" s="58"/>
      <c r="Z15" s="122"/>
      <c r="AA15" s="99"/>
      <c r="AB15" s="99"/>
      <c r="AC15" s="99"/>
      <c r="AD15" s="99"/>
      <c r="AE15" s="107"/>
      <c r="AF15" s="58"/>
      <c r="AG15" s="59"/>
      <c r="AN15" s="71" t="s">
        <v>48</v>
      </c>
      <c r="AO15" s="71" t="s">
        <v>49</v>
      </c>
      <c r="BH15" s="39">
        <v>47</v>
      </c>
      <c r="BM15" s="1">
        <v>15800</v>
      </c>
      <c r="BO15" s="27"/>
      <c r="BP15" s="27"/>
    </row>
    <row r="16" spans="1:68" ht="18" customHeight="1" thickBot="1">
      <c r="A16" s="51"/>
      <c r="B16" s="60"/>
      <c r="C16" s="61"/>
      <c r="D16" s="69"/>
      <c r="E16" s="54"/>
      <c r="F16" s="62">
        <f>F15</f>
        <v>148.17470163007621</v>
      </c>
      <c r="G16" s="63">
        <f>$C$6*(C15/D15)*(D17/C17)</f>
        <v>9523.8095238095229</v>
      </c>
      <c r="H16" s="64">
        <f>$C$6-G16</f>
        <v>1476.1904761904771</v>
      </c>
      <c r="I16" s="51"/>
      <c r="J16" s="65"/>
      <c r="K16" s="61"/>
      <c r="L16" s="69"/>
      <c r="M16" s="54"/>
      <c r="N16" s="62">
        <f>N15</f>
        <v>185.21837703759525</v>
      </c>
      <c r="O16" s="66">
        <f>$K$6*(K15/L15)*(L17/K17)</f>
        <v>9523.8095238095229</v>
      </c>
      <c r="P16" s="64">
        <f>$K$6-O16</f>
        <v>1476.1904761904771</v>
      </c>
      <c r="Q16" s="51"/>
      <c r="R16" s="65"/>
      <c r="S16" s="61"/>
      <c r="T16" s="69"/>
      <c r="U16" s="54"/>
      <c r="V16" s="62">
        <f>V15</f>
        <v>144.16997996439849</v>
      </c>
      <c r="W16" s="67">
        <f>$S$6*(S15/T15)*(T17/S17)</f>
        <v>9523.8095238095229</v>
      </c>
      <c r="X16" s="64">
        <f>$S$6-W16</f>
        <v>1476.1904761904771</v>
      </c>
      <c r="Y16" s="58"/>
      <c r="Z16" s="123" t="s">
        <v>50</v>
      </c>
      <c r="AA16" s="124"/>
      <c r="AB16" s="58"/>
      <c r="AC16" s="58"/>
      <c r="AD16" s="58"/>
      <c r="AE16" s="58"/>
      <c r="AF16" s="58"/>
      <c r="AG16" s="59"/>
      <c r="AN16" s="71" t="s">
        <v>51</v>
      </c>
      <c r="AO16" s="71" t="s">
        <v>52</v>
      </c>
      <c r="BH16" s="39">
        <v>48</v>
      </c>
      <c r="BM16" s="1">
        <v>15700</v>
      </c>
      <c r="BO16" s="27" t="s">
        <v>53</v>
      </c>
      <c r="BP16" s="27" t="s">
        <v>54</v>
      </c>
    </row>
    <row r="17" spans="1:68" ht="15.95">
      <c r="A17" s="51" t="s">
        <v>55</v>
      </c>
      <c r="B17" s="52" t="s">
        <v>26</v>
      </c>
      <c r="C17" s="53">
        <f>$AJ$9*IF(B17="A",1,0)+$AM$9*IF(B17="B",1,0)+$AP$9*IF(B17="C",1,0)+$AS$9*IF(B17="D",1,0)+$AV$9*IF(B17="E",1,0)+$AY$9*IF(B17="f",1,0)</f>
        <v>22</v>
      </c>
      <c r="D17" s="68">
        <f>$AK$9*IF(B17="A",1,0)+$AN$9*IF(B17="B",1,0)+$AQ$9*IF(B17="C",1,0)+$AT$9*IF(B17="D",1,0)+$AW$9*IF(B17="E",1,0)+$AZ$9*IF(B17="f",1,0)</f>
        <v>20</v>
      </c>
      <c r="E17" s="54">
        <f>D17/C17</f>
        <v>0.90909090909090906</v>
      </c>
      <c r="F17" s="49">
        <f>$C$6*60*(C17/D17)*($C$3/$D$3)*$E$5*PI()/1000*$C$4/$D$4</f>
        <v>171.14178038273803</v>
      </c>
      <c r="G17" s="49">
        <f>$C$6</f>
        <v>11000</v>
      </c>
      <c r="H17" s="64"/>
      <c r="I17" s="51" t="s">
        <v>55</v>
      </c>
      <c r="J17" s="56" t="s">
        <v>26</v>
      </c>
      <c r="K17" s="53">
        <f>$AJ$9*IF(J17="A",1,0)+$AM$9*IF(J17="B",1,0)+$AP$9*IF(J17="C",1,0)+$AS$9*IF(J17="D",1,0)+$AV$9*IF(J17="E",1,0)+$AY$9*IF(J17="f",1,0)</f>
        <v>22</v>
      </c>
      <c r="L17" s="68">
        <f>$AK$9*IF(J17="A",1,0)+$AN$9*IF(J17="B",1,0)+$AQ$9*IF(J17="C",1,0)+$AT$9*IF(J17="D",1,0)+$AW$9*IF(J17="E",1,0)+$AZ$9*IF(J17="f",1,0)</f>
        <v>20</v>
      </c>
      <c r="M17" s="54">
        <f>L17/K17</f>
        <v>0.90909090909090906</v>
      </c>
      <c r="N17" s="49">
        <f>$K$6*60*(K17/L17)*($K$3/$L$3)*$M$5*PI()/1000*$K$4/$L$4</f>
        <v>213.92722547842254</v>
      </c>
      <c r="O17" s="49">
        <f>$K$6</f>
        <v>11000</v>
      </c>
      <c r="P17" s="64"/>
      <c r="Q17" s="51" t="s">
        <v>55</v>
      </c>
      <c r="R17" s="57" t="s">
        <v>26</v>
      </c>
      <c r="S17" s="53">
        <f>$AJ$9*IF(R17="A",1,0)+$AM$9*IF(R17="B",1,0)+$AP$9*IF(R17="C",1,0)+$AS$9*IF(R17="D",1,0)+$AV$9*IF(R17="E",1,0)+$AY$9*IF(R17="f",1,0)</f>
        <v>22</v>
      </c>
      <c r="T17" s="68">
        <f>$AK$9*IF(R17="A",1,0)+$AN$9*IF(R17="B",1,0)+$AQ$9*IF(R17="C",1,0)+$AT$9*IF(R17="D",1,0)+$AW$9*IF(R17="E",1,0)+$AZ$9*IF(R17="f",1,0)</f>
        <v>20</v>
      </c>
      <c r="U17" s="54">
        <f>T17/S17</f>
        <v>0.90909090909090906</v>
      </c>
      <c r="V17" s="49">
        <f>$S$6*60*(S17/T17)*($S$3/$T$3)*$U$5*PI()/1000*$S$4/$T$4</f>
        <v>166.51632685888026</v>
      </c>
      <c r="W17" s="49">
        <f>$S$6</f>
        <v>11000</v>
      </c>
      <c r="X17" s="64"/>
      <c r="Y17" s="58"/>
      <c r="Z17" s="110" t="s">
        <v>8</v>
      </c>
      <c r="AA17" s="112" t="s">
        <v>9</v>
      </c>
      <c r="AB17" s="112" t="s">
        <v>10</v>
      </c>
      <c r="AC17" s="112" t="s">
        <v>11</v>
      </c>
      <c r="AD17" s="115" t="s">
        <v>12</v>
      </c>
      <c r="AE17" s="117" t="s">
        <v>13</v>
      </c>
      <c r="AF17" s="58"/>
      <c r="AG17" s="59"/>
      <c r="BM17" s="1">
        <v>15600</v>
      </c>
      <c r="BO17" s="27">
        <v>13</v>
      </c>
      <c r="BP17" s="27">
        <v>38</v>
      </c>
    </row>
    <row r="18" spans="1:68" ht="15.95">
      <c r="A18" s="72"/>
      <c r="B18" s="72"/>
      <c r="C18" s="72"/>
      <c r="D18" s="72"/>
      <c r="E18" s="72"/>
      <c r="F18" s="72"/>
      <c r="G18" s="72"/>
      <c r="H18" s="73"/>
      <c r="I18" s="72"/>
      <c r="J18" s="72"/>
      <c r="K18" s="72"/>
      <c r="L18" s="72"/>
      <c r="M18" s="72"/>
      <c r="N18" s="72"/>
      <c r="O18" s="72"/>
      <c r="P18" s="73"/>
      <c r="Q18" s="72"/>
      <c r="R18" s="72"/>
      <c r="S18" s="72"/>
      <c r="T18" s="72"/>
      <c r="U18" s="72"/>
      <c r="V18" s="72"/>
      <c r="W18" s="72"/>
      <c r="X18" s="73"/>
      <c r="Y18" s="58"/>
      <c r="Z18" s="111"/>
      <c r="AA18" s="113"/>
      <c r="AB18" s="113"/>
      <c r="AC18" s="113"/>
      <c r="AD18" s="116"/>
      <c r="AE18" s="118"/>
      <c r="AF18" s="58"/>
      <c r="AG18" s="59"/>
      <c r="BG18" s="74" t="s">
        <v>56</v>
      </c>
      <c r="BH18" s="75" t="s">
        <v>57</v>
      </c>
      <c r="BI18" s="76" t="s">
        <v>58</v>
      </c>
      <c r="BJ18" s="76" t="s">
        <v>59</v>
      </c>
      <c r="BK18" s="76" t="s">
        <v>60</v>
      </c>
      <c r="BM18" s="1">
        <v>15500</v>
      </c>
      <c r="BO18" s="27">
        <v>14</v>
      </c>
      <c r="BP18" s="27">
        <v>39</v>
      </c>
    </row>
    <row r="19" spans="1:68" ht="15.95">
      <c r="A19" s="77"/>
      <c r="B19" s="77"/>
      <c r="C19" s="77"/>
      <c r="D19" s="77"/>
      <c r="F19" s="77"/>
      <c r="G19" s="77"/>
      <c r="H19" s="77"/>
      <c r="I19" s="77"/>
      <c r="J19" s="77"/>
      <c r="K19" s="77"/>
      <c r="L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58"/>
      <c r="Z19" s="96" t="s">
        <v>15</v>
      </c>
      <c r="AA19" s="98">
        <f>S4</f>
        <v>12</v>
      </c>
      <c r="AB19" s="98">
        <f>T4</f>
        <v>37</v>
      </c>
      <c r="AC19" s="98">
        <v>108</v>
      </c>
      <c r="AD19" s="98">
        <v>67</v>
      </c>
      <c r="AE19" s="106">
        <f>0.5*(AC19-0.5*(AA19+AB19))*25.4*VLOOKUP(Z19,'Gearbox CRF450'!BO5:BP7,2,FALSE)-AD19</f>
        <v>595.78125</v>
      </c>
      <c r="AF19" s="58"/>
      <c r="AG19" s="59"/>
      <c r="BG19" s="78" t="s">
        <v>24</v>
      </c>
      <c r="BH19" s="95">
        <f>((((BI19/25.4*BJ19/100+BK19/2)*2*3.142)*25.4)/3.142)/1000</f>
        <v>0.61660000000000004</v>
      </c>
      <c r="BI19" s="76">
        <v>165</v>
      </c>
      <c r="BJ19" s="76">
        <v>56</v>
      </c>
      <c r="BK19" s="76">
        <v>17</v>
      </c>
      <c r="BM19" s="1">
        <v>15400</v>
      </c>
      <c r="BO19" s="27">
        <v>15</v>
      </c>
      <c r="BP19" s="27">
        <v>40</v>
      </c>
    </row>
    <row r="20" spans="1:68" ht="14.1" thickBot="1">
      <c r="A20" s="77"/>
      <c r="B20" s="77"/>
      <c r="C20" s="77"/>
      <c r="D20" s="77"/>
      <c r="F20" s="77"/>
      <c r="G20" s="77"/>
      <c r="H20" s="77"/>
      <c r="I20" s="77"/>
      <c r="J20" s="77"/>
      <c r="K20" s="77"/>
      <c r="L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97"/>
      <c r="AA20" s="99"/>
      <c r="AB20" s="99"/>
      <c r="AC20" s="99"/>
      <c r="AD20" s="99"/>
      <c r="AE20" s="107"/>
      <c r="AF20" s="77"/>
      <c r="AG20" s="77"/>
      <c r="BG20" s="78" t="s">
        <v>61</v>
      </c>
      <c r="BH20" s="95">
        <f t="shared" ref="BH20:BH22" si="4">((((BI20/25.4*BJ20/100+BK20/2)*2*3.142)*25.4)/3.142)/1000</f>
        <v>0</v>
      </c>
      <c r="BI20" s="76"/>
      <c r="BJ20" s="76"/>
      <c r="BK20" s="76"/>
      <c r="BM20" s="1">
        <v>15300</v>
      </c>
      <c r="BO20" s="27">
        <v>16</v>
      </c>
      <c r="BP20" s="27">
        <v>41</v>
      </c>
    </row>
    <row r="21" spans="1:68">
      <c r="A21" s="77"/>
      <c r="B21" s="77"/>
      <c r="C21" s="77"/>
      <c r="D21" s="77"/>
      <c r="F21" s="77"/>
      <c r="G21" s="77"/>
      <c r="H21" s="77"/>
      <c r="I21" s="77"/>
      <c r="J21" s="77"/>
      <c r="K21" s="77"/>
      <c r="L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BG21" s="78" t="s">
        <v>62</v>
      </c>
      <c r="BH21" s="95">
        <f t="shared" si="4"/>
        <v>0</v>
      </c>
      <c r="BI21" s="76"/>
      <c r="BJ21" s="76"/>
      <c r="BK21" s="76"/>
      <c r="BM21" s="1">
        <v>15200</v>
      </c>
      <c r="BO21" s="27"/>
      <c r="BP21" s="27">
        <v>42</v>
      </c>
    </row>
    <row r="22" spans="1:68">
      <c r="A22" s="77"/>
      <c r="B22" s="77"/>
      <c r="C22" s="77"/>
      <c r="D22" s="77"/>
      <c r="F22" s="77"/>
      <c r="G22" s="77"/>
      <c r="H22" s="77"/>
      <c r="I22" s="77"/>
      <c r="J22" s="77"/>
      <c r="K22" s="77"/>
      <c r="L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BG22" s="78" t="s">
        <v>63</v>
      </c>
      <c r="BH22" s="95">
        <f t="shared" si="4"/>
        <v>0.63339999999999996</v>
      </c>
      <c r="BI22" s="76">
        <v>160</v>
      </c>
      <c r="BJ22" s="76">
        <v>63</v>
      </c>
      <c r="BK22" s="76">
        <v>17</v>
      </c>
      <c r="BM22" s="1">
        <v>15100</v>
      </c>
      <c r="BO22" s="27"/>
      <c r="BP22" s="27">
        <v>43</v>
      </c>
    </row>
    <row r="23" spans="1:68">
      <c r="A23" s="77"/>
      <c r="B23" s="77"/>
      <c r="C23" s="77"/>
      <c r="D23" s="77"/>
      <c r="F23" s="77"/>
      <c r="G23" s="77"/>
      <c r="H23" s="77"/>
      <c r="I23" s="77"/>
      <c r="J23" s="77"/>
      <c r="K23" s="77"/>
      <c r="L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BM23" s="1">
        <v>15000</v>
      </c>
      <c r="BO23" s="27"/>
      <c r="BP23" s="27">
        <v>44</v>
      </c>
    </row>
    <row r="24" spans="1:68">
      <c r="A24" s="77"/>
      <c r="B24" s="77"/>
      <c r="C24" s="77"/>
      <c r="D24" s="77"/>
      <c r="F24" s="77"/>
      <c r="G24" s="77"/>
      <c r="H24" s="77"/>
      <c r="I24" s="77"/>
      <c r="J24" s="77"/>
      <c r="K24" s="77"/>
      <c r="L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BM24" s="1">
        <v>14900</v>
      </c>
      <c r="BO24" s="27"/>
      <c r="BP24" s="27">
        <v>45</v>
      </c>
    </row>
    <row r="25" spans="1:68">
      <c r="A25" s="77"/>
      <c r="B25" s="77"/>
      <c r="C25" s="77"/>
      <c r="D25" s="77"/>
      <c r="F25" s="77"/>
      <c r="G25" s="77"/>
      <c r="H25" s="77"/>
      <c r="I25" s="77"/>
      <c r="J25" s="77"/>
      <c r="K25" s="77"/>
      <c r="L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BM25" s="1">
        <v>14800</v>
      </c>
      <c r="BO25" s="27"/>
      <c r="BP25" s="27">
        <v>46</v>
      </c>
    </row>
    <row r="26" spans="1:68">
      <c r="BM26" s="1">
        <v>14700</v>
      </c>
      <c r="BO26" s="27"/>
      <c r="BP26" s="27">
        <v>47</v>
      </c>
    </row>
    <row r="27" spans="1:68">
      <c r="BM27" s="1">
        <v>14600</v>
      </c>
      <c r="BO27" s="27"/>
      <c r="BP27" s="27"/>
    </row>
    <row r="28" spans="1:68">
      <c r="BM28" s="1">
        <v>14500</v>
      </c>
    </row>
    <row r="29" spans="1:68">
      <c r="BM29" s="1">
        <v>14400</v>
      </c>
    </row>
    <row r="30" spans="1:68">
      <c r="BM30" s="1">
        <v>14300</v>
      </c>
    </row>
    <row r="31" spans="1:68">
      <c r="BM31" s="1">
        <v>14200</v>
      </c>
    </row>
    <row r="32" spans="1:68">
      <c r="BM32" s="1">
        <v>14100</v>
      </c>
    </row>
    <row r="33" spans="65:65">
      <c r="BM33" s="1">
        <v>14000</v>
      </c>
    </row>
    <row r="34" spans="65:65">
      <c r="BM34" s="1">
        <v>13900</v>
      </c>
    </row>
    <row r="35" spans="65:65">
      <c r="BM35" s="1">
        <v>13800</v>
      </c>
    </row>
    <row r="36" spans="65:65">
      <c r="BM36" s="1">
        <v>13700</v>
      </c>
    </row>
    <row r="37" spans="65:65">
      <c r="BM37" s="1">
        <v>13600</v>
      </c>
    </row>
    <row r="38" spans="65:65">
      <c r="BM38" s="1">
        <v>13500</v>
      </c>
    </row>
    <row r="39" spans="65:65">
      <c r="BM39" s="1">
        <v>13400</v>
      </c>
    </row>
    <row r="40" spans="65:65">
      <c r="BM40" s="1">
        <v>13300</v>
      </c>
    </row>
    <row r="41" spans="65:65">
      <c r="BM41" s="1">
        <v>13200</v>
      </c>
    </row>
    <row r="42" spans="65:65">
      <c r="BM42" s="1">
        <v>13100</v>
      </c>
    </row>
    <row r="43" spans="65:65">
      <c r="BM43" s="1">
        <v>13000</v>
      </c>
    </row>
    <row r="44" spans="65:65">
      <c r="BM44" s="1">
        <v>12900</v>
      </c>
    </row>
    <row r="45" spans="65:65">
      <c r="BM45" s="1">
        <v>12800</v>
      </c>
    </row>
    <row r="46" spans="65:65">
      <c r="BM46" s="1">
        <v>12700</v>
      </c>
    </row>
    <row r="47" spans="65:65">
      <c r="BM47" s="1">
        <v>12600</v>
      </c>
    </row>
    <row r="48" spans="65:65">
      <c r="BM48" s="1">
        <v>12500</v>
      </c>
    </row>
    <row r="49" spans="65:65">
      <c r="BM49" s="1">
        <v>12400</v>
      </c>
    </row>
    <row r="50" spans="65:65" ht="24.75" customHeight="1">
      <c r="BM50" s="1">
        <v>12300</v>
      </c>
    </row>
    <row r="51" spans="65:65">
      <c r="BM51" s="1">
        <v>12200</v>
      </c>
    </row>
    <row r="52" spans="65:65">
      <c r="BM52" s="1">
        <v>12100</v>
      </c>
    </row>
    <row r="53" spans="65:65">
      <c r="BM53" s="1">
        <v>12000</v>
      </c>
    </row>
    <row r="54" spans="65:65">
      <c r="BM54" s="1">
        <v>11900</v>
      </c>
    </row>
    <row r="55" spans="65:65">
      <c r="BM55" s="1">
        <v>11800</v>
      </c>
    </row>
    <row r="56" spans="65:65">
      <c r="BM56" s="1">
        <v>11700</v>
      </c>
    </row>
    <row r="57" spans="65:65">
      <c r="BM57" s="1">
        <v>11600</v>
      </c>
    </row>
    <row r="58" spans="65:65">
      <c r="BM58" s="1">
        <v>11500</v>
      </c>
    </row>
    <row r="59" spans="65:65">
      <c r="BM59" s="1">
        <v>11400</v>
      </c>
    </row>
    <row r="60" spans="65:65">
      <c r="BM60" s="1">
        <v>11300</v>
      </c>
    </row>
    <row r="61" spans="65:65">
      <c r="BM61" s="1">
        <v>11200</v>
      </c>
    </row>
    <row r="62" spans="65:65">
      <c r="BM62" s="1">
        <v>11100</v>
      </c>
    </row>
    <row r="63" spans="65:65">
      <c r="BM63" s="1">
        <v>11000</v>
      </c>
    </row>
    <row r="64" spans="65:65">
      <c r="BM64" s="1">
        <v>10900</v>
      </c>
    </row>
    <row r="65" spans="1:65">
      <c r="BM65" s="1">
        <v>10800</v>
      </c>
    </row>
    <row r="66" spans="1:65">
      <c r="BM66" s="1">
        <v>10700</v>
      </c>
    </row>
    <row r="67" spans="1:65">
      <c r="BM67" s="1">
        <v>10600</v>
      </c>
    </row>
    <row r="68" spans="1:65">
      <c r="BM68" s="1">
        <v>10500</v>
      </c>
    </row>
    <row r="69" spans="1:65">
      <c r="BM69" s="1">
        <v>10400</v>
      </c>
    </row>
    <row r="70" spans="1:65">
      <c r="BM70" s="1">
        <v>10300</v>
      </c>
    </row>
    <row r="71" spans="1:65" ht="14.1" thickBot="1">
      <c r="BM71" s="1">
        <v>10200</v>
      </c>
    </row>
    <row r="72" spans="1:65" ht="15.95">
      <c r="A72" s="125" t="s">
        <v>64</v>
      </c>
      <c r="B72" s="126"/>
      <c r="C72" s="129" t="s">
        <v>53</v>
      </c>
      <c r="D72" s="129"/>
      <c r="E72" s="129"/>
      <c r="F72" s="129"/>
      <c r="G72" s="129"/>
      <c r="H72" s="129"/>
      <c r="I72" s="130"/>
      <c r="BM72" s="1">
        <v>10100</v>
      </c>
    </row>
    <row r="73" spans="1:65" ht="15.95">
      <c r="A73" s="127"/>
      <c r="B73" s="128"/>
      <c r="C73" s="79">
        <v>11</v>
      </c>
      <c r="D73" s="79">
        <v>12</v>
      </c>
      <c r="E73" s="79">
        <v>13</v>
      </c>
      <c r="F73" s="79">
        <v>14</v>
      </c>
      <c r="G73" s="79">
        <v>15</v>
      </c>
      <c r="H73" s="79">
        <v>16</v>
      </c>
      <c r="I73" s="80">
        <v>17</v>
      </c>
      <c r="BM73" s="1">
        <v>10000</v>
      </c>
    </row>
    <row r="74" spans="1:65" ht="15.95">
      <c r="A74" s="131" t="s">
        <v>54</v>
      </c>
      <c r="B74" s="81">
        <v>28</v>
      </c>
      <c r="C74" s="82">
        <f>$B$74/C73</f>
        <v>2.5454545454545454</v>
      </c>
      <c r="D74" s="82">
        <f t="shared" ref="D74:D115" si="5">B74/$D$73</f>
        <v>2.3333333333333335</v>
      </c>
      <c r="E74" s="82">
        <f t="shared" ref="E74:E115" si="6">B74/$E$73</f>
        <v>2.1538461538461537</v>
      </c>
      <c r="F74" s="82">
        <f t="shared" ref="F74:F115" si="7">B74/$F$73</f>
        <v>2</v>
      </c>
      <c r="G74" s="82">
        <f t="shared" ref="G74:G115" si="8">B74/$G$73</f>
        <v>1.8666666666666667</v>
      </c>
      <c r="H74" s="82">
        <f t="shared" ref="H74:H115" si="9">B74/$H$73</f>
        <v>1.75</v>
      </c>
      <c r="I74" s="83">
        <f t="shared" ref="I74:I115" si="10">B74/$I$73</f>
        <v>1.6470588235294117</v>
      </c>
      <c r="BM74" s="1">
        <v>9900</v>
      </c>
    </row>
    <row r="75" spans="1:65" ht="15.95">
      <c r="A75" s="131"/>
      <c r="B75" s="79">
        <f>B74+1</f>
        <v>29</v>
      </c>
      <c r="C75" s="82">
        <f t="shared" ref="C75:C115" si="11">B75/$C$73</f>
        <v>2.6363636363636362</v>
      </c>
      <c r="D75" s="82">
        <f t="shared" si="5"/>
        <v>2.4166666666666665</v>
      </c>
      <c r="E75" s="82">
        <f t="shared" si="6"/>
        <v>2.2307692307692308</v>
      </c>
      <c r="F75" s="82">
        <f t="shared" si="7"/>
        <v>2.0714285714285716</v>
      </c>
      <c r="G75" s="82">
        <f t="shared" si="8"/>
        <v>1.9333333333333333</v>
      </c>
      <c r="H75" s="82">
        <f t="shared" si="9"/>
        <v>1.8125</v>
      </c>
      <c r="I75" s="83">
        <f t="shared" si="10"/>
        <v>1.7058823529411764</v>
      </c>
      <c r="BM75" s="1">
        <v>9800</v>
      </c>
    </row>
    <row r="76" spans="1:65" ht="15.95">
      <c r="A76" s="131"/>
      <c r="B76" s="79">
        <f t="shared" ref="B76:B115" si="12">B75+1</f>
        <v>30</v>
      </c>
      <c r="C76" s="82">
        <f t="shared" si="11"/>
        <v>2.7272727272727271</v>
      </c>
      <c r="D76" s="82">
        <f t="shared" si="5"/>
        <v>2.5</v>
      </c>
      <c r="E76" s="82">
        <f t="shared" si="6"/>
        <v>2.3076923076923075</v>
      </c>
      <c r="F76" s="82">
        <f t="shared" si="7"/>
        <v>2.1428571428571428</v>
      </c>
      <c r="G76" s="82">
        <f t="shared" si="8"/>
        <v>2</v>
      </c>
      <c r="H76" s="82">
        <f t="shared" si="9"/>
        <v>1.875</v>
      </c>
      <c r="I76" s="83">
        <f t="shared" si="10"/>
        <v>1.7647058823529411</v>
      </c>
      <c r="M76" s="84"/>
      <c r="BM76" s="1">
        <v>9700</v>
      </c>
    </row>
    <row r="77" spans="1:65" ht="15.95">
      <c r="A77" s="131"/>
      <c r="B77" s="79">
        <f t="shared" si="12"/>
        <v>31</v>
      </c>
      <c r="C77" s="82">
        <f t="shared" si="11"/>
        <v>2.8181818181818183</v>
      </c>
      <c r="D77" s="82">
        <f t="shared" si="5"/>
        <v>2.5833333333333335</v>
      </c>
      <c r="E77" s="82">
        <f t="shared" si="6"/>
        <v>2.3846153846153846</v>
      </c>
      <c r="F77" s="82">
        <f t="shared" si="7"/>
        <v>2.2142857142857144</v>
      </c>
      <c r="G77" s="82">
        <f t="shared" si="8"/>
        <v>2.0666666666666669</v>
      </c>
      <c r="H77" s="82">
        <f t="shared" si="9"/>
        <v>1.9375</v>
      </c>
      <c r="I77" s="83">
        <f t="shared" si="10"/>
        <v>1.8235294117647058</v>
      </c>
      <c r="BM77" s="1">
        <v>9600</v>
      </c>
    </row>
    <row r="78" spans="1:65" ht="15.95">
      <c r="A78" s="131"/>
      <c r="B78" s="79">
        <f t="shared" si="12"/>
        <v>32</v>
      </c>
      <c r="C78" s="82">
        <f t="shared" si="11"/>
        <v>2.9090909090909092</v>
      </c>
      <c r="D78" s="82">
        <f t="shared" si="5"/>
        <v>2.6666666666666665</v>
      </c>
      <c r="E78" s="82">
        <f t="shared" si="6"/>
        <v>2.4615384615384617</v>
      </c>
      <c r="F78" s="82">
        <f t="shared" si="7"/>
        <v>2.2857142857142856</v>
      </c>
      <c r="G78" s="82">
        <f t="shared" si="8"/>
        <v>2.1333333333333333</v>
      </c>
      <c r="H78" s="82">
        <f t="shared" si="9"/>
        <v>2</v>
      </c>
      <c r="I78" s="83">
        <f t="shared" si="10"/>
        <v>1.8823529411764706</v>
      </c>
      <c r="BM78" s="1">
        <v>9500</v>
      </c>
    </row>
    <row r="79" spans="1:65" ht="15.95">
      <c r="A79" s="131"/>
      <c r="B79" s="79">
        <f t="shared" si="12"/>
        <v>33</v>
      </c>
      <c r="C79" s="82">
        <f t="shared" si="11"/>
        <v>3</v>
      </c>
      <c r="D79" s="82">
        <f t="shared" si="5"/>
        <v>2.75</v>
      </c>
      <c r="E79" s="82">
        <f t="shared" si="6"/>
        <v>2.5384615384615383</v>
      </c>
      <c r="F79" s="82">
        <f t="shared" si="7"/>
        <v>2.3571428571428572</v>
      </c>
      <c r="G79" s="82">
        <f t="shared" si="8"/>
        <v>2.2000000000000002</v>
      </c>
      <c r="H79" s="82">
        <f t="shared" si="9"/>
        <v>2.0625</v>
      </c>
      <c r="I79" s="83">
        <f t="shared" si="10"/>
        <v>1.9411764705882353</v>
      </c>
      <c r="BM79" s="1">
        <v>9400</v>
      </c>
    </row>
    <row r="80" spans="1:65" ht="15.95">
      <c r="A80" s="131"/>
      <c r="B80" s="79">
        <f t="shared" si="12"/>
        <v>34</v>
      </c>
      <c r="C80" s="82">
        <f t="shared" si="11"/>
        <v>3.0909090909090908</v>
      </c>
      <c r="D80" s="82">
        <f t="shared" si="5"/>
        <v>2.8333333333333335</v>
      </c>
      <c r="E80" s="82">
        <f t="shared" si="6"/>
        <v>2.6153846153846154</v>
      </c>
      <c r="F80" s="82">
        <f t="shared" si="7"/>
        <v>2.4285714285714284</v>
      </c>
      <c r="G80" s="82">
        <f t="shared" si="8"/>
        <v>2.2666666666666666</v>
      </c>
      <c r="H80" s="82">
        <f t="shared" si="9"/>
        <v>2.125</v>
      </c>
      <c r="I80" s="83">
        <f t="shared" si="10"/>
        <v>2</v>
      </c>
      <c r="BM80" s="1">
        <v>9300</v>
      </c>
    </row>
    <row r="81" spans="1:65" ht="15.95">
      <c r="A81" s="131"/>
      <c r="B81" s="79">
        <f t="shared" si="12"/>
        <v>35</v>
      </c>
      <c r="C81" s="82">
        <f t="shared" si="11"/>
        <v>3.1818181818181817</v>
      </c>
      <c r="D81" s="82">
        <f t="shared" si="5"/>
        <v>2.9166666666666665</v>
      </c>
      <c r="E81" s="82">
        <f t="shared" si="6"/>
        <v>2.6923076923076925</v>
      </c>
      <c r="F81" s="82">
        <f t="shared" si="7"/>
        <v>2.5</v>
      </c>
      <c r="G81" s="82">
        <f t="shared" si="8"/>
        <v>2.3333333333333335</v>
      </c>
      <c r="H81" s="82">
        <f t="shared" si="9"/>
        <v>2.1875</v>
      </c>
      <c r="I81" s="83">
        <f t="shared" si="10"/>
        <v>2.0588235294117645</v>
      </c>
      <c r="BM81" s="1">
        <v>9200</v>
      </c>
    </row>
    <row r="82" spans="1:65" ht="15.95">
      <c r="A82" s="131"/>
      <c r="B82" s="79">
        <f t="shared" si="12"/>
        <v>36</v>
      </c>
      <c r="C82" s="82">
        <f t="shared" si="11"/>
        <v>3.2727272727272729</v>
      </c>
      <c r="D82" s="82">
        <f t="shared" si="5"/>
        <v>3</v>
      </c>
      <c r="E82" s="82">
        <f t="shared" si="6"/>
        <v>2.7692307692307692</v>
      </c>
      <c r="F82" s="82">
        <f t="shared" si="7"/>
        <v>2.5714285714285716</v>
      </c>
      <c r="G82" s="82">
        <f t="shared" si="8"/>
        <v>2.4</v>
      </c>
      <c r="H82" s="82">
        <f t="shared" si="9"/>
        <v>2.25</v>
      </c>
      <c r="I82" s="83">
        <f t="shared" si="10"/>
        <v>2.1176470588235294</v>
      </c>
      <c r="BM82" s="1">
        <v>9100</v>
      </c>
    </row>
    <row r="83" spans="1:65" ht="15.95">
      <c r="A83" s="131"/>
      <c r="B83" s="79">
        <f t="shared" si="12"/>
        <v>37</v>
      </c>
      <c r="C83" s="82">
        <f t="shared" si="11"/>
        <v>3.3636363636363638</v>
      </c>
      <c r="D83" s="82">
        <f t="shared" si="5"/>
        <v>3.0833333333333335</v>
      </c>
      <c r="E83" s="82">
        <f t="shared" si="6"/>
        <v>2.8461538461538463</v>
      </c>
      <c r="F83" s="82">
        <f t="shared" si="7"/>
        <v>2.6428571428571428</v>
      </c>
      <c r="G83" s="82">
        <f t="shared" si="8"/>
        <v>2.4666666666666668</v>
      </c>
      <c r="H83" s="82">
        <f t="shared" si="9"/>
        <v>2.3125</v>
      </c>
      <c r="I83" s="83">
        <f t="shared" si="10"/>
        <v>2.1764705882352939</v>
      </c>
      <c r="BM83" s="1">
        <v>9000</v>
      </c>
    </row>
    <row r="84" spans="1:65" ht="15.95">
      <c r="A84" s="131"/>
      <c r="B84" s="79">
        <f t="shared" si="12"/>
        <v>38</v>
      </c>
      <c r="C84" s="82">
        <f t="shared" si="11"/>
        <v>3.4545454545454546</v>
      </c>
      <c r="D84" s="82">
        <f t="shared" si="5"/>
        <v>3.1666666666666665</v>
      </c>
      <c r="E84" s="82">
        <f t="shared" si="6"/>
        <v>2.9230769230769229</v>
      </c>
      <c r="F84" s="82">
        <f t="shared" si="7"/>
        <v>2.7142857142857144</v>
      </c>
      <c r="G84" s="82">
        <f t="shared" si="8"/>
        <v>2.5333333333333332</v>
      </c>
      <c r="H84" s="82">
        <f t="shared" si="9"/>
        <v>2.375</v>
      </c>
      <c r="I84" s="83">
        <f t="shared" si="10"/>
        <v>2.2352941176470589</v>
      </c>
      <c r="BM84" s="1">
        <v>8900</v>
      </c>
    </row>
    <row r="85" spans="1:65" ht="15.95">
      <c r="A85" s="131"/>
      <c r="B85" s="79">
        <f t="shared" si="12"/>
        <v>39</v>
      </c>
      <c r="C85" s="82">
        <f t="shared" si="11"/>
        <v>3.5454545454545454</v>
      </c>
      <c r="D85" s="82">
        <f t="shared" si="5"/>
        <v>3.25</v>
      </c>
      <c r="E85" s="82">
        <f t="shared" si="6"/>
        <v>3</v>
      </c>
      <c r="F85" s="82">
        <f t="shared" si="7"/>
        <v>2.7857142857142856</v>
      </c>
      <c r="G85" s="82">
        <f t="shared" si="8"/>
        <v>2.6</v>
      </c>
      <c r="H85" s="82">
        <f t="shared" si="9"/>
        <v>2.4375</v>
      </c>
      <c r="I85" s="83">
        <f t="shared" si="10"/>
        <v>2.2941176470588234</v>
      </c>
      <c r="BM85" s="1">
        <v>8800</v>
      </c>
    </row>
    <row r="86" spans="1:65" ht="15.95">
      <c r="A86" s="131"/>
      <c r="B86" s="79">
        <f t="shared" si="12"/>
        <v>40</v>
      </c>
      <c r="C86" s="82">
        <f t="shared" si="11"/>
        <v>3.6363636363636362</v>
      </c>
      <c r="D86" s="82">
        <f t="shared" si="5"/>
        <v>3.3333333333333335</v>
      </c>
      <c r="E86" s="82">
        <f t="shared" si="6"/>
        <v>3.0769230769230771</v>
      </c>
      <c r="F86" s="82">
        <f t="shared" si="7"/>
        <v>2.8571428571428572</v>
      </c>
      <c r="G86" s="82">
        <f t="shared" si="8"/>
        <v>2.6666666666666665</v>
      </c>
      <c r="H86" s="82">
        <f t="shared" si="9"/>
        <v>2.5</v>
      </c>
      <c r="I86" s="83">
        <f t="shared" si="10"/>
        <v>2.3529411764705883</v>
      </c>
      <c r="BM86" s="1">
        <v>8700</v>
      </c>
    </row>
    <row r="87" spans="1:65" ht="15.95">
      <c r="A87" s="131"/>
      <c r="B87" s="79">
        <f t="shared" si="12"/>
        <v>41</v>
      </c>
      <c r="C87" s="82">
        <f t="shared" si="11"/>
        <v>3.7272727272727271</v>
      </c>
      <c r="D87" s="82">
        <f t="shared" si="5"/>
        <v>3.4166666666666665</v>
      </c>
      <c r="E87" s="82">
        <f t="shared" si="6"/>
        <v>3.1538461538461537</v>
      </c>
      <c r="F87" s="82">
        <f t="shared" si="7"/>
        <v>2.9285714285714284</v>
      </c>
      <c r="G87" s="82">
        <f t="shared" si="8"/>
        <v>2.7333333333333334</v>
      </c>
      <c r="H87" s="82">
        <f t="shared" si="9"/>
        <v>2.5625</v>
      </c>
      <c r="I87" s="83">
        <f t="shared" si="10"/>
        <v>2.4117647058823528</v>
      </c>
      <c r="BM87" s="1">
        <v>8600</v>
      </c>
    </row>
    <row r="88" spans="1:65" ht="15.95">
      <c r="A88" s="131"/>
      <c r="B88" s="79">
        <f t="shared" si="12"/>
        <v>42</v>
      </c>
      <c r="C88" s="82">
        <f t="shared" si="11"/>
        <v>3.8181818181818183</v>
      </c>
      <c r="D88" s="82">
        <f t="shared" si="5"/>
        <v>3.5</v>
      </c>
      <c r="E88" s="82">
        <f t="shared" si="6"/>
        <v>3.2307692307692308</v>
      </c>
      <c r="F88" s="82">
        <f t="shared" si="7"/>
        <v>3</v>
      </c>
      <c r="G88" s="82">
        <f t="shared" si="8"/>
        <v>2.8</v>
      </c>
      <c r="H88" s="82">
        <f t="shared" si="9"/>
        <v>2.625</v>
      </c>
      <c r="I88" s="83">
        <f t="shared" si="10"/>
        <v>2.4705882352941178</v>
      </c>
      <c r="BM88" s="1">
        <v>8500</v>
      </c>
    </row>
    <row r="89" spans="1:65" ht="15.95">
      <c r="A89" s="131"/>
      <c r="B89" s="79">
        <f t="shared" si="12"/>
        <v>43</v>
      </c>
      <c r="C89" s="82">
        <f t="shared" si="11"/>
        <v>3.9090909090909092</v>
      </c>
      <c r="D89" s="82">
        <f t="shared" si="5"/>
        <v>3.5833333333333335</v>
      </c>
      <c r="E89" s="82">
        <f t="shared" si="6"/>
        <v>3.3076923076923075</v>
      </c>
      <c r="F89" s="82">
        <f t="shared" si="7"/>
        <v>3.0714285714285716</v>
      </c>
      <c r="G89" s="82">
        <f t="shared" si="8"/>
        <v>2.8666666666666667</v>
      </c>
      <c r="H89" s="82">
        <f t="shared" si="9"/>
        <v>2.6875</v>
      </c>
      <c r="I89" s="83">
        <f t="shared" si="10"/>
        <v>2.5294117647058822</v>
      </c>
      <c r="BM89" s="1">
        <v>8400</v>
      </c>
    </row>
    <row r="90" spans="1:65" ht="15.95">
      <c r="A90" s="131"/>
      <c r="B90" s="79">
        <f t="shared" si="12"/>
        <v>44</v>
      </c>
      <c r="C90" s="82">
        <f t="shared" si="11"/>
        <v>4</v>
      </c>
      <c r="D90" s="82">
        <f t="shared" si="5"/>
        <v>3.6666666666666665</v>
      </c>
      <c r="E90" s="82">
        <f t="shared" si="6"/>
        <v>3.3846153846153846</v>
      </c>
      <c r="F90" s="82">
        <f t="shared" si="7"/>
        <v>3.1428571428571428</v>
      </c>
      <c r="G90" s="82">
        <f t="shared" si="8"/>
        <v>2.9333333333333331</v>
      </c>
      <c r="H90" s="82">
        <f t="shared" si="9"/>
        <v>2.75</v>
      </c>
      <c r="I90" s="83">
        <f t="shared" si="10"/>
        <v>2.5882352941176472</v>
      </c>
      <c r="BM90" s="1">
        <v>8300</v>
      </c>
    </row>
    <row r="91" spans="1:65" ht="15.95">
      <c r="A91" s="131"/>
      <c r="B91" s="79">
        <f t="shared" si="12"/>
        <v>45</v>
      </c>
      <c r="C91" s="82">
        <f t="shared" si="11"/>
        <v>4.0909090909090908</v>
      </c>
      <c r="D91" s="82">
        <f t="shared" si="5"/>
        <v>3.75</v>
      </c>
      <c r="E91" s="82">
        <f t="shared" si="6"/>
        <v>3.4615384615384617</v>
      </c>
      <c r="F91" s="82">
        <f t="shared" si="7"/>
        <v>3.2142857142857144</v>
      </c>
      <c r="G91" s="82">
        <f t="shared" si="8"/>
        <v>3</v>
      </c>
      <c r="H91" s="82">
        <f t="shared" si="9"/>
        <v>2.8125</v>
      </c>
      <c r="I91" s="83">
        <f t="shared" si="10"/>
        <v>2.6470588235294117</v>
      </c>
      <c r="BM91" s="1">
        <v>8200</v>
      </c>
    </row>
    <row r="92" spans="1:65" ht="15.95">
      <c r="A92" s="131"/>
      <c r="B92" s="79">
        <f t="shared" si="12"/>
        <v>46</v>
      </c>
      <c r="C92" s="82">
        <f t="shared" si="11"/>
        <v>4.1818181818181817</v>
      </c>
      <c r="D92" s="82">
        <f t="shared" si="5"/>
        <v>3.8333333333333335</v>
      </c>
      <c r="E92" s="82">
        <f t="shared" si="6"/>
        <v>3.5384615384615383</v>
      </c>
      <c r="F92" s="82">
        <f t="shared" si="7"/>
        <v>3.2857142857142856</v>
      </c>
      <c r="G92" s="82">
        <f t="shared" si="8"/>
        <v>3.0666666666666669</v>
      </c>
      <c r="H92" s="82">
        <f t="shared" si="9"/>
        <v>2.875</v>
      </c>
      <c r="I92" s="83">
        <f t="shared" si="10"/>
        <v>2.7058823529411766</v>
      </c>
      <c r="BM92" s="1">
        <v>8100</v>
      </c>
    </row>
    <row r="93" spans="1:65" ht="15.95">
      <c r="A93" s="131"/>
      <c r="B93" s="79">
        <f t="shared" si="12"/>
        <v>47</v>
      </c>
      <c r="C93" s="82">
        <f t="shared" si="11"/>
        <v>4.2727272727272725</v>
      </c>
      <c r="D93" s="82">
        <f t="shared" si="5"/>
        <v>3.9166666666666665</v>
      </c>
      <c r="E93" s="82">
        <f t="shared" si="6"/>
        <v>3.6153846153846154</v>
      </c>
      <c r="F93" s="82">
        <f t="shared" si="7"/>
        <v>3.3571428571428572</v>
      </c>
      <c r="G93" s="82">
        <f t="shared" si="8"/>
        <v>3.1333333333333333</v>
      </c>
      <c r="H93" s="82">
        <f t="shared" si="9"/>
        <v>2.9375</v>
      </c>
      <c r="I93" s="83">
        <f t="shared" si="10"/>
        <v>2.7647058823529411</v>
      </c>
      <c r="BM93" s="1">
        <v>8000</v>
      </c>
    </row>
    <row r="94" spans="1:65" ht="15.95">
      <c r="A94" s="131"/>
      <c r="B94" s="79">
        <f t="shared" si="12"/>
        <v>48</v>
      </c>
      <c r="C94" s="82">
        <f t="shared" si="11"/>
        <v>4.3636363636363633</v>
      </c>
      <c r="D94" s="82">
        <f t="shared" si="5"/>
        <v>4</v>
      </c>
      <c r="E94" s="82">
        <f t="shared" si="6"/>
        <v>3.6923076923076925</v>
      </c>
      <c r="F94" s="82">
        <f t="shared" si="7"/>
        <v>3.4285714285714284</v>
      </c>
      <c r="G94" s="82">
        <f t="shared" si="8"/>
        <v>3.2</v>
      </c>
      <c r="H94" s="82">
        <f t="shared" si="9"/>
        <v>3</v>
      </c>
      <c r="I94" s="83">
        <f t="shared" si="10"/>
        <v>2.8235294117647061</v>
      </c>
      <c r="BM94" s="1">
        <v>7900</v>
      </c>
    </row>
    <row r="95" spans="1:65" ht="15.95">
      <c r="A95" s="131"/>
      <c r="B95" s="79">
        <f t="shared" si="12"/>
        <v>49</v>
      </c>
      <c r="C95" s="82">
        <f t="shared" si="11"/>
        <v>4.4545454545454541</v>
      </c>
      <c r="D95" s="82">
        <f t="shared" si="5"/>
        <v>4.083333333333333</v>
      </c>
      <c r="E95" s="82">
        <f t="shared" si="6"/>
        <v>3.7692307692307692</v>
      </c>
      <c r="F95" s="82">
        <f t="shared" si="7"/>
        <v>3.5</v>
      </c>
      <c r="G95" s="82">
        <f t="shared" si="8"/>
        <v>3.2666666666666666</v>
      </c>
      <c r="H95" s="82">
        <f t="shared" si="9"/>
        <v>3.0625</v>
      </c>
      <c r="I95" s="83">
        <f t="shared" si="10"/>
        <v>2.8823529411764706</v>
      </c>
      <c r="BM95" s="1">
        <v>7800</v>
      </c>
    </row>
    <row r="96" spans="1:65" ht="15.95">
      <c r="A96" s="131"/>
      <c r="B96" s="79">
        <f t="shared" si="12"/>
        <v>50</v>
      </c>
      <c r="C96" s="82">
        <f t="shared" si="11"/>
        <v>4.5454545454545459</v>
      </c>
      <c r="D96" s="82">
        <f t="shared" si="5"/>
        <v>4.166666666666667</v>
      </c>
      <c r="E96" s="82">
        <f t="shared" si="6"/>
        <v>3.8461538461538463</v>
      </c>
      <c r="F96" s="82">
        <f t="shared" si="7"/>
        <v>3.5714285714285716</v>
      </c>
      <c r="G96" s="82">
        <f t="shared" si="8"/>
        <v>3.3333333333333335</v>
      </c>
      <c r="H96" s="82">
        <f t="shared" si="9"/>
        <v>3.125</v>
      </c>
      <c r="I96" s="83">
        <f t="shared" si="10"/>
        <v>2.9411764705882355</v>
      </c>
      <c r="BM96" s="1">
        <v>7700</v>
      </c>
    </row>
    <row r="97" spans="1:65" ht="15.95">
      <c r="A97" s="131"/>
      <c r="B97" s="79">
        <f t="shared" si="12"/>
        <v>51</v>
      </c>
      <c r="C97" s="82">
        <f t="shared" si="11"/>
        <v>4.6363636363636367</v>
      </c>
      <c r="D97" s="82">
        <f t="shared" si="5"/>
        <v>4.25</v>
      </c>
      <c r="E97" s="82">
        <f t="shared" si="6"/>
        <v>3.9230769230769229</v>
      </c>
      <c r="F97" s="82">
        <f t="shared" si="7"/>
        <v>3.6428571428571428</v>
      </c>
      <c r="G97" s="82">
        <f t="shared" si="8"/>
        <v>3.4</v>
      </c>
      <c r="H97" s="82">
        <f t="shared" si="9"/>
        <v>3.1875</v>
      </c>
      <c r="I97" s="83">
        <f t="shared" si="10"/>
        <v>3</v>
      </c>
      <c r="BM97" s="1">
        <v>7600</v>
      </c>
    </row>
    <row r="98" spans="1:65" ht="15.95">
      <c r="A98" s="131"/>
      <c r="B98" s="79">
        <f t="shared" si="12"/>
        <v>52</v>
      </c>
      <c r="C98" s="82">
        <f t="shared" si="11"/>
        <v>4.7272727272727275</v>
      </c>
      <c r="D98" s="82">
        <f t="shared" si="5"/>
        <v>4.333333333333333</v>
      </c>
      <c r="E98" s="82">
        <f t="shared" si="6"/>
        <v>4</v>
      </c>
      <c r="F98" s="82">
        <f t="shared" si="7"/>
        <v>3.7142857142857144</v>
      </c>
      <c r="G98" s="82">
        <f t="shared" si="8"/>
        <v>3.4666666666666668</v>
      </c>
      <c r="H98" s="82">
        <f t="shared" si="9"/>
        <v>3.25</v>
      </c>
      <c r="I98" s="83">
        <f t="shared" si="10"/>
        <v>3.0588235294117645</v>
      </c>
      <c r="BM98" s="1">
        <v>7500</v>
      </c>
    </row>
    <row r="99" spans="1:65" ht="15.95">
      <c r="A99" s="131"/>
      <c r="B99" s="79">
        <f t="shared" si="12"/>
        <v>53</v>
      </c>
      <c r="C99" s="82">
        <f t="shared" si="11"/>
        <v>4.8181818181818183</v>
      </c>
      <c r="D99" s="82">
        <f t="shared" si="5"/>
        <v>4.416666666666667</v>
      </c>
      <c r="E99" s="82">
        <f t="shared" si="6"/>
        <v>4.0769230769230766</v>
      </c>
      <c r="F99" s="82">
        <f t="shared" si="7"/>
        <v>3.7857142857142856</v>
      </c>
      <c r="G99" s="82">
        <f t="shared" si="8"/>
        <v>3.5333333333333332</v>
      </c>
      <c r="H99" s="82">
        <f t="shared" si="9"/>
        <v>3.3125</v>
      </c>
      <c r="I99" s="83">
        <f t="shared" si="10"/>
        <v>3.1176470588235294</v>
      </c>
      <c r="BM99" s="1">
        <v>7400</v>
      </c>
    </row>
    <row r="100" spans="1:65" ht="15.95">
      <c r="A100" s="131"/>
      <c r="B100" s="79">
        <f t="shared" si="12"/>
        <v>54</v>
      </c>
      <c r="C100" s="82">
        <f t="shared" si="11"/>
        <v>4.9090909090909092</v>
      </c>
      <c r="D100" s="82">
        <f t="shared" si="5"/>
        <v>4.5</v>
      </c>
      <c r="E100" s="82">
        <f t="shared" si="6"/>
        <v>4.1538461538461542</v>
      </c>
      <c r="F100" s="82">
        <f t="shared" si="7"/>
        <v>3.8571428571428572</v>
      </c>
      <c r="G100" s="82">
        <f t="shared" si="8"/>
        <v>3.6</v>
      </c>
      <c r="H100" s="82">
        <f t="shared" si="9"/>
        <v>3.375</v>
      </c>
      <c r="I100" s="83">
        <f t="shared" si="10"/>
        <v>3.1764705882352939</v>
      </c>
      <c r="BM100" s="1">
        <v>7300</v>
      </c>
    </row>
    <row r="101" spans="1:65" ht="15.95">
      <c r="A101" s="131"/>
      <c r="B101" s="79">
        <f t="shared" si="12"/>
        <v>55</v>
      </c>
      <c r="C101" s="82">
        <f t="shared" si="11"/>
        <v>5</v>
      </c>
      <c r="D101" s="82">
        <f t="shared" si="5"/>
        <v>4.583333333333333</v>
      </c>
      <c r="E101" s="82">
        <f t="shared" si="6"/>
        <v>4.2307692307692308</v>
      </c>
      <c r="F101" s="82">
        <f t="shared" si="7"/>
        <v>3.9285714285714284</v>
      </c>
      <c r="G101" s="82">
        <f t="shared" si="8"/>
        <v>3.6666666666666665</v>
      </c>
      <c r="H101" s="82">
        <f t="shared" si="9"/>
        <v>3.4375</v>
      </c>
      <c r="I101" s="83">
        <f t="shared" si="10"/>
        <v>3.2352941176470589</v>
      </c>
      <c r="BM101" s="1">
        <v>7200</v>
      </c>
    </row>
    <row r="102" spans="1:65" ht="15.95">
      <c r="A102" s="131"/>
      <c r="B102" s="79">
        <f t="shared" si="12"/>
        <v>56</v>
      </c>
      <c r="C102" s="82">
        <f t="shared" si="11"/>
        <v>5.0909090909090908</v>
      </c>
      <c r="D102" s="82">
        <f t="shared" si="5"/>
        <v>4.666666666666667</v>
      </c>
      <c r="E102" s="82">
        <f t="shared" si="6"/>
        <v>4.3076923076923075</v>
      </c>
      <c r="F102" s="82">
        <f t="shared" si="7"/>
        <v>4</v>
      </c>
      <c r="G102" s="82">
        <f t="shared" si="8"/>
        <v>3.7333333333333334</v>
      </c>
      <c r="H102" s="82">
        <f t="shared" si="9"/>
        <v>3.5</v>
      </c>
      <c r="I102" s="83">
        <f t="shared" si="10"/>
        <v>3.2941176470588234</v>
      </c>
      <c r="BM102" s="1">
        <v>7100</v>
      </c>
    </row>
    <row r="103" spans="1:65" ht="15.95">
      <c r="A103" s="131"/>
      <c r="B103" s="79">
        <f t="shared" si="12"/>
        <v>57</v>
      </c>
      <c r="C103" s="82">
        <f t="shared" si="11"/>
        <v>5.1818181818181817</v>
      </c>
      <c r="D103" s="82">
        <f t="shared" si="5"/>
        <v>4.75</v>
      </c>
      <c r="E103" s="82">
        <f t="shared" si="6"/>
        <v>4.384615384615385</v>
      </c>
      <c r="F103" s="82">
        <f t="shared" si="7"/>
        <v>4.0714285714285712</v>
      </c>
      <c r="G103" s="82">
        <f t="shared" si="8"/>
        <v>3.8</v>
      </c>
      <c r="H103" s="82">
        <f t="shared" si="9"/>
        <v>3.5625</v>
      </c>
      <c r="I103" s="83">
        <f t="shared" si="10"/>
        <v>3.3529411764705883</v>
      </c>
      <c r="BM103" s="1">
        <v>7000</v>
      </c>
    </row>
    <row r="104" spans="1:65" ht="15.95">
      <c r="A104" s="131"/>
      <c r="B104" s="79">
        <f t="shared" si="12"/>
        <v>58</v>
      </c>
      <c r="C104" s="82">
        <f t="shared" si="11"/>
        <v>5.2727272727272725</v>
      </c>
      <c r="D104" s="82">
        <f t="shared" si="5"/>
        <v>4.833333333333333</v>
      </c>
      <c r="E104" s="82">
        <f t="shared" si="6"/>
        <v>4.4615384615384617</v>
      </c>
      <c r="F104" s="82">
        <f t="shared" si="7"/>
        <v>4.1428571428571432</v>
      </c>
      <c r="G104" s="82">
        <f t="shared" si="8"/>
        <v>3.8666666666666667</v>
      </c>
      <c r="H104" s="82">
        <f t="shared" si="9"/>
        <v>3.625</v>
      </c>
      <c r="I104" s="83">
        <f t="shared" si="10"/>
        <v>3.4117647058823528</v>
      </c>
      <c r="BM104" s="1">
        <v>6900</v>
      </c>
    </row>
    <row r="105" spans="1:65" ht="15.95">
      <c r="A105" s="131"/>
      <c r="B105" s="79">
        <f t="shared" si="12"/>
        <v>59</v>
      </c>
      <c r="C105" s="82">
        <f t="shared" si="11"/>
        <v>5.3636363636363633</v>
      </c>
      <c r="D105" s="82">
        <f t="shared" si="5"/>
        <v>4.916666666666667</v>
      </c>
      <c r="E105" s="82">
        <f t="shared" si="6"/>
        <v>4.5384615384615383</v>
      </c>
      <c r="F105" s="82">
        <f t="shared" si="7"/>
        <v>4.2142857142857144</v>
      </c>
      <c r="G105" s="82">
        <f t="shared" si="8"/>
        <v>3.9333333333333331</v>
      </c>
      <c r="H105" s="82">
        <f t="shared" si="9"/>
        <v>3.6875</v>
      </c>
      <c r="I105" s="83">
        <f t="shared" si="10"/>
        <v>3.4705882352941178</v>
      </c>
      <c r="BM105" s="1">
        <v>6800</v>
      </c>
    </row>
    <row r="106" spans="1:65" ht="15.95">
      <c r="A106" s="131"/>
      <c r="B106" s="79">
        <f t="shared" si="12"/>
        <v>60</v>
      </c>
      <c r="C106" s="82">
        <f t="shared" si="11"/>
        <v>5.4545454545454541</v>
      </c>
      <c r="D106" s="82">
        <f t="shared" si="5"/>
        <v>5</v>
      </c>
      <c r="E106" s="82">
        <f t="shared" si="6"/>
        <v>4.615384615384615</v>
      </c>
      <c r="F106" s="82">
        <f t="shared" si="7"/>
        <v>4.2857142857142856</v>
      </c>
      <c r="G106" s="82">
        <f t="shared" si="8"/>
        <v>4</v>
      </c>
      <c r="H106" s="82">
        <f t="shared" si="9"/>
        <v>3.75</v>
      </c>
      <c r="I106" s="83">
        <f t="shared" si="10"/>
        <v>3.5294117647058822</v>
      </c>
      <c r="BM106" s="1">
        <v>6700</v>
      </c>
    </row>
    <row r="107" spans="1:65" ht="15.95">
      <c r="A107" s="131"/>
      <c r="B107" s="79">
        <f t="shared" si="12"/>
        <v>61</v>
      </c>
      <c r="C107" s="82">
        <f t="shared" si="11"/>
        <v>5.5454545454545459</v>
      </c>
      <c r="D107" s="82">
        <f t="shared" si="5"/>
        <v>5.083333333333333</v>
      </c>
      <c r="E107" s="82">
        <f t="shared" si="6"/>
        <v>4.6923076923076925</v>
      </c>
      <c r="F107" s="82">
        <f t="shared" si="7"/>
        <v>4.3571428571428568</v>
      </c>
      <c r="G107" s="82">
        <f t="shared" si="8"/>
        <v>4.0666666666666664</v>
      </c>
      <c r="H107" s="82">
        <f t="shared" si="9"/>
        <v>3.8125</v>
      </c>
      <c r="I107" s="83">
        <f t="shared" si="10"/>
        <v>3.5882352941176472</v>
      </c>
      <c r="BM107" s="1">
        <v>6600</v>
      </c>
    </row>
    <row r="108" spans="1:65" ht="15.95">
      <c r="A108" s="131"/>
      <c r="B108" s="79">
        <f t="shared" si="12"/>
        <v>62</v>
      </c>
      <c r="C108" s="82">
        <f t="shared" si="11"/>
        <v>5.6363636363636367</v>
      </c>
      <c r="D108" s="82">
        <f t="shared" si="5"/>
        <v>5.166666666666667</v>
      </c>
      <c r="E108" s="82">
        <f t="shared" si="6"/>
        <v>4.7692307692307692</v>
      </c>
      <c r="F108" s="82">
        <f t="shared" si="7"/>
        <v>4.4285714285714288</v>
      </c>
      <c r="G108" s="82">
        <f t="shared" si="8"/>
        <v>4.1333333333333337</v>
      </c>
      <c r="H108" s="82">
        <f t="shared" si="9"/>
        <v>3.875</v>
      </c>
      <c r="I108" s="83">
        <f t="shared" si="10"/>
        <v>3.6470588235294117</v>
      </c>
      <c r="BM108" s="1">
        <v>6500</v>
      </c>
    </row>
    <row r="109" spans="1:65" ht="15.95">
      <c r="A109" s="131"/>
      <c r="B109" s="79">
        <f t="shared" si="12"/>
        <v>63</v>
      </c>
      <c r="C109" s="82">
        <f t="shared" si="11"/>
        <v>5.7272727272727275</v>
      </c>
      <c r="D109" s="82">
        <f t="shared" si="5"/>
        <v>5.25</v>
      </c>
      <c r="E109" s="82">
        <f t="shared" si="6"/>
        <v>4.8461538461538458</v>
      </c>
      <c r="F109" s="82">
        <f t="shared" si="7"/>
        <v>4.5</v>
      </c>
      <c r="G109" s="82">
        <f t="shared" si="8"/>
        <v>4.2</v>
      </c>
      <c r="H109" s="82">
        <f t="shared" si="9"/>
        <v>3.9375</v>
      </c>
      <c r="I109" s="83">
        <f t="shared" si="10"/>
        <v>3.7058823529411766</v>
      </c>
      <c r="BM109" s="1">
        <v>6400</v>
      </c>
    </row>
    <row r="110" spans="1:65" ht="15.95">
      <c r="A110" s="131"/>
      <c r="B110" s="79">
        <f t="shared" si="12"/>
        <v>64</v>
      </c>
      <c r="C110" s="82">
        <f t="shared" si="11"/>
        <v>5.8181818181818183</v>
      </c>
      <c r="D110" s="82">
        <f t="shared" si="5"/>
        <v>5.333333333333333</v>
      </c>
      <c r="E110" s="82">
        <f t="shared" si="6"/>
        <v>4.9230769230769234</v>
      </c>
      <c r="F110" s="82">
        <f t="shared" si="7"/>
        <v>4.5714285714285712</v>
      </c>
      <c r="G110" s="82">
        <f t="shared" si="8"/>
        <v>4.2666666666666666</v>
      </c>
      <c r="H110" s="82">
        <f t="shared" si="9"/>
        <v>4</v>
      </c>
      <c r="I110" s="83">
        <f t="shared" si="10"/>
        <v>3.7647058823529411</v>
      </c>
      <c r="BM110" s="1">
        <v>6300</v>
      </c>
    </row>
    <row r="111" spans="1:65" ht="15.95">
      <c r="A111" s="131"/>
      <c r="B111" s="79">
        <f t="shared" si="12"/>
        <v>65</v>
      </c>
      <c r="C111" s="82">
        <f t="shared" si="11"/>
        <v>5.9090909090909092</v>
      </c>
      <c r="D111" s="82">
        <f t="shared" si="5"/>
        <v>5.416666666666667</v>
      </c>
      <c r="E111" s="82">
        <f t="shared" si="6"/>
        <v>5</v>
      </c>
      <c r="F111" s="82">
        <f t="shared" si="7"/>
        <v>4.6428571428571432</v>
      </c>
      <c r="G111" s="82">
        <f t="shared" si="8"/>
        <v>4.333333333333333</v>
      </c>
      <c r="H111" s="82">
        <f t="shared" si="9"/>
        <v>4.0625</v>
      </c>
      <c r="I111" s="83">
        <f t="shared" si="10"/>
        <v>3.8235294117647061</v>
      </c>
      <c r="BM111" s="1">
        <v>6200</v>
      </c>
    </row>
    <row r="112" spans="1:65" ht="15.95">
      <c r="A112" s="131"/>
      <c r="B112" s="79">
        <f t="shared" si="12"/>
        <v>66</v>
      </c>
      <c r="C112" s="82">
        <f t="shared" si="11"/>
        <v>6</v>
      </c>
      <c r="D112" s="82">
        <f t="shared" si="5"/>
        <v>5.5</v>
      </c>
      <c r="E112" s="82">
        <f t="shared" si="6"/>
        <v>5.0769230769230766</v>
      </c>
      <c r="F112" s="82">
        <f t="shared" si="7"/>
        <v>4.7142857142857144</v>
      </c>
      <c r="G112" s="82">
        <f t="shared" si="8"/>
        <v>4.4000000000000004</v>
      </c>
      <c r="H112" s="82">
        <f t="shared" si="9"/>
        <v>4.125</v>
      </c>
      <c r="I112" s="83">
        <f t="shared" si="10"/>
        <v>3.8823529411764706</v>
      </c>
      <c r="BM112" s="1">
        <v>6100</v>
      </c>
    </row>
    <row r="113" spans="1:65" ht="15.95">
      <c r="A113" s="131"/>
      <c r="B113" s="79">
        <f t="shared" si="12"/>
        <v>67</v>
      </c>
      <c r="C113" s="82">
        <f t="shared" si="11"/>
        <v>6.0909090909090908</v>
      </c>
      <c r="D113" s="82">
        <f t="shared" si="5"/>
        <v>5.583333333333333</v>
      </c>
      <c r="E113" s="82">
        <f t="shared" si="6"/>
        <v>5.1538461538461542</v>
      </c>
      <c r="F113" s="82">
        <f t="shared" si="7"/>
        <v>4.7857142857142856</v>
      </c>
      <c r="G113" s="82">
        <f t="shared" si="8"/>
        <v>4.4666666666666668</v>
      </c>
      <c r="H113" s="82">
        <f t="shared" si="9"/>
        <v>4.1875</v>
      </c>
      <c r="I113" s="83">
        <f t="shared" si="10"/>
        <v>3.9411764705882355</v>
      </c>
      <c r="BM113" s="1">
        <v>6000</v>
      </c>
    </row>
    <row r="114" spans="1:65" ht="15.95">
      <c r="A114" s="131"/>
      <c r="B114" s="79">
        <f t="shared" si="12"/>
        <v>68</v>
      </c>
      <c r="C114" s="82">
        <f t="shared" si="11"/>
        <v>6.1818181818181817</v>
      </c>
      <c r="D114" s="82">
        <f t="shared" si="5"/>
        <v>5.666666666666667</v>
      </c>
      <c r="E114" s="82">
        <f t="shared" si="6"/>
        <v>5.2307692307692308</v>
      </c>
      <c r="F114" s="82">
        <f t="shared" si="7"/>
        <v>4.8571428571428568</v>
      </c>
      <c r="G114" s="82">
        <f t="shared" si="8"/>
        <v>4.5333333333333332</v>
      </c>
      <c r="H114" s="82">
        <f t="shared" si="9"/>
        <v>4.25</v>
      </c>
      <c r="I114" s="83">
        <f t="shared" si="10"/>
        <v>4</v>
      </c>
      <c r="BM114" s="1">
        <v>5900</v>
      </c>
    </row>
    <row r="115" spans="1:65" ht="17.100000000000001" thickBot="1">
      <c r="A115" s="132"/>
      <c r="B115" s="85">
        <f t="shared" si="12"/>
        <v>69</v>
      </c>
      <c r="C115" s="86">
        <f t="shared" si="11"/>
        <v>6.2727272727272725</v>
      </c>
      <c r="D115" s="86">
        <f t="shared" si="5"/>
        <v>5.75</v>
      </c>
      <c r="E115" s="86">
        <f t="shared" si="6"/>
        <v>5.3076923076923075</v>
      </c>
      <c r="F115" s="86">
        <f t="shared" si="7"/>
        <v>4.9285714285714288</v>
      </c>
      <c r="G115" s="86">
        <f t="shared" si="8"/>
        <v>4.5999999999999996</v>
      </c>
      <c r="H115" s="86">
        <f t="shared" si="9"/>
        <v>4.3125</v>
      </c>
      <c r="I115" s="87">
        <f t="shared" si="10"/>
        <v>4.0588235294117645</v>
      </c>
      <c r="BM115" s="1">
        <v>5800</v>
      </c>
    </row>
    <row r="116" spans="1:65">
      <c r="BM116" s="1">
        <v>5700</v>
      </c>
    </row>
    <row r="117" spans="1:65">
      <c r="BM117" s="1">
        <v>5600</v>
      </c>
    </row>
    <row r="118" spans="1:65">
      <c r="BM118" s="1">
        <v>5500</v>
      </c>
    </row>
    <row r="119" spans="1:65">
      <c r="BM119" s="1">
        <v>5400</v>
      </c>
    </row>
    <row r="120" spans="1:65">
      <c r="BM120" s="1">
        <v>5300</v>
      </c>
    </row>
    <row r="121" spans="1:65">
      <c r="BM121" s="1">
        <v>5200</v>
      </c>
    </row>
    <row r="122" spans="1:65">
      <c r="BM122" s="1">
        <v>5100</v>
      </c>
    </row>
    <row r="123" spans="1:65">
      <c r="BM123" s="1">
        <v>5000</v>
      </c>
    </row>
    <row r="124" spans="1:65">
      <c r="BM124" s="1">
        <v>4900</v>
      </c>
    </row>
    <row r="125" spans="1:65">
      <c r="BM125" s="1">
        <v>4800</v>
      </c>
    </row>
    <row r="126" spans="1:65">
      <c r="BM126" s="1">
        <v>4700</v>
      </c>
    </row>
    <row r="127" spans="1:65">
      <c r="BM127" s="1">
        <v>4600</v>
      </c>
    </row>
    <row r="128" spans="1:65">
      <c r="BM128" s="1">
        <v>4500</v>
      </c>
    </row>
  </sheetData>
  <sheetProtection selectLockedCells="1" selectUnlockedCells="1"/>
  <dataConsolidate/>
  <mergeCells count="74">
    <mergeCell ref="A72:B73"/>
    <mergeCell ref="C72:I72"/>
    <mergeCell ref="A74:A115"/>
    <mergeCell ref="AE17:AE18"/>
    <mergeCell ref="Z19:Z20"/>
    <mergeCell ref="AA19:AA20"/>
    <mergeCell ref="AB19:AB20"/>
    <mergeCell ref="AC19:AC20"/>
    <mergeCell ref="AD19:AD20"/>
    <mergeCell ref="AE19:AE20"/>
    <mergeCell ref="AD17:AD18"/>
    <mergeCell ref="Z16:AA16"/>
    <mergeCell ref="Z17:Z18"/>
    <mergeCell ref="AA17:AA18"/>
    <mergeCell ref="AB17:AB18"/>
    <mergeCell ref="AC17:AC18"/>
    <mergeCell ref="AE12:AE13"/>
    <mergeCell ref="Z14:Z15"/>
    <mergeCell ref="AA14:AA15"/>
    <mergeCell ref="AB14:AB15"/>
    <mergeCell ref="AC14:AC15"/>
    <mergeCell ref="AD14:AD15"/>
    <mergeCell ref="AE14:AE15"/>
    <mergeCell ref="AD12:AD13"/>
    <mergeCell ref="Z11:AA11"/>
    <mergeCell ref="Z12:Z13"/>
    <mergeCell ref="AA12:AA13"/>
    <mergeCell ref="AB12:AB13"/>
    <mergeCell ref="AC12:AC13"/>
    <mergeCell ref="AB7:AB8"/>
    <mergeCell ref="AC7:AC8"/>
    <mergeCell ref="AD7:AD8"/>
    <mergeCell ref="AE7:AE8"/>
    <mergeCell ref="Z9:Z10"/>
    <mergeCell ref="AA9:AA10"/>
    <mergeCell ref="AB9:AB10"/>
    <mergeCell ref="AC9:AC10"/>
    <mergeCell ref="AD9:AD10"/>
    <mergeCell ref="AE9:AE10"/>
    <mergeCell ref="Z6:AA6"/>
    <mergeCell ref="A7:B7"/>
    <mergeCell ref="I7:J7"/>
    <mergeCell ref="Q7:R7"/>
    <mergeCell ref="Z7:Z8"/>
    <mergeCell ref="AA7:AA8"/>
    <mergeCell ref="A6:B6"/>
    <mergeCell ref="E6:F6"/>
    <mergeCell ref="I6:J6"/>
    <mergeCell ref="M6:N6"/>
    <mergeCell ref="Q6:R6"/>
    <mergeCell ref="U6:V6"/>
    <mergeCell ref="AP4:AR4"/>
    <mergeCell ref="AS4:AU4"/>
    <mergeCell ref="AV4:AX4"/>
    <mergeCell ref="AY4:BA4"/>
    <mergeCell ref="A5:B5"/>
    <mergeCell ref="I5:J5"/>
    <mergeCell ref="Q5:R5"/>
    <mergeCell ref="AB4:AB5"/>
    <mergeCell ref="AC4:AC5"/>
    <mergeCell ref="AD4:AD5"/>
    <mergeCell ref="AE4:AE5"/>
    <mergeCell ref="AJ4:AL4"/>
    <mergeCell ref="AM4:AO4"/>
    <mergeCell ref="A4:B4"/>
    <mergeCell ref="I4:J4"/>
    <mergeCell ref="Q4:R4"/>
    <mergeCell ref="Z4:Z5"/>
    <mergeCell ref="AA4:AA5"/>
    <mergeCell ref="A1:AG1"/>
    <mergeCell ref="Z2:AA2"/>
    <mergeCell ref="A3:B3"/>
    <mergeCell ref="I3:J3"/>
    <mergeCell ref="Q3:R3"/>
  </mergeCells>
  <dataValidations count="11">
    <dataValidation type="list" allowBlank="1" showErrorMessage="1" sqref="J9 B9 B11 B13 B15 B17 J11 J13 J15 J17 R9 R11 R13 R15 R17" xr:uid="{00000000-0002-0000-0000-000000000000}">
      <formula1>$BC$5:$BC$8</formula1>
    </dataValidation>
    <dataValidation type="list" allowBlank="1" showErrorMessage="1" sqref="C5 K5 S5" xr:uid="{00000000-0002-0000-0000-000001000000}">
      <formula1>$BG$19:$BG$22</formula1>
    </dataValidation>
    <dataValidation type="list" allowBlank="1" showErrorMessage="1" sqref="K6:L6 C6:D6 S6:T6" xr:uid="{00000000-0002-0000-0000-000002000000}">
      <formula1>$BM$3:$BM$128</formula1>
    </dataValidation>
    <dataValidation type="list" allowBlank="1" showInputMessage="1" showErrorMessage="1" sqref="Z4" xr:uid="{00000000-0002-0000-0000-000003000000}">
      <formula1>ChainSize</formula1>
    </dataValidation>
    <dataValidation type="list" allowBlank="1" showInputMessage="1" showErrorMessage="1" sqref="AA14 AA4 AA9 AA19" xr:uid="{00000000-0002-0000-0000-000004000000}">
      <formula1>FrontSprockets</formula1>
    </dataValidation>
    <dataValidation type="list" allowBlank="1" showInputMessage="1" showErrorMessage="1" sqref="AB14 AB4 AB9 AB19" xr:uid="{00000000-0002-0000-0000-000005000000}">
      <formula1>RearSprockets</formula1>
    </dataValidation>
    <dataValidation type="list" allowBlank="1" showInputMessage="1" showErrorMessage="1" sqref="AC4" xr:uid="{00000000-0002-0000-0000-000006000000}">
      <formula1>Number_of_Links</formula1>
    </dataValidation>
    <dataValidation type="list" allowBlank="1" showInputMessage="1" showErrorMessage="1" sqref="C4 S4" xr:uid="{00000000-0002-0000-0000-000007000000}">
      <formula1>$BG$5:$BG$8</formula1>
    </dataValidation>
    <dataValidation type="list" allowBlank="1" showInputMessage="1" showErrorMessage="1" sqref="D4 T4" xr:uid="{00000000-0002-0000-0000-000008000000}">
      <formula1>$BH$5:$BH$16</formula1>
    </dataValidation>
    <dataValidation type="list" allowBlank="1" showInputMessage="1" showErrorMessage="1" sqref="K4" xr:uid="{00000000-0002-0000-0000-000009000000}">
      <formula1>$BG$4:$BG$8</formula1>
    </dataValidation>
    <dataValidation type="list" allowBlank="1" showInputMessage="1" showErrorMessage="1" sqref="L4" xr:uid="{00000000-0002-0000-0000-00000A000000}">
      <formula1>$BH$4:$BH$16</formula1>
    </dataValidation>
  </dataValidations>
  <printOptions horizontalCentered="1"/>
  <pageMargins left="0" right="0" top="0.34027777777777779" bottom="0.19999999999999998" header="0.51180555555555551" footer="0.19652777777777777"/>
  <headerFooter alignWithMargins="0">
    <oddFooter xml:space="preserve">&amp;C&amp;D&amp;R&amp;A     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3"/>
  <sheetViews>
    <sheetView workbookViewId="0" xr3:uid="{958C4451-9541-5A59-BF78-D2F731DF1C81}">
      <selection activeCell="N2" sqref="N2"/>
    </sheetView>
  </sheetViews>
  <sheetFormatPr defaultColWidth="7.625" defaultRowHeight="15"/>
  <cols>
    <col min="1" max="1" width="6.125" style="88" bestFit="1" customWidth="1"/>
    <col min="2" max="3" width="9.125" style="88" bestFit="1" customWidth="1"/>
    <col min="4" max="4" width="8.375" style="88" bestFit="1" customWidth="1"/>
    <col min="5" max="7" width="7.625" style="88"/>
    <col min="8" max="8" width="18.625" style="88" bestFit="1" customWidth="1"/>
    <col min="9" max="9" width="13.375" style="88" bestFit="1" customWidth="1"/>
    <col min="10" max="12" width="12.375" style="88" bestFit="1" customWidth="1"/>
    <col min="13" max="13" width="7.625" style="88"/>
    <col min="14" max="14" width="14.125" style="88" bestFit="1" customWidth="1"/>
    <col min="15" max="18" width="13.375" style="88" bestFit="1" customWidth="1"/>
    <col min="19" max="16384" width="7.625" style="88"/>
  </cols>
  <sheetData>
    <row r="1" spans="1:18">
      <c r="A1" s="88" t="s">
        <v>28</v>
      </c>
      <c r="B1" s="88" t="s">
        <v>65</v>
      </c>
      <c r="C1" s="88" t="s">
        <v>66</v>
      </c>
      <c r="D1" s="88" t="s">
        <v>67</v>
      </c>
      <c r="H1" s="88" t="s">
        <v>68</v>
      </c>
      <c r="I1" s="88" t="s">
        <v>69</v>
      </c>
      <c r="J1" s="88" t="s">
        <v>70</v>
      </c>
      <c r="K1" s="88" t="s">
        <v>71</v>
      </c>
      <c r="L1" s="88" t="s">
        <v>72</v>
      </c>
      <c r="N1" s="88" t="s">
        <v>73</v>
      </c>
      <c r="O1" s="88" t="s">
        <v>74</v>
      </c>
      <c r="P1" s="88" t="s">
        <v>75</v>
      </c>
      <c r="Q1" s="88" t="s">
        <v>76</v>
      </c>
      <c r="R1" s="88" t="s">
        <v>77</v>
      </c>
    </row>
    <row r="2" spans="1:18">
      <c r="A2" s="88">
        <v>3500</v>
      </c>
      <c r="B2" s="88">
        <v>16</v>
      </c>
      <c r="C2" s="90">
        <f>(B2*5252)/A2</f>
        <v>24.009142857142859</v>
      </c>
      <c r="D2" s="90">
        <f>0.7457*B2</f>
        <v>11.9312</v>
      </c>
      <c r="H2" s="89">
        <f>(($A2*60*('Gearbox CRF450'!$C$9/'Gearbox CRF450'!$D$9)*('Gearbox CRF450'!$C$3/'Gearbox CRF450'!$D$3)*'Gearbox CRF450'!$E$5*PI())/1000)*('Gearbox CRF450'!$C$4/'Gearbox CRF450'!$D$4)</f>
        <v>27.502122651036871</v>
      </c>
      <c r="I2" s="89">
        <f>(($A2*60*('Gearbox CRF450'!$C$11/'Gearbox CRF450'!$D$11)*('Gearbox CRF450'!$C$3/'Gearbox CRF450'!$D$3)*'Gearbox CRF450'!$E$5*PI())/1000)*('Gearbox CRF450'!$C$4/'Gearbox CRF450'!$D$4)</f>
        <v>33.662598124869128</v>
      </c>
      <c r="J2" s="89">
        <f>(($A2*60*('Gearbox CRF450'!$C$13/'Gearbox CRF450'!$D$13)*('Gearbox CRF450'!$C$3/'Gearbox CRF450'!$D$3)*'Gearbox CRF450'!$E$5*PI())/1000)*('Gearbox CRF450'!$C$4/'Gearbox CRF450'!$D$4)</f>
        <v>40.074521577225156</v>
      </c>
      <c r="K2" s="89">
        <f>(($A2*60*('Gearbox CRF450'!$C$15/'Gearbox CRF450'!$D$15)*('Gearbox CRF450'!$C$3/'Gearbox CRF450'!$D$3)*'Gearbox CRF450'!$E$5*PI())/1000)*('Gearbox CRF450'!$C$4/'Gearbox CRF450'!$D$4)</f>
        <v>47.146495973206058</v>
      </c>
      <c r="L2" s="89">
        <f>(($A2*60*('Gearbox CRF450'!$C$17/'Gearbox CRF450'!$D$17)*('Gearbox CRF450'!$C$3/'Gearbox CRF450'!$D$3)*'Gearbox CRF450'!$E$5*PI())/1000)*('Gearbox CRF450'!$C$4/'Gearbox CRF450'!$D$4)</f>
        <v>54.454202849053004</v>
      </c>
      <c r="N2" s="89">
        <f>($D2*1000)/(H2*(1000/3600))</f>
        <v>1561.7819957028166</v>
      </c>
      <c r="O2" s="89">
        <f t="shared" ref="O2:R16" si="0">($D2*1000)/(I2*(1000/3600))</f>
        <v>1275.9656827637391</v>
      </c>
      <c r="P2" s="89">
        <f t="shared" si="0"/>
        <v>1071.8111735215407</v>
      </c>
      <c r="Q2" s="89">
        <f t="shared" si="0"/>
        <v>911.0394974933098</v>
      </c>
      <c r="R2" s="89">
        <f t="shared" si="0"/>
        <v>788.77878570849327</v>
      </c>
    </row>
    <row r="3" spans="1:18">
      <c r="A3" s="88">
        <f>A2+500</f>
        <v>4000</v>
      </c>
      <c r="B3" s="88">
        <v>20</v>
      </c>
      <c r="C3" s="90">
        <f>(B3*5252)/A3</f>
        <v>26.26</v>
      </c>
      <c r="D3" s="90">
        <f t="shared" ref="D3:D16" si="1">0.7457*B3</f>
        <v>14.914000000000001</v>
      </c>
      <c r="H3" s="89">
        <f>(($A3*60*('Gearbox CRF450'!$C$9/'Gearbox CRF450'!$D$9)*('Gearbox CRF450'!$C$3/'Gearbox CRF450'!$D$3)*'Gearbox CRF450'!$E$5*PI())/1000)*('Gearbox CRF450'!$C$4/'Gearbox CRF450'!$D$4)</f>
        <v>31.430997315470709</v>
      </c>
      <c r="I3" s="89">
        <f>(($A3*60*('Gearbox CRF450'!$C$11/'Gearbox CRF450'!$D$11)*('Gearbox CRF450'!$C$3/'Gearbox CRF450'!$D$3)*'Gearbox CRF450'!$E$5*PI())/1000)*('Gearbox CRF450'!$C$4/'Gearbox CRF450'!$D$4)</f>
        <v>38.47154071413614</v>
      </c>
      <c r="J3" s="89">
        <f>(($A3*60*('Gearbox CRF450'!$C$13/'Gearbox CRF450'!$D$13)*('Gearbox CRF450'!$C$3/'Gearbox CRF450'!$D$3)*'Gearbox CRF450'!$E$5*PI())/1000)*('Gearbox CRF450'!$C$4/'Gearbox CRF450'!$D$4)</f>
        <v>45.799453231114455</v>
      </c>
      <c r="K3" s="89">
        <f>(($A3*60*('Gearbox CRF450'!$C$15/'Gearbox CRF450'!$D$15)*('Gearbox CRF450'!$C$3/'Gearbox CRF450'!$D$3)*'Gearbox CRF450'!$E$5*PI())/1000)*('Gearbox CRF450'!$C$4/'Gearbox CRF450'!$D$4)</f>
        <v>53.88170968366407</v>
      </c>
      <c r="L3" s="89">
        <f>(($A3*60*('Gearbox CRF450'!$C$17/'Gearbox CRF450'!$D$17)*('Gearbox CRF450'!$C$3/'Gearbox CRF450'!$D$3)*'Gearbox CRF450'!$E$5*PI())/1000)*('Gearbox CRF450'!$C$4/'Gearbox CRF450'!$D$4)</f>
        <v>62.233374684632004</v>
      </c>
      <c r="N3" s="89">
        <f t="shared" ref="N3:N16" si="2">($D3*1000)/(H3*(1000/3600))</f>
        <v>1708.1990577999559</v>
      </c>
      <c r="O3" s="89">
        <f t="shared" si="0"/>
        <v>1395.5874655228399</v>
      </c>
      <c r="P3" s="89">
        <f t="shared" si="0"/>
        <v>1172.2934710391855</v>
      </c>
      <c r="Q3" s="89">
        <f t="shared" si="0"/>
        <v>996.44945038330764</v>
      </c>
      <c r="R3" s="89">
        <f t="shared" si="0"/>
        <v>862.72679686866456</v>
      </c>
    </row>
    <row r="4" spans="1:18">
      <c r="A4" s="88">
        <f t="shared" ref="A4:A16" si="3">A3+500</f>
        <v>4500</v>
      </c>
      <c r="B4" s="88">
        <v>25</v>
      </c>
      <c r="C4" s="90">
        <f>(B4*5252)/A4</f>
        <v>29.177777777777777</v>
      </c>
      <c r="D4" s="90">
        <f t="shared" si="1"/>
        <v>18.642500000000002</v>
      </c>
      <c r="H4" s="89">
        <f>(($A4*60*('Gearbox CRF450'!$C$9/'Gearbox CRF450'!$D$9)*('Gearbox CRF450'!$C$3/'Gearbox CRF450'!$D$3)*'Gearbox CRF450'!$E$5*PI())/1000)*('Gearbox CRF450'!$C$4/'Gearbox CRF450'!$D$4)</f>
        <v>35.35987197990454</v>
      </c>
      <c r="I4" s="89">
        <f>(($A4*60*('Gearbox CRF450'!$C$11/'Gearbox CRF450'!$D$11)*('Gearbox CRF450'!$C$3/'Gearbox CRF450'!$D$3)*'Gearbox CRF450'!$E$5*PI())/1000)*('Gearbox CRF450'!$C$4/'Gearbox CRF450'!$D$4)</f>
        <v>43.280483303403152</v>
      </c>
      <c r="J4" s="89">
        <f>(($A4*60*('Gearbox CRF450'!$C$13/'Gearbox CRF450'!$D$13)*('Gearbox CRF450'!$C$3/'Gearbox CRF450'!$D$3)*'Gearbox CRF450'!$E$5*PI())/1000)*('Gearbox CRF450'!$C$4/'Gearbox CRF450'!$D$4)</f>
        <v>51.524384885003769</v>
      </c>
      <c r="K4" s="89">
        <f>(($A4*60*('Gearbox CRF450'!$C$15/'Gearbox CRF450'!$D$15)*('Gearbox CRF450'!$C$3/'Gearbox CRF450'!$D$3)*'Gearbox CRF450'!$E$5*PI())/1000)*('Gearbox CRF450'!$C$4/'Gearbox CRF450'!$D$4)</f>
        <v>60.616923394122075</v>
      </c>
      <c r="L4" s="89">
        <f>(($A4*60*('Gearbox CRF450'!$C$17/'Gearbox CRF450'!$D$17)*('Gearbox CRF450'!$C$3/'Gearbox CRF450'!$D$3)*'Gearbox CRF450'!$E$5*PI())/1000)*('Gearbox CRF450'!$C$4/'Gearbox CRF450'!$D$4)</f>
        <v>70.012546520210989</v>
      </c>
      <c r="N4" s="89">
        <f t="shared" si="2"/>
        <v>1897.9989531110625</v>
      </c>
      <c r="O4" s="89">
        <f t="shared" si="0"/>
        <v>1550.6527394698226</v>
      </c>
      <c r="P4" s="89">
        <f t="shared" si="0"/>
        <v>1302.5483011546505</v>
      </c>
      <c r="Q4" s="89">
        <f t="shared" si="0"/>
        <v>1107.1660559814532</v>
      </c>
      <c r="R4" s="89">
        <f t="shared" si="0"/>
        <v>958.58532985407192</v>
      </c>
    </row>
    <row r="5" spans="1:18">
      <c r="A5" s="88">
        <f t="shared" si="3"/>
        <v>5000</v>
      </c>
      <c r="B5" s="88">
        <v>32</v>
      </c>
      <c r="C5" s="90">
        <f>(B5*5252)/A5</f>
        <v>33.6128</v>
      </c>
      <c r="D5" s="90">
        <f t="shared" si="1"/>
        <v>23.862400000000001</v>
      </c>
      <c r="H5" s="89">
        <f>(($A5*60*('Gearbox CRF450'!$C$9/'Gearbox CRF450'!$D$9)*('Gearbox CRF450'!$C$3/'Gearbox CRF450'!$D$3)*'Gearbox CRF450'!$E$5*PI())/1000)*('Gearbox CRF450'!$C$4/'Gearbox CRF450'!$D$4)</f>
        <v>39.288746644338389</v>
      </c>
      <c r="I5" s="89">
        <f>(($A5*60*('Gearbox CRF450'!$C$11/'Gearbox CRF450'!$D$11)*('Gearbox CRF450'!$C$3/'Gearbox CRF450'!$D$3)*'Gearbox CRF450'!$E$5*PI())/1000)*('Gearbox CRF450'!$C$4/'Gearbox CRF450'!$D$4)</f>
        <v>48.089425892670192</v>
      </c>
      <c r="J5" s="89">
        <f>(($A5*60*('Gearbox CRF450'!$C$13/'Gearbox CRF450'!$D$13)*('Gearbox CRF450'!$C$3/'Gearbox CRF450'!$D$3)*'Gearbox CRF450'!$E$5*PI())/1000)*('Gearbox CRF450'!$C$4/'Gearbox CRF450'!$D$4)</f>
        <v>57.249316538893083</v>
      </c>
      <c r="K5" s="89">
        <f>(($A5*60*('Gearbox CRF450'!$C$15/'Gearbox CRF450'!$D$15)*('Gearbox CRF450'!$C$3/'Gearbox CRF450'!$D$3)*'Gearbox CRF450'!$E$5*PI())/1000)*('Gearbox CRF450'!$C$4/'Gearbox CRF450'!$D$4)</f>
        <v>67.352137104580081</v>
      </c>
      <c r="L5" s="89">
        <f>(($A5*60*('Gearbox CRF450'!$C$17/'Gearbox CRF450'!$D$17)*('Gearbox CRF450'!$C$3/'Gearbox CRF450'!$D$3)*'Gearbox CRF450'!$E$5*PI())/1000)*('Gearbox CRF450'!$C$4/'Gearbox CRF450'!$D$4)</f>
        <v>77.791718355789996</v>
      </c>
      <c r="N5" s="89">
        <f t="shared" si="2"/>
        <v>2186.4947939839431</v>
      </c>
      <c r="O5" s="89">
        <f t="shared" si="0"/>
        <v>1786.3519558692344</v>
      </c>
      <c r="P5" s="89">
        <f t="shared" si="0"/>
        <v>1500.5356429301569</v>
      </c>
      <c r="Q5" s="89">
        <f t="shared" si="0"/>
        <v>1275.4552964906338</v>
      </c>
      <c r="R5" s="89">
        <f t="shared" si="0"/>
        <v>1104.2902999918906</v>
      </c>
    </row>
    <row r="6" spans="1:18">
      <c r="A6" s="88">
        <f t="shared" si="3"/>
        <v>5500</v>
      </c>
      <c r="B6" s="88">
        <v>37</v>
      </c>
      <c r="C6" s="90">
        <f>(B6*5252)/A6</f>
        <v>35.331636363636363</v>
      </c>
      <c r="D6" s="90">
        <f t="shared" si="1"/>
        <v>27.590900000000001</v>
      </c>
      <c r="H6" s="89">
        <f>(($A6*60*('Gearbox CRF450'!$C$9/'Gearbox CRF450'!$D$9)*('Gearbox CRF450'!$C$3/'Gearbox CRF450'!$D$3)*'Gearbox CRF450'!$E$5*PI())/1000)*('Gearbox CRF450'!$C$4/'Gearbox CRF450'!$D$4)</f>
        <v>43.217621308772223</v>
      </c>
      <c r="I6" s="89">
        <f>(($A6*60*('Gearbox CRF450'!$C$11/'Gearbox CRF450'!$D$11)*('Gearbox CRF450'!$C$3/'Gearbox CRF450'!$D$3)*'Gearbox CRF450'!$E$5*PI())/1000)*('Gearbox CRF450'!$C$4/'Gearbox CRF450'!$D$4)</f>
        <v>52.898368481937197</v>
      </c>
      <c r="J6" s="89">
        <f>(($A6*60*('Gearbox CRF450'!$C$13/'Gearbox CRF450'!$D$13)*('Gearbox CRF450'!$C$3/'Gearbox CRF450'!$D$3)*'Gearbox CRF450'!$E$5*PI())/1000)*('Gearbox CRF450'!$C$4/'Gearbox CRF450'!$D$4)</f>
        <v>62.974248192782383</v>
      </c>
      <c r="K6" s="89">
        <f>(($A6*60*('Gearbox CRF450'!$C$15/'Gearbox CRF450'!$D$15)*('Gearbox CRF450'!$C$3/'Gearbox CRF450'!$D$3)*'Gearbox CRF450'!$E$5*PI())/1000)*('Gearbox CRF450'!$C$4/'Gearbox CRF450'!$D$4)</f>
        <v>74.087350815038093</v>
      </c>
      <c r="L6" s="89">
        <f>(($A6*60*('Gearbox CRF450'!$C$17/'Gearbox CRF450'!$D$17)*('Gearbox CRF450'!$C$3/'Gearbox CRF450'!$D$3)*'Gearbox CRF450'!$E$5*PI())/1000)*('Gearbox CRF450'!$C$4/'Gearbox CRF450'!$D$4)</f>
        <v>85.570890191369017</v>
      </c>
      <c r="N6" s="89">
        <f t="shared" si="2"/>
        <v>2298.3041868581222</v>
      </c>
      <c r="O6" s="89">
        <f t="shared" si="0"/>
        <v>1877.6994990670935</v>
      </c>
      <c r="P6" s="89">
        <f t="shared" si="0"/>
        <v>1577.2675792163584</v>
      </c>
      <c r="Q6" s="89">
        <f t="shared" si="0"/>
        <v>1340.6774423339048</v>
      </c>
      <c r="R6" s="89">
        <f t="shared" si="0"/>
        <v>1160.7596903323847</v>
      </c>
    </row>
    <row r="7" spans="1:18">
      <c r="A7" s="88">
        <f t="shared" si="3"/>
        <v>6000</v>
      </c>
      <c r="B7" s="88">
        <v>42</v>
      </c>
      <c r="C7" s="90">
        <f t="shared" ref="C7:C16" si="4">(B7*5252)/A7</f>
        <v>36.764000000000003</v>
      </c>
      <c r="D7" s="90">
        <f t="shared" si="1"/>
        <v>31.319400000000002</v>
      </c>
      <c r="H7" s="89">
        <f>(($A7*60*('Gearbox CRF450'!$C$9/'Gearbox CRF450'!$D$9)*('Gearbox CRF450'!$C$3/'Gearbox CRF450'!$D$3)*'Gearbox CRF450'!$E$5*PI())/1000)*('Gearbox CRF450'!$C$4/'Gearbox CRF450'!$D$4)</f>
        <v>47.146495973206058</v>
      </c>
      <c r="I7" s="89">
        <f>(($A7*60*('Gearbox CRF450'!$C$11/'Gearbox CRF450'!$D$11)*('Gearbox CRF450'!$C$3/'Gearbox CRF450'!$D$3)*'Gearbox CRF450'!$E$5*PI())/1000)*('Gearbox CRF450'!$C$4/'Gearbox CRF450'!$D$4)</f>
        <v>57.707311071204231</v>
      </c>
      <c r="J7" s="89">
        <f>(($A7*60*('Gearbox CRF450'!$C$13/'Gearbox CRF450'!$D$13)*('Gearbox CRF450'!$C$3/'Gearbox CRF450'!$D$3)*'Gearbox CRF450'!$E$5*PI())/1000)*('Gearbox CRF450'!$C$4/'Gearbox CRF450'!$D$4)</f>
        <v>68.699179846671683</v>
      </c>
      <c r="K7" s="89">
        <f>(($A7*60*('Gearbox CRF450'!$C$15/'Gearbox CRF450'!$D$15)*('Gearbox CRF450'!$C$3/'Gearbox CRF450'!$D$3)*'Gearbox CRF450'!$E$5*PI())/1000)*('Gearbox CRF450'!$C$4/'Gearbox CRF450'!$D$4)</f>
        <v>80.822564525496091</v>
      </c>
      <c r="L7" s="89">
        <f>(($A7*60*('Gearbox CRF450'!$C$17/'Gearbox CRF450'!$D$17)*('Gearbox CRF450'!$C$3/'Gearbox CRF450'!$D$3)*'Gearbox CRF450'!$E$5*PI())/1000)*('Gearbox CRF450'!$C$4/'Gearbox CRF450'!$D$4)</f>
        <v>93.350062026947995</v>
      </c>
      <c r="N7" s="89">
        <f t="shared" si="2"/>
        <v>2391.4786809199381</v>
      </c>
      <c r="O7" s="89">
        <f t="shared" si="0"/>
        <v>1953.822451731975</v>
      </c>
      <c r="P7" s="89">
        <f t="shared" si="0"/>
        <v>1641.2108594548595</v>
      </c>
      <c r="Q7" s="89">
        <f t="shared" si="0"/>
        <v>1395.0292305366306</v>
      </c>
      <c r="R7" s="89">
        <f t="shared" si="0"/>
        <v>1207.8175156161303</v>
      </c>
    </row>
    <row r="8" spans="1:18">
      <c r="A8" s="88">
        <f t="shared" si="3"/>
        <v>6500</v>
      </c>
      <c r="B8" s="88">
        <v>46</v>
      </c>
      <c r="C8" s="90">
        <f t="shared" si="4"/>
        <v>37.167999999999999</v>
      </c>
      <c r="D8" s="90">
        <f t="shared" si="1"/>
        <v>34.302199999999999</v>
      </c>
      <c r="H8" s="89">
        <f>(($A8*60*('Gearbox CRF450'!$C$9/'Gearbox CRF450'!$D$9)*('Gearbox CRF450'!$C$3/'Gearbox CRF450'!$D$3)*'Gearbox CRF450'!$E$5*PI())/1000)*('Gearbox CRF450'!$C$4/'Gearbox CRF450'!$D$4)</f>
        <v>51.075370637639907</v>
      </c>
      <c r="I8" s="89">
        <f>(($A8*60*('Gearbox CRF450'!$C$11/'Gearbox CRF450'!$D$11)*('Gearbox CRF450'!$C$3/'Gearbox CRF450'!$D$3)*'Gearbox CRF450'!$E$5*PI())/1000)*('Gearbox CRF450'!$C$4/'Gearbox CRF450'!$D$4)</f>
        <v>62.516253660471236</v>
      </c>
      <c r="J8" s="89">
        <f>(($A8*60*('Gearbox CRF450'!$C$13/'Gearbox CRF450'!$D$13)*('Gearbox CRF450'!$C$3/'Gearbox CRF450'!$D$3)*'Gearbox CRF450'!$E$5*PI())/1000)*('Gearbox CRF450'!$C$4/'Gearbox CRF450'!$D$4)</f>
        <v>74.424111500560997</v>
      </c>
      <c r="K8" s="89">
        <f>(($A8*60*('Gearbox CRF450'!$C$15/'Gearbox CRF450'!$D$15)*('Gearbox CRF450'!$C$3/'Gearbox CRF450'!$D$3)*'Gearbox CRF450'!$E$5*PI())/1000)*('Gearbox CRF450'!$C$4/'Gearbox CRF450'!$D$4)</f>
        <v>87.557778235954117</v>
      </c>
      <c r="L8" s="89">
        <f>(($A8*60*('Gearbox CRF450'!$C$17/'Gearbox CRF450'!$D$17)*('Gearbox CRF450'!$C$3/'Gearbox CRF450'!$D$3)*'Gearbox CRF450'!$E$5*PI())/1000)*('Gearbox CRF450'!$C$4/'Gearbox CRF450'!$D$4)</f>
        <v>101.129233862527</v>
      </c>
      <c r="N8" s="89">
        <f t="shared" si="2"/>
        <v>2417.7586664245523</v>
      </c>
      <c r="O8" s="89">
        <f t="shared" si="0"/>
        <v>1975.2930281246342</v>
      </c>
      <c r="P8" s="89">
        <f t="shared" si="0"/>
        <v>1659.2461436246929</v>
      </c>
      <c r="Q8" s="89">
        <f t="shared" si="0"/>
        <v>1410.3592220809887</v>
      </c>
      <c r="R8" s="89">
        <f t="shared" si="0"/>
        <v>1221.0902355679557</v>
      </c>
    </row>
    <row r="9" spans="1:18">
      <c r="A9" s="88">
        <f t="shared" si="3"/>
        <v>7000</v>
      </c>
      <c r="B9" s="88">
        <v>48</v>
      </c>
      <c r="C9" s="90">
        <f t="shared" si="4"/>
        <v>36.013714285714286</v>
      </c>
      <c r="D9" s="90">
        <f t="shared" si="1"/>
        <v>35.793599999999998</v>
      </c>
      <c r="H9" s="89">
        <f>(($A9*60*('Gearbox CRF450'!$C$9/'Gearbox CRF450'!$D$9)*('Gearbox CRF450'!$C$3/'Gearbox CRF450'!$D$3)*'Gearbox CRF450'!$E$5*PI())/1000)*('Gearbox CRF450'!$C$4/'Gearbox CRF450'!$D$4)</f>
        <v>55.004245302073741</v>
      </c>
      <c r="I9" s="89">
        <f>(($A9*60*('Gearbox CRF450'!$C$11/'Gearbox CRF450'!$D$11)*('Gearbox CRF450'!$C$3/'Gearbox CRF450'!$D$3)*'Gearbox CRF450'!$E$5*PI())/1000)*('Gearbox CRF450'!$C$4/'Gearbox CRF450'!$D$4)</f>
        <v>67.325196249738255</v>
      </c>
      <c r="J9" s="89">
        <f>(($A9*60*('Gearbox CRF450'!$C$13/'Gearbox CRF450'!$D$13)*('Gearbox CRF450'!$C$3/'Gearbox CRF450'!$D$3)*'Gearbox CRF450'!$E$5*PI())/1000)*('Gearbox CRF450'!$C$4/'Gearbox CRF450'!$D$4)</f>
        <v>80.149043154450311</v>
      </c>
      <c r="K9" s="89">
        <f>(($A9*60*('Gearbox CRF450'!$C$15/'Gearbox CRF450'!$D$15)*('Gearbox CRF450'!$C$3/'Gearbox CRF450'!$D$3)*'Gearbox CRF450'!$E$5*PI())/1000)*('Gearbox CRF450'!$C$4/'Gearbox CRF450'!$D$4)</f>
        <v>94.292991946412116</v>
      </c>
      <c r="L9" s="89">
        <f>(($A9*60*('Gearbox CRF450'!$C$17/'Gearbox CRF450'!$D$17)*('Gearbox CRF450'!$C$3/'Gearbox CRF450'!$D$3)*'Gearbox CRF450'!$E$5*PI())/1000)*('Gearbox CRF450'!$C$4/'Gearbox CRF450'!$D$4)</f>
        <v>108.90840569810601</v>
      </c>
      <c r="N9" s="89">
        <f t="shared" si="2"/>
        <v>2342.6729935542248</v>
      </c>
      <c r="O9" s="89">
        <f t="shared" si="0"/>
        <v>1913.9485241456086</v>
      </c>
      <c r="P9" s="89">
        <f t="shared" si="0"/>
        <v>1607.716760282311</v>
      </c>
      <c r="Q9" s="89">
        <f t="shared" si="0"/>
        <v>1366.5592462399645</v>
      </c>
      <c r="R9" s="89">
        <f t="shared" si="0"/>
        <v>1183.1681785627397</v>
      </c>
    </row>
    <row r="10" spans="1:18">
      <c r="A10" s="88">
        <f t="shared" si="3"/>
        <v>7500</v>
      </c>
      <c r="B10" s="88">
        <v>50</v>
      </c>
      <c r="C10" s="90">
        <f t="shared" si="4"/>
        <v>35.013333333333335</v>
      </c>
      <c r="D10" s="90">
        <f t="shared" si="1"/>
        <v>37.285000000000004</v>
      </c>
      <c r="H10" s="89">
        <f>(($A10*60*('Gearbox CRF450'!$C$9/'Gearbox CRF450'!$D$9)*('Gearbox CRF450'!$C$3/'Gearbox CRF450'!$D$3)*'Gearbox CRF450'!$E$5*PI())/1000)*('Gearbox CRF450'!$C$4/'Gearbox CRF450'!$D$4)</f>
        <v>58.933119966507562</v>
      </c>
      <c r="I10" s="89">
        <f>(($A10*60*('Gearbox CRF450'!$C$11/'Gearbox CRF450'!$D$11)*('Gearbox CRF450'!$C$3/'Gearbox CRF450'!$D$3)*'Gearbox CRF450'!$E$5*PI())/1000)*('Gearbox CRF450'!$C$4/'Gearbox CRF450'!$D$4)</f>
        <v>72.13413883900526</v>
      </c>
      <c r="J10" s="89">
        <f>(($A10*60*('Gearbox CRF450'!$C$13/'Gearbox CRF450'!$D$13)*('Gearbox CRF450'!$C$3/'Gearbox CRF450'!$D$3)*'Gearbox CRF450'!$E$5*PI())/1000)*('Gearbox CRF450'!$C$4/'Gearbox CRF450'!$D$4)</f>
        <v>85.873974808339611</v>
      </c>
      <c r="K10" s="89">
        <f>(($A10*60*('Gearbox CRF450'!$C$15/'Gearbox CRF450'!$D$15)*('Gearbox CRF450'!$C$3/'Gearbox CRF450'!$D$3)*'Gearbox CRF450'!$E$5*PI())/1000)*('Gearbox CRF450'!$C$4/'Gearbox CRF450'!$D$4)</f>
        <v>101.02820565687013</v>
      </c>
      <c r="L10" s="89">
        <f>(($A10*60*('Gearbox CRF450'!$C$17/'Gearbox CRF450'!$D$17)*('Gearbox CRF450'!$C$3/'Gearbox CRF450'!$D$3)*'Gearbox CRF450'!$E$5*PI())/1000)*('Gearbox CRF450'!$C$4/'Gearbox CRF450'!$D$4)</f>
        <v>116.68757753368502</v>
      </c>
      <c r="N10" s="89">
        <f t="shared" si="2"/>
        <v>2277.5987437332751</v>
      </c>
      <c r="O10" s="89">
        <f t="shared" si="0"/>
        <v>1860.7832873637867</v>
      </c>
      <c r="P10" s="89">
        <f t="shared" si="0"/>
        <v>1563.0579613855805</v>
      </c>
      <c r="Q10" s="89">
        <f t="shared" si="0"/>
        <v>1328.5992671777435</v>
      </c>
      <c r="R10" s="89">
        <f t="shared" si="0"/>
        <v>1150.3023958248862</v>
      </c>
    </row>
    <row r="11" spans="1:18">
      <c r="A11" s="88">
        <f t="shared" si="3"/>
        <v>8000</v>
      </c>
      <c r="B11" s="88">
        <v>50</v>
      </c>
      <c r="C11" s="90">
        <f t="shared" si="4"/>
        <v>32.825000000000003</v>
      </c>
      <c r="D11" s="90">
        <f t="shared" si="1"/>
        <v>37.285000000000004</v>
      </c>
      <c r="H11" s="89">
        <f>(($A11*60*('Gearbox CRF450'!$C$9/'Gearbox CRF450'!$D$9)*('Gearbox CRF450'!$C$3/'Gearbox CRF450'!$D$3)*'Gearbox CRF450'!$E$5*PI())/1000)*('Gearbox CRF450'!$C$4/'Gearbox CRF450'!$D$4)</f>
        <v>62.861994630941417</v>
      </c>
      <c r="I11" s="89">
        <f>(($A11*60*('Gearbox CRF450'!$C$11/'Gearbox CRF450'!$D$11)*('Gearbox CRF450'!$C$3/'Gearbox CRF450'!$D$3)*'Gearbox CRF450'!$E$5*PI())/1000)*('Gearbox CRF450'!$C$4/'Gearbox CRF450'!$D$4)</f>
        <v>76.943081428272279</v>
      </c>
      <c r="J11" s="89">
        <f>(($A11*60*('Gearbox CRF450'!$C$13/'Gearbox CRF450'!$D$13)*('Gearbox CRF450'!$C$3/'Gearbox CRF450'!$D$3)*'Gearbox CRF450'!$E$5*PI())/1000)*('Gearbox CRF450'!$C$4/'Gearbox CRF450'!$D$4)</f>
        <v>91.598906462228911</v>
      </c>
      <c r="K11" s="89">
        <f>(($A11*60*('Gearbox CRF450'!$C$15/'Gearbox CRF450'!$D$15)*('Gearbox CRF450'!$C$3/'Gearbox CRF450'!$D$3)*'Gearbox CRF450'!$E$5*PI())/1000)*('Gearbox CRF450'!$C$4/'Gearbox CRF450'!$D$4)</f>
        <v>107.76341936732814</v>
      </c>
      <c r="L11" s="89">
        <f>(($A11*60*('Gearbox CRF450'!$C$17/'Gearbox CRF450'!$D$17)*('Gearbox CRF450'!$C$3/'Gearbox CRF450'!$D$3)*'Gearbox CRF450'!$E$5*PI())/1000)*('Gearbox CRF450'!$C$4/'Gearbox CRF450'!$D$4)</f>
        <v>124.46674936926401</v>
      </c>
      <c r="N11" s="89">
        <f t="shared" si="2"/>
        <v>2135.2488222499451</v>
      </c>
      <c r="O11" s="89">
        <f t="shared" si="0"/>
        <v>1744.4843319035501</v>
      </c>
      <c r="P11" s="89">
        <f t="shared" si="0"/>
        <v>1465.3668387989819</v>
      </c>
      <c r="Q11" s="89">
        <f t="shared" si="0"/>
        <v>1245.5618129791346</v>
      </c>
      <c r="R11" s="89">
        <f t="shared" si="0"/>
        <v>1078.4084960858308</v>
      </c>
    </row>
    <row r="12" spans="1:18">
      <c r="A12" s="88">
        <f t="shared" si="3"/>
        <v>8500</v>
      </c>
      <c r="B12" s="88">
        <v>49</v>
      </c>
      <c r="C12" s="90">
        <f t="shared" si="4"/>
        <v>30.276235294117647</v>
      </c>
      <c r="D12" s="90">
        <f t="shared" si="1"/>
        <v>36.539300000000004</v>
      </c>
      <c r="H12" s="89">
        <f>(($A12*60*('Gearbox CRF450'!$C$9/'Gearbox CRF450'!$D$9)*('Gearbox CRF450'!$C$3/'Gearbox CRF450'!$D$3)*'Gearbox CRF450'!$E$5*PI())/1000)*('Gearbox CRF450'!$C$4/'Gearbox CRF450'!$D$4)</f>
        <v>66.790869295375259</v>
      </c>
      <c r="I12" s="89">
        <f>(($A12*60*('Gearbox CRF450'!$C$11/'Gearbox CRF450'!$D$11)*('Gearbox CRF450'!$C$3/'Gearbox CRF450'!$D$3)*'Gearbox CRF450'!$E$5*PI())/1000)*('Gearbox CRF450'!$C$4/'Gearbox CRF450'!$D$4)</f>
        <v>81.752024017539298</v>
      </c>
      <c r="J12" s="89">
        <f>(($A12*60*('Gearbox CRF450'!$C$13/'Gearbox CRF450'!$D$13)*('Gearbox CRF450'!$C$3/'Gearbox CRF450'!$D$3)*'Gearbox CRF450'!$E$5*PI())/1000)*('Gearbox CRF450'!$C$4/'Gearbox CRF450'!$D$4)</f>
        <v>97.323838116118225</v>
      </c>
      <c r="K12" s="89">
        <f>(($A12*60*('Gearbox CRF450'!$C$15/'Gearbox CRF450'!$D$15)*('Gearbox CRF450'!$C$3/'Gearbox CRF450'!$D$3)*'Gearbox CRF450'!$E$5*PI())/1000)*('Gearbox CRF450'!$C$4/'Gearbox CRF450'!$D$4)</f>
        <v>114.49863307778614</v>
      </c>
      <c r="L12" s="89">
        <f>(($A12*60*('Gearbox CRF450'!$C$17/'Gearbox CRF450'!$D$17)*('Gearbox CRF450'!$C$3/'Gearbox CRF450'!$D$3)*'Gearbox CRF450'!$E$5*PI())/1000)*('Gearbox CRF450'!$C$4/'Gearbox CRF450'!$D$4)</f>
        <v>132.245921204843</v>
      </c>
      <c r="N12" s="89">
        <f t="shared" si="2"/>
        <v>1969.4530313458311</v>
      </c>
      <c r="O12" s="89">
        <f t="shared" si="0"/>
        <v>1609.0302543675093</v>
      </c>
      <c r="P12" s="89">
        <f t="shared" si="0"/>
        <v>1351.5854136687078</v>
      </c>
      <c r="Q12" s="89">
        <f t="shared" si="0"/>
        <v>1148.8476016184018</v>
      </c>
      <c r="R12" s="89">
        <f t="shared" si="0"/>
        <v>994.67324815446034</v>
      </c>
    </row>
    <row r="13" spans="1:18">
      <c r="A13" s="88">
        <f t="shared" si="3"/>
        <v>9000</v>
      </c>
      <c r="B13" s="88">
        <v>48</v>
      </c>
      <c r="C13" s="90">
        <f t="shared" si="4"/>
        <v>28.010666666666665</v>
      </c>
      <c r="D13" s="90">
        <f t="shared" si="1"/>
        <v>35.793599999999998</v>
      </c>
      <c r="H13" s="89">
        <f>(($A13*60*('Gearbox CRF450'!$C$9/'Gearbox CRF450'!$D$9)*('Gearbox CRF450'!$C$3/'Gearbox CRF450'!$D$3)*'Gearbox CRF450'!$E$5*PI())/1000)*('Gearbox CRF450'!$C$4/'Gearbox CRF450'!$D$4)</f>
        <v>70.71974395980908</v>
      </c>
      <c r="I13" s="89">
        <f>(($A13*60*('Gearbox CRF450'!$C$11/'Gearbox CRF450'!$D$11)*('Gearbox CRF450'!$C$3/'Gearbox CRF450'!$D$3)*'Gearbox CRF450'!$E$5*PI())/1000)*('Gearbox CRF450'!$C$4/'Gearbox CRF450'!$D$4)</f>
        <v>86.560966606806304</v>
      </c>
      <c r="J13" s="89">
        <f>(($A13*60*('Gearbox CRF450'!$C$13/'Gearbox CRF450'!$D$13)*('Gearbox CRF450'!$C$3/'Gearbox CRF450'!$D$3)*'Gearbox CRF450'!$E$5*PI())/1000)*('Gearbox CRF450'!$C$4/'Gearbox CRF450'!$D$4)</f>
        <v>103.04876977000754</v>
      </c>
      <c r="K13" s="89">
        <f>(($A13*60*('Gearbox CRF450'!$C$15/'Gearbox CRF450'!$D$15)*('Gearbox CRF450'!$C$3/'Gearbox CRF450'!$D$3)*'Gearbox CRF450'!$E$5*PI())/1000)*('Gearbox CRF450'!$C$4/'Gearbox CRF450'!$D$4)</f>
        <v>121.23384678824415</v>
      </c>
      <c r="L13" s="89">
        <f>(($A13*60*('Gearbox CRF450'!$C$17/'Gearbox CRF450'!$D$17)*('Gearbox CRF450'!$C$3/'Gearbox CRF450'!$D$3)*'Gearbox CRF450'!$E$5*PI())/1000)*('Gearbox CRF450'!$C$4/'Gearbox CRF450'!$D$4)</f>
        <v>140.02509304042198</v>
      </c>
      <c r="N13" s="89">
        <f t="shared" si="2"/>
        <v>1822.0789949866196</v>
      </c>
      <c r="O13" s="89">
        <f t="shared" si="0"/>
        <v>1488.6266298910293</v>
      </c>
      <c r="P13" s="89">
        <f t="shared" si="0"/>
        <v>1250.4463691084643</v>
      </c>
      <c r="Q13" s="89">
        <f t="shared" si="0"/>
        <v>1062.8794137421946</v>
      </c>
      <c r="R13" s="89">
        <f t="shared" si="0"/>
        <v>920.24191665990884</v>
      </c>
    </row>
    <row r="14" spans="1:18">
      <c r="A14" s="88">
        <f t="shared" si="3"/>
        <v>9500</v>
      </c>
      <c r="B14" s="88">
        <v>47</v>
      </c>
      <c r="C14" s="90">
        <f t="shared" si="4"/>
        <v>25.983578947368422</v>
      </c>
      <c r="D14" s="90">
        <f t="shared" si="1"/>
        <v>35.047899999999998</v>
      </c>
      <c r="H14" s="89">
        <f>(($A14*60*('Gearbox CRF450'!$C$9/'Gearbox CRF450'!$D$9)*('Gearbox CRF450'!$C$3/'Gearbox CRF450'!$D$3)*'Gearbox CRF450'!$E$5*PI())/1000)*('Gearbox CRF450'!$C$4/'Gearbox CRF450'!$D$4)</f>
        <v>74.648618624242943</v>
      </c>
      <c r="I14" s="89">
        <f>(($A14*60*('Gearbox CRF450'!$C$11/'Gearbox CRF450'!$D$11)*('Gearbox CRF450'!$C$3/'Gearbox CRF450'!$D$3)*'Gearbox CRF450'!$E$5*PI())/1000)*('Gearbox CRF450'!$C$4/'Gearbox CRF450'!$D$4)</f>
        <v>91.369909196073337</v>
      </c>
      <c r="J14" s="89">
        <f>(($A14*60*('Gearbox CRF450'!$C$13/'Gearbox CRF450'!$D$13)*('Gearbox CRF450'!$C$3/'Gearbox CRF450'!$D$3)*'Gearbox CRF450'!$E$5*PI())/1000)*('Gearbox CRF450'!$C$4/'Gearbox CRF450'!$D$4)</f>
        <v>108.77370142389682</v>
      </c>
      <c r="K14" s="89">
        <f>(($A14*60*('Gearbox CRF450'!$C$15/'Gearbox CRF450'!$D$15)*('Gearbox CRF450'!$C$3/'Gearbox CRF450'!$D$3)*'Gearbox CRF450'!$E$5*PI())/1000)*('Gearbox CRF450'!$C$4/'Gearbox CRF450'!$D$4)</f>
        <v>127.96906049870216</v>
      </c>
      <c r="L14" s="89">
        <f>(($A14*60*('Gearbox CRF450'!$C$17/'Gearbox CRF450'!$D$17)*('Gearbox CRF450'!$C$3/'Gearbox CRF450'!$D$3)*'Gearbox CRF450'!$E$5*PI())/1000)*('Gearbox CRF450'!$C$4/'Gearbox CRF450'!$D$4)</f>
        <v>147.80426487600101</v>
      </c>
      <c r="N14" s="89">
        <f t="shared" si="2"/>
        <v>1690.2180150862716</v>
      </c>
      <c r="O14" s="89">
        <f t="shared" si="0"/>
        <v>1380.8970711489151</v>
      </c>
      <c r="P14" s="89">
        <f t="shared" si="0"/>
        <v>1159.9535397650889</v>
      </c>
      <c r="Q14" s="89">
        <f t="shared" si="0"/>
        <v>985.96050880032521</v>
      </c>
      <c r="R14" s="89">
        <f t="shared" si="0"/>
        <v>853.64546216478379</v>
      </c>
    </row>
    <row r="15" spans="1:18">
      <c r="A15" s="88">
        <f t="shared" si="3"/>
        <v>10000</v>
      </c>
      <c r="B15" s="88">
        <v>46</v>
      </c>
      <c r="C15" s="90">
        <f t="shared" si="4"/>
        <v>24.159199999999998</v>
      </c>
      <c r="D15" s="90">
        <f t="shared" si="1"/>
        <v>34.302199999999999</v>
      </c>
      <c r="H15" s="89">
        <f>(($A15*60*('Gearbox CRF450'!$C$9/'Gearbox CRF450'!$D$9)*('Gearbox CRF450'!$C$3/'Gearbox CRF450'!$D$3)*'Gearbox CRF450'!$E$5*PI())/1000)*('Gearbox CRF450'!$C$4/'Gearbox CRF450'!$D$4)</f>
        <v>78.577493288676777</v>
      </c>
      <c r="I15" s="89">
        <f>(($A15*60*('Gearbox CRF450'!$C$11/'Gearbox CRF450'!$D$11)*('Gearbox CRF450'!$C$3/'Gearbox CRF450'!$D$3)*'Gearbox CRF450'!$E$5*PI())/1000)*('Gearbox CRF450'!$C$4/'Gearbox CRF450'!$D$4)</f>
        <v>96.178851785340385</v>
      </c>
      <c r="J15" s="89">
        <f>(($A15*60*('Gearbox CRF450'!$C$13/'Gearbox CRF450'!$D$13)*('Gearbox CRF450'!$C$3/'Gearbox CRF450'!$D$3)*'Gearbox CRF450'!$E$5*PI())/1000)*('Gearbox CRF450'!$C$4/'Gearbox CRF450'!$D$4)</f>
        <v>114.49863307778617</v>
      </c>
      <c r="K15" s="89">
        <f>(($A15*60*('Gearbox CRF450'!$C$15/'Gearbox CRF450'!$D$15)*('Gearbox CRF450'!$C$3/'Gearbox CRF450'!$D$3)*'Gearbox CRF450'!$E$5*PI())/1000)*('Gearbox CRF450'!$C$4/'Gearbox CRF450'!$D$4)</f>
        <v>134.70427420916016</v>
      </c>
      <c r="L15" s="89">
        <f>(($A15*60*('Gearbox CRF450'!$C$17/'Gearbox CRF450'!$D$17)*('Gearbox CRF450'!$C$3/'Gearbox CRF450'!$D$3)*'Gearbox CRF450'!$E$5*PI())/1000)*('Gearbox CRF450'!$C$4/'Gearbox CRF450'!$D$4)</f>
        <v>155.58343671157999</v>
      </c>
      <c r="N15" s="89">
        <f t="shared" si="2"/>
        <v>1571.5431331759589</v>
      </c>
      <c r="O15" s="89">
        <f t="shared" si="0"/>
        <v>1283.940468281012</v>
      </c>
      <c r="P15" s="89">
        <f t="shared" si="0"/>
        <v>1078.5099933560502</v>
      </c>
      <c r="Q15" s="89">
        <f t="shared" si="0"/>
        <v>916.73349435264288</v>
      </c>
      <c r="R15" s="89">
        <f t="shared" si="0"/>
        <v>793.70865311917123</v>
      </c>
    </row>
    <row r="16" spans="1:18">
      <c r="A16" s="88">
        <f t="shared" si="3"/>
        <v>10500</v>
      </c>
      <c r="B16" s="88">
        <v>44</v>
      </c>
      <c r="C16" s="90">
        <f t="shared" si="4"/>
        <v>22.008380952380953</v>
      </c>
      <c r="D16" s="90">
        <f t="shared" si="1"/>
        <v>32.8108</v>
      </c>
      <c r="H16" s="89">
        <f>(($A16*60*('Gearbox CRF450'!$C$9/'Gearbox CRF450'!$D$9)*('Gearbox CRF450'!$C$3/'Gearbox CRF450'!$D$3)*'Gearbox CRF450'!$E$5*PI())/1000)*('Gearbox CRF450'!$C$4/'Gearbox CRF450'!$D$4)</f>
        <v>82.506367953110612</v>
      </c>
      <c r="I16" s="89">
        <f>(($A16*60*('Gearbox CRF450'!$C$11/'Gearbox CRF450'!$D$11)*('Gearbox CRF450'!$C$3/'Gearbox CRF450'!$D$3)*'Gearbox CRF450'!$E$5*PI())/1000)*('Gearbox CRF450'!$C$4/'Gearbox CRF450'!$D$4)</f>
        <v>100.98779437460738</v>
      </c>
      <c r="J16" s="89">
        <f>(($A16*60*('Gearbox CRF450'!$C$13/'Gearbox CRF450'!$D$13)*('Gearbox CRF450'!$C$3/'Gearbox CRF450'!$D$3)*'Gearbox CRF450'!$E$5*PI())/1000)*('Gearbox CRF450'!$C$4/'Gearbox CRF450'!$D$4)</f>
        <v>120.22356473167545</v>
      </c>
      <c r="K16" s="89">
        <f>(($A16*60*('Gearbox CRF450'!$C$15/'Gearbox CRF450'!$D$15)*('Gearbox CRF450'!$C$3/'Gearbox CRF450'!$D$3)*'Gearbox CRF450'!$E$5*PI())/1000)*('Gearbox CRF450'!$C$4/'Gearbox CRF450'!$D$4)</f>
        <v>141.43948791961816</v>
      </c>
      <c r="L16" s="89">
        <f>(($A16*60*('Gearbox CRF450'!$C$17/'Gearbox CRF450'!$D$17)*('Gearbox CRF450'!$C$3/'Gearbox CRF450'!$D$3)*'Gearbox CRF450'!$E$5*PI())/1000)*('Gearbox CRF450'!$C$4/'Gearbox CRF450'!$D$4)</f>
        <v>163.36260854715903</v>
      </c>
      <c r="N16" s="89">
        <f t="shared" si="2"/>
        <v>1431.6334960609151</v>
      </c>
      <c r="O16" s="89">
        <f t="shared" si="0"/>
        <v>1169.6352092000943</v>
      </c>
      <c r="P16" s="89">
        <f t="shared" si="0"/>
        <v>982.49357572807912</v>
      </c>
      <c r="Q16" s="89">
        <f t="shared" si="0"/>
        <v>835.11953936886732</v>
      </c>
      <c r="R16" s="89">
        <f t="shared" si="0"/>
        <v>723.04722023278532</v>
      </c>
    </row>
    <row r="18" spans="1:18">
      <c r="A18" s="88" t="s">
        <v>28</v>
      </c>
      <c r="B18" s="88" t="s">
        <v>65</v>
      </c>
      <c r="C18" s="88" t="s">
        <v>66</v>
      </c>
      <c r="D18" s="88" t="s">
        <v>67</v>
      </c>
      <c r="H18" s="88" t="s">
        <v>68</v>
      </c>
      <c r="I18" s="88" t="s">
        <v>69</v>
      </c>
      <c r="J18" s="88" t="s">
        <v>70</v>
      </c>
      <c r="K18" s="88" t="s">
        <v>71</v>
      </c>
      <c r="L18" s="88" t="s">
        <v>72</v>
      </c>
      <c r="N18" s="88" t="s">
        <v>73</v>
      </c>
      <c r="O18" s="88" t="s">
        <v>74</v>
      </c>
      <c r="P18" s="88" t="s">
        <v>75</v>
      </c>
      <c r="Q18" s="88" t="s">
        <v>76</v>
      </c>
      <c r="R18" s="88" t="s">
        <v>77</v>
      </c>
    </row>
    <row r="19" spans="1:18">
      <c r="A19" s="88">
        <v>3500</v>
      </c>
      <c r="B19" s="88">
        <v>16</v>
      </c>
      <c r="C19" s="90">
        <f>(B19*5252)/A19</f>
        <v>24.009142857142859</v>
      </c>
      <c r="D19" s="90">
        <f>0.7457*B19</f>
        <v>11.9312</v>
      </c>
      <c r="H19" s="89">
        <f>(($A19*60*('Gearbox CRF450'!$K$9/'Gearbox CRF450'!$L$9)*('Gearbox CRF450'!$K$3/'Gearbox CRF450'!$L$3)*'Gearbox CRF450'!$M$5*PI())/1000)*('Gearbox CRF450'!$K$4/'Gearbox CRF450'!$L$4)</f>
        <v>34.377653313796088</v>
      </c>
      <c r="I19" s="89">
        <f>(($A19*60*('Gearbox CRF450'!$C$11/'Gearbox CRF450'!$D$11)*('Gearbox CRF450'!$C$3/'Gearbox CRF450'!$D$3)*'Gearbox CRF450'!$E$5*PI())/1000)*('Gearbox CRF450'!$C$4/'Gearbox CRF450'!$D$4)</f>
        <v>33.662598124869128</v>
      </c>
      <c r="J19" s="89">
        <f>(($A19*60*('Gearbox CRF450'!$C$13/'Gearbox CRF450'!$D$13)*('Gearbox CRF450'!$C$3/'Gearbox CRF450'!$D$3)*'Gearbox CRF450'!$E$5*PI())/1000)*('Gearbox CRF450'!$C$4/'Gearbox CRF450'!$D$4)</f>
        <v>40.074521577225156</v>
      </c>
      <c r="K19" s="89">
        <f>(($A19*60*('Gearbox CRF450'!$C$15/'Gearbox CRF450'!$D$15)*('Gearbox CRF450'!$C$3/'Gearbox CRF450'!$D$3)*'Gearbox CRF450'!$E$5*PI())/1000)*('Gearbox CRF450'!$C$4/'Gearbox CRF450'!$D$4)</f>
        <v>47.146495973206058</v>
      </c>
      <c r="L19" s="89">
        <f>(($A19*60*('Gearbox CRF450'!$C$17/'Gearbox CRF450'!$D$17)*('Gearbox CRF450'!$C$3/'Gearbox CRF450'!$D$3)*'Gearbox CRF450'!$E$5*PI())/1000)*('Gearbox CRF450'!$C$4/'Gearbox CRF450'!$D$4)</f>
        <v>54.454202849053004</v>
      </c>
      <c r="N19" s="89">
        <f>($D19*1000)/(H19*(1000/3600))</f>
        <v>1249.4255965622533</v>
      </c>
      <c r="O19" s="89">
        <f t="shared" ref="O19:O33" si="5">($D19*1000)/(I19*(1000/3600))</f>
        <v>1275.9656827637391</v>
      </c>
      <c r="P19" s="89">
        <f t="shared" ref="P19:P33" si="6">($D19*1000)/(J19*(1000/3600))</f>
        <v>1071.8111735215407</v>
      </c>
      <c r="Q19" s="89">
        <f t="shared" ref="Q19:Q33" si="7">($D19*1000)/(K19*(1000/3600))</f>
        <v>911.0394974933098</v>
      </c>
      <c r="R19" s="89">
        <f t="shared" ref="R19:R33" si="8">($D19*1000)/(L19*(1000/3600))</f>
        <v>788.77878570849327</v>
      </c>
    </row>
    <row r="20" spans="1:18">
      <c r="A20" s="88">
        <f>A19+500</f>
        <v>4000</v>
      </c>
      <c r="B20" s="88">
        <v>20</v>
      </c>
      <c r="C20" s="90">
        <f>(B20*5252)/A20</f>
        <v>26.26</v>
      </c>
      <c r="D20" s="90">
        <f t="shared" ref="D20:D33" si="9">0.7457*B20</f>
        <v>14.914000000000001</v>
      </c>
      <c r="H20" s="89">
        <f>(($A20*60*('Gearbox CRF450'!$K$9/'Gearbox CRF450'!$L$9)*('Gearbox CRF450'!$K$3/'Gearbox CRF450'!$L$3)*'Gearbox CRF450'!$M$5*PI())/1000)*('Gearbox CRF450'!$K$4/'Gearbox CRF450'!$L$4)</f>
        <v>39.288746644338389</v>
      </c>
      <c r="I20" s="89">
        <f>(($A20*60*('Gearbox CRF450'!$C$11/'Gearbox CRF450'!$D$11)*('Gearbox CRF450'!$C$3/'Gearbox CRF450'!$D$3)*'Gearbox CRF450'!$E$5*PI())/1000)*('Gearbox CRF450'!$C$4/'Gearbox CRF450'!$D$4)</f>
        <v>38.47154071413614</v>
      </c>
      <c r="J20" s="89">
        <f>(($A20*60*('Gearbox CRF450'!$C$13/'Gearbox CRF450'!$D$13)*('Gearbox CRF450'!$C$3/'Gearbox CRF450'!$D$3)*'Gearbox CRF450'!$E$5*PI())/1000)*('Gearbox CRF450'!$C$4/'Gearbox CRF450'!$D$4)</f>
        <v>45.799453231114455</v>
      </c>
      <c r="K20" s="89">
        <f>(($A20*60*('Gearbox CRF450'!$C$15/'Gearbox CRF450'!$D$15)*('Gearbox CRF450'!$C$3/'Gearbox CRF450'!$D$3)*'Gearbox CRF450'!$E$5*PI())/1000)*('Gearbox CRF450'!$C$4/'Gearbox CRF450'!$D$4)</f>
        <v>53.88170968366407</v>
      </c>
      <c r="L20" s="89">
        <f>(($A20*60*('Gearbox CRF450'!$C$17/'Gearbox CRF450'!$D$17)*('Gearbox CRF450'!$C$3/'Gearbox CRF450'!$D$3)*'Gearbox CRF450'!$E$5*PI())/1000)*('Gearbox CRF450'!$C$4/'Gearbox CRF450'!$D$4)</f>
        <v>62.233374684632004</v>
      </c>
      <c r="N20" s="89">
        <f t="shared" ref="N20:N33" si="10">($D20*1000)/(H20*(1000/3600))</f>
        <v>1366.5592462399645</v>
      </c>
      <c r="O20" s="89">
        <f t="shared" si="5"/>
        <v>1395.5874655228399</v>
      </c>
      <c r="P20" s="89">
        <f t="shared" si="6"/>
        <v>1172.2934710391855</v>
      </c>
      <c r="Q20" s="89">
        <f t="shared" si="7"/>
        <v>996.44945038330764</v>
      </c>
      <c r="R20" s="89">
        <f t="shared" si="8"/>
        <v>862.72679686866456</v>
      </c>
    </row>
    <row r="21" spans="1:18">
      <c r="A21" s="88">
        <f t="shared" ref="A21:A33" si="11">A20+500</f>
        <v>4500</v>
      </c>
      <c r="B21" s="88">
        <v>25</v>
      </c>
      <c r="C21" s="90">
        <f>(B21*5252)/A21</f>
        <v>29.177777777777777</v>
      </c>
      <c r="D21" s="90">
        <f t="shared" si="9"/>
        <v>18.642500000000002</v>
      </c>
      <c r="H21" s="89">
        <f>(($A21*60*('Gearbox CRF450'!$K$9/'Gearbox CRF450'!$L$9)*('Gearbox CRF450'!$K$3/'Gearbox CRF450'!$L$3)*'Gearbox CRF450'!$M$5*PI())/1000)*('Gearbox CRF450'!$K$4/'Gearbox CRF450'!$L$4)</f>
        <v>44.199839974880682</v>
      </c>
      <c r="I21" s="89">
        <f>(($A21*60*('Gearbox CRF450'!$C$11/'Gearbox CRF450'!$D$11)*('Gearbox CRF450'!$C$3/'Gearbox CRF450'!$D$3)*'Gearbox CRF450'!$E$5*PI())/1000)*('Gearbox CRF450'!$C$4/'Gearbox CRF450'!$D$4)</f>
        <v>43.280483303403152</v>
      </c>
      <c r="J21" s="89">
        <f>(($A21*60*('Gearbox CRF450'!$C$13/'Gearbox CRF450'!$D$13)*('Gearbox CRF450'!$C$3/'Gearbox CRF450'!$D$3)*'Gearbox CRF450'!$E$5*PI())/1000)*('Gearbox CRF450'!$C$4/'Gearbox CRF450'!$D$4)</f>
        <v>51.524384885003769</v>
      </c>
      <c r="K21" s="89">
        <f>(($A21*60*('Gearbox CRF450'!$C$15/'Gearbox CRF450'!$D$15)*('Gearbox CRF450'!$C$3/'Gearbox CRF450'!$D$3)*'Gearbox CRF450'!$E$5*PI())/1000)*('Gearbox CRF450'!$C$4/'Gearbox CRF450'!$D$4)</f>
        <v>60.616923394122075</v>
      </c>
      <c r="L21" s="89">
        <f>(($A21*60*('Gearbox CRF450'!$C$17/'Gearbox CRF450'!$D$17)*('Gearbox CRF450'!$C$3/'Gearbox CRF450'!$D$3)*'Gearbox CRF450'!$E$5*PI())/1000)*('Gearbox CRF450'!$C$4/'Gearbox CRF450'!$D$4)</f>
        <v>70.012546520210989</v>
      </c>
      <c r="N21" s="89">
        <f t="shared" si="10"/>
        <v>1518.3991624888497</v>
      </c>
      <c r="O21" s="89">
        <f t="shared" si="5"/>
        <v>1550.6527394698226</v>
      </c>
      <c r="P21" s="89">
        <f t="shared" si="6"/>
        <v>1302.5483011546505</v>
      </c>
      <c r="Q21" s="89">
        <f t="shared" si="7"/>
        <v>1107.1660559814532</v>
      </c>
      <c r="R21" s="89">
        <f t="shared" si="8"/>
        <v>958.58532985407192</v>
      </c>
    </row>
    <row r="22" spans="1:18">
      <c r="A22" s="88">
        <f t="shared" si="11"/>
        <v>5000</v>
      </c>
      <c r="B22" s="88">
        <v>32</v>
      </c>
      <c r="C22" s="90">
        <f>(B22*5252)/A22</f>
        <v>33.6128</v>
      </c>
      <c r="D22" s="90">
        <f t="shared" si="9"/>
        <v>23.862400000000001</v>
      </c>
      <c r="H22" s="89">
        <f>(($A22*60*('Gearbox CRF450'!$K$9/'Gearbox CRF450'!$L$9)*('Gearbox CRF450'!$K$3/'Gearbox CRF450'!$L$3)*'Gearbox CRF450'!$M$5*PI())/1000)*('Gearbox CRF450'!$K$4/'Gearbox CRF450'!$L$4)</f>
        <v>49.110933305422996</v>
      </c>
      <c r="I22" s="89">
        <f>(($A22*60*('Gearbox CRF450'!$C$11/'Gearbox CRF450'!$D$11)*('Gearbox CRF450'!$C$3/'Gearbox CRF450'!$D$3)*'Gearbox CRF450'!$E$5*PI())/1000)*('Gearbox CRF450'!$C$4/'Gearbox CRF450'!$D$4)</f>
        <v>48.089425892670192</v>
      </c>
      <c r="J22" s="89">
        <f>(($A22*60*('Gearbox CRF450'!$C$13/'Gearbox CRF450'!$D$13)*('Gearbox CRF450'!$C$3/'Gearbox CRF450'!$D$3)*'Gearbox CRF450'!$E$5*PI())/1000)*('Gearbox CRF450'!$C$4/'Gearbox CRF450'!$D$4)</f>
        <v>57.249316538893083</v>
      </c>
      <c r="K22" s="89">
        <f>(($A22*60*('Gearbox CRF450'!$C$15/'Gearbox CRF450'!$D$15)*('Gearbox CRF450'!$C$3/'Gearbox CRF450'!$D$3)*'Gearbox CRF450'!$E$5*PI())/1000)*('Gearbox CRF450'!$C$4/'Gearbox CRF450'!$D$4)</f>
        <v>67.352137104580081</v>
      </c>
      <c r="L22" s="89">
        <f>(($A22*60*('Gearbox CRF450'!$C$17/'Gearbox CRF450'!$D$17)*('Gearbox CRF450'!$C$3/'Gearbox CRF450'!$D$3)*'Gearbox CRF450'!$E$5*PI())/1000)*('Gearbox CRF450'!$C$4/'Gearbox CRF450'!$D$4)</f>
        <v>77.791718355789996</v>
      </c>
      <c r="N22" s="89">
        <f t="shared" si="10"/>
        <v>1749.1958351871542</v>
      </c>
      <c r="O22" s="89">
        <f t="shared" si="5"/>
        <v>1786.3519558692344</v>
      </c>
      <c r="P22" s="89">
        <f t="shared" si="6"/>
        <v>1500.5356429301569</v>
      </c>
      <c r="Q22" s="89">
        <f t="shared" si="7"/>
        <v>1275.4552964906338</v>
      </c>
      <c r="R22" s="89">
        <f t="shared" si="8"/>
        <v>1104.2902999918906</v>
      </c>
    </row>
    <row r="23" spans="1:18">
      <c r="A23" s="88">
        <f t="shared" si="11"/>
        <v>5500</v>
      </c>
      <c r="B23" s="88">
        <v>37</v>
      </c>
      <c r="C23" s="90">
        <f>(B23*5252)/A23</f>
        <v>35.331636363636363</v>
      </c>
      <c r="D23" s="90">
        <f t="shared" si="9"/>
        <v>27.590900000000001</v>
      </c>
      <c r="H23" s="89">
        <f>(($A23*60*('Gearbox CRF450'!$K$9/'Gearbox CRF450'!$L$9)*('Gearbox CRF450'!$K$3/'Gearbox CRF450'!$L$3)*'Gearbox CRF450'!$M$5*PI())/1000)*('Gearbox CRF450'!$K$4/'Gearbox CRF450'!$L$4)</f>
        <v>54.02202663596529</v>
      </c>
      <c r="I23" s="89">
        <f>(($A23*60*('Gearbox CRF450'!$C$11/'Gearbox CRF450'!$D$11)*('Gearbox CRF450'!$C$3/'Gearbox CRF450'!$D$3)*'Gearbox CRF450'!$E$5*PI())/1000)*('Gearbox CRF450'!$C$4/'Gearbox CRF450'!$D$4)</f>
        <v>52.898368481937197</v>
      </c>
      <c r="J23" s="89">
        <f>(($A23*60*('Gearbox CRF450'!$C$13/'Gearbox CRF450'!$D$13)*('Gearbox CRF450'!$C$3/'Gearbox CRF450'!$D$3)*'Gearbox CRF450'!$E$5*PI())/1000)*('Gearbox CRF450'!$C$4/'Gearbox CRF450'!$D$4)</f>
        <v>62.974248192782383</v>
      </c>
      <c r="K23" s="89">
        <f>(($A23*60*('Gearbox CRF450'!$C$15/'Gearbox CRF450'!$D$15)*('Gearbox CRF450'!$C$3/'Gearbox CRF450'!$D$3)*'Gearbox CRF450'!$E$5*PI())/1000)*('Gearbox CRF450'!$C$4/'Gearbox CRF450'!$D$4)</f>
        <v>74.087350815038093</v>
      </c>
      <c r="L23" s="89">
        <f>(($A23*60*('Gearbox CRF450'!$C$17/'Gearbox CRF450'!$D$17)*('Gearbox CRF450'!$C$3/'Gearbox CRF450'!$D$3)*'Gearbox CRF450'!$E$5*PI())/1000)*('Gearbox CRF450'!$C$4/'Gearbox CRF450'!$D$4)</f>
        <v>85.570890191369017</v>
      </c>
      <c r="N23" s="89">
        <f t="shared" si="10"/>
        <v>1838.6433494864975</v>
      </c>
      <c r="O23" s="89">
        <f t="shared" si="5"/>
        <v>1877.6994990670935</v>
      </c>
      <c r="P23" s="89">
        <f t="shared" si="6"/>
        <v>1577.2675792163584</v>
      </c>
      <c r="Q23" s="89">
        <f t="shared" si="7"/>
        <v>1340.6774423339048</v>
      </c>
      <c r="R23" s="89">
        <f t="shared" si="8"/>
        <v>1160.7596903323847</v>
      </c>
    </row>
    <row r="24" spans="1:18">
      <c r="A24" s="88">
        <f t="shared" si="11"/>
        <v>6000</v>
      </c>
      <c r="B24" s="88">
        <v>42</v>
      </c>
      <c r="C24" s="90">
        <f t="shared" ref="C24:C33" si="12">(B24*5252)/A24</f>
        <v>36.764000000000003</v>
      </c>
      <c r="D24" s="90">
        <f t="shared" si="9"/>
        <v>31.319400000000002</v>
      </c>
      <c r="H24" s="89">
        <f>(($A24*60*('Gearbox CRF450'!$K$9/'Gearbox CRF450'!$L$9)*('Gearbox CRF450'!$K$3/'Gearbox CRF450'!$L$3)*'Gearbox CRF450'!$M$5*PI())/1000)*('Gearbox CRF450'!$K$4/'Gearbox CRF450'!$L$4)</f>
        <v>58.933119966507583</v>
      </c>
      <c r="I24" s="89">
        <f>(($A24*60*('Gearbox CRF450'!$C$11/'Gearbox CRF450'!$D$11)*('Gearbox CRF450'!$C$3/'Gearbox CRF450'!$D$3)*'Gearbox CRF450'!$E$5*PI())/1000)*('Gearbox CRF450'!$C$4/'Gearbox CRF450'!$D$4)</f>
        <v>57.707311071204231</v>
      </c>
      <c r="J24" s="89">
        <f>(($A24*60*('Gearbox CRF450'!$C$13/'Gearbox CRF450'!$D$13)*('Gearbox CRF450'!$C$3/'Gearbox CRF450'!$D$3)*'Gearbox CRF450'!$E$5*PI())/1000)*('Gearbox CRF450'!$C$4/'Gearbox CRF450'!$D$4)</f>
        <v>68.699179846671683</v>
      </c>
      <c r="K24" s="89">
        <f>(($A24*60*('Gearbox CRF450'!$C$15/'Gearbox CRF450'!$D$15)*('Gearbox CRF450'!$C$3/'Gearbox CRF450'!$D$3)*'Gearbox CRF450'!$E$5*PI())/1000)*('Gearbox CRF450'!$C$4/'Gearbox CRF450'!$D$4)</f>
        <v>80.822564525496091</v>
      </c>
      <c r="L24" s="89">
        <f>(($A24*60*('Gearbox CRF450'!$C$17/'Gearbox CRF450'!$D$17)*('Gearbox CRF450'!$C$3/'Gearbox CRF450'!$D$3)*'Gearbox CRF450'!$E$5*PI())/1000)*('Gearbox CRF450'!$C$4/'Gearbox CRF450'!$D$4)</f>
        <v>93.350062026947995</v>
      </c>
      <c r="N24" s="89">
        <f t="shared" si="10"/>
        <v>1913.1829447359503</v>
      </c>
      <c r="O24" s="89">
        <f t="shared" si="5"/>
        <v>1953.822451731975</v>
      </c>
      <c r="P24" s="89">
        <f t="shared" si="6"/>
        <v>1641.2108594548595</v>
      </c>
      <c r="Q24" s="89">
        <f t="shared" si="7"/>
        <v>1395.0292305366306</v>
      </c>
      <c r="R24" s="89">
        <f t="shared" si="8"/>
        <v>1207.8175156161303</v>
      </c>
    </row>
    <row r="25" spans="1:18">
      <c r="A25" s="88">
        <f t="shared" si="11"/>
        <v>6500</v>
      </c>
      <c r="B25" s="88">
        <v>46</v>
      </c>
      <c r="C25" s="90">
        <f t="shared" si="12"/>
        <v>37.167999999999999</v>
      </c>
      <c r="D25" s="90">
        <f t="shared" si="9"/>
        <v>34.302199999999999</v>
      </c>
      <c r="H25" s="89">
        <f>(($A25*60*('Gearbox CRF450'!$K$9/'Gearbox CRF450'!$L$9)*('Gearbox CRF450'!$K$3/'Gearbox CRF450'!$L$3)*'Gearbox CRF450'!$M$5*PI())/1000)*('Gearbox CRF450'!$K$4/'Gearbox CRF450'!$L$4)</f>
        <v>63.844213297049883</v>
      </c>
      <c r="I25" s="89">
        <f>(($A25*60*('Gearbox CRF450'!$C$11/'Gearbox CRF450'!$D$11)*('Gearbox CRF450'!$C$3/'Gearbox CRF450'!$D$3)*'Gearbox CRF450'!$E$5*PI())/1000)*('Gearbox CRF450'!$C$4/'Gearbox CRF450'!$D$4)</f>
        <v>62.516253660471236</v>
      </c>
      <c r="J25" s="89">
        <f>(($A25*60*('Gearbox CRF450'!$C$13/'Gearbox CRF450'!$D$13)*('Gearbox CRF450'!$C$3/'Gearbox CRF450'!$D$3)*'Gearbox CRF450'!$E$5*PI())/1000)*('Gearbox CRF450'!$C$4/'Gearbox CRF450'!$D$4)</f>
        <v>74.424111500560997</v>
      </c>
      <c r="K25" s="89">
        <f>(($A25*60*('Gearbox CRF450'!$C$15/'Gearbox CRF450'!$D$15)*('Gearbox CRF450'!$C$3/'Gearbox CRF450'!$D$3)*'Gearbox CRF450'!$E$5*PI())/1000)*('Gearbox CRF450'!$C$4/'Gearbox CRF450'!$D$4)</f>
        <v>87.557778235954117</v>
      </c>
      <c r="L25" s="89">
        <f>(($A25*60*('Gearbox CRF450'!$C$17/'Gearbox CRF450'!$D$17)*('Gearbox CRF450'!$C$3/'Gearbox CRF450'!$D$3)*'Gearbox CRF450'!$E$5*PI())/1000)*('Gearbox CRF450'!$C$4/'Gearbox CRF450'!$D$4)</f>
        <v>101.129233862527</v>
      </c>
      <c r="N25" s="89">
        <f t="shared" si="10"/>
        <v>1934.2069331396415</v>
      </c>
      <c r="O25" s="89">
        <f t="shared" si="5"/>
        <v>1975.2930281246342</v>
      </c>
      <c r="P25" s="89">
        <f t="shared" si="6"/>
        <v>1659.2461436246929</v>
      </c>
      <c r="Q25" s="89">
        <f t="shared" si="7"/>
        <v>1410.3592220809887</v>
      </c>
      <c r="R25" s="89">
        <f t="shared" si="8"/>
        <v>1221.0902355679557</v>
      </c>
    </row>
    <row r="26" spans="1:18">
      <c r="A26" s="88">
        <f t="shared" si="11"/>
        <v>7000</v>
      </c>
      <c r="B26" s="88">
        <v>48</v>
      </c>
      <c r="C26" s="90">
        <f t="shared" si="12"/>
        <v>36.013714285714286</v>
      </c>
      <c r="D26" s="90">
        <f t="shared" si="9"/>
        <v>35.793599999999998</v>
      </c>
      <c r="H26" s="89">
        <f>(($A26*60*('Gearbox CRF450'!$K$9/'Gearbox CRF450'!$L$9)*('Gearbox CRF450'!$K$3/'Gearbox CRF450'!$L$3)*'Gearbox CRF450'!$M$5*PI())/1000)*('Gearbox CRF450'!$K$4/'Gearbox CRF450'!$L$4)</f>
        <v>68.755306627592176</v>
      </c>
      <c r="I26" s="89">
        <f>(($A26*60*('Gearbox CRF450'!$C$11/'Gearbox CRF450'!$D$11)*('Gearbox CRF450'!$C$3/'Gearbox CRF450'!$D$3)*'Gearbox CRF450'!$E$5*PI())/1000)*('Gearbox CRF450'!$C$4/'Gearbox CRF450'!$D$4)</f>
        <v>67.325196249738255</v>
      </c>
      <c r="J26" s="89">
        <f>(($A26*60*('Gearbox CRF450'!$C$13/'Gearbox CRF450'!$D$13)*('Gearbox CRF450'!$C$3/'Gearbox CRF450'!$D$3)*'Gearbox CRF450'!$E$5*PI())/1000)*('Gearbox CRF450'!$C$4/'Gearbox CRF450'!$D$4)</f>
        <v>80.149043154450311</v>
      </c>
      <c r="K26" s="89">
        <f>(($A26*60*('Gearbox CRF450'!$C$15/'Gearbox CRF450'!$D$15)*('Gearbox CRF450'!$C$3/'Gearbox CRF450'!$D$3)*'Gearbox CRF450'!$E$5*PI())/1000)*('Gearbox CRF450'!$C$4/'Gearbox CRF450'!$D$4)</f>
        <v>94.292991946412116</v>
      </c>
      <c r="L26" s="89">
        <f>(($A26*60*('Gearbox CRF450'!$C$17/'Gearbox CRF450'!$D$17)*('Gearbox CRF450'!$C$3/'Gearbox CRF450'!$D$3)*'Gearbox CRF450'!$E$5*PI())/1000)*('Gearbox CRF450'!$C$4/'Gearbox CRF450'!$D$4)</f>
        <v>108.90840569810601</v>
      </c>
      <c r="N26" s="89">
        <f t="shared" si="10"/>
        <v>1874.1383948433797</v>
      </c>
      <c r="O26" s="89">
        <f t="shared" si="5"/>
        <v>1913.9485241456086</v>
      </c>
      <c r="P26" s="89">
        <f t="shared" si="6"/>
        <v>1607.716760282311</v>
      </c>
      <c r="Q26" s="89">
        <f t="shared" si="7"/>
        <v>1366.5592462399645</v>
      </c>
      <c r="R26" s="89">
        <f t="shared" si="8"/>
        <v>1183.1681785627397</v>
      </c>
    </row>
    <row r="27" spans="1:18">
      <c r="A27" s="88">
        <f t="shared" si="11"/>
        <v>7500</v>
      </c>
      <c r="B27" s="88">
        <v>50</v>
      </c>
      <c r="C27" s="90">
        <f t="shared" si="12"/>
        <v>35.013333333333335</v>
      </c>
      <c r="D27" s="90">
        <f t="shared" si="9"/>
        <v>37.285000000000004</v>
      </c>
      <c r="H27" s="89">
        <f>(($A27*60*('Gearbox CRF450'!$K$9/'Gearbox CRF450'!$L$9)*('Gearbox CRF450'!$K$3/'Gearbox CRF450'!$L$3)*'Gearbox CRF450'!$M$5*PI())/1000)*('Gearbox CRF450'!$K$4/'Gearbox CRF450'!$L$4)</f>
        <v>73.666399958134463</v>
      </c>
      <c r="I27" s="89">
        <f>(($A27*60*('Gearbox CRF450'!$C$11/'Gearbox CRF450'!$D$11)*('Gearbox CRF450'!$C$3/'Gearbox CRF450'!$D$3)*'Gearbox CRF450'!$E$5*PI())/1000)*('Gearbox CRF450'!$C$4/'Gearbox CRF450'!$D$4)</f>
        <v>72.13413883900526</v>
      </c>
      <c r="J27" s="89">
        <f>(($A27*60*('Gearbox CRF450'!$C$13/'Gearbox CRF450'!$D$13)*('Gearbox CRF450'!$C$3/'Gearbox CRF450'!$D$3)*'Gearbox CRF450'!$E$5*PI())/1000)*('Gearbox CRF450'!$C$4/'Gearbox CRF450'!$D$4)</f>
        <v>85.873974808339611</v>
      </c>
      <c r="K27" s="89">
        <f>(($A27*60*('Gearbox CRF450'!$C$15/'Gearbox CRF450'!$D$15)*('Gearbox CRF450'!$C$3/'Gearbox CRF450'!$D$3)*'Gearbox CRF450'!$E$5*PI())/1000)*('Gearbox CRF450'!$C$4/'Gearbox CRF450'!$D$4)</f>
        <v>101.02820565687013</v>
      </c>
      <c r="L27" s="89">
        <f>(($A27*60*('Gearbox CRF450'!$C$17/'Gearbox CRF450'!$D$17)*('Gearbox CRF450'!$C$3/'Gearbox CRF450'!$D$3)*'Gearbox CRF450'!$E$5*PI())/1000)*('Gearbox CRF450'!$C$4/'Gearbox CRF450'!$D$4)</f>
        <v>116.68757753368502</v>
      </c>
      <c r="N27" s="89">
        <f t="shared" si="10"/>
        <v>1822.07899498662</v>
      </c>
      <c r="O27" s="89">
        <f t="shared" si="5"/>
        <v>1860.7832873637867</v>
      </c>
      <c r="P27" s="89">
        <f t="shared" si="6"/>
        <v>1563.0579613855805</v>
      </c>
      <c r="Q27" s="89">
        <f t="shared" si="7"/>
        <v>1328.5992671777435</v>
      </c>
      <c r="R27" s="89">
        <f t="shared" si="8"/>
        <v>1150.3023958248862</v>
      </c>
    </row>
    <row r="28" spans="1:18">
      <c r="A28" s="88">
        <f t="shared" si="11"/>
        <v>8000</v>
      </c>
      <c r="B28" s="88">
        <v>50</v>
      </c>
      <c r="C28" s="90">
        <f t="shared" si="12"/>
        <v>32.825000000000003</v>
      </c>
      <c r="D28" s="90">
        <f t="shared" si="9"/>
        <v>37.285000000000004</v>
      </c>
      <c r="H28" s="89">
        <f>(($A28*60*('Gearbox CRF450'!$K$9/'Gearbox CRF450'!$L$9)*('Gearbox CRF450'!$K$3/'Gearbox CRF450'!$L$3)*'Gearbox CRF450'!$M$5*PI())/1000)*('Gearbox CRF450'!$K$4/'Gearbox CRF450'!$L$4)</f>
        <v>78.577493288676777</v>
      </c>
      <c r="I28" s="89">
        <f>(($A28*60*('Gearbox CRF450'!$C$11/'Gearbox CRF450'!$D$11)*('Gearbox CRF450'!$C$3/'Gearbox CRF450'!$D$3)*'Gearbox CRF450'!$E$5*PI())/1000)*('Gearbox CRF450'!$C$4/'Gearbox CRF450'!$D$4)</f>
        <v>76.943081428272279</v>
      </c>
      <c r="J28" s="89">
        <f>(($A28*60*('Gearbox CRF450'!$C$13/'Gearbox CRF450'!$D$13)*('Gearbox CRF450'!$C$3/'Gearbox CRF450'!$D$3)*'Gearbox CRF450'!$E$5*PI())/1000)*('Gearbox CRF450'!$C$4/'Gearbox CRF450'!$D$4)</f>
        <v>91.598906462228911</v>
      </c>
      <c r="K28" s="89">
        <f>(($A28*60*('Gearbox CRF450'!$C$15/'Gearbox CRF450'!$D$15)*('Gearbox CRF450'!$C$3/'Gearbox CRF450'!$D$3)*'Gearbox CRF450'!$E$5*PI())/1000)*('Gearbox CRF450'!$C$4/'Gearbox CRF450'!$D$4)</f>
        <v>107.76341936732814</v>
      </c>
      <c r="L28" s="89">
        <f>(($A28*60*('Gearbox CRF450'!$C$17/'Gearbox CRF450'!$D$17)*('Gearbox CRF450'!$C$3/'Gearbox CRF450'!$D$3)*'Gearbox CRF450'!$E$5*PI())/1000)*('Gearbox CRF450'!$C$4/'Gearbox CRF450'!$D$4)</f>
        <v>124.46674936926401</v>
      </c>
      <c r="N28" s="89">
        <f t="shared" si="10"/>
        <v>1708.1990577999559</v>
      </c>
      <c r="O28" s="89">
        <f t="shared" si="5"/>
        <v>1744.4843319035501</v>
      </c>
      <c r="P28" s="89">
        <f t="shared" si="6"/>
        <v>1465.3668387989819</v>
      </c>
      <c r="Q28" s="89">
        <f t="shared" si="7"/>
        <v>1245.5618129791346</v>
      </c>
      <c r="R28" s="89">
        <f t="shared" si="8"/>
        <v>1078.4084960858308</v>
      </c>
    </row>
    <row r="29" spans="1:18">
      <c r="A29" s="88">
        <f t="shared" si="11"/>
        <v>8500</v>
      </c>
      <c r="B29" s="88">
        <v>49</v>
      </c>
      <c r="C29" s="90">
        <f t="shared" si="12"/>
        <v>30.276235294117647</v>
      </c>
      <c r="D29" s="90">
        <f t="shared" si="9"/>
        <v>36.539300000000004</v>
      </c>
      <c r="H29" s="89">
        <f>(($A29*60*('Gearbox CRF450'!$K$9/'Gearbox CRF450'!$L$9)*('Gearbox CRF450'!$K$3/'Gearbox CRF450'!$L$3)*'Gearbox CRF450'!$M$5*PI())/1000)*('Gearbox CRF450'!$K$4/'Gearbox CRF450'!$L$4)</f>
        <v>83.488586619219078</v>
      </c>
      <c r="I29" s="89">
        <f>(($A29*60*('Gearbox CRF450'!$C$11/'Gearbox CRF450'!$D$11)*('Gearbox CRF450'!$C$3/'Gearbox CRF450'!$D$3)*'Gearbox CRF450'!$E$5*PI())/1000)*('Gearbox CRF450'!$C$4/'Gearbox CRF450'!$D$4)</f>
        <v>81.752024017539298</v>
      </c>
      <c r="J29" s="89">
        <f>(($A29*60*('Gearbox CRF450'!$C$13/'Gearbox CRF450'!$D$13)*('Gearbox CRF450'!$C$3/'Gearbox CRF450'!$D$3)*'Gearbox CRF450'!$E$5*PI())/1000)*('Gearbox CRF450'!$C$4/'Gearbox CRF450'!$D$4)</f>
        <v>97.323838116118225</v>
      </c>
      <c r="K29" s="89">
        <f>(($A29*60*('Gearbox CRF450'!$C$15/'Gearbox CRF450'!$D$15)*('Gearbox CRF450'!$C$3/'Gearbox CRF450'!$D$3)*'Gearbox CRF450'!$E$5*PI())/1000)*('Gearbox CRF450'!$C$4/'Gearbox CRF450'!$D$4)</f>
        <v>114.49863307778614</v>
      </c>
      <c r="L29" s="89">
        <f>(($A29*60*('Gearbox CRF450'!$C$17/'Gearbox CRF450'!$D$17)*('Gearbox CRF450'!$C$3/'Gearbox CRF450'!$D$3)*'Gearbox CRF450'!$E$5*PI())/1000)*('Gearbox CRF450'!$C$4/'Gearbox CRF450'!$D$4)</f>
        <v>132.245921204843</v>
      </c>
      <c r="N29" s="89">
        <f t="shared" si="10"/>
        <v>1575.5624250766648</v>
      </c>
      <c r="O29" s="89">
        <f t="shared" si="5"/>
        <v>1609.0302543675093</v>
      </c>
      <c r="P29" s="89">
        <f t="shared" si="6"/>
        <v>1351.5854136687078</v>
      </c>
      <c r="Q29" s="89">
        <f t="shared" si="7"/>
        <v>1148.8476016184018</v>
      </c>
      <c r="R29" s="89">
        <f t="shared" si="8"/>
        <v>994.67324815446034</v>
      </c>
    </row>
    <row r="30" spans="1:18">
      <c r="A30" s="88">
        <f t="shared" si="11"/>
        <v>9000</v>
      </c>
      <c r="B30" s="88">
        <v>48</v>
      </c>
      <c r="C30" s="90">
        <f t="shared" si="12"/>
        <v>28.010666666666665</v>
      </c>
      <c r="D30" s="90">
        <f t="shared" si="9"/>
        <v>35.793599999999998</v>
      </c>
      <c r="H30" s="89">
        <f>(($A30*60*('Gearbox CRF450'!$K$9/'Gearbox CRF450'!$L$9)*('Gearbox CRF450'!$K$3/'Gearbox CRF450'!$L$3)*'Gearbox CRF450'!$M$5*PI())/1000)*('Gearbox CRF450'!$K$4/'Gearbox CRF450'!$L$4)</f>
        <v>88.399679949761364</v>
      </c>
      <c r="I30" s="89">
        <f>(($A30*60*('Gearbox CRF450'!$C$11/'Gearbox CRF450'!$D$11)*('Gearbox CRF450'!$C$3/'Gearbox CRF450'!$D$3)*'Gearbox CRF450'!$E$5*PI())/1000)*('Gearbox CRF450'!$C$4/'Gearbox CRF450'!$D$4)</f>
        <v>86.560966606806304</v>
      </c>
      <c r="J30" s="89">
        <f>(($A30*60*('Gearbox CRF450'!$C$13/'Gearbox CRF450'!$D$13)*('Gearbox CRF450'!$C$3/'Gearbox CRF450'!$D$3)*'Gearbox CRF450'!$E$5*PI())/1000)*('Gearbox CRF450'!$C$4/'Gearbox CRF450'!$D$4)</f>
        <v>103.04876977000754</v>
      </c>
      <c r="K30" s="89">
        <f>(($A30*60*('Gearbox CRF450'!$C$15/'Gearbox CRF450'!$D$15)*('Gearbox CRF450'!$C$3/'Gearbox CRF450'!$D$3)*'Gearbox CRF450'!$E$5*PI())/1000)*('Gearbox CRF450'!$C$4/'Gearbox CRF450'!$D$4)</f>
        <v>121.23384678824415</v>
      </c>
      <c r="L30" s="89">
        <f>(($A30*60*('Gearbox CRF450'!$C$17/'Gearbox CRF450'!$D$17)*('Gearbox CRF450'!$C$3/'Gearbox CRF450'!$D$3)*'Gearbox CRF450'!$E$5*PI())/1000)*('Gearbox CRF450'!$C$4/'Gearbox CRF450'!$D$4)</f>
        <v>140.02509304042198</v>
      </c>
      <c r="N30" s="89">
        <f t="shared" si="10"/>
        <v>1457.6631959892954</v>
      </c>
      <c r="O30" s="89">
        <f t="shared" si="5"/>
        <v>1488.6266298910293</v>
      </c>
      <c r="P30" s="89">
        <f t="shared" si="6"/>
        <v>1250.4463691084643</v>
      </c>
      <c r="Q30" s="89">
        <f t="shared" si="7"/>
        <v>1062.8794137421946</v>
      </c>
      <c r="R30" s="89">
        <f t="shared" si="8"/>
        <v>920.24191665990884</v>
      </c>
    </row>
    <row r="31" spans="1:18">
      <c r="A31" s="88">
        <f t="shared" si="11"/>
        <v>9500</v>
      </c>
      <c r="B31" s="88">
        <v>47</v>
      </c>
      <c r="C31" s="90">
        <f t="shared" si="12"/>
        <v>25.983578947368422</v>
      </c>
      <c r="D31" s="90">
        <f t="shared" si="9"/>
        <v>35.047899999999998</v>
      </c>
      <c r="H31" s="89">
        <f>(($A31*60*('Gearbox CRF450'!$K$9/'Gearbox CRF450'!$L$9)*('Gearbox CRF450'!$K$3/'Gearbox CRF450'!$L$3)*'Gearbox CRF450'!$M$5*PI())/1000)*('Gearbox CRF450'!$K$4/'Gearbox CRF450'!$L$4)</f>
        <v>93.310773280303678</v>
      </c>
      <c r="I31" s="89">
        <f>(($A31*60*('Gearbox CRF450'!$C$11/'Gearbox CRF450'!$D$11)*('Gearbox CRF450'!$C$3/'Gearbox CRF450'!$D$3)*'Gearbox CRF450'!$E$5*PI())/1000)*('Gearbox CRF450'!$C$4/'Gearbox CRF450'!$D$4)</f>
        <v>91.369909196073337</v>
      </c>
      <c r="J31" s="89">
        <f>(($A31*60*('Gearbox CRF450'!$C$13/'Gearbox CRF450'!$D$13)*('Gearbox CRF450'!$C$3/'Gearbox CRF450'!$D$3)*'Gearbox CRF450'!$E$5*PI())/1000)*('Gearbox CRF450'!$C$4/'Gearbox CRF450'!$D$4)</f>
        <v>108.77370142389682</v>
      </c>
      <c r="K31" s="89">
        <f>(($A31*60*('Gearbox CRF450'!$C$15/'Gearbox CRF450'!$D$15)*('Gearbox CRF450'!$C$3/'Gearbox CRF450'!$D$3)*'Gearbox CRF450'!$E$5*PI())/1000)*('Gearbox CRF450'!$C$4/'Gearbox CRF450'!$D$4)</f>
        <v>127.96906049870216</v>
      </c>
      <c r="L31" s="89">
        <f>(($A31*60*('Gearbox CRF450'!$C$17/'Gearbox CRF450'!$D$17)*('Gearbox CRF450'!$C$3/'Gearbox CRF450'!$D$3)*'Gearbox CRF450'!$E$5*PI())/1000)*('Gearbox CRF450'!$C$4/'Gearbox CRF450'!$D$4)</f>
        <v>147.80426487600101</v>
      </c>
      <c r="N31" s="89">
        <f t="shared" si="10"/>
        <v>1352.1744120690173</v>
      </c>
      <c r="O31" s="89">
        <f t="shared" si="5"/>
        <v>1380.8970711489151</v>
      </c>
      <c r="P31" s="89">
        <f t="shared" si="6"/>
        <v>1159.9535397650889</v>
      </c>
      <c r="Q31" s="89">
        <f t="shared" si="7"/>
        <v>985.96050880032521</v>
      </c>
      <c r="R31" s="89">
        <f t="shared" si="8"/>
        <v>853.64546216478379</v>
      </c>
    </row>
    <row r="32" spans="1:18">
      <c r="A32" s="88">
        <f t="shared" si="11"/>
        <v>10000</v>
      </c>
      <c r="B32" s="88">
        <v>46</v>
      </c>
      <c r="C32" s="90">
        <f t="shared" si="12"/>
        <v>24.159199999999998</v>
      </c>
      <c r="D32" s="90">
        <f t="shared" si="9"/>
        <v>34.302199999999999</v>
      </c>
      <c r="H32" s="89">
        <f>(($A32*60*('Gearbox CRF450'!$K$9/'Gearbox CRF450'!$L$9)*('Gearbox CRF450'!$K$3/'Gearbox CRF450'!$L$3)*'Gearbox CRF450'!$M$5*PI())/1000)*('Gearbox CRF450'!$K$4/'Gearbox CRF450'!$L$4)</f>
        <v>98.221866610845993</v>
      </c>
      <c r="I32" s="89">
        <f>(($A32*60*('Gearbox CRF450'!$C$11/'Gearbox CRF450'!$D$11)*('Gearbox CRF450'!$C$3/'Gearbox CRF450'!$D$3)*'Gearbox CRF450'!$E$5*PI())/1000)*('Gearbox CRF450'!$C$4/'Gearbox CRF450'!$D$4)</f>
        <v>96.178851785340385</v>
      </c>
      <c r="J32" s="89">
        <f>(($A32*60*('Gearbox CRF450'!$C$13/'Gearbox CRF450'!$D$13)*('Gearbox CRF450'!$C$3/'Gearbox CRF450'!$D$3)*'Gearbox CRF450'!$E$5*PI())/1000)*('Gearbox CRF450'!$C$4/'Gearbox CRF450'!$D$4)</f>
        <v>114.49863307778617</v>
      </c>
      <c r="K32" s="89">
        <f>(($A32*60*('Gearbox CRF450'!$C$15/'Gearbox CRF450'!$D$15)*('Gearbox CRF450'!$C$3/'Gearbox CRF450'!$D$3)*'Gearbox CRF450'!$E$5*PI())/1000)*('Gearbox CRF450'!$C$4/'Gearbox CRF450'!$D$4)</f>
        <v>134.70427420916016</v>
      </c>
      <c r="L32" s="89">
        <f>(($A32*60*('Gearbox CRF450'!$C$17/'Gearbox CRF450'!$D$17)*('Gearbox CRF450'!$C$3/'Gearbox CRF450'!$D$3)*'Gearbox CRF450'!$E$5*PI())/1000)*('Gearbox CRF450'!$C$4/'Gearbox CRF450'!$D$4)</f>
        <v>155.58343671157999</v>
      </c>
      <c r="N32" s="89">
        <f t="shared" si="10"/>
        <v>1257.2345065407669</v>
      </c>
      <c r="O32" s="89">
        <f t="shared" si="5"/>
        <v>1283.940468281012</v>
      </c>
      <c r="P32" s="89">
        <f t="shared" si="6"/>
        <v>1078.5099933560502</v>
      </c>
      <c r="Q32" s="89">
        <f t="shared" si="7"/>
        <v>916.73349435264288</v>
      </c>
      <c r="R32" s="89">
        <f t="shared" si="8"/>
        <v>793.70865311917123</v>
      </c>
    </row>
    <row r="33" spans="1:18">
      <c r="A33" s="88">
        <f t="shared" si="11"/>
        <v>10500</v>
      </c>
      <c r="B33" s="88">
        <v>44</v>
      </c>
      <c r="C33" s="90">
        <f t="shared" si="12"/>
        <v>22.008380952380953</v>
      </c>
      <c r="D33" s="90">
        <f t="shared" si="9"/>
        <v>32.8108</v>
      </c>
      <c r="H33" s="89">
        <f>(($A33*60*('Gearbox CRF450'!$K$9/'Gearbox CRF450'!$L$9)*('Gearbox CRF450'!$K$3/'Gearbox CRF450'!$L$3)*'Gearbox CRF450'!$M$5*PI())/1000)*('Gearbox CRF450'!$K$4/'Gearbox CRF450'!$L$4)</f>
        <v>103.13295994138826</v>
      </c>
      <c r="I33" s="89">
        <f>(($A33*60*('Gearbox CRF450'!$C$11/'Gearbox CRF450'!$D$11)*('Gearbox CRF450'!$C$3/'Gearbox CRF450'!$D$3)*'Gearbox CRF450'!$E$5*PI())/1000)*('Gearbox CRF450'!$C$4/'Gearbox CRF450'!$D$4)</f>
        <v>100.98779437460738</v>
      </c>
      <c r="J33" s="89">
        <f>(($A33*60*('Gearbox CRF450'!$C$13/'Gearbox CRF450'!$D$13)*('Gearbox CRF450'!$C$3/'Gearbox CRF450'!$D$3)*'Gearbox CRF450'!$E$5*PI())/1000)*('Gearbox CRF450'!$C$4/'Gearbox CRF450'!$D$4)</f>
        <v>120.22356473167545</v>
      </c>
      <c r="K33" s="89">
        <f>(($A33*60*('Gearbox CRF450'!$C$15/'Gearbox CRF450'!$D$15)*('Gearbox CRF450'!$C$3/'Gearbox CRF450'!$D$3)*'Gearbox CRF450'!$E$5*PI())/1000)*('Gearbox CRF450'!$C$4/'Gearbox CRF450'!$D$4)</f>
        <v>141.43948791961816</v>
      </c>
      <c r="L33" s="89">
        <f>(($A33*60*('Gearbox CRF450'!$C$17/'Gearbox CRF450'!$D$17)*('Gearbox CRF450'!$C$3/'Gearbox CRF450'!$D$3)*'Gearbox CRF450'!$E$5*PI())/1000)*('Gearbox CRF450'!$C$4/'Gearbox CRF450'!$D$4)</f>
        <v>163.36260854715903</v>
      </c>
      <c r="N33" s="89">
        <f t="shared" si="10"/>
        <v>1145.3067968487321</v>
      </c>
      <c r="O33" s="89">
        <f t="shared" si="5"/>
        <v>1169.6352092000943</v>
      </c>
      <c r="P33" s="89">
        <f t="shared" si="6"/>
        <v>982.49357572807912</v>
      </c>
      <c r="Q33" s="89">
        <f t="shared" si="7"/>
        <v>835.11953936886732</v>
      </c>
      <c r="R33" s="89">
        <f t="shared" si="8"/>
        <v>723.04722023278532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</dc:creator>
  <cp:keywords/>
  <dc:description/>
  <cp:lastModifiedBy>Andrew Harrison</cp:lastModifiedBy>
  <cp:revision/>
  <dcterms:created xsi:type="dcterms:W3CDTF">2012-03-18T20:57:52Z</dcterms:created>
  <dcterms:modified xsi:type="dcterms:W3CDTF">2019-01-24T09:26:08Z</dcterms:modified>
  <cp:category/>
  <cp:contentStatus/>
</cp:coreProperties>
</file>