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BSc Auto Yr 2\data acquisition\"/>
    </mc:Choice>
  </mc:AlternateContent>
  <xr:revisionPtr revIDLastSave="0" documentId="13_ncr:1_{0ECC217A-DCB3-483C-8B91-94EBD15DB25B}" xr6:coauthVersionLast="45" xr6:coauthVersionMax="45" xr10:uidLastSave="{00000000-0000-0000-0000-000000000000}"/>
  <bookViews>
    <workbookView xWindow="-10860" yWindow="2445" windowWidth="21600" windowHeight="11385" activeTab="5" xr2:uid="{00000000-000D-0000-FFFF-FFFF00000000}"/>
  </bookViews>
  <sheets>
    <sheet name="Exam Q1" sheetId="7" r:id="rId1"/>
    <sheet name="Exam Q2" sheetId="9" r:id="rId2"/>
    <sheet name="Exam Q3" sheetId="11" r:id="rId3"/>
    <sheet name="Exam Q4" sheetId="12" r:id="rId4"/>
    <sheet name="Exam Q5" sheetId="13" r:id="rId5"/>
    <sheet name="Exam Q6" sheetId="14" r:id="rId6"/>
  </sheets>
  <definedNames>
    <definedName name="Left_front__corner_sprung_mass__kg" comment="FL" localSheetId="0">#REF!</definedName>
    <definedName name="Left_front__corner_sprung_mass__kg" comment="FL" localSheetId="1">#REF!</definedName>
    <definedName name="Left_front__corner_sprung_mass__kg" comment="FL" localSheetId="2">#REF!</definedName>
    <definedName name="Left_front__corner_sprung_mass__kg" comment="FL" localSheetId="3">#REF!</definedName>
    <definedName name="Left_front__corner_sprung_mass__kg" comment="FL" localSheetId="4">#REF!</definedName>
    <definedName name="Left_front__corner_sprung_mass__kg" comment="FL" localSheetId="5">#REF!</definedName>
    <definedName name="Left_front__corner_sprung_mass__kg" comment="F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4" i="14" l="1"/>
  <c r="G20" i="14"/>
  <c r="G19" i="14"/>
  <c r="G16" i="14"/>
  <c r="J15" i="14"/>
  <c r="G15" i="14"/>
  <c r="J14" i="14"/>
  <c r="G14" i="14"/>
  <c r="G18" i="14" s="1"/>
  <c r="G22" i="14" s="1"/>
  <c r="J5" i="14" s="1"/>
  <c r="G13" i="14"/>
  <c r="G17" i="14" s="1"/>
  <c r="G21" i="14" s="1"/>
  <c r="J4" i="14" s="1"/>
  <c r="G12" i="14"/>
  <c r="G9" i="14"/>
  <c r="G8" i="14"/>
  <c r="J12" i="14" s="1"/>
  <c r="G7" i="14"/>
  <c r="G6" i="14"/>
  <c r="G5" i="14"/>
  <c r="G4" i="14"/>
  <c r="G24" i="13"/>
  <c r="G20" i="13"/>
  <c r="G19" i="13"/>
  <c r="G16" i="13"/>
  <c r="J15" i="13"/>
  <c r="G15" i="13"/>
  <c r="J14" i="13"/>
  <c r="G14" i="13"/>
  <c r="G18" i="13" s="1"/>
  <c r="G22" i="13" s="1"/>
  <c r="J5" i="13" s="1"/>
  <c r="G13" i="13"/>
  <c r="G17" i="13" s="1"/>
  <c r="J12" i="13"/>
  <c r="G12" i="13"/>
  <c r="G10" i="13"/>
  <c r="G11" i="13" s="1"/>
  <c r="G9" i="13"/>
  <c r="J13" i="13" s="1"/>
  <c r="G8" i="13"/>
  <c r="G7" i="13"/>
  <c r="G6" i="13"/>
  <c r="G5" i="13"/>
  <c r="G4" i="13"/>
  <c r="G24" i="12"/>
  <c r="G20" i="12"/>
  <c r="G19" i="12"/>
  <c r="G16" i="12"/>
  <c r="J15" i="12"/>
  <c r="G15" i="12"/>
  <c r="J14" i="12"/>
  <c r="G14" i="12"/>
  <c r="G18" i="12" s="1"/>
  <c r="G22" i="12" s="1"/>
  <c r="J5" i="12" s="1"/>
  <c r="G13" i="12"/>
  <c r="G17" i="12" s="1"/>
  <c r="G12" i="12"/>
  <c r="G10" i="12"/>
  <c r="G11" i="12" s="1"/>
  <c r="G9" i="12"/>
  <c r="G23" i="12" s="1"/>
  <c r="G8" i="12"/>
  <c r="J12" i="12" s="1"/>
  <c r="G7" i="12"/>
  <c r="G6" i="12"/>
  <c r="G5" i="12"/>
  <c r="G4" i="12"/>
  <c r="G24" i="11"/>
  <c r="G20" i="11"/>
  <c r="G19" i="11"/>
  <c r="G16" i="11"/>
  <c r="J15" i="11"/>
  <c r="G15" i="11"/>
  <c r="J14" i="11"/>
  <c r="G14" i="11"/>
  <c r="G18" i="11" s="1"/>
  <c r="G22" i="11" s="1"/>
  <c r="J5" i="11" s="1"/>
  <c r="G13" i="11"/>
  <c r="G17" i="11" s="1"/>
  <c r="G12" i="11"/>
  <c r="G9" i="11"/>
  <c r="G8" i="11"/>
  <c r="J12" i="11" s="1"/>
  <c r="G7" i="11"/>
  <c r="G6" i="11"/>
  <c r="G5" i="11"/>
  <c r="G4" i="11"/>
  <c r="G24" i="9"/>
  <c r="G20" i="9"/>
  <c r="G19" i="9"/>
  <c r="G16" i="9"/>
  <c r="J15" i="9"/>
  <c r="G15" i="9"/>
  <c r="J14" i="9"/>
  <c r="G14" i="9"/>
  <c r="G18" i="9" s="1"/>
  <c r="G22" i="9" s="1"/>
  <c r="J5" i="9" s="1"/>
  <c r="G13" i="9"/>
  <c r="G17" i="9" s="1"/>
  <c r="G12" i="9"/>
  <c r="G9" i="9"/>
  <c r="G8" i="9"/>
  <c r="J12" i="9" s="1"/>
  <c r="G7" i="9"/>
  <c r="G6" i="9"/>
  <c r="G5" i="9"/>
  <c r="G4" i="9"/>
  <c r="J34" i="7"/>
  <c r="J33" i="7"/>
  <c r="J31" i="7"/>
  <c r="J32" i="7"/>
  <c r="J6" i="14" l="1"/>
  <c r="G10" i="14"/>
  <c r="G23" i="14" s="1"/>
  <c r="G25" i="14" s="1"/>
  <c r="G26" i="14" s="1"/>
  <c r="J13" i="14"/>
  <c r="G21" i="13"/>
  <c r="J4" i="13" s="1"/>
  <c r="J6" i="13" s="1"/>
  <c r="G25" i="13"/>
  <c r="G26" i="13" s="1"/>
  <c r="J29" i="13"/>
  <c r="D28" i="13"/>
  <c r="J25" i="13"/>
  <c r="G23" i="13"/>
  <c r="G21" i="12"/>
  <c r="J4" i="12" s="1"/>
  <c r="J6" i="12" s="1"/>
  <c r="G25" i="12"/>
  <c r="G26" i="12" s="1"/>
  <c r="J29" i="12"/>
  <c r="J25" i="12"/>
  <c r="D28" i="12"/>
  <c r="G27" i="12" s="1"/>
  <c r="J7" i="12" s="1"/>
  <c r="J8" i="12" s="1"/>
  <c r="J13" i="12"/>
  <c r="G21" i="11"/>
  <c r="J4" i="11" s="1"/>
  <c r="J6" i="11" s="1"/>
  <c r="J13" i="11"/>
  <c r="G10" i="11"/>
  <c r="G10" i="9"/>
  <c r="G11" i="9" s="1"/>
  <c r="G21" i="9"/>
  <c r="J4" i="9" s="1"/>
  <c r="J6" i="9" s="1"/>
  <c r="J13" i="9"/>
  <c r="J29" i="7"/>
  <c r="G11" i="14" l="1"/>
  <c r="G27" i="13"/>
  <c r="J7" i="13" s="1"/>
  <c r="J8" i="13" s="1"/>
  <c r="K8" i="12"/>
  <c r="J9" i="12"/>
  <c r="J16" i="12" s="1"/>
  <c r="J10" i="12"/>
  <c r="G11" i="11"/>
  <c r="G23" i="11"/>
  <c r="G25" i="11" s="1"/>
  <c r="G26" i="11" s="1"/>
  <c r="G23" i="9"/>
  <c r="G25" i="9" s="1"/>
  <c r="G26" i="9" s="1"/>
  <c r="J25" i="9"/>
  <c r="J29" i="9"/>
  <c r="D28" i="9"/>
  <c r="J14" i="7"/>
  <c r="J25" i="14" l="1"/>
  <c r="J29" i="14"/>
  <c r="D28" i="14"/>
  <c r="G27" i="14" s="1"/>
  <c r="J7" i="14" s="1"/>
  <c r="J8" i="14" s="1"/>
  <c r="J10" i="13"/>
  <c r="J9" i="13"/>
  <c r="J16" i="13" s="1"/>
  <c r="K8" i="13"/>
  <c r="J34" i="12"/>
  <c r="J17" i="12"/>
  <c r="J19" i="12"/>
  <c r="J20" i="12"/>
  <c r="J18" i="12"/>
  <c r="J25" i="11"/>
  <c r="J29" i="11"/>
  <c r="D28" i="11"/>
  <c r="G27" i="11" s="1"/>
  <c r="J7" i="11" s="1"/>
  <c r="J8" i="11" s="1"/>
  <c r="G27" i="9"/>
  <c r="J7" i="9" s="1"/>
  <c r="J8" i="9" s="1"/>
  <c r="J10" i="9" s="1"/>
  <c r="G24" i="7"/>
  <c r="K8" i="14" l="1"/>
  <c r="J10" i="14"/>
  <c r="J9" i="14"/>
  <c r="J16" i="14" s="1"/>
  <c r="J19" i="13"/>
  <c r="J20" i="13"/>
  <c r="J17" i="13"/>
  <c r="J34" i="13"/>
  <c r="J31" i="12"/>
  <c r="J33" i="12" s="1"/>
  <c r="J24" i="12"/>
  <c r="J23" i="12"/>
  <c r="J32" i="12" s="1"/>
  <c r="K8" i="11"/>
  <c r="J10" i="11"/>
  <c r="J9" i="11"/>
  <c r="J16" i="11" s="1"/>
  <c r="K8" i="9"/>
  <c r="J9" i="9"/>
  <c r="J16" i="9" s="1"/>
  <c r="J20" i="9" s="1"/>
  <c r="J34" i="9"/>
  <c r="J17" i="9"/>
  <c r="J15" i="7"/>
  <c r="J34" i="14" l="1"/>
  <c r="J17" i="14"/>
  <c r="J20" i="14"/>
  <c r="J19" i="14"/>
  <c r="J31" i="14" s="1"/>
  <c r="J24" i="13"/>
  <c r="J23" i="13"/>
  <c r="J18" i="13"/>
  <c r="J31" i="13"/>
  <c r="J26" i="12"/>
  <c r="J20" i="11"/>
  <c r="J19" i="11"/>
  <c r="J31" i="11" s="1"/>
  <c r="J34" i="11"/>
  <c r="J17" i="11"/>
  <c r="J18" i="11" s="1"/>
  <c r="J18" i="9"/>
  <c r="J19" i="9"/>
  <c r="J31" i="9" s="1"/>
  <c r="J23" i="9"/>
  <c r="J24" i="9"/>
  <c r="G20" i="7"/>
  <c r="G19" i="7"/>
  <c r="G16" i="7"/>
  <c r="G15" i="7"/>
  <c r="G14" i="7"/>
  <c r="G18" i="7" s="1"/>
  <c r="G13" i="7"/>
  <c r="G17" i="7" s="1"/>
  <c r="G12" i="7"/>
  <c r="G9" i="7"/>
  <c r="G8" i="7"/>
  <c r="J12" i="7" s="1"/>
  <c r="G7" i="7"/>
  <c r="G6" i="7"/>
  <c r="G5" i="7"/>
  <c r="G4" i="7"/>
  <c r="J24" i="14" l="1"/>
  <c r="J23" i="14"/>
  <c r="J32" i="14" s="1"/>
  <c r="J33" i="14" s="1"/>
  <c r="J18" i="14"/>
  <c r="J32" i="13"/>
  <c r="J33" i="13" s="1"/>
  <c r="J26" i="13"/>
  <c r="J24" i="11"/>
  <c r="J23" i="11"/>
  <c r="J32" i="11" s="1"/>
  <c r="J33" i="11" s="1"/>
  <c r="J26" i="9"/>
  <c r="J32" i="9"/>
  <c r="J33" i="9" s="1"/>
  <c r="G21" i="7"/>
  <c r="J4" i="7" s="1"/>
  <c r="G22" i="7"/>
  <c r="J5" i="7" s="1"/>
  <c r="J13" i="7"/>
  <c r="G10" i="7"/>
  <c r="J26" i="14" l="1"/>
  <c r="J26" i="11"/>
  <c r="J6" i="7"/>
  <c r="G11" i="7"/>
  <c r="D28" i="7" s="1"/>
  <c r="G23" i="7"/>
  <c r="G25" i="7" s="1"/>
  <c r="G26" i="7" l="1"/>
  <c r="G27" i="7"/>
  <c r="J7" i="7" s="1"/>
  <c r="J25" i="7"/>
  <c r="J8" i="7" l="1"/>
  <c r="J9" i="7" s="1"/>
  <c r="K8" i="7"/>
  <c r="J16" i="7" l="1"/>
  <c r="J19" i="7" s="1"/>
  <c r="J10" i="7"/>
  <c r="J17" i="7" s="1"/>
  <c r="J24" i="7" l="1"/>
  <c r="J23" i="7"/>
  <c r="J20" i="7"/>
  <c r="J18" i="7"/>
  <c r="J26" i="7" l="1"/>
</calcChain>
</file>

<file path=xl/sharedStrings.xml><?xml version="1.0" encoding="utf-8"?>
<sst xmlns="http://schemas.openxmlformats.org/spreadsheetml/2006/main" count="946" uniqueCount="164">
  <si>
    <t>Ms rr</t>
  </si>
  <si>
    <t>M rr</t>
  </si>
  <si>
    <t>Front Right corner sprung mass [kg]</t>
  </si>
  <si>
    <t>Total front sprung mass [kg]</t>
  </si>
  <si>
    <t>Total rear sprung mass  [kg]</t>
  </si>
  <si>
    <t>Mus rr</t>
  </si>
  <si>
    <t>Ms r</t>
  </si>
  <si>
    <t>Ms f</t>
  </si>
  <si>
    <t xml:space="preserve">Front Track </t>
  </si>
  <si>
    <t xml:space="preserve">Rear track </t>
  </si>
  <si>
    <t>Tf</t>
  </si>
  <si>
    <t>Tr</t>
  </si>
  <si>
    <t xml:space="preserve">Wheel base  </t>
  </si>
  <si>
    <t xml:space="preserve">L </t>
  </si>
  <si>
    <t>WTsf</t>
  </si>
  <si>
    <t>Measured Suspension  Data</t>
  </si>
  <si>
    <t xml:space="preserve">Calculated Suspension Data </t>
  </si>
  <si>
    <t>WTsr</t>
  </si>
  <si>
    <t xml:space="preserve">Results </t>
  </si>
  <si>
    <t xml:space="preserve">hf </t>
  </si>
  <si>
    <t xml:space="preserve">hr </t>
  </si>
  <si>
    <t>b</t>
  </si>
  <si>
    <t>hr -hf</t>
  </si>
  <si>
    <t>z</t>
  </si>
  <si>
    <t>z+hf</t>
  </si>
  <si>
    <t>Fz rr</t>
  </si>
  <si>
    <t>Kϕr</t>
  </si>
  <si>
    <t>Kϕt</t>
  </si>
  <si>
    <t>Depth  of triangle at CG [m]</t>
  </si>
  <si>
    <t>Height of roll axis at CG [m]</t>
  </si>
  <si>
    <t>Height of CG above roll axis [m]</t>
  </si>
  <si>
    <t>Rear -Front RC Height [m]</t>
  </si>
  <si>
    <t>Mot</t>
  </si>
  <si>
    <t>Overturning moment [Nm]</t>
  </si>
  <si>
    <t>Total Roll Stiffness [Nm/rad]</t>
  </si>
  <si>
    <t>Rear Roll Stiffness [Nm/rad]</t>
  </si>
  <si>
    <t>Front weight transfer due to spung mass [N]</t>
  </si>
  <si>
    <t>Rear  weight transfer due to spung mass [N]</t>
  </si>
  <si>
    <t>Left front  vertical force [N]</t>
  </si>
  <si>
    <t>Rear Left vertical force [N]</t>
  </si>
  <si>
    <t>Rear Right  vertical force [N]</t>
  </si>
  <si>
    <t>MR rr</t>
  </si>
  <si>
    <t>WTsrcf</t>
  </si>
  <si>
    <t>Wtusf</t>
  </si>
  <si>
    <t>Wtusr</t>
  </si>
  <si>
    <t>WTsrcr</t>
  </si>
  <si>
    <t xml:space="preserve">Hs </t>
  </si>
  <si>
    <t xml:space="preserve">Height of CG of sprung mass  above ground </t>
  </si>
  <si>
    <t xml:space="preserve">Height of CG of total mass above ground </t>
  </si>
  <si>
    <t>Kϕf</t>
  </si>
  <si>
    <t xml:space="preserve">WT </t>
  </si>
  <si>
    <t xml:space="preserve">Total WT calculated for 'solid' car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</si>
  <si>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</si>
  <si>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</si>
  <si>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</si>
  <si>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</si>
  <si>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</si>
  <si>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Front Right rspring rate [N/mm]</t>
  </si>
  <si>
    <t>Rear Left  Spring rate [N/mm]</t>
  </si>
  <si>
    <t>Rear Right  Spring Rate [N/mm]</t>
  </si>
  <si>
    <t>Front Left   wheel rate 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</si>
  <si>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</si>
  <si>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</si>
  <si>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</si>
  <si>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</si>
  <si>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</si>
  <si>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</si>
  <si>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</si>
  <si>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</si>
  <si>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</si>
  <si>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</si>
  <si>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</si>
  <si>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</si>
  <si>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</si>
  <si>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</si>
  <si>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</si>
  <si>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</si>
  <si>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</si>
  <si>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</si>
  <si>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</si>
  <si>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</si>
  <si>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rl</t>
  </si>
  <si>
    <t>Ks rr</t>
  </si>
  <si>
    <t>Kw fl</t>
  </si>
  <si>
    <t>Kw fr</t>
  </si>
  <si>
    <t>Front Right wheel rate  [N/mm]</t>
  </si>
  <si>
    <t>Fz fl</t>
  </si>
  <si>
    <t xml:space="preserve">Ks fl  </t>
  </si>
  <si>
    <t xml:space="preserve">Ks fr </t>
  </si>
  <si>
    <t>Front Left Spring rate [lb/in]</t>
  </si>
  <si>
    <t>Front Right Spring rate [lb/in]</t>
  </si>
  <si>
    <t>Rear Left   Spring rate [lb/in]</t>
  </si>
  <si>
    <t>Rear Right  Spring rate [lb/in]</t>
  </si>
  <si>
    <t>Fz rl</t>
  </si>
  <si>
    <t>Ks fl</t>
  </si>
  <si>
    <t>Ks fr</t>
  </si>
  <si>
    <t>Fz fr</t>
  </si>
  <si>
    <t>Mtot</t>
  </si>
  <si>
    <t>distance of cg of sprung mass from front axle [m]</t>
  </si>
  <si>
    <t xml:space="preserve">Total  sprung mass </t>
  </si>
  <si>
    <t xml:space="preserve">Total Mass </t>
  </si>
  <si>
    <t>Mstot</t>
  </si>
  <si>
    <t>b x Mstot = Msr * L</t>
  </si>
  <si>
    <t>Front Roll Stiffness [Nm/rad]</t>
  </si>
  <si>
    <t>ϕ</t>
  </si>
  <si>
    <r>
      <rPr>
        <sz val="11"/>
        <color rgb="FF000000"/>
        <rFont val="Calibri"/>
        <family val="2"/>
      </rPr>
      <t xml:space="preserve">              </t>
    </r>
    <r>
      <rPr>
        <u/>
        <sz val="11"/>
        <color rgb="FF000000"/>
        <rFont val="Calibri"/>
        <family val="2"/>
      </rPr>
      <t xml:space="preserve"> hr-hf  </t>
    </r>
    <r>
      <rPr>
        <sz val="11"/>
        <color rgb="FF000000"/>
        <rFont val="Calibri"/>
        <family val="2"/>
      </rPr>
      <t xml:space="preserve">   =      </t>
    </r>
    <r>
      <rPr>
        <u/>
        <sz val="11"/>
        <color rgb="FF000000"/>
        <rFont val="Calibri"/>
        <family val="2"/>
      </rPr>
      <t xml:space="preserve"> Z   </t>
    </r>
    <r>
      <rPr>
        <sz val="11"/>
        <color rgb="FF000000"/>
        <rFont val="Calibri"/>
        <family val="2"/>
      </rPr>
      <t xml:space="preserve">   </t>
    </r>
  </si>
  <si>
    <t xml:space="preserve">                          L              b</t>
  </si>
  <si>
    <t xml:space="preserve">Read vertical wheel load values  into correct </t>
  </si>
  <si>
    <t xml:space="preserve">            From static +/- WT</t>
  </si>
  <si>
    <t>Use Htot and Mtot to calculate total WT</t>
  </si>
  <si>
    <t>Mustot</t>
  </si>
  <si>
    <t>Total unsprung mass</t>
  </si>
  <si>
    <t xml:space="preserve">another sheet </t>
  </si>
  <si>
    <t xml:space="preserve"> cells of  Rowley Load Split Calculator on </t>
  </si>
  <si>
    <t>deg</t>
  </si>
  <si>
    <t>Roll angle  (Radians)</t>
  </si>
  <si>
    <t xml:space="preserve">Wtf = (ϕ x Kwf x Tf)/2 </t>
  </si>
  <si>
    <t>Rolling  Radius front</t>
  </si>
  <si>
    <t>Rrr</t>
  </si>
  <si>
    <t>Rrf</t>
  </si>
  <si>
    <t>Rolling Radius rear</t>
  </si>
  <si>
    <t>Front WT due to sprung mass at RC Height</t>
  </si>
  <si>
    <t>Rear WT due to sprung mass at RC Height</t>
  </si>
  <si>
    <t>Front WT due to Unsprung mass at wheel centre height</t>
  </si>
  <si>
    <t>Rear WT due to Unsprung mass at wheel centre height</t>
  </si>
  <si>
    <t xml:space="preserve">Total front WT </t>
  </si>
  <si>
    <t>Total Rear WT</t>
  </si>
  <si>
    <t xml:space="preserve">Total WT calculated by adding alll Weight Transfers </t>
  </si>
  <si>
    <t xml:space="preserve">Total wheel loads  by individual wheel load check </t>
  </si>
  <si>
    <t xml:space="preserve">Total  wheel load  by static corner weight check </t>
  </si>
  <si>
    <t>Rear Left Wheel Rate [N/mm]</t>
  </si>
  <si>
    <t>Rear  Right wheel  rate [N/mm]</t>
  </si>
  <si>
    <t xml:space="preserve">WTsr=(ϕ x Kwr x Tr)/2 </t>
  </si>
  <si>
    <t xml:space="preserve">These may not match exactly due to different tracks </t>
  </si>
  <si>
    <t>Kw rl</t>
  </si>
  <si>
    <t>Kw rr</t>
  </si>
  <si>
    <r>
      <rPr>
        <sz val="11"/>
        <color rgb="FF000000"/>
        <rFont val="Calibri"/>
        <family val="2"/>
      </rPr>
      <t>M</t>
    </r>
    <r>
      <rPr>
        <vertAlign val="subscript"/>
        <sz val="11"/>
        <color rgb="FF000000"/>
        <rFont val="Calibri"/>
        <family val="2"/>
      </rPr>
      <t>ot</t>
    </r>
    <r>
      <rPr>
        <sz val="11"/>
        <color rgb="FF000000"/>
        <rFont val="Calibri"/>
        <family val="2"/>
      </rPr>
      <t xml:space="preserve"> = M</t>
    </r>
    <r>
      <rPr>
        <vertAlign val="subscript"/>
        <sz val="11"/>
        <color rgb="FF000000"/>
        <rFont val="Calibri"/>
        <family val="2"/>
      </rPr>
      <t>s</t>
    </r>
    <r>
      <rPr>
        <sz val="11"/>
        <color rgb="FF000000"/>
        <rFont val="Calibri"/>
        <family val="2"/>
      </rPr>
      <t xml:space="preserve"> x a</t>
    </r>
    <r>
      <rPr>
        <vertAlign val="subscript"/>
        <sz val="11"/>
        <color rgb="FF000000"/>
        <rFont val="Calibri"/>
        <family val="2"/>
      </rPr>
      <t>y</t>
    </r>
    <r>
      <rPr>
        <sz val="11"/>
        <color rgb="FF000000"/>
        <rFont val="Calibri"/>
        <family val="2"/>
      </rPr>
      <t xml:space="preserve"> x Hsra</t>
    </r>
    <r>
      <rPr>
        <sz val="28"/>
        <color rgb="FF000000"/>
        <rFont val="Calibri"/>
        <family val="2"/>
      </rPr>
      <t xml:space="preserve">      </t>
    </r>
  </si>
  <si>
    <t xml:space="preserve">Insert  the Lat acc in m/s^2 in  here  and then read it into the calculations </t>
  </si>
  <si>
    <t xml:space="preserve">Ht </t>
  </si>
  <si>
    <t xml:space="preserve">Height of Front roll centre above ground  </t>
  </si>
  <si>
    <t xml:space="preserve">Height of Rear roll centre above ground  </t>
  </si>
  <si>
    <t>Motion Ratio front left</t>
  </si>
  <si>
    <t>Motion Ratio front right</t>
  </si>
  <si>
    <t xml:space="preserve">Motion Ratio rear left </t>
  </si>
  <si>
    <t xml:space="preserve">Motion Ratio rear right </t>
  </si>
  <si>
    <t>Ht x Mt  = (Musf x Rrf) + (Musr x Rrr) + (Mstot x  Hs)</t>
  </si>
  <si>
    <t>fawr [Nm/rad]</t>
  </si>
  <si>
    <t>rawr [Nm/rad]</t>
  </si>
  <si>
    <t>Front Right vertical force  [N]</t>
  </si>
  <si>
    <r>
      <t>Lateral Acceleration (m</t>
    </r>
    <r>
      <rPr>
        <sz val="14"/>
        <rFont val="Calibri"/>
        <family val="2"/>
      </rPr>
      <t>²</t>
    </r>
    <r>
      <rPr>
        <sz val="16.100000000000001"/>
        <rFont val="Arial"/>
        <family val="2"/>
      </rPr>
      <t>)</t>
    </r>
  </si>
  <si>
    <t>front split</t>
  </si>
  <si>
    <t>rear split</t>
  </si>
  <si>
    <t>FRLSD</t>
  </si>
  <si>
    <t>rear WT percentage [%]</t>
  </si>
  <si>
    <t>Q3.i</t>
  </si>
  <si>
    <t>the car would be expected to understeer more than the car in Q2 when turning right</t>
  </si>
  <si>
    <t>when the front load split is increased the car will understeer more.</t>
  </si>
  <si>
    <t>Q3.ii</t>
  </si>
  <si>
    <t>Q3.iii</t>
  </si>
  <si>
    <t>the wheel loads would also increase.</t>
  </si>
  <si>
    <t>Q6.i</t>
  </si>
  <si>
    <t>as chages where made the rear WT decreased then increased again</t>
  </si>
  <si>
    <t>FRLSD increased as changes were made.</t>
  </si>
  <si>
    <t>Q6.ii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</si>
</sst>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0.0"/>
  </numFmts>
  <fonts count="18" x14ac:knownFonts="1">
    <font>
      <sz val="10"/>
      <name val="Arial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u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24"/>
      <color rgb="FFFF0000"/>
      <name val="Arial"/>
      <family val="2"/>
    </font>
    <font>
      <sz val="11"/>
      <color rgb="FFFF0000"/>
      <name val="Arial"/>
      <family val="2"/>
    </font>
    <font>
      <sz val="13"/>
      <color rgb="FF000000"/>
      <name val="Calibri"/>
      <family val="2"/>
    </font>
    <font>
      <sz val="10"/>
      <color theme="0"/>
      <name val="Arial"/>
      <family val="2"/>
    </font>
    <font>
      <sz val="28"/>
      <color rgb="FF000000"/>
      <name val="Calibri"/>
      <family val="2"/>
    </font>
    <font>
      <vertAlign val="subscript"/>
      <sz val="11"/>
      <color rgb="FF000000"/>
      <name val="Calibri"/>
      <family val="2"/>
    </font>
    <font>
      <sz val="14"/>
      <name val="Calibri"/>
      <family val="2"/>
    </font>
    <font>
      <sz val="16.10000000000000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0" fillId="0" borderId="7" xfId="0" applyBorder="1"/>
    <xf numFmtId="0" fontId="2" fillId="0" borderId="7" xfId="0" applyFont="1" applyBorder="1"/>
    <xf numFmtId="0" fontId="4" fillId="0" borderId="7" xfId="0" applyFont="1" applyBorder="1"/>
    <xf numFmtId="0" fontId="5" fillId="2" borderId="10" xfId="0" applyFont="1" applyFill="1" applyBorder="1"/>
    <xf numFmtId="0" fontId="0" fillId="0" borderId="7" xfId="0" applyBorder="1" applyAlignment="1">
      <alignment horizontal="center" vertical="center"/>
    </xf>
    <xf numFmtId="2" fontId="0" fillId="3" borderId="5" xfId="0" applyNumberFormat="1" applyFill="1" applyBorder="1" applyAlignment="1" applyProtection="1">
      <alignment horizontal="center"/>
    </xf>
    <xf numFmtId="0" fontId="0" fillId="0" borderId="0" xfId="0" applyBorder="1"/>
    <xf numFmtId="0" fontId="3" fillId="0" borderId="12" xfId="0" applyFont="1" applyBorder="1"/>
    <xf numFmtId="0" fontId="3" fillId="0" borderId="13" xfId="0" applyFont="1" applyBorder="1"/>
    <xf numFmtId="0" fontId="0" fillId="4" borderId="7" xfId="0" applyFill="1" applyBorder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10" fillId="0" borderId="0" xfId="0" applyFont="1" applyAlignment="1">
      <alignment horizontal="left" vertical="center" indent="3" readingOrder="1"/>
    </xf>
    <xf numFmtId="0" fontId="11" fillId="0" borderId="0" xfId="0" applyFont="1" applyAlignment="1">
      <alignment horizontal="left" vertical="center" indent="3" readingOrder="1"/>
    </xf>
    <xf numFmtId="0" fontId="0" fillId="5" borderId="7" xfId="0" applyFill="1" applyBorder="1" applyAlignment="1">
      <alignment horizontal="center" vertical="center"/>
    </xf>
    <xf numFmtId="0" fontId="0" fillId="4" borderId="15" xfId="0" applyFill="1" applyBorder="1"/>
    <xf numFmtId="0" fontId="4" fillId="4" borderId="14" xfId="0" applyFont="1" applyFill="1" applyBorder="1"/>
    <xf numFmtId="0" fontId="0" fillId="5" borderId="0" xfId="0" applyFill="1" applyBorder="1"/>
    <xf numFmtId="0" fontId="0" fillId="0" borderId="0" xfId="0" applyAlignment="1"/>
    <xf numFmtId="0" fontId="0" fillId="3" borderId="7" xfId="0" applyFill="1" applyBorder="1" applyAlignment="1">
      <alignment horizontal="center" vertical="center"/>
    </xf>
    <xf numFmtId="0" fontId="0" fillId="3" borderId="0" xfId="0" applyFill="1" applyBorder="1"/>
    <xf numFmtId="0" fontId="5" fillId="2" borderId="10" xfId="0" applyFont="1" applyFill="1" applyBorder="1" applyAlignment="1">
      <alignment horizontal="left"/>
    </xf>
    <xf numFmtId="166" fontId="0" fillId="0" borderId="5" xfId="0" applyNumberFormat="1" applyBorder="1" applyAlignment="1">
      <alignment horizontal="center" vertical="center"/>
    </xf>
    <xf numFmtId="166" fontId="2" fillId="0" borderId="5" xfId="0" applyNumberFormat="1" applyFont="1" applyBorder="1" applyAlignment="1">
      <alignment horizontal="center" vertical="center"/>
    </xf>
    <xf numFmtId="0" fontId="4" fillId="0" borderId="0" xfId="0" applyFont="1"/>
    <xf numFmtId="0" fontId="0" fillId="0" borderId="14" xfId="0" applyBorder="1"/>
    <xf numFmtId="0" fontId="4" fillId="0" borderId="15" xfId="0" applyFont="1" applyBorder="1"/>
    <xf numFmtId="166" fontId="0" fillId="5" borderId="5" xfId="0" applyNumberFormat="1" applyFill="1" applyBorder="1" applyAlignment="1">
      <alignment horizontal="center" vertical="center"/>
    </xf>
    <xf numFmtId="0" fontId="4" fillId="0" borderId="14" xfId="0" applyFont="1" applyBorder="1"/>
    <xf numFmtId="0" fontId="0" fillId="0" borderId="19" xfId="0" applyBorder="1"/>
    <xf numFmtId="1" fontId="0" fillId="5" borderId="5" xfId="0" applyNumberForma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0" borderId="20" xfId="0" applyBorder="1"/>
    <xf numFmtId="0" fontId="0" fillId="0" borderId="9" xfId="0" applyBorder="1"/>
    <xf numFmtId="166" fontId="0" fillId="0" borderId="0" xfId="0" applyNumberFormat="1"/>
    <xf numFmtId="2" fontId="0" fillId="0" borderId="14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" fontId="0" fillId="5" borderId="28" xfId="0" applyNumberFormat="1" applyFill="1" applyBorder="1" applyAlignment="1">
      <alignment horizontal="center" vertical="center"/>
    </xf>
    <xf numFmtId="0" fontId="4" fillId="0" borderId="16" xfId="0" applyFont="1" applyFill="1" applyBorder="1"/>
    <xf numFmtId="1" fontId="0" fillId="7" borderId="23" xfId="0" applyNumberFormat="1" applyFill="1" applyBorder="1" applyAlignment="1">
      <alignment horizontal="center"/>
    </xf>
    <xf numFmtId="0" fontId="13" fillId="0" borderId="0" xfId="0" applyFont="1" applyBorder="1"/>
    <xf numFmtId="0" fontId="13" fillId="3" borderId="0" xfId="0" applyFont="1" applyFill="1" applyBorder="1"/>
    <xf numFmtId="1" fontId="0" fillId="8" borderId="10" xfId="0" applyNumberFormat="1" applyFill="1" applyBorder="1" applyAlignment="1">
      <alignment horizontal="center" vertical="center"/>
    </xf>
    <xf numFmtId="0" fontId="1" fillId="0" borderId="7" xfId="0" applyFont="1" applyBorder="1"/>
    <xf numFmtId="0" fontId="4" fillId="3" borderId="0" xfId="0" applyFont="1" applyFill="1" applyBorder="1"/>
    <xf numFmtId="0" fontId="4" fillId="5" borderId="17" xfId="0" applyFont="1" applyFill="1" applyBorder="1"/>
    <xf numFmtId="0" fontId="0" fillId="5" borderId="18" xfId="0" applyFill="1" applyBorder="1"/>
    <xf numFmtId="0" fontId="4" fillId="4" borderId="17" xfId="0" applyFont="1" applyFill="1" applyBorder="1"/>
    <xf numFmtId="0" fontId="0" fillId="4" borderId="18" xfId="0" applyFill="1" applyBorder="1"/>
    <xf numFmtId="0" fontId="4" fillId="5" borderId="1" xfId="0" applyFont="1" applyFill="1" applyBorder="1" applyAlignment="1">
      <alignment horizontal="center"/>
    </xf>
    <xf numFmtId="0" fontId="0" fillId="5" borderId="2" xfId="0" applyFill="1" applyBorder="1" applyAlignment="1">
      <alignment horizontal="left"/>
    </xf>
    <xf numFmtId="0" fontId="0" fillId="5" borderId="2" xfId="0" applyFill="1" applyBorder="1"/>
    <xf numFmtId="0" fontId="0" fillId="5" borderId="3" xfId="0" applyFill="1" applyBorder="1"/>
    <xf numFmtId="0" fontId="4" fillId="5" borderId="4" xfId="0" applyFont="1" applyFill="1" applyBorder="1"/>
    <xf numFmtId="0" fontId="0" fillId="5" borderId="6" xfId="0" applyFill="1" applyBorder="1"/>
    <xf numFmtId="0" fontId="0" fillId="5" borderId="4" xfId="0" applyFill="1" applyBorder="1"/>
    <xf numFmtId="0" fontId="0" fillId="5" borderId="8" xfId="0" applyFill="1" applyBorder="1"/>
    <xf numFmtId="0" fontId="0" fillId="5" borderId="22" xfId="0" applyFill="1" applyBorder="1"/>
    <xf numFmtId="0" fontId="0" fillId="5" borderId="25" xfId="0" applyFill="1" applyBorder="1"/>
    <xf numFmtId="0" fontId="4" fillId="5" borderId="1" xfId="0" applyFont="1" applyFill="1" applyBorder="1"/>
    <xf numFmtId="0" fontId="0" fillId="5" borderId="29" xfId="0" applyFill="1" applyBorder="1"/>
    <xf numFmtId="0" fontId="4" fillId="5" borderId="8" xfId="0" applyFont="1" applyFill="1" applyBorder="1"/>
    <xf numFmtId="0" fontId="0" fillId="5" borderId="30" xfId="0" applyFill="1" applyBorder="1"/>
    <xf numFmtId="0" fontId="6" fillId="5" borderId="23" xfId="0" applyFont="1" applyFill="1" applyBorder="1" applyAlignment="1">
      <alignment horizontal="left" vertical="center" indent="4" readingOrder="1"/>
    </xf>
    <xf numFmtId="0" fontId="8" fillId="5" borderId="26" xfId="0" applyFont="1" applyFill="1" applyBorder="1"/>
    <xf numFmtId="0" fontId="12" fillId="5" borderId="10" xfId="0" applyFont="1" applyFill="1" applyBorder="1" applyAlignment="1">
      <alignment horizontal="center" vertical="center" readingOrder="1"/>
    </xf>
    <xf numFmtId="0" fontId="4" fillId="3" borderId="20" xfId="0" applyFont="1" applyFill="1" applyBorder="1"/>
    <xf numFmtId="0" fontId="4" fillId="3" borderId="7" xfId="0" applyFont="1" applyFill="1" applyBorder="1"/>
    <xf numFmtId="0" fontId="0" fillId="3" borderId="21" xfId="0" applyFont="1" applyFill="1" applyBorder="1"/>
    <xf numFmtId="0" fontId="4" fillId="3" borderId="11" xfId="0" applyFont="1" applyFill="1" applyBorder="1"/>
    <xf numFmtId="0" fontId="0" fillId="3" borderId="7" xfId="0" applyFill="1" applyBorder="1" applyAlignment="1">
      <alignment horizontal="center"/>
    </xf>
    <xf numFmtId="0" fontId="0" fillId="3" borderId="7" xfId="0" applyFill="1" applyBorder="1"/>
    <xf numFmtId="0" fontId="9" fillId="3" borderId="7" xfId="0" applyFont="1" applyFill="1" applyBorder="1"/>
    <xf numFmtId="0" fontId="4" fillId="3" borderId="14" xfId="0" applyFont="1" applyFill="1" applyBorder="1"/>
    <xf numFmtId="166" fontId="0" fillId="3" borderId="5" xfId="0" applyNumberFormat="1" applyFill="1" applyBorder="1" applyAlignment="1">
      <alignment horizontal="center"/>
    </xf>
    <xf numFmtId="166" fontId="0" fillId="3" borderId="27" xfId="0" applyNumberFormat="1" applyFill="1" applyBorder="1" applyAlignment="1">
      <alignment horizontal="center"/>
    </xf>
    <xf numFmtId="0" fontId="3" fillId="0" borderId="31" xfId="0" applyFont="1" applyBorder="1"/>
    <xf numFmtId="0" fontId="0" fillId="0" borderId="32" xfId="0" applyBorder="1"/>
    <xf numFmtId="0" fontId="0" fillId="0" borderId="33" xfId="0" applyBorder="1"/>
    <xf numFmtId="0" fontId="0" fillId="0" borderId="33" xfId="0" applyBorder="1" applyAlignment="1">
      <alignment horizontal="center" vertical="center"/>
    </xf>
    <xf numFmtId="0" fontId="4" fillId="0" borderId="33" xfId="0" applyFont="1" applyBorder="1"/>
    <xf numFmtId="166" fontId="0" fillId="0" borderId="34" xfId="0" applyNumberFormat="1" applyBorder="1" applyAlignment="1">
      <alignment horizontal="center" vertical="center"/>
    </xf>
    <xf numFmtId="0" fontId="0" fillId="0" borderId="35" xfId="0" applyBorder="1"/>
    <xf numFmtId="0" fontId="0" fillId="0" borderId="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0" borderId="20" xfId="0" applyFont="1" applyBorder="1"/>
    <xf numFmtId="0" fontId="4" fillId="0" borderId="9" xfId="0" applyFont="1" applyBorder="1"/>
    <xf numFmtId="0" fontId="14" fillId="5" borderId="17" xfId="0" applyFont="1" applyFill="1" applyBorder="1" applyAlignment="1">
      <alignment vertical="center"/>
    </xf>
    <xf numFmtId="0" fontId="0" fillId="5" borderId="18" xfId="0" applyFill="1" applyBorder="1" applyAlignment="1">
      <alignment vertical="center"/>
    </xf>
    <xf numFmtId="165" fontId="0" fillId="2" borderId="7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7" borderId="24" xfId="0" applyNumberFormat="1" applyFill="1" applyBorder="1" applyAlignment="1">
      <alignment horizontal="center" vertical="center"/>
    </xf>
    <xf numFmtId="165" fontId="4" fillId="3" borderId="33" xfId="0" applyNumberFormat="1" applyFon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" fontId="0" fillId="0" borderId="0" xfId="0" applyNumberFormat="1"/>
    <xf numFmtId="0" fontId="4" fillId="0" borderId="0" xfId="0" applyFont="1" applyFill="1" applyBorder="1"/>
    <xf numFmtId="166" fontId="0" fillId="2" borderId="5" xfId="0" applyNumberForma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0" fontId="4" fillId="9" borderId="0" xfId="0" applyFont="1" applyFill="1" applyBorder="1"/>
    <xf numFmtId="0" fontId="0" fillId="9" borderId="0" xfId="0" applyFill="1" applyBorder="1"/>
    <xf numFmtId="0" fontId="0" fillId="9" borderId="0" xfId="0" applyFill="1"/>
    <xf numFmtId="0" fontId="4" fillId="9" borderId="0" xfId="0" applyFont="1" applyFill="1"/>
    <xf numFmtId="0" fontId="0" fillId="0" borderId="0" xfId="0" applyFill="1" applyBorder="1"/>
    <xf numFmtId="0" fontId="0" fillId="0" borderId="0" xfId="0" applyFill="1"/>
    <xf numFmtId="0" fontId="4" fillId="0" borderId="0" xfId="0" applyFont="1" applyFill="1"/>
    <xf numFmtId="0" fontId="0" fillId="10" borderId="7" xfId="0" applyFill="1" applyBorder="1"/>
    <xf numFmtId="0" fontId="4" fillId="10" borderId="7" xfId="0" applyFont="1" applyFill="1" applyBorder="1"/>
    <xf numFmtId="166" fontId="0" fillId="2" borderId="7" xfId="0" applyNumberForma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0" fillId="0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1533525</xdr:colOff>
      <xdr:row>24</xdr:row>
      <xdr:rowOff>76200</xdr:rowOff>
    </xdr:from>
    <xdr:to>
      <xdr:col>6</xdr:col>
      <xdr:colOff>68580</xdr:colOff>
      <xdr:row>33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7393305" y="3924300"/>
          <a:ext cx="1392555" cy="18516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566973</xdr:colOff>
      <xdr:row>35</xdr:row>
      <xdr:rowOff>102042</xdr:rowOff>
    </xdr:from>
    <xdr:to>
      <xdr:col>9</xdr:col>
      <xdr:colOff>758364</xdr:colOff>
      <xdr:row>44</xdr:row>
      <xdr:rowOff>94919</xdr:rowOff>
    </xdr:to>
    <xdr:pic>
      <xdr:nvPicPr>
        <xdr:cNvPr id="7" name="Content Placeholder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91364" y="6347129"/>
          <a:ext cx="4365826" cy="148374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123826</xdr:colOff>
      <xdr:row>22</xdr:row>
      <xdr:rowOff>83820</xdr:rowOff>
    </xdr:from>
    <xdr:to>
      <xdr:col>6</xdr:col>
      <xdr:colOff>83820</xdr:colOff>
      <xdr:row>31</xdr:row>
      <xdr:rowOff>9525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>
          <a:off x="5374006" y="3589020"/>
          <a:ext cx="3427094" cy="182308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27</xdr:row>
      <xdr:rowOff>83820</xdr:rowOff>
    </xdr:from>
    <xdr:to>
      <xdr:col>3</xdr:col>
      <xdr:colOff>91440</xdr:colOff>
      <xdr:row>33</xdr:row>
      <xdr:rowOff>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>
          <a:off x="3295650" y="4411980"/>
          <a:ext cx="1436370" cy="130302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5295900" y="95250"/>
          <a:ext cx="6858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14964833" y="3401485"/>
          <a:ext cx="529167" cy="63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28</xdr:row>
      <xdr:rowOff>85725</xdr:rowOff>
    </xdr:from>
    <xdr:to>
      <xdr:col>11</xdr:col>
      <xdr:colOff>0</xdr:colOff>
      <xdr:row>28</xdr:row>
      <xdr:rowOff>85726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14592300" y="4448175"/>
          <a:ext cx="51435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CxnSpPr/>
      </xdr:nvCxnSpPr>
      <xdr:spPr>
        <a:xfrm>
          <a:off x="14787154" y="1506583"/>
          <a:ext cx="679632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CxnSpPr/>
      </xdr:nvCxnSpPr>
      <xdr:spPr>
        <a:xfrm>
          <a:off x="14810528" y="1728258"/>
          <a:ext cx="672133" cy="32793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E4B4DBE-E3D3-44A7-A824-1A18EDF48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73469" y="602016"/>
          <a:ext cx="2330534" cy="145172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80817</xdr:colOff>
      <xdr:row>3</xdr:row>
      <xdr:rowOff>40409</xdr:rowOff>
    </xdr:from>
    <xdr:to>
      <xdr:col>13</xdr:col>
      <xdr:colOff>334818</xdr:colOff>
      <xdr:row>3</xdr:row>
      <xdr:rowOff>103910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C443886E-86DD-4062-BA67-31C5E32B19D2}"/>
            </a:ext>
          </a:extLst>
        </xdr:cNvPr>
        <xdr:cNvCxnSpPr/>
      </xdr:nvCxnSpPr>
      <xdr:spPr>
        <a:xfrm flipV="1">
          <a:off x="14628090" y="663864"/>
          <a:ext cx="1959842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827C3CF-5472-4E37-8D6B-19662F333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81001" y="1279074"/>
          <a:ext cx="444499" cy="41223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2E340281-E16D-48F0-A504-49059DB7C39B}"/>
            </a:ext>
          </a:extLst>
        </xdr:cNvPr>
        <xdr:cNvCxnSpPr/>
      </xdr:nvCxnSpPr>
      <xdr:spPr>
        <a:xfrm flipV="1">
          <a:off x="14905182" y="1050637"/>
          <a:ext cx="577273" cy="178954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EC55E190-487F-430F-ACAA-73BA4CD10C61}"/>
            </a:ext>
          </a:extLst>
        </xdr:cNvPr>
        <xdr:cNvCxnSpPr>
          <a:endCxn id="18" idx="3"/>
        </xdr:cNvCxnSpPr>
      </xdr:nvCxnSpPr>
      <xdr:spPr>
        <a:xfrm flipH="1" flipV="1">
          <a:off x="13546941" y="1348956"/>
          <a:ext cx="659741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230140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EE16931-3C10-486B-A2AD-22EE27E9D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546918" y="2778125"/>
          <a:ext cx="812223" cy="22754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604304</xdr:colOff>
      <xdr:row>17</xdr:row>
      <xdr:rowOff>74083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EB300C3-B6A1-41F1-B7E5-D848D17D6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499414" y="2756959"/>
          <a:ext cx="868889" cy="24341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52155</xdr:colOff>
      <xdr:row>13</xdr:row>
      <xdr:rowOff>116417</xdr:rowOff>
    </xdr:from>
    <xdr:to>
      <xdr:col>12</xdr:col>
      <xdr:colOff>222784</xdr:colOff>
      <xdr:row>15</xdr:row>
      <xdr:rowOff>2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AB34D77-546B-4629-BF60-F79103117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546155" y="2402417"/>
          <a:ext cx="805630" cy="20108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111126</xdr:rowOff>
    </xdr:from>
    <xdr:to>
      <xdr:col>13</xdr:col>
      <xdr:colOff>582028</xdr:colOff>
      <xdr:row>15</xdr:row>
      <xdr:rowOff>21168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B429BFE7-0A55-48B8-B37D-FD99C5363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441208" y="2397126"/>
          <a:ext cx="904819" cy="22754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825500</xdr:colOff>
      <xdr:row>11</xdr:row>
      <xdr:rowOff>142875</xdr:rowOff>
    </xdr:from>
    <xdr:to>
      <xdr:col>11</xdr:col>
      <xdr:colOff>52155</xdr:colOff>
      <xdr:row>14</xdr:row>
      <xdr:rowOff>58210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13DBBB59-FC90-4FD2-B0D8-AF4194927F83}"/>
            </a:ext>
          </a:extLst>
        </xdr:cNvPr>
        <xdr:cNvCxnSpPr>
          <a:endCxn id="27" idx="1"/>
        </xdr:cNvCxnSpPr>
      </xdr:nvCxnSpPr>
      <xdr:spPr>
        <a:xfrm>
          <a:off x="14954250" y="2106083"/>
          <a:ext cx="591905" cy="39687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129646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B78742AA-67BD-4BDF-9CD8-6D6264779AC9}"/>
            </a:ext>
          </a:extLst>
        </xdr:cNvPr>
        <xdr:cNvCxnSpPr>
          <a:endCxn id="16" idx="1"/>
        </xdr:cNvCxnSpPr>
      </xdr:nvCxnSpPr>
      <xdr:spPr>
        <a:xfrm>
          <a:off x="14964833" y="2428875"/>
          <a:ext cx="582085" cy="46302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810086</xdr:colOff>
      <xdr:row>37</xdr:row>
      <xdr:rowOff>76615</xdr:rowOff>
    </xdr:from>
    <xdr:to>
      <xdr:col>8</xdr:col>
      <xdr:colOff>1228127</xdr:colOff>
      <xdr:row>39</xdr:row>
      <xdr:rowOff>3681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CC0F3FA-D357-462E-9645-B2E0B7AE74F2}"/>
            </a:ext>
          </a:extLst>
        </xdr:cNvPr>
        <xdr:cNvSpPr txBox="1"/>
      </xdr:nvSpPr>
      <xdr:spPr>
        <a:xfrm>
          <a:off x="11047390" y="6653006"/>
          <a:ext cx="418041" cy="25837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34</xdr:row>
      <xdr:rowOff>90055</xdr:rowOff>
    </xdr:from>
    <xdr:ext cx="544945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8F264DC-0551-49A6-B3CC-1C7DACFD79ED}"/>
            </a:ext>
          </a:extLst>
        </xdr:cNvPr>
        <xdr:cNvSpPr txBox="1"/>
      </xdr:nvSpPr>
      <xdr:spPr>
        <a:xfrm>
          <a:off x="12755418" y="5756564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1533525</xdr:colOff>
      <xdr:row>24</xdr:row>
      <xdr:rowOff>76200</xdr:rowOff>
    </xdr:from>
    <xdr:to>
      <xdr:col>6</xdr:col>
      <xdr:colOff>68580</xdr:colOff>
      <xdr:row>33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ECB861FB-DA58-4B0B-B05C-D20178E67FE7}"/>
            </a:ext>
          </a:extLst>
        </xdr:cNvPr>
        <xdr:cNvCxnSpPr/>
      </xdr:nvCxnSpPr>
      <xdr:spPr>
        <a:xfrm flipH="1">
          <a:off x="7458075" y="4257675"/>
          <a:ext cx="1316355" cy="1495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566973</xdr:colOff>
      <xdr:row>35</xdr:row>
      <xdr:rowOff>102042</xdr:rowOff>
    </xdr:from>
    <xdr:to>
      <xdr:col>9</xdr:col>
      <xdr:colOff>758364</xdr:colOff>
      <xdr:row>44</xdr:row>
      <xdr:rowOff>94919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AFDD0973-2255-4EAD-9467-F70B4224F7AA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87223" y="6274242"/>
          <a:ext cx="4363341" cy="145020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123826</xdr:colOff>
      <xdr:row>22</xdr:row>
      <xdr:rowOff>83820</xdr:rowOff>
    </xdr:from>
    <xdr:to>
      <xdr:col>6</xdr:col>
      <xdr:colOff>83820</xdr:colOff>
      <xdr:row>31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FB62599E-0710-4E92-9305-7A8D6538D979}"/>
            </a:ext>
          </a:extLst>
        </xdr:cNvPr>
        <xdr:cNvCxnSpPr/>
      </xdr:nvCxnSpPr>
      <xdr:spPr>
        <a:xfrm flipH="1">
          <a:off x="5438776" y="3931920"/>
          <a:ext cx="3350894" cy="144018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27</xdr:row>
      <xdr:rowOff>83820</xdr:rowOff>
    </xdr:from>
    <xdr:to>
      <xdr:col>3</xdr:col>
      <xdr:colOff>91440</xdr:colOff>
      <xdr:row>33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73EA419B-D8C9-464B-BF38-B87C3772C1EE}"/>
            </a:ext>
          </a:extLst>
        </xdr:cNvPr>
        <xdr:cNvCxnSpPr/>
      </xdr:nvCxnSpPr>
      <xdr:spPr>
        <a:xfrm flipH="1">
          <a:off x="3295650" y="4760595"/>
          <a:ext cx="1463040" cy="99250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5D9A3193-3067-48F9-8D4C-8308207665D7}"/>
            </a:ext>
          </a:extLst>
        </xdr:cNvPr>
        <xdr:cNvCxnSpPr/>
      </xdr:nvCxnSpPr>
      <xdr:spPr>
        <a:xfrm flipH="1">
          <a:off x="5153025" y="95250"/>
          <a:ext cx="7239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3A752246-1D2C-45DE-A878-95E35F04C444}"/>
            </a:ext>
          </a:extLst>
        </xdr:cNvPr>
        <xdr:cNvCxnSpPr/>
      </xdr:nvCxnSpPr>
      <xdr:spPr>
        <a:xfrm flipV="1">
          <a:off x="14599708" y="3514727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28</xdr:row>
      <xdr:rowOff>85725</xdr:rowOff>
    </xdr:from>
    <xdr:to>
      <xdr:col>11</xdr:col>
      <xdr:colOff>0</xdr:colOff>
      <xdr:row>28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72401C7C-A396-48AC-B374-85701E9425D6}"/>
            </a:ext>
          </a:extLst>
        </xdr:cNvPr>
        <xdr:cNvCxnSpPr/>
      </xdr:nvCxnSpPr>
      <xdr:spPr>
        <a:xfrm>
          <a:off x="14382750" y="4933950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960BBF5C-9EAE-4553-A2F6-63DB4642540F}"/>
            </a:ext>
          </a:extLst>
        </xdr:cNvPr>
        <xdr:cNvCxnSpPr/>
      </xdr:nvCxnSpPr>
      <xdr:spPr>
        <a:xfrm>
          <a:off x="14455140" y="1615440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8E0FCC27-CD39-41B2-961D-A3CFCE33C839}"/>
            </a:ext>
          </a:extLst>
        </xdr:cNvPr>
        <xdr:cNvCxnSpPr/>
      </xdr:nvCxnSpPr>
      <xdr:spPr>
        <a:xfrm>
          <a:off x="14473978" y="1793875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89B2870-141A-4F63-B5B2-870D22AB1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14249" y="649352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80817</xdr:colOff>
      <xdr:row>3</xdr:row>
      <xdr:rowOff>40409</xdr:rowOff>
    </xdr:from>
    <xdr:to>
      <xdr:col>13</xdr:col>
      <xdr:colOff>334818</xdr:colOff>
      <xdr:row>3</xdr:row>
      <xdr:rowOff>103910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9751F667-7885-456C-8E82-50031D1B532C}"/>
            </a:ext>
          </a:extLst>
        </xdr:cNvPr>
        <xdr:cNvCxnSpPr/>
      </xdr:nvCxnSpPr>
      <xdr:spPr>
        <a:xfrm flipV="1">
          <a:off x="14682642" y="688109"/>
          <a:ext cx="196850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55BC6980-77C7-4F4F-A4D2-AC34C879F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24065" y="1201513"/>
          <a:ext cx="444499" cy="40543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C1056451-508F-47B4-9E7F-8AA7BD951C15}"/>
            </a:ext>
          </a:extLst>
        </xdr:cNvPr>
        <xdr:cNvCxnSpPr/>
      </xdr:nvCxnSpPr>
      <xdr:spPr>
        <a:xfrm flipV="1">
          <a:off x="14554200" y="1106055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6C4930F1-6254-4768-AB45-7805413A2E0E}"/>
            </a:ext>
          </a:extLst>
        </xdr:cNvPr>
        <xdr:cNvCxnSpPr>
          <a:endCxn id="13" idx="3"/>
        </xdr:cNvCxnSpPr>
      </xdr:nvCxnSpPr>
      <xdr:spPr>
        <a:xfrm flipH="1" flipV="1">
          <a:off x="13368564" y="1406395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230140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59FBBA00-DED4-4ADB-AE93-C1F4F6B4C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50043" y="2873375"/>
          <a:ext cx="786822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604304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22861C30-C125-48F3-BC6A-637299FFB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77139" y="2849034"/>
          <a:ext cx="843490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52155</xdr:colOff>
      <xdr:row>13</xdr:row>
      <xdr:rowOff>116417</xdr:rowOff>
    </xdr:from>
    <xdr:to>
      <xdr:col>12</xdr:col>
      <xdr:colOff>222784</xdr:colOff>
      <xdr:row>15</xdr:row>
      <xdr:rowOff>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C620C875-FB11-4D5C-8EFA-74748483B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149280" y="2488142"/>
          <a:ext cx="780229" cy="2074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111126</xdr:rowOff>
    </xdr:from>
    <xdr:to>
      <xdr:col>13</xdr:col>
      <xdr:colOff>582028</xdr:colOff>
      <xdr:row>15</xdr:row>
      <xdr:rowOff>21168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664C4DA2-3DC1-4333-8A13-86FF07574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018933" y="2482851"/>
          <a:ext cx="879420" cy="23389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825500</xdr:colOff>
      <xdr:row>11</xdr:row>
      <xdr:rowOff>142875</xdr:rowOff>
    </xdr:from>
    <xdr:to>
      <xdr:col>11</xdr:col>
      <xdr:colOff>52155</xdr:colOff>
      <xdr:row>14</xdr:row>
      <xdr:rowOff>58210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27EB8785-8078-4CAE-9BEB-DC1E66E9BE9C}"/>
            </a:ext>
          </a:extLst>
        </xdr:cNvPr>
        <xdr:cNvCxnSpPr>
          <a:endCxn id="18" idx="1"/>
        </xdr:cNvCxnSpPr>
      </xdr:nvCxnSpPr>
      <xdr:spPr>
        <a:xfrm>
          <a:off x="14598650" y="2181225"/>
          <a:ext cx="550630" cy="4106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129646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F122A001-5632-412B-A490-10C647CC9C80}"/>
            </a:ext>
          </a:extLst>
        </xdr:cNvPr>
        <xdr:cNvCxnSpPr>
          <a:endCxn id="16" idx="1"/>
        </xdr:cNvCxnSpPr>
      </xdr:nvCxnSpPr>
      <xdr:spPr>
        <a:xfrm>
          <a:off x="14599708" y="2514600"/>
          <a:ext cx="550335" cy="47254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810086</xdr:colOff>
      <xdr:row>37</xdr:row>
      <xdr:rowOff>76615</xdr:rowOff>
    </xdr:from>
    <xdr:to>
      <xdr:col>8</xdr:col>
      <xdr:colOff>1228127</xdr:colOff>
      <xdr:row>39</xdr:row>
      <xdr:rowOff>3681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89FD779-C166-46C6-A4A1-BC620C579CBC}"/>
            </a:ext>
          </a:extLst>
        </xdr:cNvPr>
        <xdr:cNvSpPr txBox="1"/>
      </xdr:nvSpPr>
      <xdr:spPr>
        <a:xfrm>
          <a:off x="11039936" y="6572665"/>
          <a:ext cx="418041" cy="25091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34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F5CBF94-E810-407F-9614-D19ACDB70DC9}"/>
            </a:ext>
          </a:extLst>
        </xdr:cNvPr>
        <xdr:cNvSpPr txBox="1"/>
      </xdr:nvSpPr>
      <xdr:spPr>
        <a:xfrm>
          <a:off x="12587432" y="60717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1533525</xdr:colOff>
      <xdr:row>24</xdr:row>
      <xdr:rowOff>76200</xdr:rowOff>
    </xdr:from>
    <xdr:to>
      <xdr:col>6</xdr:col>
      <xdr:colOff>68580</xdr:colOff>
      <xdr:row>33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B7FF6FBD-A508-4F22-A60D-FF97592FA785}"/>
            </a:ext>
          </a:extLst>
        </xdr:cNvPr>
        <xdr:cNvCxnSpPr/>
      </xdr:nvCxnSpPr>
      <xdr:spPr>
        <a:xfrm flipH="1">
          <a:off x="7458075" y="4257675"/>
          <a:ext cx="1316355" cy="1495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566973</xdr:colOff>
      <xdr:row>35</xdr:row>
      <xdr:rowOff>102042</xdr:rowOff>
    </xdr:from>
    <xdr:to>
      <xdr:col>9</xdr:col>
      <xdr:colOff>758364</xdr:colOff>
      <xdr:row>44</xdr:row>
      <xdr:rowOff>94919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4CCB94B6-0841-43A7-95E0-98B7CA30C7B4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87223" y="6274242"/>
          <a:ext cx="4363341" cy="145020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123826</xdr:colOff>
      <xdr:row>22</xdr:row>
      <xdr:rowOff>83820</xdr:rowOff>
    </xdr:from>
    <xdr:to>
      <xdr:col>6</xdr:col>
      <xdr:colOff>83820</xdr:colOff>
      <xdr:row>31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DE60EC3F-9C59-461E-A3B6-8AFA37C038FE}"/>
            </a:ext>
          </a:extLst>
        </xdr:cNvPr>
        <xdr:cNvCxnSpPr/>
      </xdr:nvCxnSpPr>
      <xdr:spPr>
        <a:xfrm flipH="1">
          <a:off x="5438776" y="3931920"/>
          <a:ext cx="3350894" cy="144018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27</xdr:row>
      <xdr:rowOff>83820</xdr:rowOff>
    </xdr:from>
    <xdr:to>
      <xdr:col>3</xdr:col>
      <xdr:colOff>91440</xdr:colOff>
      <xdr:row>33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718D7300-FF61-48DA-BE9F-1B6DFBC81F31}"/>
            </a:ext>
          </a:extLst>
        </xdr:cNvPr>
        <xdr:cNvCxnSpPr/>
      </xdr:nvCxnSpPr>
      <xdr:spPr>
        <a:xfrm flipH="1">
          <a:off x="3295650" y="4760595"/>
          <a:ext cx="1463040" cy="99250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D4036966-9CE3-44F5-AC59-49FE6FBF9BCA}"/>
            </a:ext>
          </a:extLst>
        </xdr:cNvPr>
        <xdr:cNvCxnSpPr/>
      </xdr:nvCxnSpPr>
      <xdr:spPr>
        <a:xfrm flipH="1">
          <a:off x="5153025" y="95250"/>
          <a:ext cx="7239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2A6049E9-2D0E-42B1-BBC2-977F7DD27CA9}"/>
            </a:ext>
          </a:extLst>
        </xdr:cNvPr>
        <xdr:cNvCxnSpPr/>
      </xdr:nvCxnSpPr>
      <xdr:spPr>
        <a:xfrm flipV="1">
          <a:off x="14599708" y="3514727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28</xdr:row>
      <xdr:rowOff>85725</xdr:rowOff>
    </xdr:from>
    <xdr:to>
      <xdr:col>11</xdr:col>
      <xdr:colOff>0</xdr:colOff>
      <xdr:row>28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14706DBC-CD50-4B01-A3A0-B8333EBCDF42}"/>
            </a:ext>
          </a:extLst>
        </xdr:cNvPr>
        <xdr:cNvCxnSpPr/>
      </xdr:nvCxnSpPr>
      <xdr:spPr>
        <a:xfrm>
          <a:off x="14382750" y="4933950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63B08A50-E76A-4A12-BC39-B0BD9C7D5B4C}"/>
            </a:ext>
          </a:extLst>
        </xdr:cNvPr>
        <xdr:cNvCxnSpPr/>
      </xdr:nvCxnSpPr>
      <xdr:spPr>
        <a:xfrm>
          <a:off x="14455140" y="1615440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23A4C82F-8CB0-44A2-A33A-8BF7A822AE75}"/>
            </a:ext>
          </a:extLst>
        </xdr:cNvPr>
        <xdr:cNvCxnSpPr/>
      </xdr:nvCxnSpPr>
      <xdr:spPr>
        <a:xfrm>
          <a:off x="14473978" y="1793875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537DFB0-2471-4B42-942E-3B44C694D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14249" y="649352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80817</xdr:colOff>
      <xdr:row>3</xdr:row>
      <xdr:rowOff>40409</xdr:rowOff>
    </xdr:from>
    <xdr:to>
      <xdr:col>13</xdr:col>
      <xdr:colOff>334818</xdr:colOff>
      <xdr:row>3</xdr:row>
      <xdr:rowOff>103910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60E1F799-143C-4BD5-8958-04028D9ED37F}"/>
            </a:ext>
          </a:extLst>
        </xdr:cNvPr>
        <xdr:cNvCxnSpPr/>
      </xdr:nvCxnSpPr>
      <xdr:spPr>
        <a:xfrm flipV="1">
          <a:off x="14682642" y="688109"/>
          <a:ext cx="196850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BE07442-D677-44CF-A1C0-2628235CC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24065" y="1201513"/>
          <a:ext cx="444499" cy="40543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5267DE9B-5F42-4C6B-89D3-6D9E36D9C0DA}"/>
            </a:ext>
          </a:extLst>
        </xdr:cNvPr>
        <xdr:cNvCxnSpPr/>
      </xdr:nvCxnSpPr>
      <xdr:spPr>
        <a:xfrm flipV="1">
          <a:off x="14554200" y="1106055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F037DAAA-5842-40CA-922F-23B54F6185B2}"/>
            </a:ext>
          </a:extLst>
        </xdr:cNvPr>
        <xdr:cNvCxnSpPr>
          <a:endCxn id="13" idx="3"/>
        </xdr:cNvCxnSpPr>
      </xdr:nvCxnSpPr>
      <xdr:spPr>
        <a:xfrm flipH="1" flipV="1">
          <a:off x="13368564" y="1406395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230140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9091A568-C446-4480-809E-C3B0D28D8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50043" y="2873375"/>
          <a:ext cx="786822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604304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77F128EE-0115-4CC2-A7EA-6F99E61B8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77139" y="2849034"/>
          <a:ext cx="843490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52155</xdr:colOff>
      <xdr:row>13</xdr:row>
      <xdr:rowOff>116417</xdr:rowOff>
    </xdr:from>
    <xdr:to>
      <xdr:col>12</xdr:col>
      <xdr:colOff>222784</xdr:colOff>
      <xdr:row>15</xdr:row>
      <xdr:rowOff>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EED8A9F1-3819-4D63-9A9C-F191032A7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149280" y="2488142"/>
          <a:ext cx="780229" cy="2074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111126</xdr:rowOff>
    </xdr:from>
    <xdr:to>
      <xdr:col>13</xdr:col>
      <xdr:colOff>582028</xdr:colOff>
      <xdr:row>15</xdr:row>
      <xdr:rowOff>21168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E4D604BC-5D4D-4922-8340-23452BC01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018933" y="2482851"/>
          <a:ext cx="879420" cy="23389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825500</xdr:colOff>
      <xdr:row>11</xdr:row>
      <xdr:rowOff>142875</xdr:rowOff>
    </xdr:from>
    <xdr:to>
      <xdr:col>11</xdr:col>
      <xdr:colOff>52155</xdr:colOff>
      <xdr:row>14</xdr:row>
      <xdr:rowOff>58210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FDBB2799-F2FB-42C4-AE43-81C2EEB4F509}"/>
            </a:ext>
          </a:extLst>
        </xdr:cNvPr>
        <xdr:cNvCxnSpPr>
          <a:endCxn id="18" idx="1"/>
        </xdr:cNvCxnSpPr>
      </xdr:nvCxnSpPr>
      <xdr:spPr>
        <a:xfrm>
          <a:off x="14598650" y="2181225"/>
          <a:ext cx="550630" cy="4106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129646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698A2149-9592-423E-9C61-2A69C3BD7443}"/>
            </a:ext>
          </a:extLst>
        </xdr:cNvPr>
        <xdr:cNvCxnSpPr>
          <a:endCxn id="16" idx="1"/>
        </xdr:cNvCxnSpPr>
      </xdr:nvCxnSpPr>
      <xdr:spPr>
        <a:xfrm>
          <a:off x="14599708" y="2514600"/>
          <a:ext cx="550335" cy="47254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810086</xdr:colOff>
      <xdr:row>37</xdr:row>
      <xdr:rowOff>76615</xdr:rowOff>
    </xdr:from>
    <xdr:to>
      <xdr:col>8</xdr:col>
      <xdr:colOff>1228127</xdr:colOff>
      <xdr:row>39</xdr:row>
      <xdr:rowOff>3681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AD5EF99-6B76-4525-9E0C-72C7E5B54DDC}"/>
            </a:ext>
          </a:extLst>
        </xdr:cNvPr>
        <xdr:cNvSpPr txBox="1"/>
      </xdr:nvSpPr>
      <xdr:spPr>
        <a:xfrm>
          <a:off x="11039936" y="6572665"/>
          <a:ext cx="418041" cy="25091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34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F24B1383-EF1A-45E3-9CCE-307D0442C95B}"/>
            </a:ext>
          </a:extLst>
        </xdr:cNvPr>
        <xdr:cNvSpPr txBox="1"/>
      </xdr:nvSpPr>
      <xdr:spPr>
        <a:xfrm>
          <a:off x="12587432" y="60717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1533525</xdr:colOff>
      <xdr:row>24</xdr:row>
      <xdr:rowOff>76200</xdr:rowOff>
    </xdr:from>
    <xdr:to>
      <xdr:col>6</xdr:col>
      <xdr:colOff>68580</xdr:colOff>
      <xdr:row>33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EC70F8FC-DF00-4041-BF23-99B0BE3271E6}"/>
            </a:ext>
          </a:extLst>
        </xdr:cNvPr>
        <xdr:cNvCxnSpPr/>
      </xdr:nvCxnSpPr>
      <xdr:spPr>
        <a:xfrm flipH="1">
          <a:off x="7458075" y="4257675"/>
          <a:ext cx="1316355" cy="1495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566973</xdr:colOff>
      <xdr:row>35</xdr:row>
      <xdr:rowOff>102042</xdr:rowOff>
    </xdr:from>
    <xdr:to>
      <xdr:col>9</xdr:col>
      <xdr:colOff>758364</xdr:colOff>
      <xdr:row>44</xdr:row>
      <xdr:rowOff>94919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783D4127-4E69-475F-A9FF-426978A2D64E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87223" y="6274242"/>
          <a:ext cx="4363341" cy="145020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123826</xdr:colOff>
      <xdr:row>22</xdr:row>
      <xdr:rowOff>83820</xdr:rowOff>
    </xdr:from>
    <xdr:to>
      <xdr:col>6</xdr:col>
      <xdr:colOff>83820</xdr:colOff>
      <xdr:row>31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171C8639-B7EC-44A6-B59D-2023157CAC09}"/>
            </a:ext>
          </a:extLst>
        </xdr:cNvPr>
        <xdr:cNvCxnSpPr/>
      </xdr:nvCxnSpPr>
      <xdr:spPr>
        <a:xfrm flipH="1">
          <a:off x="5438776" y="3931920"/>
          <a:ext cx="3350894" cy="144018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27</xdr:row>
      <xdr:rowOff>83820</xdr:rowOff>
    </xdr:from>
    <xdr:to>
      <xdr:col>3</xdr:col>
      <xdr:colOff>91440</xdr:colOff>
      <xdr:row>33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71FBCF6A-A437-44A3-8981-08F8E9F2E417}"/>
            </a:ext>
          </a:extLst>
        </xdr:cNvPr>
        <xdr:cNvCxnSpPr/>
      </xdr:nvCxnSpPr>
      <xdr:spPr>
        <a:xfrm flipH="1">
          <a:off x="3295650" y="4760595"/>
          <a:ext cx="1463040" cy="99250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59C31C69-9061-435C-92CA-BDCA419172EE}"/>
            </a:ext>
          </a:extLst>
        </xdr:cNvPr>
        <xdr:cNvCxnSpPr/>
      </xdr:nvCxnSpPr>
      <xdr:spPr>
        <a:xfrm flipH="1">
          <a:off x="5153025" y="95250"/>
          <a:ext cx="7239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51CDB1C2-EBA2-463E-B45F-B8E0C57FBE37}"/>
            </a:ext>
          </a:extLst>
        </xdr:cNvPr>
        <xdr:cNvCxnSpPr/>
      </xdr:nvCxnSpPr>
      <xdr:spPr>
        <a:xfrm flipV="1">
          <a:off x="14599708" y="3514727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28</xdr:row>
      <xdr:rowOff>85725</xdr:rowOff>
    </xdr:from>
    <xdr:to>
      <xdr:col>11</xdr:col>
      <xdr:colOff>0</xdr:colOff>
      <xdr:row>28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C56D2910-5485-441E-A726-C3F4C7B30581}"/>
            </a:ext>
          </a:extLst>
        </xdr:cNvPr>
        <xdr:cNvCxnSpPr/>
      </xdr:nvCxnSpPr>
      <xdr:spPr>
        <a:xfrm>
          <a:off x="14382750" y="4933950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731FC93A-F32D-4667-A4C7-9B82D59B758D}"/>
            </a:ext>
          </a:extLst>
        </xdr:cNvPr>
        <xdr:cNvCxnSpPr/>
      </xdr:nvCxnSpPr>
      <xdr:spPr>
        <a:xfrm>
          <a:off x="14455140" y="1615440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8AE60B9-32A2-4F77-A186-438CE0FA036F}"/>
            </a:ext>
          </a:extLst>
        </xdr:cNvPr>
        <xdr:cNvCxnSpPr/>
      </xdr:nvCxnSpPr>
      <xdr:spPr>
        <a:xfrm>
          <a:off x="14473978" y="1793875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B13115F-1714-4313-AAD4-5EFA018A2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14249" y="649352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80817</xdr:colOff>
      <xdr:row>3</xdr:row>
      <xdr:rowOff>40409</xdr:rowOff>
    </xdr:from>
    <xdr:to>
      <xdr:col>13</xdr:col>
      <xdr:colOff>334818</xdr:colOff>
      <xdr:row>3</xdr:row>
      <xdr:rowOff>103910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DF8C1ED5-FAA8-42AF-8871-37862EBD765F}"/>
            </a:ext>
          </a:extLst>
        </xdr:cNvPr>
        <xdr:cNvCxnSpPr/>
      </xdr:nvCxnSpPr>
      <xdr:spPr>
        <a:xfrm flipV="1">
          <a:off x="14682642" y="688109"/>
          <a:ext cx="196850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5C2D28F-6752-4D20-A1E3-B8D8C487E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24065" y="1201513"/>
          <a:ext cx="444499" cy="40543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B78D1013-537B-4EBC-9BD2-91652F67B618}"/>
            </a:ext>
          </a:extLst>
        </xdr:cNvPr>
        <xdr:cNvCxnSpPr/>
      </xdr:nvCxnSpPr>
      <xdr:spPr>
        <a:xfrm flipV="1">
          <a:off x="14554200" y="1106055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C890AB29-A931-4ED0-956D-D888FCCA2EDE}"/>
            </a:ext>
          </a:extLst>
        </xdr:cNvPr>
        <xdr:cNvCxnSpPr>
          <a:endCxn id="13" idx="3"/>
        </xdr:cNvCxnSpPr>
      </xdr:nvCxnSpPr>
      <xdr:spPr>
        <a:xfrm flipH="1" flipV="1">
          <a:off x="13368564" y="1406395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230140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1B3B970-D0FF-4259-A429-D6B3ED69C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50043" y="2873375"/>
          <a:ext cx="786822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604304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6B4C4D90-411D-443D-9A81-4B4C66577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77139" y="2849034"/>
          <a:ext cx="843490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52155</xdr:colOff>
      <xdr:row>13</xdr:row>
      <xdr:rowOff>116417</xdr:rowOff>
    </xdr:from>
    <xdr:to>
      <xdr:col>12</xdr:col>
      <xdr:colOff>222784</xdr:colOff>
      <xdr:row>15</xdr:row>
      <xdr:rowOff>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293A74BD-E55C-4884-BD03-2CFCFF8EE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149280" y="2488142"/>
          <a:ext cx="780229" cy="2074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111126</xdr:rowOff>
    </xdr:from>
    <xdr:to>
      <xdr:col>13</xdr:col>
      <xdr:colOff>582028</xdr:colOff>
      <xdr:row>15</xdr:row>
      <xdr:rowOff>21168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AD680998-3CDD-4447-BCD3-942418221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018933" y="2482851"/>
          <a:ext cx="879420" cy="23389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825500</xdr:colOff>
      <xdr:row>11</xdr:row>
      <xdr:rowOff>142875</xdr:rowOff>
    </xdr:from>
    <xdr:to>
      <xdr:col>11</xdr:col>
      <xdr:colOff>52155</xdr:colOff>
      <xdr:row>14</xdr:row>
      <xdr:rowOff>58210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ED9AA676-EA67-4076-9B48-D57858AC4AAC}"/>
            </a:ext>
          </a:extLst>
        </xdr:cNvPr>
        <xdr:cNvCxnSpPr>
          <a:endCxn id="18" idx="1"/>
        </xdr:cNvCxnSpPr>
      </xdr:nvCxnSpPr>
      <xdr:spPr>
        <a:xfrm>
          <a:off x="14598650" y="2181225"/>
          <a:ext cx="550630" cy="4106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129646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4F683DFC-0A79-447B-AEE3-C800050FF40B}"/>
            </a:ext>
          </a:extLst>
        </xdr:cNvPr>
        <xdr:cNvCxnSpPr>
          <a:endCxn id="16" idx="1"/>
        </xdr:cNvCxnSpPr>
      </xdr:nvCxnSpPr>
      <xdr:spPr>
        <a:xfrm>
          <a:off x="14599708" y="2514600"/>
          <a:ext cx="550335" cy="47254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810086</xdr:colOff>
      <xdr:row>37</xdr:row>
      <xdr:rowOff>76615</xdr:rowOff>
    </xdr:from>
    <xdr:to>
      <xdr:col>8</xdr:col>
      <xdr:colOff>1228127</xdr:colOff>
      <xdr:row>39</xdr:row>
      <xdr:rowOff>3681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2C83944-4514-4A4F-8C45-70C5AF71A2A6}"/>
            </a:ext>
          </a:extLst>
        </xdr:cNvPr>
        <xdr:cNvSpPr txBox="1"/>
      </xdr:nvSpPr>
      <xdr:spPr>
        <a:xfrm>
          <a:off x="11039936" y="6572665"/>
          <a:ext cx="418041" cy="25091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34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649F97B-6AB7-4AEF-929A-DE31D523E2CC}"/>
            </a:ext>
          </a:extLst>
        </xdr:cNvPr>
        <xdr:cNvSpPr txBox="1"/>
      </xdr:nvSpPr>
      <xdr:spPr>
        <a:xfrm>
          <a:off x="12587432" y="60717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1533525</xdr:colOff>
      <xdr:row>24</xdr:row>
      <xdr:rowOff>76200</xdr:rowOff>
    </xdr:from>
    <xdr:to>
      <xdr:col>6</xdr:col>
      <xdr:colOff>68580</xdr:colOff>
      <xdr:row>33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FB58A737-9468-428B-B45C-B9374E05A208}"/>
            </a:ext>
          </a:extLst>
        </xdr:cNvPr>
        <xdr:cNvCxnSpPr/>
      </xdr:nvCxnSpPr>
      <xdr:spPr>
        <a:xfrm flipH="1">
          <a:off x="7458075" y="4257675"/>
          <a:ext cx="1316355" cy="1495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566973</xdr:colOff>
      <xdr:row>35</xdr:row>
      <xdr:rowOff>102042</xdr:rowOff>
    </xdr:from>
    <xdr:to>
      <xdr:col>9</xdr:col>
      <xdr:colOff>758364</xdr:colOff>
      <xdr:row>44</xdr:row>
      <xdr:rowOff>94919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EAB71193-2383-4CED-942B-B07B7075756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87223" y="6274242"/>
          <a:ext cx="4363341" cy="145020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123826</xdr:colOff>
      <xdr:row>22</xdr:row>
      <xdr:rowOff>83820</xdr:rowOff>
    </xdr:from>
    <xdr:to>
      <xdr:col>6</xdr:col>
      <xdr:colOff>83820</xdr:colOff>
      <xdr:row>31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806C81AE-F47C-4D27-B2B0-97B1110B30CF}"/>
            </a:ext>
          </a:extLst>
        </xdr:cNvPr>
        <xdr:cNvCxnSpPr/>
      </xdr:nvCxnSpPr>
      <xdr:spPr>
        <a:xfrm flipH="1">
          <a:off x="5438776" y="3931920"/>
          <a:ext cx="3350894" cy="144018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27</xdr:row>
      <xdr:rowOff>83820</xdr:rowOff>
    </xdr:from>
    <xdr:to>
      <xdr:col>3</xdr:col>
      <xdr:colOff>91440</xdr:colOff>
      <xdr:row>33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5181785F-3689-4394-8F1F-D6A0127DEE1D}"/>
            </a:ext>
          </a:extLst>
        </xdr:cNvPr>
        <xdr:cNvCxnSpPr/>
      </xdr:nvCxnSpPr>
      <xdr:spPr>
        <a:xfrm flipH="1">
          <a:off x="3295650" y="4760595"/>
          <a:ext cx="1463040" cy="99250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F3EA1748-C5ED-48BA-8C31-CE6383F61ABB}"/>
            </a:ext>
          </a:extLst>
        </xdr:cNvPr>
        <xdr:cNvCxnSpPr/>
      </xdr:nvCxnSpPr>
      <xdr:spPr>
        <a:xfrm flipH="1">
          <a:off x="5153025" y="95250"/>
          <a:ext cx="7239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2D976C26-014A-42CD-8B9D-4570F189A218}"/>
            </a:ext>
          </a:extLst>
        </xdr:cNvPr>
        <xdr:cNvCxnSpPr/>
      </xdr:nvCxnSpPr>
      <xdr:spPr>
        <a:xfrm flipV="1">
          <a:off x="14599708" y="3514727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28</xdr:row>
      <xdr:rowOff>85725</xdr:rowOff>
    </xdr:from>
    <xdr:to>
      <xdr:col>11</xdr:col>
      <xdr:colOff>0</xdr:colOff>
      <xdr:row>28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241AB2B5-D5EE-48D2-B900-2F90171807E2}"/>
            </a:ext>
          </a:extLst>
        </xdr:cNvPr>
        <xdr:cNvCxnSpPr/>
      </xdr:nvCxnSpPr>
      <xdr:spPr>
        <a:xfrm>
          <a:off x="14382750" y="4933950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597A96E8-FA9B-4461-A018-E07247999F57}"/>
            </a:ext>
          </a:extLst>
        </xdr:cNvPr>
        <xdr:cNvCxnSpPr/>
      </xdr:nvCxnSpPr>
      <xdr:spPr>
        <a:xfrm>
          <a:off x="14455140" y="1615440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86F80FB3-4682-47CC-A3BA-F41D65D036F5}"/>
            </a:ext>
          </a:extLst>
        </xdr:cNvPr>
        <xdr:cNvCxnSpPr/>
      </xdr:nvCxnSpPr>
      <xdr:spPr>
        <a:xfrm>
          <a:off x="14473978" y="1793875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5951660-6A3D-4692-9B3D-7C904F0C5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14249" y="649352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80817</xdr:colOff>
      <xdr:row>3</xdr:row>
      <xdr:rowOff>40409</xdr:rowOff>
    </xdr:from>
    <xdr:to>
      <xdr:col>13</xdr:col>
      <xdr:colOff>334818</xdr:colOff>
      <xdr:row>3</xdr:row>
      <xdr:rowOff>103910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198760D6-E46D-4D96-B4CB-A7692204C31A}"/>
            </a:ext>
          </a:extLst>
        </xdr:cNvPr>
        <xdr:cNvCxnSpPr/>
      </xdr:nvCxnSpPr>
      <xdr:spPr>
        <a:xfrm flipV="1">
          <a:off x="14682642" y="688109"/>
          <a:ext cx="196850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1A415AD-0539-424A-8214-952B62664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24065" y="1201513"/>
          <a:ext cx="444499" cy="40543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92A51256-AD70-45CB-BA08-E9F03C464F91}"/>
            </a:ext>
          </a:extLst>
        </xdr:cNvPr>
        <xdr:cNvCxnSpPr/>
      </xdr:nvCxnSpPr>
      <xdr:spPr>
        <a:xfrm flipV="1">
          <a:off x="14554200" y="1106055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1AF80ED2-FEB1-48F5-904B-8C7F0FCF6768}"/>
            </a:ext>
          </a:extLst>
        </xdr:cNvPr>
        <xdr:cNvCxnSpPr>
          <a:endCxn id="13" idx="3"/>
        </xdr:cNvCxnSpPr>
      </xdr:nvCxnSpPr>
      <xdr:spPr>
        <a:xfrm flipH="1" flipV="1">
          <a:off x="13368564" y="1406395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230140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7F456AE-5719-4E76-83E9-E7776B528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50043" y="2873375"/>
          <a:ext cx="786822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604304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2632C30D-5D62-46DB-BD2C-3E0EB1C33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77139" y="2849034"/>
          <a:ext cx="843490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52155</xdr:colOff>
      <xdr:row>13</xdr:row>
      <xdr:rowOff>116417</xdr:rowOff>
    </xdr:from>
    <xdr:to>
      <xdr:col>12</xdr:col>
      <xdr:colOff>222784</xdr:colOff>
      <xdr:row>15</xdr:row>
      <xdr:rowOff>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7FDA6C49-AE4F-41B0-A25E-2204E23F7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149280" y="2488142"/>
          <a:ext cx="780229" cy="2074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111126</xdr:rowOff>
    </xdr:from>
    <xdr:to>
      <xdr:col>13</xdr:col>
      <xdr:colOff>582028</xdr:colOff>
      <xdr:row>15</xdr:row>
      <xdr:rowOff>21168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246CBD8-6357-4881-926A-DD94324B9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018933" y="2482851"/>
          <a:ext cx="879420" cy="23389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825500</xdr:colOff>
      <xdr:row>11</xdr:row>
      <xdr:rowOff>142875</xdr:rowOff>
    </xdr:from>
    <xdr:to>
      <xdr:col>11</xdr:col>
      <xdr:colOff>52155</xdr:colOff>
      <xdr:row>14</xdr:row>
      <xdr:rowOff>58210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3B98CDD6-22E3-4C31-978E-8A0E3CADB54B}"/>
            </a:ext>
          </a:extLst>
        </xdr:cNvPr>
        <xdr:cNvCxnSpPr>
          <a:endCxn id="18" idx="1"/>
        </xdr:cNvCxnSpPr>
      </xdr:nvCxnSpPr>
      <xdr:spPr>
        <a:xfrm>
          <a:off x="14598650" y="2181225"/>
          <a:ext cx="550630" cy="4106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129646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D8A9342E-6244-46F9-802E-CDA4999BA48F}"/>
            </a:ext>
          </a:extLst>
        </xdr:cNvPr>
        <xdr:cNvCxnSpPr>
          <a:endCxn id="16" idx="1"/>
        </xdr:cNvCxnSpPr>
      </xdr:nvCxnSpPr>
      <xdr:spPr>
        <a:xfrm>
          <a:off x="14599708" y="2514600"/>
          <a:ext cx="550335" cy="47254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810086</xdr:colOff>
      <xdr:row>37</xdr:row>
      <xdr:rowOff>76615</xdr:rowOff>
    </xdr:from>
    <xdr:to>
      <xdr:col>8</xdr:col>
      <xdr:colOff>1228127</xdr:colOff>
      <xdr:row>39</xdr:row>
      <xdr:rowOff>3681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4EA28D2-87CC-45BF-98BC-A7D4C5CA30EE}"/>
            </a:ext>
          </a:extLst>
        </xdr:cNvPr>
        <xdr:cNvSpPr txBox="1"/>
      </xdr:nvSpPr>
      <xdr:spPr>
        <a:xfrm>
          <a:off x="11039936" y="6572665"/>
          <a:ext cx="418041" cy="25091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34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F27E4E9-D439-4E5D-AAA3-D82FACD396D3}"/>
            </a:ext>
          </a:extLst>
        </xdr:cNvPr>
        <xdr:cNvSpPr txBox="1"/>
      </xdr:nvSpPr>
      <xdr:spPr>
        <a:xfrm>
          <a:off x="12587432" y="60717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1533525</xdr:colOff>
      <xdr:row>24</xdr:row>
      <xdr:rowOff>76200</xdr:rowOff>
    </xdr:from>
    <xdr:to>
      <xdr:col>6</xdr:col>
      <xdr:colOff>68580</xdr:colOff>
      <xdr:row>33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BA078F98-5015-498C-86D9-70FEA33B1B52}"/>
            </a:ext>
          </a:extLst>
        </xdr:cNvPr>
        <xdr:cNvCxnSpPr/>
      </xdr:nvCxnSpPr>
      <xdr:spPr>
        <a:xfrm flipH="1">
          <a:off x="7458075" y="4257675"/>
          <a:ext cx="1316355" cy="1495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566973</xdr:colOff>
      <xdr:row>35</xdr:row>
      <xdr:rowOff>102042</xdr:rowOff>
    </xdr:from>
    <xdr:to>
      <xdr:col>9</xdr:col>
      <xdr:colOff>758364</xdr:colOff>
      <xdr:row>44</xdr:row>
      <xdr:rowOff>94919</xdr:rowOff>
    </xdr:to>
    <xdr:pic>
      <xdr:nvPicPr>
        <xdr:cNvPr id="3" name="Content Placeholder 4">
          <a:extLst>
            <a:ext uri="{FF2B5EF4-FFF2-40B4-BE49-F238E27FC236}">
              <a16:creationId xmlns:a16="http://schemas.microsoft.com/office/drawing/2014/main" id="{037754C8-0028-4BE1-8F0D-66FBC144FC34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87223" y="6274242"/>
          <a:ext cx="4363341" cy="145020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123826</xdr:colOff>
      <xdr:row>22</xdr:row>
      <xdr:rowOff>83820</xdr:rowOff>
    </xdr:from>
    <xdr:to>
      <xdr:col>6</xdr:col>
      <xdr:colOff>83820</xdr:colOff>
      <xdr:row>31</xdr:row>
      <xdr:rowOff>9525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CBDF240E-EC65-4379-85A5-23557F819564}"/>
            </a:ext>
          </a:extLst>
        </xdr:cNvPr>
        <xdr:cNvCxnSpPr/>
      </xdr:nvCxnSpPr>
      <xdr:spPr>
        <a:xfrm flipH="1">
          <a:off x="5438776" y="3931920"/>
          <a:ext cx="3350894" cy="144018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27</xdr:row>
      <xdr:rowOff>83820</xdr:rowOff>
    </xdr:from>
    <xdr:to>
      <xdr:col>3</xdr:col>
      <xdr:colOff>91440</xdr:colOff>
      <xdr:row>33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C733D594-D1E2-4827-BD27-0159F2D75524}"/>
            </a:ext>
          </a:extLst>
        </xdr:cNvPr>
        <xdr:cNvCxnSpPr/>
      </xdr:nvCxnSpPr>
      <xdr:spPr>
        <a:xfrm flipH="1">
          <a:off x="3295650" y="4760595"/>
          <a:ext cx="1463040" cy="99250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C4651C49-4438-47D0-9445-E833B4E74EE7}"/>
            </a:ext>
          </a:extLst>
        </xdr:cNvPr>
        <xdr:cNvCxnSpPr/>
      </xdr:nvCxnSpPr>
      <xdr:spPr>
        <a:xfrm flipH="1">
          <a:off x="5153025" y="95250"/>
          <a:ext cx="723901" cy="38100"/>
        </a:xfrm>
        <a:prstGeom prst="straightConnector1">
          <a:avLst/>
        </a:prstGeom>
        <a:ln w="127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19</xdr:row>
      <xdr:rowOff>152402</xdr:rowOff>
    </xdr:from>
    <xdr:to>
      <xdr:col>11</xdr:col>
      <xdr:colOff>0</xdr:colOff>
      <xdr:row>20</xdr:row>
      <xdr:rowOff>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1C6F75A4-04E9-4007-87DC-95DAD9AD0E86}"/>
            </a:ext>
          </a:extLst>
        </xdr:cNvPr>
        <xdr:cNvCxnSpPr/>
      </xdr:nvCxnSpPr>
      <xdr:spPr>
        <a:xfrm flipV="1">
          <a:off x="14599708" y="3514727"/>
          <a:ext cx="497417" cy="952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28</xdr:row>
      <xdr:rowOff>85725</xdr:rowOff>
    </xdr:from>
    <xdr:to>
      <xdr:col>11</xdr:col>
      <xdr:colOff>0</xdr:colOff>
      <xdr:row>28</xdr:row>
      <xdr:rowOff>85726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806AAF1A-EF20-4298-83FC-0A6C96D15A8D}"/>
            </a:ext>
          </a:extLst>
        </xdr:cNvPr>
        <xdr:cNvCxnSpPr/>
      </xdr:nvCxnSpPr>
      <xdr:spPr>
        <a:xfrm>
          <a:off x="14382750" y="4933950"/>
          <a:ext cx="714375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662940</xdr:colOff>
      <xdr:row>8</xdr:row>
      <xdr:rowOff>91440</xdr:rowOff>
    </xdr:from>
    <xdr:to>
      <xdr:col>10</xdr:col>
      <xdr:colOff>498929</xdr:colOff>
      <xdr:row>8</xdr:row>
      <xdr:rowOff>145143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E786FE33-8ACC-4C8D-95B7-08265A7BF707}"/>
            </a:ext>
          </a:extLst>
        </xdr:cNvPr>
        <xdr:cNvCxnSpPr/>
      </xdr:nvCxnSpPr>
      <xdr:spPr>
        <a:xfrm>
          <a:off x="14455140" y="1615440"/>
          <a:ext cx="645614" cy="5370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681778</xdr:colOff>
      <xdr:row>9</xdr:row>
      <xdr:rowOff>98425</xdr:rowOff>
    </xdr:from>
    <xdr:to>
      <xdr:col>10</xdr:col>
      <xdr:colOff>507244</xdr:colOff>
      <xdr:row>11</xdr:row>
      <xdr:rowOff>92983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58AB85D5-8138-40C9-B6ED-1811283D3364}"/>
            </a:ext>
          </a:extLst>
        </xdr:cNvPr>
        <xdr:cNvCxnSpPr/>
      </xdr:nvCxnSpPr>
      <xdr:spPr>
        <a:xfrm>
          <a:off x="14473978" y="1793875"/>
          <a:ext cx="625566" cy="3374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197924</xdr:colOff>
      <xdr:row>3</xdr:row>
      <xdr:rowOff>1652</xdr:rowOff>
    </xdr:from>
    <xdr:to>
      <xdr:col>16</xdr:col>
      <xdr:colOff>415639</xdr:colOff>
      <xdr:row>11</xdr:row>
      <xdr:rowOff>74178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34867A3-4371-483A-A047-2949D472D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14249" y="649352"/>
          <a:ext cx="2246540" cy="1463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10</xdr:col>
      <xdr:colOff>80817</xdr:colOff>
      <xdr:row>3</xdr:row>
      <xdr:rowOff>40409</xdr:rowOff>
    </xdr:from>
    <xdr:to>
      <xdr:col>13</xdr:col>
      <xdr:colOff>334818</xdr:colOff>
      <xdr:row>3</xdr:row>
      <xdr:rowOff>103910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26CC64BC-EAFB-4460-90A2-9FDB6A62732F}"/>
            </a:ext>
          </a:extLst>
        </xdr:cNvPr>
        <xdr:cNvCxnSpPr/>
      </xdr:nvCxnSpPr>
      <xdr:spPr>
        <a:xfrm flipV="1">
          <a:off x="14682642" y="688109"/>
          <a:ext cx="1968501" cy="635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2694215</xdr:colOff>
      <xdr:row>5</xdr:row>
      <xdr:rowOff>353788</xdr:rowOff>
    </xdr:from>
    <xdr:to>
      <xdr:col>8</xdr:col>
      <xdr:colOff>3138714</xdr:colOff>
      <xdr:row>8</xdr:row>
      <xdr:rowOff>82946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DE27C4A-5D37-4B3D-B69B-91DD0D8EA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24065" y="1201513"/>
          <a:ext cx="444499" cy="40543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</xdr:pic>
    <xdr:clientData/>
  </xdr:twoCellAnchor>
  <xdr:twoCellAnchor>
    <xdr:from>
      <xdr:col>9</xdr:col>
      <xdr:colOff>762000</xdr:colOff>
      <xdr:row>5</xdr:row>
      <xdr:rowOff>115455</xdr:rowOff>
    </xdr:from>
    <xdr:to>
      <xdr:col>10</xdr:col>
      <xdr:colOff>496455</xdr:colOff>
      <xdr:row>6</xdr:row>
      <xdr:rowOff>86591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C1BE5259-F27A-4C15-89E7-9A1833D93AE2}"/>
            </a:ext>
          </a:extLst>
        </xdr:cNvPr>
        <xdr:cNvCxnSpPr/>
      </xdr:nvCxnSpPr>
      <xdr:spPr>
        <a:xfrm flipV="1">
          <a:off x="14554200" y="1106055"/>
          <a:ext cx="544080" cy="18068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3138714</xdr:colOff>
      <xdr:row>7</xdr:row>
      <xdr:rowOff>44320</xdr:rowOff>
    </xdr:from>
    <xdr:to>
      <xdr:col>9</xdr:col>
      <xdr:colOff>63500</xdr:colOff>
      <xdr:row>7</xdr:row>
      <xdr:rowOff>75046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26A0EDEB-F30A-4FDA-B21E-85F307BC0F94}"/>
            </a:ext>
          </a:extLst>
        </xdr:cNvPr>
        <xdr:cNvCxnSpPr>
          <a:endCxn id="13" idx="3"/>
        </xdr:cNvCxnSpPr>
      </xdr:nvCxnSpPr>
      <xdr:spPr>
        <a:xfrm flipH="1" flipV="1">
          <a:off x="13368564" y="1406395"/>
          <a:ext cx="487136" cy="30726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52918</xdr:colOff>
      <xdr:row>16</xdr:row>
      <xdr:rowOff>15875</xdr:rowOff>
    </xdr:from>
    <xdr:to>
      <xdr:col>12</xdr:col>
      <xdr:colOff>230140</xdr:colOff>
      <xdr:row>17</xdr:row>
      <xdr:rowOff>79374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7E51A9C8-7643-44B7-BF58-FB8A09424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150043" y="2873375"/>
          <a:ext cx="786822" cy="2349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370414</xdr:colOff>
      <xdr:row>15</xdr:row>
      <xdr:rowOff>153459</xdr:rowOff>
    </xdr:from>
    <xdr:to>
      <xdr:col>13</xdr:col>
      <xdr:colOff>604304</xdr:colOff>
      <xdr:row>17</xdr:row>
      <xdr:rowOff>74083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7AB45190-97A0-4C68-BDCF-BD460E2E0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077139" y="2849034"/>
          <a:ext cx="843490" cy="2539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11</xdr:col>
      <xdr:colOff>52155</xdr:colOff>
      <xdr:row>13</xdr:row>
      <xdr:rowOff>116417</xdr:rowOff>
    </xdr:from>
    <xdr:to>
      <xdr:col>12</xdr:col>
      <xdr:colOff>222784</xdr:colOff>
      <xdr:row>15</xdr:row>
      <xdr:rowOff>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87D73E55-A44A-4023-AD6A-16E76E77B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149280" y="2488142"/>
          <a:ext cx="780229" cy="2074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 editAs="oneCell">
    <xdr:from>
      <xdr:col>12</xdr:col>
      <xdr:colOff>312208</xdr:colOff>
      <xdr:row>13</xdr:row>
      <xdr:rowOff>111126</xdr:rowOff>
    </xdr:from>
    <xdr:to>
      <xdr:col>13</xdr:col>
      <xdr:colOff>582028</xdr:colOff>
      <xdr:row>15</xdr:row>
      <xdr:rowOff>21168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8F86AEF-8F4D-4520-B6AB-173DD83F1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018933" y="2482851"/>
          <a:ext cx="879420" cy="23389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accent1"/>
          </a:solidFill>
          <a:miter lim="800000"/>
          <a:headEnd/>
          <a:tailEnd/>
        </a:ln>
        <a:effectLst/>
      </xdr:spPr>
    </xdr:pic>
    <xdr:clientData/>
  </xdr:twoCellAnchor>
  <xdr:twoCellAnchor>
    <xdr:from>
      <xdr:col>9</xdr:col>
      <xdr:colOff>825500</xdr:colOff>
      <xdr:row>11</xdr:row>
      <xdr:rowOff>142875</xdr:rowOff>
    </xdr:from>
    <xdr:to>
      <xdr:col>11</xdr:col>
      <xdr:colOff>52155</xdr:colOff>
      <xdr:row>14</xdr:row>
      <xdr:rowOff>58210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45AFA437-378E-49FF-9F3A-EA7353162009}"/>
            </a:ext>
          </a:extLst>
        </xdr:cNvPr>
        <xdr:cNvCxnSpPr>
          <a:endCxn id="18" idx="1"/>
        </xdr:cNvCxnSpPr>
      </xdr:nvCxnSpPr>
      <xdr:spPr>
        <a:xfrm>
          <a:off x="14598650" y="2181225"/>
          <a:ext cx="550630" cy="41063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836083</xdr:colOff>
      <xdr:row>13</xdr:row>
      <xdr:rowOff>142875</xdr:rowOff>
    </xdr:from>
    <xdr:to>
      <xdr:col>11</xdr:col>
      <xdr:colOff>52918</xdr:colOff>
      <xdr:row>16</xdr:row>
      <xdr:rowOff>129646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32626BDF-EFD0-4134-8C61-E3F68EB49ECA}"/>
            </a:ext>
          </a:extLst>
        </xdr:cNvPr>
        <xdr:cNvCxnSpPr>
          <a:endCxn id="16" idx="1"/>
        </xdr:cNvCxnSpPr>
      </xdr:nvCxnSpPr>
      <xdr:spPr>
        <a:xfrm>
          <a:off x="14599708" y="2514600"/>
          <a:ext cx="550335" cy="47254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810086</xdr:colOff>
      <xdr:row>37</xdr:row>
      <xdr:rowOff>76615</xdr:rowOff>
    </xdr:from>
    <xdr:to>
      <xdr:col>8</xdr:col>
      <xdr:colOff>1228127</xdr:colOff>
      <xdr:row>39</xdr:row>
      <xdr:rowOff>3681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9BB08BE-07A4-4BC8-8A5B-90FFE3B5B2F6}"/>
            </a:ext>
          </a:extLst>
        </xdr:cNvPr>
        <xdr:cNvSpPr txBox="1"/>
      </xdr:nvSpPr>
      <xdr:spPr>
        <a:xfrm>
          <a:off x="11039936" y="6572665"/>
          <a:ext cx="418041" cy="25091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Hsra</a:t>
          </a:r>
        </a:p>
      </xdr:txBody>
    </xdr:sp>
    <xdr:clientData/>
  </xdr:twoCellAnchor>
  <xdr:oneCellAnchor>
    <xdr:from>
      <xdr:col>8</xdr:col>
      <xdr:colOff>2357582</xdr:colOff>
      <xdr:row>34</xdr:row>
      <xdr:rowOff>90055</xdr:rowOff>
    </xdr:from>
    <xdr:ext cx="544945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CA050DF0-5B7F-484C-96F7-C5E496D2E0EC}"/>
            </a:ext>
          </a:extLst>
        </xdr:cNvPr>
        <xdr:cNvSpPr txBox="1"/>
      </xdr:nvSpPr>
      <xdr:spPr>
        <a:xfrm>
          <a:off x="12587432" y="6071755"/>
          <a:ext cx="54494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H 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9"/>
  <sheetViews>
    <sheetView topLeftCell="G5" zoomScale="115" zoomScaleNormal="115" workbookViewId="0">
      <selection activeCell="J35" sqref="J35"/>
    </sheetView>
  </sheetViews>
  <sheetFormatPr defaultRowHeight="12.75" x14ac:dyDescent="0.2"/>
  <cols>
    <col min="3" max="3" width="51.7109375" customWidth="1"/>
    <col min="4" max="4" width="9.7109375" bestFit="1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21" thickBot="1" x14ac:dyDescent="0.35">
      <c r="C1" s="5" t="s">
        <v>149</v>
      </c>
      <c r="D1" s="23">
        <v>7</v>
      </c>
      <c r="F1" s="18" t="s">
        <v>137</v>
      </c>
      <c r="G1" s="17"/>
    </row>
    <row r="2" spans="2:16" ht="13.5" thickBot="1" x14ac:dyDescent="0.25"/>
    <row r="3" spans="2:16" ht="16.5" thickBot="1" x14ac:dyDescent="0.3">
      <c r="B3" s="9" t="s">
        <v>15</v>
      </c>
      <c r="C3" s="10"/>
      <c r="D3" s="10"/>
      <c r="E3" s="10" t="s">
        <v>16</v>
      </c>
      <c r="F3" s="10"/>
      <c r="G3" s="10"/>
      <c r="H3" s="10" t="s">
        <v>18</v>
      </c>
      <c r="I3" s="10"/>
      <c r="J3" s="79"/>
    </row>
    <row r="4" spans="2:16" ht="15" thickBot="1" x14ac:dyDescent="0.25">
      <c r="B4" s="80" t="s">
        <v>69</v>
      </c>
      <c r="C4" s="83" t="s">
        <v>141</v>
      </c>
      <c r="D4" s="95">
        <v>1</v>
      </c>
      <c r="E4" s="81" t="s">
        <v>78</v>
      </c>
      <c r="F4" s="81" t="s">
        <v>53</v>
      </c>
      <c r="G4" s="82">
        <f>D8-D12</f>
        <v>225</v>
      </c>
      <c r="H4" s="83" t="s">
        <v>49</v>
      </c>
      <c r="I4" s="83" t="s">
        <v>103</v>
      </c>
      <c r="J4" s="84">
        <f>(D20^2)*G21/2</f>
        <v>49254.406875000001</v>
      </c>
      <c r="M4" s="15"/>
    </row>
    <row r="5" spans="2:16" ht="12" customHeight="1" thickBot="1" x14ac:dyDescent="0.25">
      <c r="B5" s="34" t="s">
        <v>70</v>
      </c>
      <c r="C5" s="83" t="s">
        <v>142</v>
      </c>
      <c r="D5" s="95">
        <v>1</v>
      </c>
      <c r="E5" s="2" t="s">
        <v>79</v>
      </c>
      <c r="F5" s="2" t="s">
        <v>2</v>
      </c>
      <c r="G5" s="82">
        <f>D9-D13</f>
        <v>225</v>
      </c>
      <c r="H5" s="2" t="s">
        <v>26</v>
      </c>
      <c r="I5" s="2" t="s">
        <v>35</v>
      </c>
      <c r="J5" s="84">
        <f>(D23^2)*G22/2</f>
        <v>49254.406875000001</v>
      </c>
      <c r="M5" s="14"/>
    </row>
    <row r="6" spans="2:16" ht="16.5" customHeight="1" thickBot="1" x14ac:dyDescent="0.25">
      <c r="B6" s="34" t="s">
        <v>71</v>
      </c>
      <c r="C6" s="83" t="s">
        <v>143</v>
      </c>
      <c r="D6" s="96">
        <v>1</v>
      </c>
      <c r="E6" s="2" t="s">
        <v>80</v>
      </c>
      <c r="F6" s="2" t="s">
        <v>55</v>
      </c>
      <c r="G6" s="82">
        <f>D10-D14</f>
        <v>225</v>
      </c>
      <c r="H6" s="2" t="s">
        <v>27</v>
      </c>
      <c r="I6" s="2" t="s">
        <v>34</v>
      </c>
      <c r="J6" s="24">
        <f>J4+J5</f>
        <v>98508.813750000001</v>
      </c>
      <c r="L6" s="90" t="s">
        <v>136</v>
      </c>
      <c r="M6" s="91"/>
    </row>
    <row r="7" spans="2:16" x14ac:dyDescent="0.2">
      <c r="B7" s="34" t="s">
        <v>41</v>
      </c>
      <c r="C7" s="83" t="s">
        <v>144</v>
      </c>
      <c r="D7" s="96">
        <v>1</v>
      </c>
      <c r="E7" s="2" t="s">
        <v>0</v>
      </c>
      <c r="F7" s="2" t="s">
        <v>54</v>
      </c>
      <c r="G7" s="82">
        <f>D11-D15</f>
        <v>225</v>
      </c>
      <c r="H7" s="2" t="s">
        <v>32</v>
      </c>
      <c r="I7" s="2" t="s">
        <v>33</v>
      </c>
      <c r="J7" s="24">
        <f>G10*D1*G27</f>
        <v>1662.4999999999998</v>
      </c>
    </row>
    <row r="8" spans="2:16" x14ac:dyDescent="0.2">
      <c r="B8" s="34" t="s">
        <v>72</v>
      </c>
      <c r="C8" s="2" t="s">
        <v>61</v>
      </c>
      <c r="D8" s="21">
        <v>250</v>
      </c>
      <c r="E8" s="4" t="s">
        <v>7</v>
      </c>
      <c r="F8" s="2" t="s">
        <v>3</v>
      </c>
      <c r="G8" s="6">
        <f>(D8+D9)-(D12+D13)</f>
        <v>450</v>
      </c>
      <c r="H8" s="75" t="s">
        <v>104</v>
      </c>
      <c r="I8" s="4" t="s">
        <v>115</v>
      </c>
      <c r="J8" s="102">
        <f>J7/J6</f>
        <v>1.687666247021475E-2</v>
      </c>
      <c r="K8" s="31">
        <f>J8*180/3.142</f>
        <v>0.966836169522169</v>
      </c>
      <c r="L8" s="28" t="s">
        <v>114</v>
      </c>
      <c r="P8" s="20"/>
    </row>
    <row r="9" spans="2:16" ht="13.5" thickBot="1" x14ac:dyDescent="0.25">
      <c r="B9" s="34" t="s">
        <v>73</v>
      </c>
      <c r="C9" s="2" t="s">
        <v>62</v>
      </c>
      <c r="D9" s="21">
        <v>250</v>
      </c>
      <c r="E9" s="2" t="s">
        <v>6</v>
      </c>
      <c r="F9" s="2" t="s">
        <v>4</v>
      </c>
      <c r="G9" s="6">
        <f>(D10+D11)-(D14+D15)</f>
        <v>450</v>
      </c>
      <c r="H9" s="2" t="s">
        <v>14</v>
      </c>
      <c r="I9" s="2" t="s">
        <v>36</v>
      </c>
      <c r="J9" s="29">
        <f>(J8*G21*D20)/2</f>
        <v>554.16666666666663</v>
      </c>
      <c r="P9" s="8"/>
    </row>
    <row r="10" spans="2:16" ht="13.5" thickBot="1" x14ac:dyDescent="0.25">
      <c r="B10" s="34" t="s">
        <v>74</v>
      </c>
      <c r="C10" s="2" t="s">
        <v>63</v>
      </c>
      <c r="D10" s="21">
        <v>250</v>
      </c>
      <c r="E10" s="70" t="s">
        <v>101</v>
      </c>
      <c r="F10" s="70" t="s">
        <v>99</v>
      </c>
      <c r="G10" s="21">
        <f>(G9+G8)</f>
        <v>900</v>
      </c>
      <c r="H10" s="46" t="s">
        <v>17</v>
      </c>
      <c r="I10" s="4" t="s">
        <v>37</v>
      </c>
      <c r="J10" s="29">
        <f>(J8*G22*D23)/2</f>
        <v>554.16666666666663</v>
      </c>
      <c r="L10" s="48" t="s">
        <v>116</v>
      </c>
      <c r="M10" s="49"/>
      <c r="P10" s="8"/>
    </row>
    <row r="11" spans="2:16" ht="13.5" thickBot="1" x14ac:dyDescent="0.25">
      <c r="B11" s="34" t="s">
        <v>1</v>
      </c>
      <c r="C11" s="2" t="s">
        <v>64</v>
      </c>
      <c r="D11" s="21">
        <v>250</v>
      </c>
      <c r="E11" s="70" t="s">
        <v>97</v>
      </c>
      <c r="F11" s="70" t="s">
        <v>100</v>
      </c>
      <c r="G11" s="73">
        <f>(G10+D12+D13+D14+D15)</f>
        <v>1000</v>
      </c>
      <c r="H11" s="3"/>
      <c r="I11" s="3"/>
      <c r="J11" s="25"/>
      <c r="K11" s="1"/>
      <c r="P11" s="22"/>
    </row>
    <row r="12" spans="2:16" ht="13.5" thickBot="1" x14ac:dyDescent="0.25">
      <c r="B12" s="34" t="s">
        <v>75</v>
      </c>
      <c r="C12" s="2" t="s">
        <v>65</v>
      </c>
      <c r="D12" s="97">
        <v>25</v>
      </c>
      <c r="E12" s="74" t="s">
        <v>110</v>
      </c>
      <c r="F12" s="74" t="s">
        <v>111</v>
      </c>
      <c r="G12" s="73">
        <f>(D12+D13+D14+D15)</f>
        <v>100</v>
      </c>
      <c r="H12" s="2" t="s">
        <v>42</v>
      </c>
      <c r="I12" s="4" t="s">
        <v>121</v>
      </c>
      <c r="J12" s="24">
        <f>G8*D1*D29/D20</f>
        <v>210</v>
      </c>
      <c r="L12" s="48" t="s">
        <v>132</v>
      </c>
      <c r="M12" s="49"/>
      <c r="P12" s="8"/>
    </row>
    <row r="13" spans="2:16" x14ac:dyDescent="0.2">
      <c r="B13" s="34" t="s">
        <v>76</v>
      </c>
      <c r="C13" s="2" t="s">
        <v>66</v>
      </c>
      <c r="D13" s="21">
        <v>25</v>
      </c>
      <c r="E13" s="4" t="s">
        <v>94</v>
      </c>
      <c r="F13" s="2" t="s">
        <v>56</v>
      </c>
      <c r="G13" s="7">
        <f>D16*M35</f>
        <v>43.781694999999999</v>
      </c>
      <c r="H13" s="2" t="s">
        <v>45</v>
      </c>
      <c r="I13" s="4" t="s">
        <v>122</v>
      </c>
      <c r="J13" s="24">
        <f>G9*D1*D30/D23</f>
        <v>420</v>
      </c>
      <c r="P13" s="8"/>
    </row>
    <row r="14" spans="2:16" x14ac:dyDescent="0.2">
      <c r="B14" s="34" t="s">
        <v>77</v>
      </c>
      <c r="C14" s="2" t="s">
        <v>67</v>
      </c>
      <c r="D14" s="21">
        <v>25</v>
      </c>
      <c r="E14" s="4" t="s">
        <v>95</v>
      </c>
      <c r="F14" s="2" t="s">
        <v>57</v>
      </c>
      <c r="G14" s="7">
        <f>D17*M35</f>
        <v>43.781694999999999</v>
      </c>
      <c r="H14" s="2" t="s">
        <v>43</v>
      </c>
      <c r="I14" s="4" t="s">
        <v>123</v>
      </c>
      <c r="J14" s="24">
        <f>D12+D13*D1*D25/D20</f>
        <v>57.083333333333336</v>
      </c>
    </row>
    <row r="15" spans="2:16" x14ac:dyDescent="0.2">
      <c r="B15" s="34" t="s">
        <v>5</v>
      </c>
      <c r="C15" s="2" t="s">
        <v>68</v>
      </c>
      <c r="D15" s="21">
        <v>25</v>
      </c>
      <c r="E15" s="2" t="s">
        <v>81</v>
      </c>
      <c r="F15" s="2" t="s">
        <v>58</v>
      </c>
      <c r="G15" s="7">
        <f>D18*M35</f>
        <v>43.781694999999999</v>
      </c>
      <c r="H15" s="2" t="s">
        <v>44</v>
      </c>
      <c r="I15" s="4" t="s">
        <v>124</v>
      </c>
      <c r="J15" s="24">
        <f>D14+D15*D1*D26/D23</f>
        <v>57.083333333333336</v>
      </c>
      <c r="L15" s="36"/>
    </row>
    <row r="16" spans="2:16" x14ac:dyDescent="0.2">
      <c r="B16" s="34" t="s">
        <v>87</v>
      </c>
      <c r="C16" s="2" t="s">
        <v>89</v>
      </c>
      <c r="D16" s="98">
        <v>250</v>
      </c>
      <c r="E16" s="2" t="s">
        <v>82</v>
      </c>
      <c r="F16" s="2" t="s">
        <v>59</v>
      </c>
      <c r="G16" s="7">
        <f>D19*M35</f>
        <v>43.781694999999999</v>
      </c>
      <c r="H16" s="2"/>
      <c r="I16" s="70" t="s">
        <v>125</v>
      </c>
      <c r="J16" s="77">
        <f>J9+J12+J14</f>
        <v>821.25</v>
      </c>
    </row>
    <row r="17" spans="2:16" ht="13.5" thickBot="1" x14ac:dyDescent="0.25">
      <c r="B17" s="34" t="s">
        <v>88</v>
      </c>
      <c r="C17" s="2" t="s">
        <v>90</v>
      </c>
      <c r="D17" s="98">
        <v>250</v>
      </c>
      <c r="E17" s="2" t="s">
        <v>83</v>
      </c>
      <c r="F17" s="2" t="s">
        <v>60</v>
      </c>
      <c r="G17" s="37">
        <f>(D4^2*G13)</f>
        <v>43.781694999999999</v>
      </c>
      <c r="H17" s="2"/>
      <c r="I17" s="70" t="s">
        <v>126</v>
      </c>
      <c r="J17" s="78">
        <f>J10+J13+J15</f>
        <v>1031.25</v>
      </c>
      <c r="L17" s="36"/>
      <c r="P17" s="22"/>
    </row>
    <row r="18" spans="2:16" ht="13.5" thickBot="1" x14ac:dyDescent="0.25">
      <c r="B18" s="34" t="s">
        <v>81</v>
      </c>
      <c r="C18" s="2" t="s">
        <v>91</v>
      </c>
      <c r="D18" s="98">
        <v>250</v>
      </c>
      <c r="E18" s="2" t="s">
        <v>84</v>
      </c>
      <c r="F18" s="2" t="s">
        <v>85</v>
      </c>
      <c r="G18" s="37">
        <f>(D5^2*G14)</f>
        <v>43.781694999999999</v>
      </c>
      <c r="H18" s="2"/>
      <c r="I18" s="76" t="s">
        <v>127</v>
      </c>
      <c r="J18" s="45">
        <f>J16+J17</f>
        <v>1852.5</v>
      </c>
      <c r="P18" s="22"/>
    </row>
    <row r="19" spans="2:16" x14ac:dyDescent="0.2">
      <c r="B19" s="34" t="s">
        <v>82</v>
      </c>
      <c r="C19" s="2" t="s">
        <v>92</v>
      </c>
      <c r="D19" s="98">
        <v>250</v>
      </c>
      <c r="E19" s="2" t="s">
        <v>134</v>
      </c>
      <c r="F19" s="2" t="s">
        <v>130</v>
      </c>
      <c r="G19" s="37">
        <f>(D10*M35)</f>
        <v>43.781694999999999</v>
      </c>
      <c r="H19" s="2" t="s">
        <v>86</v>
      </c>
      <c r="I19" s="2" t="s">
        <v>38</v>
      </c>
      <c r="J19" s="40">
        <f>(D8*9.81)+J16</f>
        <v>3273.75</v>
      </c>
      <c r="L19" s="52" t="s">
        <v>108</v>
      </c>
      <c r="M19" s="53"/>
      <c r="N19" s="54"/>
      <c r="O19" s="55"/>
      <c r="P19" s="22"/>
    </row>
    <row r="20" spans="2:16" x14ac:dyDescent="0.2">
      <c r="B20" s="34" t="s">
        <v>10</v>
      </c>
      <c r="C20" s="2" t="s">
        <v>8</v>
      </c>
      <c r="D20" s="21">
        <v>1.5</v>
      </c>
      <c r="E20" s="2" t="s">
        <v>135</v>
      </c>
      <c r="F20" s="2" t="s">
        <v>131</v>
      </c>
      <c r="G20" s="37">
        <f>(D11*M35)</f>
        <v>43.781694999999999</v>
      </c>
      <c r="H20" s="4" t="s">
        <v>96</v>
      </c>
      <c r="I20" s="2" t="s">
        <v>148</v>
      </c>
      <c r="J20" s="40">
        <f>(D9*9.81)-J16</f>
        <v>1631.25</v>
      </c>
      <c r="L20" s="56" t="s">
        <v>107</v>
      </c>
      <c r="M20" s="19"/>
      <c r="N20" s="19"/>
      <c r="O20" s="57"/>
      <c r="P20" s="22"/>
    </row>
    <row r="21" spans="2:16" x14ac:dyDescent="0.2">
      <c r="B21" s="34"/>
      <c r="C21" s="2"/>
      <c r="D21" s="33"/>
      <c r="E21" s="2"/>
      <c r="F21" s="2" t="s">
        <v>146</v>
      </c>
      <c r="G21" s="37">
        <f>(G17+G18)*1000/2</f>
        <v>43781.695</v>
      </c>
      <c r="H21" s="4"/>
      <c r="I21" s="2"/>
      <c r="J21" s="93"/>
      <c r="L21" s="56"/>
      <c r="M21" s="19"/>
      <c r="N21" s="19"/>
      <c r="O21" s="57"/>
      <c r="P21" s="22"/>
    </row>
    <row r="22" spans="2:16" x14ac:dyDescent="0.2">
      <c r="B22" s="34"/>
      <c r="C22" s="2"/>
      <c r="D22" s="33"/>
      <c r="E22" s="2"/>
      <c r="F22" s="2" t="s">
        <v>147</v>
      </c>
      <c r="G22" s="37">
        <f>(G18+G19)*1000/2</f>
        <v>43781.695</v>
      </c>
      <c r="H22" s="4"/>
      <c r="I22" s="2"/>
      <c r="J22" s="93"/>
      <c r="L22" s="56"/>
      <c r="M22" s="19"/>
      <c r="N22" s="19"/>
      <c r="O22" s="57"/>
      <c r="P22" s="22"/>
    </row>
    <row r="23" spans="2:16" x14ac:dyDescent="0.2">
      <c r="B23" s="34" t="s">
        <v>11</v>
      </c>
      <c r="C23" s="2" t="s">
        <v>9</v>
      </c>
      <c r="D23" s="21">
        <v>1.5</v>
      </c>
      <c r="E23" s="2" t="s">
        <v>21</v>
      </c>
      <c r="F23" s="4" t="s">
        <v>98</v>
      </c>
      <c r="G23" s="11">
        <f>G9*D24/G10</f>
        <v>1.25</v>
      </c>
      <c r="H23" s="4" t="s">
        <v>93</v>
      </c>
      <c r="I23" s="2" t="s">
        <v>39</v>
      </c>
      <c r="J23" s="32">
        <f>(D10*9.81)+J17</f>
        <v>3483.75</v>
      </c>
      <c r="L23" s="58" t="s">
        <v>113</v>
      </c>
      <c r="M23" s="19"/>
      <c r="N23" s="19"/>
      <c r="O23" s="57"/>
    </row>
    <row r="24" spans="2:16" ht="13.5" thickBot="1" x14ac:dyDescent="0.25">
      <c r="B24" s="34" t="s">
        <v>13</v>
      </c>
      <c r="C24" s="2" t="s">
        <v>12</v>
      </c>
      <c r="D24" s="21">
        <v>2.5</v>
      </c>
      <c r="E24" s="2" t="s">
        <v>22</v>
      </c>
      <c r="F24" s="2" t="s">
        <v>31</v>
      </c>
      <c r="G24" s="21">
        <f>D30-D29</f>
        <v>0.1</v>
      </c>
      <c r="H24" s="2" t="s">
        <v>25</v>
      </c>
      <c r="I24" s="2" t="s">
        <v>40</v>
      </c>
      <c r="J24" s="32">
        <f>(D11*9.81)-J17</f>
        <v>1421.25</v>
      </c>
      <c r="L24" s="59" t="s">
        <v>112</v>
      </c>
      <c r="M24" s="60"/>
      <c r="N24" s="60"/>
      <c r="O24" s="61"/>
    </row>
    <row r="25" spans="2:16" x14ac:dyDescent="0.2">
      <c r="B25" s="69" t="s">
        <v>119</v>
      </c>
      <c r="C25" s="70" t="s">
        <v>117</v>
      </c>
      <c r="D25" s="96">
        <v>0.27500000000000002</v>
      </c>
      <c r="E25" s="2" t="s">
        <v>23</v>
      </c>
      <c r="F25" s="2" t="s">
        <v>28</v>
      </c>
      <c r="G25" s="16">
        <f>(G24/D24)*G23</f>
        <v>0.05</v>
      </c>
      <c r="H25" s="2"/>
      <c r="I25" s="41" t="s">
        <v>128</v>
      </c>
      <c r="J25" s="42">
        <f>G11*9.81</f>
        <v>9810</v>
      </c>
    </row>
    <row r="26" spans="2:16" ht="13.5" thickBot="1" x14ac:dyDescent="0.25">
      <c r="B26" s="71" t="s">
        <v>118</v>
      </c>
      <c r="C26" s="72" t="s">
        <v>120</v>
      </c>
      <c r="D26" s="99">
        <v>0.27500000000000002</v>
      </c>
      <c r="E26" s="2" t="s">
        <v>24</v>
      </c>
      <c r="F26" s="2" t="s">
        <v>29</v>
      </c>
      <c r="G26" s="21">
        <f>G25+D29</f>
        <v>0.15000000000000002</v>
      </c>
      <c r="H26" s="2"/>
      <c r="I26" s="30" t="s">
        <v>129</v>
      </c>
      <c r="J26" s="94">
        <f>J24+J23+J20+J19</f>
        <v>9810</v>
      </c>
    </row>
    <row r="27" spans="2:16" x14ac:dyDescent="0.2">
      <c r="B27" s="88" t="s">
        <v>138</v>
      </c>
      <c r="C27" s="2" t="s">
        <v>48</v>
      </c>
      <c r="D27" s="96">
        <v>0.4</v>
      </c>
      <c r="E27" s="2" t="s">
        <v>52</v>
      </c>
      <c r="F27" s="2" t="s">
        <v>30</v>
      </c>
      <c r="G27" s="92">
        <f>D28-G25-D29</f>
        <v>0.26388888888888884</v>
      </c>
      <c r="H27" s="2"/>
      <c r="I27" s="2"/>
      <c r="J27" s="39"/>
    </row>
    <row r="28" spans="2:16" ht="13.5" thickBot="1" x14ac:dyDescent="0.25">
      <c r="B28" s="34" t="s">
        <v>46</v>
      </c>
      <c r="C28" s="2" t="s">
        <v>47</v>
      </c>
      <c r="D28" s="92">
        <f>((D27*G11)-(SUM(D12:D13)*D25)-( SUM(D14:D15)*D26))/G10</f>
        <v>0.41388888888888886</v>
      </c>
      <c r="F28" s="2"/>
      <c r="G28" s="6"/>
      <c r="H28" s="2"/>
      <c r="I28" s="2"/>
      <c r="J28" s="38"/>
    </row>
    <row r="29" spans="2:16" ht="13.5" thickBot="1" x14ac:dyDescent="0.25">
      <c r="B29" s="34" t="s">
        <v>19</v>
      </c>
      <c r="C29" s="4" t="s">
        <v>139</v>
      </c>
      <c r="D29" s="100">
        <v>0.1</v>
      </c>
      <c r="E29" s="2"/>
      <c r="F29" s="2"/>
      <c r="G29" s="6"/>
      <c r="H29" s="2" t="s">
        <v>50</v>
      </c>
      <c r="I29" s="27" t="s">
        <v>51</v>
      </c>
      <c r="J29" s="45">
        <f>G11*D1*D27/D20+D23/2</f>
        <v>1867.4166666666667</v>
      </c>
      <c r="L29" s="62" t="s">
        <v>109</v>
      </c>
      <c r="M29" s="54"/>
      <c r="N29" s="54"/>
      <c r="O29" s="63"/>
      <c r="P29" s="55"/>
    </row>
    <row r="30" spans="2:16" ht="13.5" thickBot="1" x14ac:dyDescent="0.25">
      <c r="B30" s="85" t="s">
        <v>20</v>
      </c>
      <c r="C30" s="89" t="s">
        <v>140</v>
      </c>
      <c r="D30" s="101">
        <v>0.2</v>
      </c>
      <c r="E30" s="35"/>
      <c r="F30" s="35"/>
      <c r="G30" s="86"/>
      <c r="H30" s="35"/>
      <c r="I30" s="35"/>
      <c r="J30" s="87"/>
      <c r="L30" s="64" t="s">
        <v>133</v>
      </c>
      <c r="M30" s="60"/>
      <c r="N30" s="60"/>
      <c r="O30" s="65"/>
      <c r="P30" s="61"/>
    </row>
    <row r="31" spans="2:16" ht="13.5" thickBot="1" x14ac:dyDescent="0.25">
      <c r="I31" s="26" t="s">
        <v>150</v>
      </c>
      <c r="J31" s="103">
        <f>J19-J20</f>
        <v>1642.5</v>
      </c>
      <c r="L31" s="44"/>
      <c r="M31" s="44"/>
      <c r="N31" s="44"/>
      <c r="O31" s="44"/>
    </row>
    <row r="32" spans="2:16" ht="15" thickBot="1" x14ac:dyDescent="0.25">
      <c r="D32" s="50" t="s">
        <v>102</v>
      </c>
      <c r="E32" s="51"/>
      <c r="G32" s="12"/>
      <c r="H32" s="12"/>
      <c r="I32" s="12" t="s">
        <v>151</v>
      </c>
      <c r="J32" s="103">
        <f>J23-J24</f>
        <v>2062.5</v>
      </c>
      <c r="L32" s="43"/>
      <c r="M32" s="43"/>
      <c r="N32" s="43"/>
      <c r="O32" s="43"/>
    </row>
    <row r="33" spans="2:13" ht="15.75" thickBot="1" x14ac:dyDescent="0.3">
      <c r="G33" s="12"/>
      <c r="H33" s="13"/>
      <c r="I33" s="12" t="s">
        <v>152</v>
      </c>
      <c r="J33" s="103">
        <f>J31-J32</f>
        <v>-420</v>
      </c>
    </row>
    <row r="34" spans="2:13" ht="18" thickBot="1" x14ac:dyDescent="0.25">
      <c r="C34" s="68" t="s">
        <v>145</v>
      </c>
      <c r="F34" s="66" t="s">
        <v>105</v>
      </c>
      <c r="I34" s="104" t="s">
        <v>153</v>
      </c>
      <c r="J34">
        <f>J10/J29*100</f>
        <v>29.675576777187736</v>
      </c>
    </row>
    <row r="35" spans="2:13" ht="15" thickBot="1" x14ac:dyDescent="0.25">
      <c r="F35" s="67" t="s">
        <v>106</v>
      </c>
      <c r="M35">
        <v>0.17512678000000001</v>
      </c>
    </row>
    <row r="37" spans="2:13" x14ac:dyDescent="0.2">
      <c r="B37" s="26"/>
    </row>
    <row r="38" spans="2:13" x14ac:dyDescent="0.2">
      <c r="B38" s="22"/>
      <c r="C38" s="47"/>
      <c r="D38" s="22"/>
    </row>
    <row r="39" spans="2:13" x14ac:dyDescent="0.2">
      <c r="B39" s="22"/>
      <c r="C39" s="47"/>
      <c r="D39" s="2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94478-D75F-496B-8508-429EC4B062EA}">
  <dimension ref="B1:P39"/>
  <sheetViews>
    <sheetView topLeftCell="G1" zoomScale="115" zoomScaleNormal="115" workbookViewId="0">
      <selection activeCell="D31" sqref="D31"/>
    </sheetView>
  </sheetViews>
  <sheetFormatPr defaultRowHeight="12.75" x14ac:dyDescent="0.2"/>
  <cols>
    <col min="3" max="3" width="51.7109375" customWidth="1"/>
    <col min="4" max="4" width="9.7109375" bestFit="1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21" thickBot="1" x14ac:dyDescent="0.35">
      <c r="C1" s="5" t="s">
        <v>149</v>
      </c>
      <c r="D1" s="23">
        <v>8.1</v>
      </c>
      <c r="F1" s="18" t="s">
        <v>137</v>
      </c>
      <c r="G1" s="17"/>
    </row>
    <row r="2" spans="2:16" ht="13.5" thickBot="1" x14ac:dyDescent="0.25"/>
    <row r="3" spans="2:16" ht="16.5" thickBot="1" x14ac:dyDescent="0.3">
      <c r="B3" s="9" t="s">
        <v>15</v>
      </c>
      <c r="C3" s="10"/>
      <c r="D3" s="10"/>
      <c r="E3" s="10" t="s">
        <v>16</v>
      </c>
      <c r="F3" s="10"/>
      <c r="G3" s="10"/>
      <c r="H3" s="10" t="s">
        <v>18</v>
      </c>
      <c r="I3" s="10"/>
      <c r="J3" s="79"/>
    </row>
    <row r="4" spans="2:16" ht="15" thickBot="1" x14ac:dyDescent="0.25">
      <c r="B4" s="80" t="s">
        <v>69</v>
      </c>
      <c r="C4" s="83" t="s">
        <v>141</v>
      </c>
      <c r="D4" s="95">
        <v>0.87</v>
      </c>
      <c r="E4" s="81" t="s">
        <v>78</v>
      </c>
      <c r="F4" s="81" t="s">
        <v>53</v>
      </c>
      <c r="G4" s="82">
        <f>D8-D12</f>
        <v>156.80000000000001</v>
      </c>
      <c r="H4" s="83" t="s">
        <v>49</v>
      </c>
      <c r="I4" s="83" t="s">
        <v>103</v>
      </c>
      <c r="J4" s="84">
        <f>(D20^2)*G21/2</f>
        <v>28882.106541489506</v>
      </c>
      <c r="M4" s="15"/>
    </row>
    <row r="5" spans="2:16" ht="12" customHeight="1" thickBot="1" x14ac:dyDescent="0.25">
      <c r="B5" s="34" t="s">
        <v>70</v>
      </c>
      <c r="C5" s="83" t="s">
        <v>142</v>
      </c>
      <c r="D5" s="95">
        <v>0.82</v>
      </c>
      <c r="E5" s="2" t="s">
        <v>79</v>
      </c>
      <c r="F5" s="2" t="s">
        <v>2</v>
      </c>
      <c r="G5" s="82">
        <f>D9-D13</f>
        <v>177.2</v>
      </c>
      <c r="H5" s="2" t="s">
        <v>26</v>
      </c>
      <c r="I5" s="2" t="s">
        <v>35</v>
      </c>
      <c r="J5" s="84">
        <f>(D23^2)*G22/2</f>
        <v>34528.533037619047</v>
      </c>
      <c r="M5" s="14"/>
    </row>
    <row r="6" spans="2:16" ht="16.5" customHeight="1" thickBot="1" x14ac:dyDescent="0.25">
      <c r="B6" s="34" t="s">
        <v>71</v>
      </c>
      <c r="C6" s="83" t="s">
        <v>143</v>
      </c>
      <c r="D6" s="96">
        <v>1.02</v>
      </c>
      <c r="E6" s="2" t="s">
        <v>80</v>
      </c>
      <c r="F6" s="2" t="s">
        <v>55</v>
      </c>
      <c r="G6" s="82">
        <f>D10-D14</f>
        <v>163.80000000000001</v>
      </c>
      <c r="H6" s="2" t="s">
        <v>27</v>
      </c>
      <c r="I6" s="2" t="s">
        <v>34</v>
      </c>
      <c r="J6" s="24">
        <f>J4+J5</f>
        <v>63410.639579108552</v>
      </c>
      <c r="L6" s="90" t="s">
        <v>136</v>
      </c>
      <c r="M6" s="91"/>
    </row>
    <row r="7" spans="2:16" x14ac:dyDescent="0.2">
      <c r="B7" s="34" t="s">
        <v>41</v>
      </c>
      <c r="C7" s="83" t="s">
        <v>144</v>
      </c>
      <c r="D7" s="96">
        <v>1.02</v>
      </c>
      <c r="E7" s="2" t="s">
        <v>0</v>
      </c>
      <c r="F7" s="2" t="s">
        <v>54</v>
      </c>
      <c r="G7" s="82">
        <f>D11-D15</f>
        <v>184.2</v>
      </c>
      <c r="H7" s="2" t="s">
        <v>32</v>
      </c>
      <c r="I7" s="2" t="s">
        <v>33</v>
      </c>
      <c r="J7" s="24">
        <f>G10*D1*G27</f>
        <v>2020.6259999999997</v>
      </c>
    </row>
    <row r="8" spans="2:16" x14ac:dyDescent="0.2">
      <c r="B8" s="34" t="s">
        <v>72</v>
      </c>
      <c r="C8" s="2" t="s">
        <v>61</v>
      </c>
      <c r="D8" s="21">
        <v>185.8</v>
      </c>
      <c r="E8" s="4" t="s">
        <v>7</v>
      </c>
      <c r="F8" s="2" t="s">
        <v>3</v>
      </c>
      <c r="G8" s="6">
        <f>(D8+D9)-(D12+D13)</f>
        <v>334</v>
      </c>
      <c r="H8" s="75" t="s">
        <v>104</v>
      </c>
      <c r="I8" s="4" t="s">
        <v>115</v>
      </c>
      <c r="J8" s="102">
        <f>J7/J6</f>
        <v>3.1865724954234981E-2</v>
      </c>
      <c r="K8" s="31">
        <f>J8*180/3.142</f>
        <v>1.8255348477919469</v>
      </c>
      <c r="L8" s="28" t="s">
        <v>114</v>
      </c>
      <c r="P8" s="20"/>
    </row>
    <row r="9" spans="2:16" ht="13.5" thickBot="1" x14ac:dyDescent="0.25">
      <c r="B9" s="34" t="s">
        <v>73</v>
      </c>
      <c r="C9" s="2" t="s">
        <v>62</v>
      </c>
      <c r="D9" s="21">
        <v>206.2</v>
      </c>
      <c r="E9" s="2" t="s">
        <v>6</v>
      </c>
      <c r="F9" s="2" t="s">
        <v>4</v>
      </c>
      <c r="G9" s="6">
        <f>(D10+D11)-(D14+D15)</f>
        <v>348</v>
      </c>
      <c r="H9" s="2" t="s">
        <v>14</v>
      </c>
      <c r="I9" s="2" t="s">
        <v>36</v>
      </c>
      <c r="J9" s="105">
        <f>(J8*G21*D20)/2</f>
        <v>626.08793411565682</v>
      </c>
      <c r="P9" s="8"/>
    </row>
    <row r="10" spans="2:16" ht="13.5" thickBot="1" x14ac:dyDescent="0.25">
      <c r="B10" s="34" t="s">
        <v>74</v>
      </c>
      <c r="C10" s="2" t="s">
        <v>63</v>
      </c>
      <c r="D10" s="21">
        <v>198.8</v>
      </c>
      <c r="E10" s="70" t="s">
        <v>101</v>
      </c>
      <c r="F10" s="70" t="s">
        <v>99</v>
      </c>
      <c r="G10" s="21">
        <f>(G9+G8)</f>
        <v>682</v>
      </c>
      <c r="H10" s="46" t="s">
        <v>17</v>
      </c>
      <c r="I10" s="4" t="s">
        <v>37</v>
      </c>
      <c r="J10" s="29">
        <f>(J8*G22*D23)/2</f>
        <v>723.86627424341066</v>
      </c>
      <c r="L10" s="48" t="s">
        <v>116</v>
      </c>
      <c r="M10" s="49"/>
      <c r="P10" s="8"/>
    </row>
    <row r="11" spans="2:16" ht="13.5" thickBot="1" x14ac:dyDescent="0.25">
      <c r="B11" s="34" t="s">
        <v>1</v>
      </c>
      <c r="C11" s="2" t="s">
        <v>64</v>
      </c>
      <c r="D11" s="21">
        <v>219.2</v>
      </c>
      <c r="E11" s="70" t="s">
        <v>97</v>
      </c>
      <c r="F11" s="70" t="s">
        <v>100</v>
      </c>
      <c r="G11" s="73">
        <f>(G10+D12+D13+D14+D15)</f>
        <v>810</v>
      </c>
      <c r="H11" s="3"/>
      <c r="I11" s="3"/>
      <c r="J11" s="25"/>
      <c r="K11" s="1"/>
      <c r="P11" s="22"/>
    </row>
    <row r="12" spans="2:16" ht="13.5" thickBot="1" x14ac:dyDescent="0.25">
      <c r="B12" s="34" t="s">
        <v>75</v>
      </c>
      <c r="C12" s="2" t="s">
        <v>65</v>
      </c>
      <c r="D12" s="97">
        <v>29</v>
      </c>
      <c r="E12" s="74" t="s">
        <v>110</v>
      </c>
      <c r="F12" s="74" t="s">
        <v>111</v>
      </c>
      <c r="G12" s="73">
        <f>(D12+D13+D14+D15)</f>
        <v>128</v>
      </c>
      <c r="H12" s="2" t="s">
        <v>42</v>
      </c>
      <c r="I12" s="4" t="s">
        <v>121</v>
      </c>
      <c r="J12" s="24">
        <f>G8*D1*D29/D20</f>
        <v>110.42448979591838</v>
      </c>
      <c r="L12" s="48" t="s">
        <v>132</v>
      </c>
      <c r="M12" s="49"/>
      <c r="P12" s="8"/>
    </row>
    <row r="13" spans="2:16" x14ac:dyDescent="0.2">
      <c r="B13" s="34" t="s">
        <v>76</v>
      </c>
      <c r="C13" s="2" t="s">
        <v>66</v>
      </c>
      <c r="D13" s="21">
        <v>29</v>
      </c>
      <c r="E13" s="4" t="s">
        <v>94</v>
      </c>
      <c r="F13" s="2" t="s">
        <v>56</v>
      </c>
      <c r="G13" s="7">
        <f>D16*M35</f>
        <v>37.6522577</v>
      </c>
      <c r="H13" s="2" t="s">
        <v>45</v>
      </c>
      <c r="I13" s="4" t="s">
        <v>122</v>
      </c>
      <c r="J13" s="24">
        <f>G9*D1*D30/D23</f>
        <v>315.26052631578943</v>
      </c>
      <c r="P13" s="8"/>
    </row>
    <row r="14" spans="2:16" x14ac:dyDescent="0.2">
      <c r="B14" s="34" t="s">
        <v>77</v>
      </c>
      <c r="C14" s="2" t="s">
        <v>67</v>
      </c>
      <c r="D14" s="21">
        <v>35</v>
      </c>
      <c r="E14" s="4" t="s">
        <v>95</v>
      </c>
      <c r="F14" s="2" t="s">
        <v>57</v>
      </c>
      <c r="G14" s="7">
        <f>D17*M35</f>
        <v>37.126877360000002</v>
      </c>
      <c r="H14" s="2" t="s">
        <v>43</v>
      </c>
      <c r="I14" s="4" t="s">
        <v>123</v>
      </c>
      <c r="J14" s="24">
        <f>D12+D13*D1*D25/D20</f>
        <v>73.742857142857147</v>
      </c>
    </row>
    <row r="15" spans="2:16" x14ac:dyDescent="0.2">
      <c r="B15" s="34" t="s">
        <v>5</v>
      </c>
      <c r="C15" s="2" t="s">
        <v>68</v>
      </c>
      <c r="D15" s="21">
        <v>35</v>
      </c>
      <c r="E15" s="2" t="s">
        <v>81</v>
      </c>
      <c r="F15" s="2" t="s">
        <v>58</v>
      </c>
      <c r="G15" s="7">
        <f>D18*M35</f>
        <v>58.842598080000002</v>
      </c>
      <c r="H15" s="2" t="s">
        <v>44</v>
      </c>
      <c r="I15" s="4" t="s">
        <v>124</v>
      </c>
      <c r="J15" s="24">
        <f>D14+D15*D1*D26/D23</f>
        <v>87.223684210526329</v>
      </c>
      <c r="L15" s="36"/>
    </row>
    <row r="16" spans="2:16" x14ac:dyDescent="0.2">
      <c r="B16" s="34" t="s">
        <v>87</v>
      </c>
      <c r="C16" s="2" t="s">
        <v>89</v>
      </c>
      <c r="D16" s="98">
        <v>215</v>
      </c>
      <c r="E16" s="2" t="s">
        <v>82</v>
      </c>
      <c r="F16" s="2" t="s">
        <v>59</v>
      </c>
      <c r="G16" s="7">
        <f>D19*M35</f>
        <v>59.017724860000001</v>
      </c>
      <c r="H16" s="2"/>
      <c r="I16" s="70" t="s">
        <v>125</v>
      </c>
      <c r="J16" s="77">
        <f>J9+J12+J14</f>
        <v>810.25528105443232</v>
      </c>
    </row>
    <row r="17" spans="2:16" ht="13.5" thickBot="1" x14ac:dyDescent="0.25">
      <c r="B17" s="34" t="s">
        <v>88</v>
      </c>
      <c r="C17" s="2" t="s">
        <v>90</v>
      </c>
      <c r="D17" s="98">
        <v>212</v>
      </c>
      <c r="E17" s="2" t="s">
        <v>83</v>
      </c>
      <c r="F17" s="2" t="s">
        <v>60</v>
      </c>
      <c r="G17" s="37">
        <f>(D4^2*G13)</f>
        <v>28.498993853129999</v>
      </c>
      <c r="H17" s="2"/>
      <c r="I17" s="70" t="s">
        <v>126</v>
      </c>
      <c r="J17" s="78">
        <f>J10+J13+J15</f>
        <v>1126.3504847697263</v>
      </c>
      <c r="L17" s="36"/>
      <c r="P17" s="22"/>
    </row>
    <row r="18" spans="2:16" ht="13.5" thickBot="1" x14ac:dyDescent="0.25">
      <c r="B18" s="34" t="s">
        <v>81</v>
      </c>
      <c r="C18" s="2" t="s">
        <v>91</v>
      </c>
      <c r="D18" s="98">
        <v>336</v>
      </c>
      <c r="E18" s="2" t="s">
        <v>84</v>
      </c>
      <c r="F18" s="2" t="s">
        <v>85</v>
      </c>
      <c r="G18" s="37">
        <f>(D5^2*G14)</f>
        <v>24.964112336863998</v>
      </c>
      <c r="H18" s="2"/>
      <c r="I18" s="76" t="s">
        <v>127</v>
      </c>
      <c r="J18" s="45">
        <f>J16+J17</f>
        <v>1936.6057658241587</v>
      </c>
      <c r="P18" s="22"/>
    </row>
    <row r="19" spans="2:16" x14ac:dyDescent="0.2">
      <c r="B19" s="34" t="s">
        <v>82</v>
      </c>
      <c r="C19" s="2" t="s">
        <v>92</v>
      </c>
      <c r="D19" s="98">
        <v>337</v>
      </c>
      <c r="E19" s="2" t="s">
        <v>134</v>
      </c>
      <c r="F19" s="2" t="s">
        <v>130</v>
      </c>
      <c r="G19" s="37">
        <f>(D10*M35)</f>
        <v>34.815203864000004</v>
      </c>
      <c r="H19" s="2" t="s">
        <v>86</v>
      </c>
      <c r="I19" s="2" t="s">
        <v>38</v>
      </c>
      <c r="J19" s="40">
        <f>(D8*9.81)+J16</f>
        <v>2632.9532810544324</v>
      </c>
      <c r="L19" s="52" t="s">
        <v>108</v>
      </c>
      <c r="M19" s="53"/>
      <c r="N19" s="54"/>
      <c r="O19" s="55"/>
      <c r="P19" s="22"/>
    </row>
    <row r="20" spans="2:16" x14ac:dyDescent="0.2">
      <c r="B20" s="34" t="s">
        <v>10</v>
      </c>
      <c r="C20" s="2" t="s">
        <v>8</v>
      </c>
      <c r="D20" s="21">
        <v>1.47</v>
      </c>
      <c r="E20" s="2" t="s">
        <v>135</v>
      </c>
      <c r="F20" s="2" t="s">
        <v>131</v>
      </c>
      <c r="G20" s="37">
        <f>(D11*M35)</f>
        <v>38.387790176000003</v>
      </c>
      <c r="H20" s="4" t="s">
        <v>96</v>
      </c>
      <c r="I20" s="2" t="s">
        <v>148</v>
      </c>
      <c r="J20" s="40">
        <f>(D9*9.81)-J16</f>
        <v>1212.5667189455676</v>
      </c>
      <c r="L20" s="56" t="s">
        <v>107</v>
      </c>
      <c r="M20" s="19"/>
      <c r="N20" s="19"/>
      <c r="O20" s="57"/>
      <c r="P20" s="22"/>
    </row>
    <row r="21" spans="2:16" x14ac:dyDescent="0.2">
      <c r="B21" s="34"/>
      <c r="C21" s="2"/>
      <c r="D21" s="33"/>
      <c r="E21" s="2"/>
      <c r="F21" s="2" t="s">
        <v>146</v>
      </c>
      <c r="G21" s="37">
        <f>(G17+G18)*1000/2</f>
        <v>26731.553094996998</v>
      </c>
      <c r="H21" s="4"/>
      <c r="I21" s="2"/>
      <c r="J21" s="93"/>
      <c r="L21" s="56"/>
      <c r="M21" s="19"/>
      <c r="N21" s="19"/>
      <c r="O21" s="57"/>
      <c r="P21" s="22"/>
    </row>
    <row r="22" spans="2:16" x14ac:dyDescent="0.2">
      <c r="B22" s="34"/>
      <c r="C22" s="2"/>
      <c r="D22" s="33"/>
      <c r="E22" s="2"/>
      <c r="F22" s="2" t="s">
        <v>147</v>
      </c>
      <c r="G22" s="37">
        <f>(G18+G19)*1000/2</f>
        <v>29889.658100432</v>
      </c>
      <c r="H22" s="4"/>
      <c r="I22" s="2"/>
      <c r="J22" s="93"/>
      <c r="L22" s="56"/>
      <c r="M22" s="19"/>
      <c r="N22" s="19"/>
      <c r="O22" s="57"/>
      <c r="P22" s="22"/>
    </row>
    <row r="23" spans="2:16" x14ac:dyDescent="0.2">
      <c r="B23" s="34" t="s">
        <v>11</v>
      </c>
      <c r="C23" s="2" t="s">
        <v>9</v>
      </c>
      <c r="D23" s="21">
        <v>1.52</v>
      </c>
      <c r="E23" s="2" t="s">
        <v>21</v>
      </c>
      <c r="F23" s="4" t="s">
        <v>98</v>
      </c>
      <c r="G23" s="11">
        <f>G9*D24/G10</f>
        <v>1.3011730205278591</v>
      </c>
      <c r="H23" s="4" t="s">
        <v>93</v>
      </c>
      <c r="I23" s="2" t="s">
        <v>39</v>
      </c>
      <c r="J23" s="32">
        <f>(D10*9.81)+J17</f>
        <v>3076.5784847697269</v>
      </c>
      <c r="L23" s="58" t="s">
        <v>113</v>
      </c>
      <c r="M23" s="19"/>
      <c r="N23" s="19"/>
      <c r="O23" s="57"/>
    </row>
    <row r="24" spans="2:16" ht="13.5" thickBot="1" x14ac:dyDescent="0.25">
      <c r="B24" s="34" t="s">
        <v>13</v>
      </c>
      <c r="C24" s="2" t="s">
        <v>12</v>
      </c>
      <c r="D24" s="21">
        <v>2.5499999999999998</v>
      </c>
      <c r="E24" s="2" t="s">
        <v>22</v>
      </c>
      <c r="F24" s="2" t="s">
        <v>31</v>
      </c>
      <c r="G24" s="21">
        <f>D30-D29</f>
        <v>0.11000000000000001</v>
      </c>
      <c r="H24" s="2" t="s">
        <v>25</v>
      </c>
      <c r="I24" s="2" t="s">
        <v>40</v>
      </c>
      <c r="J24" s="32">
        <f>(D11*9.81)-J17</f>
        <v>1024.0015152302735</v>
      </c>
      <c r="L24" s="59" t="s">
        <v>112</v>
      </c>
      <c r="M24" s="60"/>
      <c r="N24" s="60"/>
      <c r="O24" s="61"/>
    </row>
    <row r="25" spans="2:16" x14ac:dyDescent="0.2">
      <c r="B25" s="69" t="s">
        <v>119</v>
      </c>
      <c r="C25" s="70" t="s">
        <v>117</v>
      </c>
      <c r="D25" s="96">
        <v>0.28000000000000003</v>
      </c>
      <c r="E25" s="2" t="s">
        <v>23</v>
      </c>
      <c r="F25" s="2" t="s">
        <v>28</v>
      </c>
      <c r="G25" s="16">
        <f>(G24/D24)*G23</f>
        <v>5.6129032258064517E-2</v>
      </c>
      <c r="H25" s="2"/>
      <c r="I25" s="41" t="s">
        <v>128</v>
      </c>
      <c r="J25" s="42">
        <f>G11*9.81</f>
        <v>7946.1</v>
      </c>
    </row>
    <row r="26" spans="2:16" ht="13.5" thickBot="1" x14ac:dyDescent="0.25">
      <c r="B26" s="71" t="s">
        <v>118</v>
      </c>
      <c r="C26" s="72" t="s">
        <v>120</v>
      </c>
      <c r="D26" s="99">
        <v>0.28000000000000003</v>
      </c>
      <c r="E26" s="2" t="s">
        <v>24</v>
      </c>
      <c r="F26" s="2" t="s">
        <v>29</v>
      </c>
      <c r="G26" s="21">
        <f>G25+D29</f>
        <v>0.11612903225806451</v>
      </c>
      <c r="H26" s="2"/>
      <c r="I26" s="30" t="s">
        <v>129</v>
      </c>
      <c r="J26" s="94">
        <f>J24+J23+J20+J19</f>
        <v>7946.0999999999995</v>
      </c>
    </row>
    <row r="27" spans="2:16" x14ac:dyDescent="0.2">
      <c r="B27" s="88" t="s">
        <v>138</v>
      </c>
      <c r="C27" s="2" t="s">
        <v>48</v>
      </c>
      <c r="D27" s="96">
        <v>0.45</v>
      </c>
      <c r="E27" s="2" t="s">
        <v>52</v>
      </c>
      <c r="F27" s="2" t="s">
        <v>30</v>
      </c>
      <c r="G27" s="92">
        <f>D28-G25-D29</f>
        <v>0.3657771260997067</v>
      </c>
      <c r="H27" s="2"/>
      <c r="I27" s="2"/>
      <c r="J27" s="39"/>
    </row>
    <row r="28" spans="2:16" ht="13.5" thickBot="1" x14ac:dyDescent="0.25">
      <c r="B28" s="34" t="s">
        <v>46</v>
      </c>
      <c r="C28" s="2" t="s">
        <v>47</v>
      </c>
      <c r="D28" s="92">
        <f>((D27*G11)-(SUM(D12:D13)*D25)-( SUM(D14:D15)*D26))/G10</f>
        <v>0.48190615835777123</v>
      </c>
      <c r="F28" s="2"/>
      <c r="G28" s="6"/>
      <c r="H28" s="2"/>
      <c r="I28" s="2"/>
      <c r="J28" s="38"/>
    </row>
    <row r="29" spans="2:16" ht="13.5" thickBot="1" x14ac:dyDescent="0.25">
      <c r="B29" s="34" t="s">
        <v>19</v>
      </c>
      <c r="C29" s="4" t="s">
        <v>139</v>
      </c>
      <c r="D29" s="100">
        <v>0.06</v>
      </c>
      <c r="E29" s="2"/>
      <c r="F29" s="2"/>
      <c r="G29" s="6"/>
      <c r="H29" s="2" t="s">
        <v>50</v>
      </c>
      <c r="I29" s="27" t="s">
        <v>51</v>
      </c>
      <c r="J29" s="45">
        <f>G11*D1*D27/D20+D23/2</f>
        <v>2009.2293877551022</v>
      </c>
      <c r="L29" s="62" t="s">
        <v>109</v>
      </c>
      <c r="M29" s="54"/>
      <c r="N29" s="54"/>
      <c r="O29" s="63"/>
      <c r="P29" s="55"/>
    </row>
    <row r="30" spans="2:16" ht="13.5" thickBot="1" x14ac:dyDescent="0.25">
      <c r="B30" s="85" t="s">
        <v>20</v>
      </c>
      <c r="C30" s="89" t="s">
        <v>140</v>
      </c>
      <c r="D30" s="101">
        <v>0.17</v>
      </c>
      <c r="E30" s="35"/>
      <c r="F30" s="35"/>
      <c r="G30" s="86"/>
      <c r="H30" s="35"/>
      <c r="I30" s="35"/>
      <c r="J30" s="87"/>
      <c r="L30" s="64" t="s">
        <v>133</v>
      </c>
      <c r="M30" s="60"/>
      <c r="N30" s="60"/>
      <c r="O30" s="65"/>
      <c r="P30" s="61"/>
    </row>
    <row r="31" spans="2:16" ht="13.5" thickBot="1" x14ac:dyDescent="0.25">
      <c r="I31" s="26" t="s">
        <v>150</v>
      </c>
      <c r="J31" s="103">
        <f>J19-J20</f>
        <v>1420.3865621088648</v>
      </c>
      <c r="L31" s="44"/>
      <c r="M31" s="44"/>
      <c r="N31" s="44"/>
      <c r="O31" s="44"/>
    </row>
    <row r="32" spans="2:16" ht="15" thickBot="1" x14ac:dyDescent="0.25">
      <c r="D32" s="50" t="s">
        <v>102</v>
      </c>
      <c r="E32" s="51"/>
      <c r="G32" s="12"/>
      <c r="H32" s="12"/>
      <c r="I32" s="12" t="s">
        <v>151</v>
      </c>
      <c r="J32" s="103">
        <f>J23-J24</f>
        <v>2052.5769695394533</v>
      </c>
      <c r="L32" s="43"/>
      <c r="M32" s="43"/>
      <c r="N32" s="43"/>
      <c r="O32" s="43"/>
    </row>
    <row r="33" spans="2:13" ht="15.75" thickBot="1" x14ac:dyDescent="0.3">
      <c r="G33" s="12"/>
      <c r="H33" s="13"/>
      <c r="I33" s="12" t="s">
        <v>152</v>
      </c>
      <c r="J33" s="103">
        <f>J31-J32</f>
        <v>-632.19040743058849</v>
      </c>
    </row>
    <row r="34" spans="2:13" ht="18" thickBot="1" x14ac:dyDescent="0.25">
      <c r="C34" s="68" t="s">
        <v>145</v>
      </c>
      <c r="F34" s="66" t="s">
        <v>105</v>
      </c>
      <c r="I34" s="104" t="s">
        <v>153</v>
      </c>
      <c r="J34">
        <f>J10/J29*100</f>
        <v>36.027059859610219</v>
      </c>
    </row>
    <row r="35" spans="2:13" ht="15" thickBot="1" x14ac:dyDescent="0.25">
      <c r="F35" s="67" t="s">
        <v>106</v>
      </c>
      <c r="M35">
        <v>0.17512678000000001</v>
      </c>
    </row>
    <row r="37" spans="2:13" x14ac:dyDescent="0.2">
      <c r="B37" s="26"/>
    </row>
    <row r="38" spans="2:13" x14ac:dyDescent="0.2">
      <c r="B38" s="22"/>
      <c r="C38" s="47"/>
      <c r="D38" s="22"/>
    </row>
    <row r="39" spans="2:13" x14ac:dyDescent="0.2">
      <c r="B39" s="22"/>
      <c r="C39" s="47"/>
      <c r="D39" s="2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19413-A804-4C74-9274-BA1119B016C9}">
  <dimension ref="B1:P40"/>
  <sheetViews>
    <sheetView topLeftCell="A13" zoomScale="115" zoomScaleNormal="115" workbookViewId="0">
      <selection activeCell="B40" sqref="B40:E40"/>
    </sheetView>
  </sheetViews>
  <sheetFormatPr defaultRowHeight="12.75" x14ac:dyDescent="0.2"/>
  <cols>
    <col min="3" max="3" width="51.7109375" customWidth="1"/>
    <col min="4" max="4" width="9.7109375" bestFit="1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21" thickBot="1" x14ac:dyDescent="0.35">
      <c r="C1" s="5" t="s">
        <v>149</v>
      </c>
      <c r="D1" s="23">
        <v>8.1</v>
      </c>
      <c r="F1" s="18" t="s">
        <v>137</v>
      </c>
      <c r="G1" s="17"/>
    </row>
    <row r="2" spans="2:16" ht="13.5" thickBot="1" x14ac:dyDescent="0.25"/>
    <row r="3" spans="2:16" ht="16.5" thickBot="1" x14ac:dyDescent="0.3">
      <c r="B3" s="9" t="s">
        <v>15</v>
      </c>
      <c r="C3" s="10"/>
      <c r="D3" s="10"/>
      <c r="E3" s="10" t="s">
        <v>16</v>
      </c>
      <c r="F3" s="10"/>
      <c r="G3" s="10"/>
      <c r="H3" s="10" t="s">
        <v>18</v>
      </c>
      <c r="I3" s="10"/>
      <c r="J3" s="79"/>
    </row>
    <row r="4" spans="2:16" ht="15" thickBot="1" x14ac:dyDescent="0.25">
      <c r="B4" s="80" t="s">
        <v>69</v>
      </c>
      <c r="C4" s="83" t="s">
        <v>141</v>
      </c>
      <c r="D4" s="95">
        <v>0.87</v>
      </c>
      <c r="E4" s="81" t="s">
        <v>78</v>
      </c>
      <c r="F4" s="81" t="s">
        <v>53</v>
      </c>
      <c r="G4" s="82">
        <f>D8-D12</f>
        <v>156.80000000000001</v>
      </c>
      <c r="H4" s="83" t="s">
        <v>49</v>
      </c>
      <c r="I4" s="83" t="s">
        <v>103</v>
      </c>
      <c r="J4" s="84">
        <f>(D20^2)*G21/2</f>
        <v>31777.409947256925</v>
      </c>
      <c r="M4" s="15"/>
    </row>
    <row r="5" spans="2:16" ht="12" customHeight="1" thickBot="1" x14ac:dyDescent="0.25">
      <c r="B5" s="34" t="s">
        <v>70</v>
      </c>
      <c r="C5" s="83" t="s">
        <v>142</v>
      </c>
      <c r="D5" s="95">
        <v>0.82</v>
      </c>
      <c r="E5" s="2" t="s">
        <v>79</v>
      </c>
      <c r="F5" s="2" t="s">
        <v>2</v>
      </c>
      <c r="G5" s="82">
        <f>D9-D13</f>
        <v>177.2</v>
      </c>
      <c r="H5" s="2" t="s">
        <v>26</v>
      </c>
      <c r="I5" s="2" t="s">
        <v>35</v>
      </c>
      <c r="J5" s="84">
        <f>(D23^2)*G22/2</f>
        <v>36092.887941264191</v>
      </c>
      <c r="M5" s="14"/>
    </row>
    <row r="6" spans="2:16" ht="16.5" customHeight="1" thickBot="1" x14ac:dyDescent="0.25">
      <c r="B6" s="34" t="s">
        <v>71</v>
      </c>
      <c r="C6" s="83" t="s">
        <v>143</v>
      </c>
      <c r="D6" s="96">
        <v>1.02</v>
      </c>
      <c r="E6" s="2" t="s">
        <v>80</v>
      </c>
      <c r="F6" s="2" t="s">
        <v>55</v>
      </c>
      <c r="G6" s="82">
        <f>D10-D14</f>
        <v>163.80000000000001</v>
      </c>
      <c r="H6" s="2" t="s">
        <v>27</v>
      </c>
      <c r="I6" s="2" t="s">
        <v>34</v>
      </c>
      <c r="J6" s="24">
        <f>J4+J5</f>
        <v>67870.29788852112</v>
      </c>
      <c r="L6" s="90" t="s">
        <v>136</v>
      </c>
      <c r="M6" s="91"/>
    </row>
    <row r="7" spans="2:16" x14ac:dyDescent="0.2">
      <c r="B7" s="34" t="s">
        <v>41</v>
      </c>
      <c r="C7" s="83" t="s">
        <v>144</v>
      </c>
      <c r="D7" s="96">
        <v>1.02</v>
      </c>
      <c r="E7" s="2" t="s">
        <v>0</v>
      </c>
      <c r="F7" s="2" t="s">
        <v>54</v>
      </c>
      <c r="G7" s="82">
        <f>D11-D15</f>
        <v>184.2</v>
      </c>
      <c r="H7" s="2" t="s">
        <v>32</v>
      </c>
      <c r="I7" s="2" t="s">
        <v>33</v>
      </c>
      <c r="J7" s="24">
        <f>G10*D1*G27</f>
        <v>2020.6259999999997</v>
      </c>
    </row>
    <row r="8" spans="2:16" x14ac:dyDescent="0.2">
      <c r="B8" s="34" t="s">
        <v>72</v>
      </c>
      <c r="C8" s="2" t="s">
        <v>61</v>
      </c>
      <c r="D8" s="21">
        <v>185.8</v>
      </c>
      <c r="E8" s="4" t="s">
        <v>7</v>
      </c>
      <c r="F8" s="2" t="s">
        <v>3</v>
      </c>
      <c r="G8" s="6">
        <f>(D8+D9)-(D12+D13)</f>
        <v>334</v>
      </c>
      <c r="H8" s="75" t="s">
        <v>104</v>
      </c>
      <c r="I8" s="4" t="s">
        <v>115</v>
      </c>
      <c r="J8" s="102">
        <f>J7/J6</f>
        <v>2.9771874632389783E-2</v>
      </c>
      <c r="K8" s="31">
        <f>J8*180/3.142</f>
        <v>1.7055816148409171</v>
      </c>
      <c r="L8" s="28" t="s">
        <v>114</v>
      </c>
      <c r="P8" s="20"/>
    </row>
    <row r="9" spans="2:16" ht="13.5" thickBot="1" x14ac:dyDescent="0.25">
      <c r="B9" s="34" t="s">
        <v>73</v>
      </c>
      <c r="C9" s="2" t="s">
        <v>62</v>
      </c>
      <c r="D9" s="21">
        <v>206.2</v>
      </c>
      <c r="E9" s="2" t="s">
        <v>6</v>
      </c>
      <c r="F9" s="2" t="s">
        <v>4</v>
      </c>
      <c r="G9" s="6">
        <f>(D10+D11)-(D14+D15)</f>
        <v>348</v>
      </c>
      <c r="H9" s="2" t="s">
        <v>14</v>
      </c>
      <c r="I9" s="2" t="s">
        <v>36</v>
      </c>
      <c r="J9" s="105">
        <f>(J8*G21*D20)/2</f>
        <v>643.58711911006071</v>
      </c>
      <c r="P9" s="8"/>
    </row>
    <row r="10" spans="2:16" ht="13.5" thickBot="1" x14ac:dyDescent="0.25">
      <c r="B10" s="34" t="s">
        <v>74</v>
      </c>
      <c r="C10" s="2" t="s">
        <v>63</v>
      </c>
      <c r="D10" s="21">
        <v>198.8</v>
      </c>
      <c r="E10" s="70" t="s">
        <v>101</v>
      </c>
      <c r="F10" s="70" t="s">
        <v>99</v>
      </c>
      <c r="G10" s="21">
        <f>(G9+G8)</f>
        <v>682</v>
      </c>
      <c r="H10" s="46" t="s">
        <v>17</v>
      </c>
      <c r="I10" s="4" t="s">
        <v>37</v>
      </c>
      <c r="J10" s="29">
        <f>(J8*G22*D23)/2</f>
        <v>706.94272033434902</v>
      </c>
      <c r="L10" s="48" t="s">
        <v>116</v>
      </c>
      <c r="M10" s="49"/>
      <c r="P10" s="8"/>
    </row>
    <row r="11" spans="2:16" ht="13.5" thickBot="1" x14ac:dyDescent="0.25">
      <c r="B11" s="34" t="s">
        <v>1</v>
      </c>
      <c r="C11" s="2" t="s">
        <v>64</v>
      </c>
      <c r="D11" s="21">
        <v>219.2</v>
      </c>
      <c r="E11" s="70" t="s">
        <v>97</v>
      </c>
      <c r="F11" s="70" t="s">
        <v>100</v>
      </c>
      <c r="G11" s="73">
        <f>(G10+D12+D13+D14+D15)</f>
        <v>810</v>
      </c>
      <c r="H11" s="3"/>
      <c r="I11" s="3"/>
      <c r="J11" s="25"/>
      <c r="K11" s="1"/>
      <c r="P11" s="22"/>
    </row>
    <row r="12" spans="2:16" ht="13.5" thickBot="1" x14ac:dyDescent="0.25">
      <c r="B12" s="34" t="s">
        <v>75</v>
      </c>
      <c r="C12" s="2" t="s">
        <v>65</v>
      </c>
      <c r="D12" s="97">
        <v>29</v>
      </c>
      <c r="E12" s="74" t="s">
        <v>110</v>
      </c>
      <c r="F12" s="74" t="s">
        <v>111</v>
      </c>
      <c r="G12" s="73">
        <f>(D12+D13+D14+D15)</f>
        <v>128</v>
      </c>
      <c r="H12" s="2" t="s">
        <v>42</v>
      </c>
      <c r="I12" s="4" t="s">
        <v>121</v>
      </c>
      <c r="J12" s="24">
        <f>G8*D1*D29/D20</f>
        <v>110.42448979591838</v>
      </c>
      <c r="L12" s="48" t="s">
        <v>132</v>
      </c>
      <c r="M12" s="49"/>
      <c r="P12" s="8"/>
    </row>
    <row r="13" spans="2:16" x14ac:dyDescent="0.2">
      <c r="B13" s="34" t="s">
        <v>76</v>
      </c>
      <c r="C13" s="2" t="s">
        <v>66</v>
      </c>
      <c r="D13" s="21">
        <v>29</v>
      </c>
      <c r="E13" s="4" t="s">
        <v>94</v>
      </c>
      <c r="F13" s="2" t="s">
        <v>56</v>
      </c>
      <c r="G13" s="7">
        <f>D16*M35</f>
        <v>41.154793300000001</v>
      </c>
      <c r="H13" s="2" t="s">
        <v>45</v>
      </c>
      <c r="I13" s="4" t="s">
        <v>122</v>
      </c>
      <c r="J13" s="24">
        <f>G9*D1*D30/D23</f>
        <v>315.26052631578943</v>
      </c>
      <c r="P13" s="8"/>
    </row>
    <row r="14" spans="2:16" x14ac:dyDescent="0.2">
      <c r="B14" s="34" t="s">
        <v>77</v>
      </c>
      <c r="C14" s="2" t="s">
        <v>67</v>
      </c>
      <c r="D14" s="21">
        <v>35</v>
      </c>
      <c r="E14" s="4" t="s">
        <v>95</v>
      </c>
      <c r="F14" s="2" t="s">
        <v>57</v>
      </c>
      <c r="G14" s="7">
        <f>D17*M35</f>
        <v>41.154793300000001</v>
      </c>
      <c r="H14" s="2" t="s">
        <v>43</v>
      </c>
      <c r="I14" s="4" t="s">
        <v>123</v>
      </c>
      <c r="J14" s="24">
        <f>D12+D13*D1*D25/D20</f>
        <v>73.742857142857147</v>
      </c>
    </row>
    <row r="15" spans="2:16" x14ac:dyDescent="0.2">
      <c r="B15" s="34" t="s">
        <v>5</v>
      </c>
      <c r="C15" s="2" t="s">
        <v>68</v>
      </c>
      <c r="D15" s="21">
        <v>35</v>
      </c>
      <c r="E15" s="2" t="s">
        <v>81</v>
      </c>
      <c r="F15" s="2" t="s">
        <v>58</v>
      </c>
      <c r="G15" s="7">
        <f>D18*M35</f>
        <v>58.842598080000002</v>
      </c>
      <c r="H15" s="2" t="s">
        <v>44</v>
      </c>
      <c r="I15" s="4" t="s">
        <v>124</v>
      </c>
      <c r="J15" s="24">
        <f>D14+D15*D1*D26/D23</f>
        <v>87.223684210526329</v>
      </c>
      <c r="L15" s="36"/>
    </row>
    <row r="16" spans="2:16" x14ac:dyDescent="0.2">
      <c r="B16" s="34" t="s">
        <v>87</v>
      </c>
      <c r="C16" s="2" t="s">
        <v>89</v>
      </c>
      <c r="D16" s="106">
        <v>235</v>
      </c>
      <c r="E16" s="2" t="s">
        <v>82</v>
      </c>
      <c r="F16" s="2" t="s">
        <v>59</v>
      </c>
      <c r="G16" s="7">
        <f>D19*M35</f>
        <v>59.017724860000001</v>
      </c>
      <c r="H16" s="2"/>
      <c r="I16" s="70" t="s">
        <v>125</v>
      </c>
      <c r="J16" s="77">
        <f>J9+J12+J14</f>
        <v>827.75446604883621</v>
      </c>
    </row>
    <row r="17" spans="2:16" ht="13.5" thickBot="1" x14ac:dyDescent="0.25">
      <c r="B17" s="34" t="s">
        <v>88</v>
      </c>
      <c r="C17" s="2" t="s">
        <v>90</v>
      </c>
      <c r="D17" s="106">
        <v>235</v>
      </c>
      <c r="E17" s="2" t="s">
        <v>83</v>
      </c>
      <c r="F17" s="2" t="s">
        <v>60</v>
      </c>
      <c r="G17" s="37">
        <f>(D4^2*G13)</f>
        <v>31.150063048770001</v>
      </c>
      <c r="H17" s="2"/>
      <c r="I17" s="70" t="s">
        <v>126</v>
      </c>
      <c r="J17" s="78">
        <f>J10+J13+J15</f>
        <v>1109.4269308606647</v>
      </c>
      <c r="L17" s="36"/>
      <c r="P17" s="22"/>
    </row>
    <row r="18" spans="2:16" ht="13.5" thickBot="1" x14ac:dyDescent="0.25">
      <c r="B18" s="34" t="s">
        <v>81</v>
      </c>
      <c r="C18" s="2" t="s">
        <v>91</v>
      </c>
      <c r="D18" s="98">
        <v>336</v>
      </c>
      <c r="E18" s="2" t="s">
        <v>84</v>
      </c>
      <c r="F18" s="2" t="s">
        <v>85</v>
      </c>
      <c r="G18" s="37">
        <f>(D5^2*G14)</f>
        <v>27.672483014919997</v>
      </c>
      <c r="H18" s="2"/>
      <c r="I18" s="76" t="s">
        <v>127</v>
      </c>
      <c r="J18" s="45">
        <f>J16+J17</f>
        <v>1937.181396909501</v>
      </c>
      <c r="P18" s="22"/>
    </row>
    <row r="19" spans="2:16" x14ac:dyDescent="0.2">
      <c r="B19" s="34" t="s">
        <v>82</v>
      </c>
      <c r="C19" s="2" t="s">
        <v>92</v>
      </c>
      <c r="D19" s="98">
        <v>337</v>
      </c>
      <c r="E19" s="2" t="s">
        <v>134</v>
      </c>
      <c r="F19" s="2" t="s">
        <v>130</v>
      </c>
      <c r="G19" s="37">
        <f>(D10*M35)</f>
        <v>34.815203864000004</v>
      </c>
      <c r="H19" s="2" t="s">
        <v>86</v>
      </c>
      <c r="I19" s="2" t="s">
        <v>38</v>
      </c>
      <c r="J19" s="40">
        <f>(D8*9.81)+J16</f>
        <v>2650.4524660488364</v>
      </c>
      <c r="L19" s="52" t="s">
        <v>108</v>
      </c>
      <c r="M19" s="53"/>
      <c r="N19" s="54"/>
      <c r="O19" s="55"/>
      <c r="P19" s="22"/>
    </row>
    <row r="20" spans="2:16" x14ac:dyDescent="0.2">
      <c r="B20" s="34" t="s">
        <v>10</v>
      </c>
      <c r="C20" s="2" t="s">
        <v>8</v>
      </c>
      <c r="D20" s="21">
        <v>1.47</v>
      </c>
      <c r="E20" s="2" t="s">
        <v>135</v>
      </c>
      <c r="F20" s="2" t="s">
        <v>131</v>
      </c>
      <c r="G20" s="37">
        <f>(D11*M35)</f>
        <v>38.387790176000003</v>
      </c>
      <c r="H20" s="4" t="s">
        <v>96</v>
      </c>
      <c r="I20" s="2" t="s">
        <v>148</v>
      </c>
      <c r="J20" s="40">
        <f>(D9*9.81)-J16</f>
        <v>1195.0675339511636</v>
      </c>
      <c r="L20" s="56" t="s">
        <v>107</v>
      </c>
      <c r="M20" s="19"/>
      <c r="N20" s="19"/>
      <c r="O20" s="57"/>
      <c r="P20" s="22"/>
    </row>
    <row r="21" spans="2:16" x14ac:dyDescent="0.2">
      <c r="B21" s="34"/>
      <c r="C21" s="2"/>
      <c r="D21" s="33"/>
      <c r="E21" s="2"/>
      <c r="F21" s="2" t="s">
        <v>146</v>
      </c>
      <c r="G21" s="37">
        <f>(G17+G18)*1000/2</f>
        <v>29411.273031844998</v>
      </c>
      <c r="H21" s="4"/>
      <c r="I21" s="2"/>
      <c r="J21" s="93"/>
      <c r="L21" s="56"/>
      <c r="M21" s="19"/>
      <c r="N21" s="19"/>
      <c r="O21" s="57"/>
      <c r="P21" s="22"/>
    </row>
    <row r="22" spans="2:16" x14ac:dyDescent="0.2">
      <c r="B22" s="34"/>
      <c r="C22" s="2"/>
      <c r="D22" s="33"/>
      <c r="E22" s="2"/>
      <c r="F22" s="2" t="s">
        <v>147</v>
      </c>
      <c r="G22" s="37">
        <f>(G18+G19)*1000/2</f>
        <v>31243.843439460001</v>
      </c>
      <c r="H22" s="4"/>
      <c r="I22" s="2"/>
      <c r="J22" s="93"/>
      <c r="L22" s="56"/>
      <c r="M22" s="19"/>
      <c r="N22" s="19"/>
      <c r="O22" s="57"/>
      <c r="P22" s="22"/>
    </row>
    <row r="23" spans="2:16" x14ac:dyDescent="0.2">
      <c r="B23" s="34" t="s">
        <v>11</v>
      </c>
      <c r="C23" s="2" t="s">
        <v>9</v>
      </c>
      <c r="D23" s="21">
        <v>1.52</v>
      </c>
      <c r="E23" s="2" t="s">
        <v>21</v>
      </c>
      <c r="F23" s="4" t="s">
        <v>98</v>
      </c>
      <c r="G23" s="11">
        <f>G9*D24/G10</f>
        <v>1.3011730205278591</v>
      </c>
      <c r="H23" s="4" t="s">
        <v>93</v>
      </c>
      <c r="I23" s="2" t="s">
        <v>39</v>
      </c>
      <c r="J23" s="32">
        <f>(D10*9.81)+J17</f>
        <v>3059.654930860665</v>
      </c>
      <c r="L23" s="58" t="s">
        <v>113</v>
      </c>
      <c r="M23" s="19"/>
      <c r="N23" s="19"/>
      <c r="O23" s="57"/>
    </row>
    <row r="24" spans="2:16" ht="13.5" thickBot="1" x14ac:dyDescent="0.25">
      <c r="B24" s="34" t="s">
        <v>13</v>
      </c>
      <c r="C24" s="2" t="s">
        <v>12</v>
      </c>
      <c r="D24" s="21">
        <v>2.5499999999999998</v>
      </c>
      <c r="E24" s="2" t="s">
        <v>22</v>
      </c>
      <c r="F24" s="2" t="s">
        <v>31</v>
      </c>
      <c r="G24" s="21">
        <f>D30-D29</f>
        <v>0.11000000000000001</v>
      </c>
      <c r="H24" s="2" t="s">
        <v>25</v>
      </c>
      <c r="I24" s="2" t="s">
        <v>40</v>
      </c>
      <c r="J24" s="32">
        <f>(D11*9.81)-J17</f>
        <v>1040.9250691393352</v>
      </c>
      <c r="L24" s="59" t="s">
        <v>112</v>
      </c>
      <c r="M24" s="60"/>
      <c r="N24" s="60"/>
      <c r="O24" s="61"/>
    </row>
    <row r="25" spans="2:16" x14ac:dyDescent="0.2">
      <c r="B25" s="69" t="s">
        <v>119</v>
      </c>
      <c r="C25" s="70" t="s">
        <v>117</v>
      </c>
      <c r="D25" s="96">
        <v>0.28000000000000003</v>
      </c>
      <c r="E25" s="2" t="s">
        <v>23</v>
      </c>
      <c r="F25" s="2" t="s">
        <v>28</v>
      </c>
      <c r="G25" s="16">
        <f>(G24/D24)*G23</f>
        <v>5.6129032258064517E-2</v>
      </c>
      <c r="H25" s="2"/>
      <c r="I25" s="41" t="s">
        <v>128</v>
      </c>
      <c r="J25" s="42">
        <f>G11*9.81</f>
        <v>7946.1</v>
      </c>
    </row>
    <row r="26" spans="2:16" ht="13.5" thickBot="1" x14ac:dyDescent="0.25">
      <c r="B26" s="71" t="s">
        <v>118</v>
      </c>
      <c r="C26" s="72" t="s">
        <v>120</v>
      </c>
      <c r="D26" s="99">
        <v>0.28000000000000003</v>
      </c>
      <c r="E26" s="2" t="s">
        <v>24</v>
      </c>
      <c r="F26" s="2" t="s">
        <v>29</v>
      </c>
      <c r="G26" s="21">
        <f>G25+D29</f>
        <v>0.11612903225806451</v>
      </c>
      <c r="H26" s="2"/>
      <c r="I26" s="30" t="s">
        <v>129</v>
      </c>
      <c r="J26" s="94">
        <f>J24+J23+J20+J19</f>
        <v>7946.1</v>
      </c>
    </row>
    <row r="27" spans="2:16" x14ac:dyDescent="0.2">
      <c r="B27" s="88" t="s">
        <v>138</v>
      </c>
      <c r="C27" s="2" t="s">
        <v>48</v>
      </c>
      <c r="D27" s="96">
        <v>0.45</v>
      </c>
      <c r="E27" s="2" t="s">
        <v>52</v>
      </c>
      <c r="F27" s="2" t="s">
        <v>30</v>
      </c>
      <c r="G27" s="92">
        <f>D28-G25-D29</f>
        <v>0.3657771260997067</v>
      </c>
      <c r="H27" s="2"/>
      <c r="I27" s="2"/>
      <c r="J27" s="39"/>
    </row>
    <row r="28" spans="2:16" ht="13.5" thickBot="1" x14ac:dyDescent="0.25">
      <c r="B28" s="34" t="s">
        <v>46</v>
      </c>
      <c r="C28" s="2" t="s">
        <v>47</v>
      </c>
      <c r="D28" s="92">
        <f>((D27*G11)-(SUM(D12:D13)*D25)-( SUM(D14:D15)*D26))/G10</f>
        <v>0.48190615835777123</v>
      </c>
      <c r="F28" s="2"/>
      <c r="G28" s="6"/>
      <c r="H28" s="2"/>
      <c r="I28" s="2"/>
      <c r="J28" s="38"/>
    </row>
    <row r="29" spans="2:16" ht="13.5" thickBot="1" x14ac:dyDescent="0.25">
      <c r="B29" s="34" t="s">
        <v>19</v>
      </c>
      <c r="C29" s="4" t="s">
        <v>139</v>
      </c>
      <c r="D29" s="100">
        <v>0.06</v>
      </c>
      <c r="E29" s="2"/>
      <c r="F29" s="2"/>
      <c r="G29" s="6"/>
      <c r="H29" s="2" t="s">
        <v>50</v>
      </c>
      <c r="I29" s="27" t="s">
        <v>51</v>
      </c>
      <c r="J29" s="45">
        <f>G11*D1*D27/D20+D23/2</f>
        <v>2009.2293877551022</v>
      </c>
      <c r="L29" s="62" t="s">
        <v>109</v>
      </c>
      <c r="M29" s="54"/>
      <c r="N29" s="54"/>
      <c r="O29" s="63"/>
      <c r="P29" s="55"/>
    </row>
    <row r="30" spans="2:16" ht="13.5" thickBot="1" x14ac:dyDescent="0.25">
      <c r="B30" s="85" t="s">
        <v>20</v>
      </c>
      <c r="C30" s="89" t="s">
        <v>140</v>
      </c>
      <c r="D30" s="101">
        <v>0.17</v>
      </c>
      <c r="E30" s="35"/>
      <c r="F30" s="35"/>
      <c r="G30" s="86"/>
      <c r="H30" s="35"/>
      <c r="I30" s="35"/>
      <c r="J30" s="87"/>
      <c r="L30" s="64" t="s">
        <v>133</v>
      </c>
      <c r="M30" s="60"/>
      <c r="N30" s="60"/>
      <c r="O30" s="65"/>
      <c r="P30" s="61"/>
    </row>
    <row r="31" spans="2:16" ht="13.5" thickBot="1" x14ac:dyDescent="0.25">
      <c r="I31" s="26" t="s">
        <v>150</v>
      </c>
      <c r="J31" s="103">
        <f>J19-J20</f>
        <v>1455.3849320976728</v>
      </c>
      <c r="L31" s="44"/>
      <c r="M31" s="44"/>
      <c r="N31" s="44"/>
      <c r="O31" s="44"/>
    </row>
    <row r="32" spans="2:16" ht="15" thickBot="1" x14ac:dyDescent="0.25">
      <c r="D32" s="50" t="s">
        <v>102</v>
      </c>
      <c r="E32" s="51"/>
      <c r="G32" s="12"/>
      <c r="H32" s="12"/>
      <c r="I32" s="12" t="s">
        <v>151</v>
      </c>
      <c r="J32" s="103">
        <f>J23-J24</f>
        <v>2018.7298617213298</v>
      </c>
      <c r="L32" s="43"/>
      <c r="M32" s="43"/>
      <c r="N32" s="43"/>
      <c r="O32" s="43"/>
    </row>
    <row r="33" spans="2:13" ht="15.75" thickBot="1" x14ac:dyDescent="0.3">
      <c r="G33" s="12"/>
      <c r="H33" s="13"/>
      <c r="I33" s="12" t="s">
        <v>152</v>
      </c>
      <c r="J33" s="103">
        <f>J31-J32</f>
        <v>-563.34492962365698</v>
      </c>
    </row>
    <row r="34" spans="2:13" ht="18" thickBot="1" x14ac:dyDescent="0.25">
      <c r="C34" s="68" t="s">
        <v>145</v>
      </c>
      <c r="F34" s="66" t="s">
        <v>105</v>
      </c>
      <c r="I34" s="104" t="s">
        <v>153</v>
      </c>
      <c r="J34">
        <f>J10/J29*100</f>
        <v>35.184769078268914</v>
      </c>
    </row>
    <row r="35" spans="2:13" ht="15" thickBot="1" x14ac:dyDescent="0.25">
      <c r="F35" s="67" t="s">
        <v>106</v>
      </c>
      <c r="M35">
        <v>0.17512678000000001</v>
      </c>
    </row>
    <row r="37" spans="2:13" x14ac:dyDescent="0.2">
      <c r="B37" s="26"/>
    </row>
    <row r="38" spans="2:13" x14ac:dyDescent="0.2">
      <c r="B38" s="107" t="s">
        <v>154</v>
      </c>
      <c r="C38" s="107" t="s">
        <v>155</v>
      </c>
      <c r="D38" s="108"/>
      <c r="E38" s="109"/>
    </row>
    <row r="39" spans="2:13" x14ac:dyDescent="0.2">
      <c r="B39" s="107" t="s">
        <v>157</v>
      </c>
      <c r="C39" s="107" t="s">
        <v>156</v>
      </c>
      <c r="D39" s="108"/>
      <c r="E39" s="109"/>
    </row>
    <row r="40" spans="2:13" x14ac:dyDescent="0.2">
      <c r="B40" s="110" t="s">
        <v>158</v>
      </c>
      <c r="C40" s="110" t="s">
        <v>159</v>
      </c>
      <c r="D40" s="109"/>
      <c r="E40" s="109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32C52-96A4-45C8-B7D4-36F8C7992745}">
  <dimension ref="B1:P40"/>
  <sheetViews>
    <sheetView zoomScale="115" zoomScaleNormal="115" workbookViewId="0">
      <selection activeCell="B39" sqref="B39"/>
    </sheetView>
  </sheetViews>
  <sheetFormatPr defaultRowHeight="12.75" x14ac:dyDescent="0.2"/>
  <cols>
    <col min="3" max="3" width="51.7109375" customWidth="1"/>
    <col min="4" max="4" width="9.7109375" bestFit="1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21" thickBot="1" x14ac:dyDescent="0.35">
      <c r="C1" s="5" t="s">
        <v>149</v>
      </c>
      <c r="D1" s="23">
        <v>8.1</v>
      </c>
      <c r="F1" s="18" t="s">
        <v>137</v>
      </c>
      <c r="G1" s="17"/>
    </row>
    <row r="2" spans="2:16" ht="13.5" thickBot="1" x14ac:dyDescent="0.25"/>
    <row r="3" spans="2:16" ht="16.5" thickBot="1" x14ac:dyDescent="0.3">
      <c r="B3" s="9" t="s">
        <v>15</v>
      </c>
      <c r="C3" s="10"/>
      <c r="D3" s="10"/>
      <c r="E3" s="10" t="s">
        <v>16</v>
      </c>
      <c r="F3" s="10"/>
      <c r="G3" s="10"/>
      <c r="H3" s="10" t="s">
        <v>18</v>
      </c>
      <c r="I3" s="10"/>
      <c r="J3" s="79"/>
    </row>
    <row r="4" spans="2:16" ht="15" thickBot="1" x14ac:dyDescent="0.25">
      <c r="B4" s="80" t="s">
        <v>69</v>
      </c>
      <c r="C4" s="83" t="s">
        <v>141</v>
      </c>
      <c r="D4" s="95">
        <v>0.87</v>
      </c>
      <c r="E4" s="81" t="s">
        <v>78</v>
      </c>
      <c r="F4" s="81" t="s">
        <v>53</v>
      </c>
      <c r="G4" s="82">
        <f>D8-D12</f>
        <v>156.80000000000001</v>
      </c>
      <c r="H4" s="83" t="s">
        <v>49</v>
      </c>
      <c r="I4" s="83" t="s">
        <v>103</v>
      </c>
      <c r="J4" s="84">
        <f>(D20^2)*G21/2</f>
        <v>31777.409947256925</v>
      </c>
      <c r="M4" s="15"/>
    </row>
    <row r="5" spans="2:16" ht="12" customHeight="1" thickBot="1" x14ac:dyDescent="0.25">
      <c r="B5" s="34" t="s">
        <v>70</v>
      </c>
      <c r="C5" s="83" t="s">
        <v>142</v>
      </c>
      <c r="D5" s="95">
        <v>0.82</v>
      </c>
      <c r="E5" s="2" t="s">
        <v>79</v>
      </c>
      <c r="F5" s="2" t="s">
        <v>2</v>
      </c>
      <c r="G5" s="82">
        <f>D9-D13</f>
        <v>177.2</v>
      </c>
      <c r="H5" s="2" t="s">
        <v>26</v>
      </c>
      <c r="I5" s="2" t="s">
        <v>35</v>
      </c>
      <c r="J5" s="84">
        <f>(D23^2)*G22/2</f>
        <v>36092.887941264191</v>
      </c>
      <c r="M5" s="14"/>
    </row>
    <row r="6" spans="2:16" ht="16.5" customHeight="1" thickBot="1" x14ac:dyDescent="0.25">
      <c r="B6" s="34" t="s">
        <v>71</v>
      </c>
      <c r="C6" s="83" t="s">
        <v>143</v>
      </c>
      <c r="D6" s="92">
        <v>0.7</v>
      </c>
      <c r="E6" s="2" t="s">
        <v>80</v>
      </c>
      <c r="F6" s="2" t="s">
        <v>55</v>
      </c>
      <c r="G6" s="82">
        <f>D10-D14</f>
        <v>163.80000000000001</v>
      </c>
      <c r="H6" s="2" t="s">
        <v>27</v>
      </c>
      <c r="I6" s="2" t="s">
        <v>34</v>
      </c>
      <c r="J6" s="24">
        <f>J4+J5</f>
        <v>67870.29788852112</v>
      </c>
      <c r="L6" s="90" t="s">
        <v>136</v>
      </c>
      <c r="M6" s="91"/>
    </row>
    <row r="7" spans="2:16" x14ac:dyDescent="0.2">
      <c r="B7" s="34" t="s">
        <v>41</v>
      </c>
      <c r="C7" s="83" t="s">
        <v>144</v>
      </c>
      <c r="D7" s="92">
        <v>0.7</v>
      </c>
      <c r="E7" s="2" t="s">
        <v>0</v>
      </c>
      <c r="F7" s="2" t="s">
        <v>54</v>
      </c>
      <c r="G7" s="82">
        <f>D11-D15</f>
        <v>184.2</v>
      </c>
      <c r="H7" s="2" t="s">
        <v>32</v>
      </c>
      <c r="I7" s="2" t="s">
        <v>33</v>
      </c>
      <c r="J7" s="24">
        <f>G10*D1*G27</f>
        <v>2020.6259999999997</v>
      </c>
    </row>
    <row r="8" spans="2:16" x14ac:dyDescent="0.2">
      <c r="B8" s="34" t="s">
        <v>72</v>
      </c>
      <c r="C8" s="2" t="s">
        <v>61</v>
      </c>
      <c r="D8" s="21">
        <v>185.8</v>
      </c>
      <c r="E8" s="4" t="s">
        <v>7</v>
      </c>
      <c r="F8" s="2" t="s">
        <v>3</v>
      </c>
      <c r="G8" s="6">
        <f>(D8+D9)-(D12+D13)</f>
        <v>334</v>
      </c>
      <c r="H8" s="75" t="s">
        <v>104</v>
      </c>
      <c r="I8" s="4" t="s">
        <v>115</v>
      </c>
      <c r="J8" s="102">
        <f>J7/J6</f>
        <v>2.9771874632389783E-2</v>
      </c>
      <c r="K8" s="31">
        <f>J8*180/3.142</f>
        <v>1.7055816148409171</v>
      </c>
      <c r="L8" s="28" t="s">
        <v>114</v>
      </c>
      <c r="P8" s="20"/>
    </row>
    <row r="9" spans="2:16" ht="13.5" thickBot="1" x14ac:dyDescent="0.25">
      <c r="B9" s="34" t="s">
        <v>73</v>
      </c>
      <c r="C9" s="2" t="s">
        <v>62</v>
      </c>
      <c r="D9" s="21">
        <v>206.2</v>
      </c>
      <c r="E9" s="2" t="s">
        <v>6</v>
      </c>
      <c r="F9" s="2" t="s">
        <v>4</v>
      </c>
      <c r="G9" s="6">
        <f>(D10+D11)-(D14+D15)</f>
        <v>348</v>
      </c>
      <c r="H9" s="2" t="s">
        <v>14</v>
      </c>
      <c r="I9" s="2" t="s">
        <v>36</v>
      </c>
      <c r="J9" s="105">
        <f>(J8*G21*D20)/2</f>
        <v>643.58711911006071</v>
      </c>
      <c r="P9" s="8"/>
    </row>
    <row r="10" spans="2:16" ht="13.5" thickBot="1" x14ac:dyDescent="0.25">
      <c r="B10" s="34" t="s">
        <v>74</v>
      </c>
      <c r="C10" s="2" t="s">
        <v>63</v>
      </c>
      <c r="D10" s="21">
        <v>198.8</v>
      </c>
      <c r="E10" s="70" t="s">
        <v>101</v>
      </c>
      <c r="F10" s="70" t="s">
        <v>99</v>
      </c>
      <c r="G10" s="21">
        <f>(G9+G8)</f>
        <v>682</v>
      </c>
      <c r="H10" s="46" t="s">
        <v>17</v>
      </c>
      <c r="I10" s="4" t="s">
        <v>37</v>
      </c>
      <c r="J10" s="29">
        <f>(J8*G22*D23)/2</f>
        <v>706.94272033434902</v>
      </c>
      <c r="L10" s="48" t="s">
        <v>116</v>
      </c>
      <c r="M10" s="49"/>
      <c r="P10" s="8"/>
    </row>
    <row r="11" spans="2:16" ht="13.5" thickBot="1" x14ac:dyDescent="0.25">
      <c r="B11" s="34" t="s">
        <v>1</v>
      </c>
      <c r="C11" s="2" t="s">
        <v>64</v>
      </c>
      <c r="D11" s="21">
        <v>219.2</v>
      </c>
      <c r="E11" s="70" t="s">
        <v>97</v>
      </c>
      <c r="F11" s="70" t="s">
        <v>100</v>
      </c>
      <c r="G11" s="73">
        <f>(G10+D12+D13+D14+D15)</f>
        <v>810</v>
      </c>
      <c r="H11" s="3"/>
      <c r="I11" s="3"/>
      <c r="J11" s="25"/>
      <c r="K11" s="1"/>
      <c r="P11" s="22"/>
    </row>
    <row r="12" spans="2:16" ht="13.5" thickBot="1" x14ac:dyDescent="0.25">
      <c r="B12" s="34" t="s">
        <v>75</v>
      </c>
      <c r="C12" s="2" t="s">
        <v>65</v>
      </c>
      <c r="D12" s="97">
        <v>29</v>
      </c>
      <c r="E12" s="74" t="s">
        <v>110</v>
      </c>
      <c r="F12" s="74" t="s">
        <v>111</v>
      </c>
      <c r="G12" s="73">
        <f>(D12+D13+D14+D15)</f>
        <v>128</v>
      </c>
      <c r="H12" s="2" t="s">
        <v>42</v>
      </c>
      <c r="I12" s="4" t="s">
        <v>121</v>
      </c>
      <c r="J12" s="24">
        <f>G8*D1*D29/D20</f>
        <v>110.42448979591838</v>
      </c>
      <c r="L12" s="48" t="s">
        <v>132</v>
      </c>
      <c r="M12" s="49"/>
      <c r="P12" s="8"/>
    </row>
    <row r="13" spans="2:16" x14ac:dyDescent="0.2">
      <c r="B13" s="34" t="s">
        <v>76</v>
      </c>
      <c r="C13" s="2" t="s">
        <v>66</v>
      </c>
      <c r="D13" s="21">
        <v>29</v>
      </c>
      <c r="E13" s="4" t="s">
        <v>94</v>
      </c>
      <c r="F13" s="2" t="s">
        <v>56</v>
      </c>
      <c r="G13" s="7">
        <f>D16*M35</f>
        <v>41.154793300000001</v>
      </c>
      <c r="H13" s="2" t="s">
        <v>45</v>
      </c>
      <c r="I13" s="4" t="s">
        <v>122</v>
      </c>
      <c r="J13" s="24">
        <f>G9*D1*D30/D23</f>
        <v>315.26052631578943</v>
      </c>
      <c r="P13" s="8"/>
    </row>
    <row r="14" spans="2:16" x14ac:dyDescent="0.2">
      <c r="B14" s="34" t="s">
        <v>77</v>
      </c>
      <c r="C14" s="2" t="s">
        <v>67</v>
      </c>
      <c r="D14" s="21">
        <v>35</v>
      </c>
      <c r="E14" s="4" t="s">
        <v>95</v>
      </c>
      <c r="F14" s="2" t="s">
        <v>57</v>
      </c>
      <c r="G14" s="7">
        <f>D17*M35</f>
        <v>41.154793300000001</v>
      </c>
      <c r="H14" s="2" t="s">
        <v>43</v>
      </c>
      <c r="I14" s="4" t="s">
        <v>123</v>
      </c>
      <c r="J14" s="24">
        <f>D12+D13*D1*D25/D20</f>
        <v>73.742857142857147</v>
      </c>
    </row>
    <row r="15" spans="2:16" x14ac:dyDescent="0.2">
      <c r="B15" s="34" t="s">
        <v>5</v>
      </c>
      <c r="C15" s="2" t="s">
        <v>68</v>
      </c>
      <c r="D15" s="21">
        <v>35</v>
      </c>
      <c r="E15" s="2" t="s">
        <v>81</v>
      </c>
      <c r="F15" s="2" t="s">
        <v>58</v>
      </c>
      <c r="G15" s="7">
        <f>D18*M35</f>
        <v>58.842598080000002</v>
      </c>
      <c r="H15" s="2" t="s">
        <v>44</v>
      </c>
      <c r="I15" s="4" t="s">
        <v>124</v>
      </c>
      <c r="J15" s="24">
        <f>D14+D15*D1*D26/D23</f>
        <v>87.223684210526329</v>
      </c>
      <c r="L15" s="36"/>
    </row>
    <row r="16" spans="2:16" x14ac:dyDescent="0.2">
      <c r="B16" s="34" t="s">
        <v>87</v>
      </c>
      <c r="C16" s="2" t="s">
        <v>89</v>
      </c>
      <c r="D16" s="106">
        <v>235</v>
      </c>
      <c r="E16" s="2" t="s">
        <v>82</v>
      </c>
      <c r="F16" s="2" t="s">
        <v>59</v>
      </c>
      <c r="G16" s="7">
        <f>D19*M35</f>
        <v>59.017724860000001</v>
      </c>
      <c r="H16" s="2"/>
      <c r="I16" s="70" t="s">
        <v>125</v>
      </c>
      <c r="J16" s="77">
        <f>J9+J12+J14</f>
        <v>827.75446604883621</v>
      </c>
    </row>
    <row r="17" spans="2:16" ht="13.5" thickBot="1" x14ac:dyDescent="0.25">
      <c r="B17" s="34" t="s">
        <v>88</v>
      </c>
      <c r="C17" s="2" t="s">
        <v>90</v>
      </c>
      <c r="D17" s="106">
        <v>235</v>
      </c>
      <c r="E17" s="2" t="s">
        <v>83</v>
      </c>
      <c r="F17" s="2" t="s">
        <v>60</v>
      </c>
      <c r="G17" s="37">
        <f>(D4^2*G13)</f>
        <v>31.150063048770001</v>
      </c>
      <c r="H17" s="2"/>
      <c r="I17" s="70" t="s">
        <v>126</v>
      </c>
      <c r="J17" s="78">
        <f>J10+J13+J15</f>
        <v>1109.4269308606647</v>
      </c>
      <c r="L17" s="36"/>
      <c r="P17" s="22"/>
    </row>
    <row r="18" spans="2:16" ht="13.5" thickBot="1" x14ac:dyDescent="0.25">
      <c r="B18" s="34" t="s">
        <v>81</v>
      </c>
      <c r="C18" s="2" t="s">
        <v>91</v>
      </c>
      <c r="D18" s="98">
        <v>336</v>
      </c>
      <c r="E18" s="2" t="s">
        <v>84</v>
      </c>
      <c r="F18" s="2" t="s">
        <v>85</v>
      </c>
      <c r="G18" s="37">
        <f>(D5^2*G14)</f>
        <v>27.672483014919997</v>
      </c>
      <c r="H18" s="2"/>
      <c r="I18" s="76" t="s">
        <v>127</v>
      </c>
      <c r="J18" s="45">
        <f>J16+J17</f>
        <v>1937.181396909501</v>
      </c>
      <c r="P18" s="22"/>
    </row>
    <row r="19" spans="2:16" x14ac:dyDescent="0.2">
      <c r="B19" s="34" t="s">
        <v>82</v>
      </c>
      <c r="C19" s="2" t="s">
        <v>92</v>
      </c>
      <c r="D19" s="98">
        <v>337</v>
      </c>
      <c r="E19" s="2" t="s">
        <v>134</v>
      </c>
      <c r="F19" s="2" t="s">
        <v>130</v>
      </c>
      <c r="G19" s="37">
        <f>(D10*M35)</f>
        <v>34.815203864000004</v>
      </c>
      <c r="H19" s="2" t="s">
        <v>86</v>
      </c>
      <c r="I19" s="2" t="s">
        <v>38</v>
      </c>
      <c r="J19" s="40">
        <f>(D8*9.81)+J16</f>
        <v>2650.4524660488364</v>
      </c>
      <c r="L19" s="52" t="s">
        <v>108</v>
      </c>
      <c r="M19" s="53"/>
      <c r="N19" s="54"/>
      <c r="O19" s="55"/>
      <c r="P19" s="22"/>
    </row>
    <row r="20" spans="2:16" x14ac:dyDescent="0.2">
      <c r="B20" s="34" t="s">
        <v>10</v>
      </c>
      <c r="C20" s="2" t="s">
        <v>8</v>
      </c>
      <c r="D20" s="21">
        <v>1.47</v>
      </c>
      <c r="E20" s="2" t="s">
        <v>135</v>
      </c>
      <c r="F20" s="2" t="s">
        <v>131</v>
      </c>
      <c r="G20" s="37">
        <f>(D11*M35)</f>
        <v>38.387790176000003</v>
      </c>
      <c r="H20" s="4" t="s">
        <v>96</v>
      </c>
      <c r="I20" s="2" t="s">
        <v>148</v>
      </c>
      <c r="J20" s="40">
        <f>(D9*9.81)-J16</f>
        <v>1195.0675339511636</v>
      </c>
      <c r="L20" s="56" t="s">
        <v>107</v>
      </c>
      <c r="M20" s="19"/>
      <c r="N20" s="19"/>
      <c r="O20" s="57"/>
      <c r="P20" s="22"/>
    </row>
    <row r="21" spans="2:16" x14ac:dyDescent="0.2">
      <c r="B21" s="34"/>
      <c r="C21" s="2"/>
      <c r="D21" s="33"/>
      <c r="E21" s="2"/>
      <c r="F21" s="2" t="s">
        <v>146</v>
      </c>
      <c r="G21" s="37">
        <f>(G17+G18)*1000/2</f>
        <v>29411.273031844998</v>
      </c>
      <c r="H21" s="4"/>
      <c r="I21" s="2"/>
      <c r="J21" s="93"/>
      <c r="L21" s="56"/>
      <c r="M21" s="19"/>
      <c r="N21" s="19"/>
      <c r="O21" s="57"/>
      <c r="P21" s="22"/>
    </row>
    <row r="22" spans="2:16" x14ac:dyDescent="0.2">
      <c r="B22" s="34"/>
      <c r="C22" s="2"/>
      <c r="D22" s="33"/>
      <c r="E22" s="2"/>
      <c r="F22" s="2" t="s">
        <v>147</v>
      </c>
      <c r="G22" s="37">
        <f>(G18+G19)*1000/2</f>
        <v>31243.843439460001</v>
      </c>
      <c r="H22" s="4"/>
      <c r="I22" s="2"/>
      <c r="J22" s="93"/>
      <c r="L22" s="56"/>
      <c r="M22" s="19"/>
      <c r="N22" s="19"/>
      <c r="O22" s="57"/>
      <c r="P22" s="22"/>
    </row>
    <row r="23" spans="2:16" x14ac:dyDescent="0.2">
      <c r="B23" s="34" t="s">
        <v>11</v>
      </c>
      <c r="C23" s="2" t="s">
        <v>9</v>
      </c>
      <c r="D23" s="21">
        <v>1.52</v>
      </c>
      <c r="E23" s="2" t="s">
        <v>21</v>
      </c>
      <c r="F23" s="4" t="s">
        <v>98</v>
      </c>
      <c r="G23" s="11">
        <f>G9*D24/G10</f>
        <v>1.3011730205278591</v>
      </c>
      <c r="H23" s="4" t="s">
        <v>93</v>
      </c>
      <c r="I23" s="2" t="s">
        <v>39</v>
      </c>
      <c r="J23" s="32">
        <f>(D10*9.81)+J17</f>
        <v>3059.654930860665</v>
      </c>
      <c r="L23" s="58" t="s">
        <v>113</v>
      </c>
      <c r="M23" s="19"/>
      <c r="N23" s="19"/>
      <c r="O23" s="57"/>
    </row>
    <row r="24" spans="2:16" ht="13.5" thickBot="1" x14ac:dyDescent="0.25">
      <c r="B24" s="34" t="s">
        <v>13</v>
      </c>
      <c r="C24" s="2" t="s">
        <v>12</v>
      </c>
      <c r="D24" s="21">
        <v>2.5499999999999998</v>
      </c>
      <c r="E24" s="2" t="s">
        <v>22</v>
      </c>
      <c r="F24" s="2" t="s">
        <v>31</v>
      </c>
      <c r="G24" s="21">
        <f>D30-D29</f>
        <v>0.11000000000000001</v>
      </c>
      <c r="H24" s="2" t="s">
        <v>25</v>
      </c>
      <c r="I24" s="2" t="s">
        <v>40</v>
      </c>
      <c r="J24" s="32">
        <f>(D11*9.81)-J17</f>
        <v>1040.9250691393352</v>
      </c>
      <c r="L24" s="59" t="s">
        <v>112</v>
      </c>
      <c r="M24" s="60"/>
      <c r="N24" s="60"/>
      <c r="O24" s="61"/>
    </row>
    <row r="25" spans="2:16" x14ac:dyDescent="0.2">
      <c r="B25" s="69" t="s">
        <v>119</v>
      </c>
      <c r="C25" s="70" t="s">
        <v>117</v>
      </c>
      <c r="D25" s="96">
        <v>0.28000000000000003</v>
      </c>
      <c r="E25" s="2" t="s">
        <v>23</v>
      </c>
      <c r="F25" s="2" t="s">
        <v>28</v>
      </c>
      <c r="G25" s="16">
        <f>(G24/D24)*G23</f>
        <v>5.6129032258064517E-2</v>
      </c>
      <c r="H25" s="2"/>
      <c r="I25" s="41" t="s">
        <v>128</v>
      </c>
      <c r="J25" s="42">
        <f>G11*9.81</f>
        <v>7946.1</v>
      </c>
    </row>
    <row r="26" spans="2:16" ht="13.5" thickBot="1" x14ac:dyDescent="0.25">
      <c r="B26" s="71" t="s">
        <v>118</v>
      </c>
      <c r="C26" s="72" t="s">
        <v>120</v>
      </c>
      <c r="D26" s="99">
        <v>0.28000000000000003</v>
      </c>
      <c r="E26" s="2" t="s">
        <v>24</v>
      </c>
      <c r="F26" s="2" t="s">
        <v>29</v>
      </c>
      <c r="G26" s="21">
        <f>G25+D29</f>
        <v>0.11612903225806451</v>
      </c>
      <c r="H26" s="2"/>
      <c r="I26" s="30" t="s">
        <v>129</v>
      </c>
      <c r="J26" s="94">
        <f>J24+J23+J20+J19</f>
        <v>7946.1</v>
      </c>
    </row>
    <row r="27" spans="2:16" x14ac:dyDescent="0.2">
      <c r="B27" s="88" t="s">
        <v>138</v>
      </c>
      <c r="C27" s="2" t="s">
        <v>48</v>
      </c>
      <c r="D27" s="96">
        <v>0.45</v>
      </c>
      <c r="E27" s="2" t="s">
        <v>52</v>
      </c>
      <c r="F27" s="2" t="s">
        <v>30</v>
      </c>
      <c r="G27" s="92">
        <f>D28-G25-D29</f>
        <v>0.3657771260997067</v>
      </c>
      <c r="H27" s="2"/>
      <c r="I27" s="2"/>
      <c r="J27" s="39"/>
    </row>
    <row r="28" spans="2:16" ht="13.5" thickBot="1" x14ac:dyDescent="0.25">
      <c r="B28" s="34" t="s">
        <v>46</v>
      </c>
      <c r="C28" s="2" t="s">
        <v>47</v>
      </c>
      <c r="D28" s="92">
        <f>((D27*G11)-(SUM(D12:D13)*D25)-( SUM(D14:D15)*D26))/G10</f>
        <v>0.48190615835777123</v>
      </c>
      <c r="F28" s="2"/>
      <c r="G28" s="6"/>
      <c r="H28" s="2"/>
      <c r="I28" s="2"/>
      <c r="J28" s="38"/>
    </row>
    <row r="29" spans="2:16" ht="13.5" thickBot="1" x14ac:dyDescent="0.25">
      <c r="B29" s="34" t="s">
        <v>19</v>
      </c>
      <c r="C29" s="4" t="s">
        <v>139</v>
      </c>
      <c r="D29" s="100">
        <v>0.06</v>
      </c>
      <c r="E29" s="2"/>
      <c r="F29" s="2"/>
      <c r="G29" s="6"/>
      <c r="H29" s="2" t="s">
        <v>50</v>
      </c>
      <c r="I29" s="27" t="s">
        <v>51</v>
      </c>
      <c r="J29" s="45">
        <f>G11*D1*D27/D20+D23/2</f>
        <v>2009.2293877551022</v>
      </c>
      <c r="L29" s="62" t="s">
        <v>109</v>
      </c>
      <c r="M29" s="54"/>
      <c r="N29" s="54"/>
      <c r="O29" s="63"/>
      <c r="P29" s="55"/>
    </row>
    <row r="30" spans="2:16" ht="13.5" thickBot="1" x14ac:dyDescent="0.25">
      <c r="B30" s="85" t="s">
        <v>20</v>
      </c>
      <c r="C30" s="89" t="s">
        <v>140</v>
      </c>
      <c r="D30" s="101">
        <v>0.17</v>
      </c>
      <c r="E30" s="35"/>
      <c r="F30" s="35"/>
      <c r="G30" s="86"/>
      <c r="H30" s="35"/>
      <c r="I30" s="35"/>
      <c r="J30" s="87"/>
      <c r="L30" s="64" t="s">
        <v>133</v>
      </c>
      <c r="M30" s="60"/>
      <c r="N30" s="60"/>
      <c r="O30" s="65"/>
      <c r="P30" s="61"/>
    </row>
    <row r="31" spans="2:16" ht="13.5" thickBot="1" x14ac:dyDescent="0.25">
      <c r="I31" s="26" t="s">
        <v>150</v>
      </c>
      <c r="J31" s="103">
        <f>J19-J20</f>
        <v>1455.3849320976728</v>
      </c>
      <c r="L31" s="44"/>
      <c r="M31" s="44"/>
      <c r="N31" s="44"/>
      <c r="O31" s="44"/>
    </row>
    <row r="32" spans="2:16" ht="15" thickBot="1" x14ac:dyDescent="0.25">
      <c r="D32" s="50" t="s">
        <v>102</v>
      </c>
      <c r="E32" s="51"/>
      <c r="G32" s="12"/>
      <c r="H32" s="12"/>
      <c r="I32" s="12" t="s">
        <v>151</v>
      </c>
      <c r="J32" s="103">
        <f>J23-J24</f>
        <v>2018.7298617213298</v>
      </c>
      <c r="L32" s="43"/>
      <c r="M32" s="43"/>
      <c r="N32" s="43"/>
      <c r="O32" s="43"/>
    </row>
    <row r="33" spans="2:13" ht="15.75" thickBot="1" x14ac:dyDescent="0.3">
      <c r="G33" s="12"/>
      <c r="H33" s="13"/>
      <c r="I33" s="12" t="s">
        <v>152</v>
      </c>
      <c r="J33" s="103">
        <f>J31-J32</f>
        <v>-563.34492962365698</v>
      </c>
    </row>
    <row r="34" spans="2:13" ht="18" thickBot="1" x14ac:dyDescent="0.25">
      <c r="C34" s="68" t="s">
        <v>145</v>
      </c>
      <c r="F34" s="66" t="s">
        <v>105</v>
      </c>
      <c r="I34" s="104" t="s">
        <v>153</v>
      </c>
      <c r="J34">
        <f>J10/J29*100</f>
        <v>35.184769078268914</v>
      </c>
    </row>
    <row r="35" spans="2:13" ht="15" thickBot="1" x14ac:dyDescent="0.25">
      <c r="F35" s="67" t="s">
        <v>106</v>
      </c>
      <c r="M35">
        <v>0.17512678000000001</v>
      </c>
    </row>
    <row r="37" spans="2:13" x14ac:dyDescent="0.2">
      <c r="B37" s="26"/>
    </row>
    <row r="38" spans="2:13" x14ac:dyDescent="0.2">
      <c r="B38" s="104"/>
      <c r="C38" s="104"/>
      <c r="D38" s="111"/>
      <c r="E38" s="112"/>
    </row>
    <row r="39" spans="2:13" x14ac:dyDescent="0.2">
      <c r="B39" s="104"/>
      <c r="C39" s="104"/>
      <c r="D39" s="111"/>
      <c r="E39" s="112"/>
    </row>
    <row r="40" spans="2:13" x14ac:dyDescent="0.2">
      <c r="B40" s="113"/>
      <c r="C40" s="113"/>
      <c r="D40" s="112"/>
      <c r="E40" s="112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A2172-C17C-4BD1-A139-BBE6697C53BB}">
  <dimension ref="B1:P40"/>
  <sheetViews>
    <sheetView zoomScale="115" zoomScaleNormal="115" workbookViewId="0">
      <selection activeCell="K13" sqref="K13"/>
    </sheetView>
  </sheetViews>
  <sheetFormatPr defaultRowHeight="12.75" x14ac:dyDescent="0.2"/>
  <cols>
    <col min="3" max="3" width="51.7109375" customWidth="1"/>
    <col min="4" max="4" width="9.7109375" bestFit="1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21" thickBot="1" x14ac:dyDescent="0.35">
      <c r="C1" s="5" t="s">
        <v>149</v>
      </c>
      <c r="D1" s="23">
        <v>8.1</v>
      </c>
      <c r="F1" s="18" t="s">
        <v>137</v>
      </c>
      <c r="G1" s="17"/>
    </row>
    <row r="2" spans="2:16" ht="13.5" thickBot="1" x14ac:dyDescent="0.25"/>
    <row r="3" spans="2:16" ht="16.5" thickBot="1" x14ac:dyDescent="0.3">
      <c r="B3" s="9" t="s">
        <v>15</v>
      </c>
      <c r="C3" s="10"/>
      <c r="D3" s="10"/>
      <c r="E3" s="10" t="s">
        <v>16</v>
      </c>
      <c r="F3" s="10"/>
      <c r="G3" s="10"/>
      <c r="H3" s="10" t="s">
        <v>18</v>
      </c>
      <c r="I3" s="10"/>
      <c r="J3" s="79"/>
    </row>
    <row r="4" spans="2:16" ht="15" thickBot="1" x14ac:dyDescent="0.25">
      <c r="B4" s="80" t="s">
        <v>69</v>
      </c>
      <c r="C4" s="83" t="s">
        <v>141</v>
      </c>
      <c r="D4" s="95">
        <v>0.87</v>
      </c>
      <c r="E4" s="81" t="s">
        <v>78</v>
      </c>
      <c r="F4" s="81" t="s">
        <v>53</v>
      </c>
      <c r="G4" s="82">
        <f>D8-D12</f>
        <v>156.80000000000001</v>
      </c>
      <c r="H4" s="83" t="s">
        <v>49</v>
      </c>
      <c r="I4" s="83" t="s">
        <v>103</v>
      </c>
      <c r="J4" s="84">
        <f>(D20^2)*G21/2</f>
        <v>37875.968196709211</v>
      </c>
      <c r="M4" s="15"/>
    </row>
    <row r="5" spans="2:16" ht="12" customHeight="1" thickBot="1" x14ac:dyDescent="0.25">
      <c r="B5" s="34" t="s">
        <v>70</v>
      </c>
      <c r="C5" s="83" t="s">
        <v>142</v>
      </c>
      <c r="D5" s="95">
        <v>0.82</v>
      </c>
      <c r="E5" s="2" t="s">
        <v>79</v>
      </c>
      <c r="F5" s="2" t="s">
        <v>2</v>
      </c>
      <c r="G5" s="82">
        <f>D9-D13</f>
        <v>177.2</v>
      </c>
      <c r="H5" s="2" t="s">
        <v>26</v>
      </c>
      <c r="I5" s="2" t="s">
        <v>35</v>
      </c>
      <c r="J5" s="84">
        <f>(D23^2)*G22/2</f>
        <v>39160.383861020542</v>
      </c>
      <c r="M5" s="14"/>
    </row>
    <row r="6" spans="2:16" ht="16.5" customHeight="1" thickBot="1" x14ac:dyDescent="0.25">
      <c r="B6" s="34" t="s">
        <v>71</v>
      </c>
      <c r="C6" s="83" t="s">
        <v>143</v>
      </c>
      <c r="D6" s="92">
        <v>0.7</v>
      </c>
      <c r="E6" s="2" t="s">
        <v>80</v>
      </c>
      <c r="F6" s="2" t="s">
        <v>55</v>
      </c>
      <c r="G6" s="82">
        <f>D10-D14</f>
        <v>163.80000000000001</v>
      </c>
      <c r="H6" s="2" t="s">
        <v>27</v>
      </c>
      <c r="I6" s="2" t="s">
        <v>34</v>
      </c>
      <c r="J6" s="24">
        <f>J4+J5</f>
        <v>77036.35205772976</v>
      </c>
      <c r="L6" s="90" t="s">
        <v>136</v>
      </c>
      <c r="M6" s="91"/>
    </row>
    <row r="7" spans="2:16" x14ac:dyDescent="0.2">
      <c r="B7" s="34" t="s">
        <v>41</v>
      </c>
      <c r="C7" s="83" t="s">
        <v>144</v>
      </c>
      <c r="D7" s="92">
        <v>0.7</v>
      </c>
      <c r="E7" s="2" t="s">
        <v>0</v>
      </c>
      <c r="F7" s="2" t="s">
        <v>54</v>
      </c>
      <c r="G7" s="82">
        <f>D11-D15</f>
        <v>184.2</v>
      </c>
      <c r="H7" s="2" t="s">
        <v>32</v>
      </c>
      <c r="I7" s="2" t="s">
        <v>33</v>
      </c>
      <c r="J7" s="24">
        <f>G10*D1*G27</f>
        <v>2020.6259999999997</v>
      </c>
    </row>
    <row r="8" spans="2:16" x14ac:dyDescent="0.2">
      <c r="B8" s="34" t="s">
        <v>72</v>
      </c>
      <c r="C8" s="2" t="s">
        <v>61</v>
      </c>
      <c r="D8" s="21">
        <v>185.8</v>
      </c>
      <c r="E8" s="4" t="s">
        <v>7</v>
      </c>
      <c r="F8" s="2" t="s">
        <v>3</v>
      </c>
      <c r="G8" s="6">
        <f>(D8+D9)-(D12+D13)</f>
        <v>334</v>
      </c>
      <c r="H8" s="75" t="s">
        <v>104</v>
      </c>
      <c r="I8" s="4" t="s">
        <v>115</v>
      </c>
      <c r="J8" s="102">
        <f>J7/J6</f>
        <v>2.6229513028936991E-2</v>
      </c>
      <c r="K8" s="31">
        <f>J8*180/3.142</f>
        <v>1.5026455586278353</v>
      </c>
      <c r="L8" s="28" t="s">
        <v>114</v>
      </c>
      <c r="P8" s="20"/>
    </row>
    <row r="9" spans="2:16" ht="13.5" thickBot="1" x14ac:dyDescent="0.25">
      <c r="B9" s="34" t="s">
        <v>73</v>
      </c>
      <c r="C9" s="2" t="s">
        <v>62</v>
      </c>
      <c r="D9" s="21">
        <v>206.2</v>
      </c>
      <c r="E9" s="2" t="s">
        <v>6</v>
      </c>
      <c r="F9" s="2" t="s">
        <v>4</v>
      </c>
      <c r="G9" s="6">
        <f>(D10+D11)-(D14+D15)</f>
        <v>348</v>
      </c>
      <c r="H9" s="2" t="s">
        <v>14</v>
      </c>
      <c r="I9" s="114" t="s">
        <v>36</v>
      </c>
      <c r="J9" s="105">
        <f>(J8*G21*D20)/2</f>
        <v>675.82870836679422</v>
      </c>
      <c r="P9" s="8"/>
    </row>
    <row r="10" spans="2:16" ht="13.5" thickBot="1" x14ac:dyDescent="0.25">
      <c r="B10" s="34" t="s">
        <v>74</v>
      </c>
      <c r="C10" s="2" t="s">
        <v>63</v>
      </c>
      <c r="D10" s="21">
        <v>198.8</v>
      </c>
      <c r="E10" s="70" t="s">
        <v>101</v>
      </c>
      <c r="F10" s="70" t="s">
        <v>99</v>
      </c>
      <c r="G10" s="21">
        <f>(G9+G8)</f>
        <v>682</v>
      </c>
      <c r="H10" s="46" t="s">
        <v>17</v>
      </c>
      <c r="I10" s="115" t="s">
        <v>37</v>
      </c>
      <c r="J10" s="29">
        <f>(J8*G22*D23)/2</f>
        <v>675.76170967158691</v>
      </c>
      <c r="L10" s="48" t="s">
        <v>116</v>
      </c>
      <c r="M10" s="49"/>
      <c r="P10" s="8"/>
    </row>
    <row r="11" spans="2:16" ht="13.5" thickBot="1" x14ac:dyDescent="0.25">
      <c r="B11" s="34" t="s">
        <v>1</v>
      </c>
      <c r="C11" s="2" t="s">
        <v>64</v>
      </c>
      <c r="D11" s="21">
        <v>219.2</v>
      </c>
      <c r="E11" s="70" t="s">
        <v>97</v>
      </c>
      <c r="F11" s="70" t="s">
        <v>100</v>
      </c>
      <c r="G11" s="73">
        <f>(G10+D12+D13+D14+D15)</f>
        <v>810</v>
      </c>
      <c r="H11" s="3"/>
      <c r="I11" s="3"/>
      <c r="J11" s="25"/>
      <c r="K11" s="1"/>
      <c r="P11" s="22"/>
    </row>
    <row r="12" spans="2:16" ht="13.5" thickBot="1" x14ac:dyDescent="0.25">
      <c r="B12" s="34" t="s">
        <v>75</v>
      </c>
      <c r="C12" s="2" t="s">
        <v>65</v>
      </c>
      <c r="D12" s="97">
        <v>29</v>
      </c>
      <c r="E12" s="74" t="s">
        <v>110</v>
      </c>
      <c r="F12" s="74" t="s">
        <v>111</v>
      </c>
      <c r="G12" s="73">
        <f>(D12+D13+D14+D15)</f>
        <v>128</v>
      </c>
      <c r="H12" s="2" t="s">
        <v>42</v>
      </c>
      <c r="I12" s="4" t="s">
        <v>121</v>
      </c>
      <c r="J12" s="24">
        <f>G8*D1*D29/D20</f>
        <v>110.42448979591838</v>
      </c>
      <c r="L12" s="48" t="s">
        <v>132</v>
      </c>
      <c r="M12" s="49"/>
      <c r="P12" s="8"/>
    </row>
    <row r="13" spans="2:16" x14ac:dyDescent="0.2">
      <c r="B13" s="34" t="s">
        <v>76</v>
      </c>
      <c r="C13" s="2" t="s">
        <v>66</v>
      </c>
      <c r="D13" s="21">
        <v>29</v>
      </c>
      <c r="E13" s="4" t="s">
        <v>94</v>
      </c>
      <c r="F13" s="2" t="s">
        <v>56</v>
      </c>
      <c r="G13" s="7">
        <f>D16*M35</f>
        <v>49.053011078000004</v>
      </c>
      <c r="H13" s="2" t="s">
        <v>45</v>
      </c>
      <c r="I13" s="4" t="s">
        <v>122</v>
      </c>
      <c r="J13" s="24">
        <f>G9*D1*D30/D23</f>
        <v>315.26052631578943</v>
      </c>
      <c r="P13" s="8"/>
    </row>
    <row r="14" spans="2:16" x14ac:dyDescent="0.2">
      <c r="B14" s="34" t="s">
        <v>77</v>
      </c>
      <c r="C14" s="2" t="s">
        <v>67</v>
      </c>
      <c r="D14" s="21">
        <v>35</v>
      </c>
      <c r="E14" s="4" t="s">
        <v>95</v>
      </c>
      <c r="F14" s="2" t="s">
        <v>57</v>
      </c>
      <c r="G14" s="7">
        <f>D17*M35</f>
        <v>49.053011078000004</v>
      </c>
      <c r="H14" s="2" t="s">
        <v>43</v>
      </c>
      <c r="I14" s="4" t="s">
        <v>123</v>
      </c>
      <c r="J14" s="24">
        <f>D12+D13*D1*D25/D20</f>
        <v>73.742857142857147</v>
      </c>
    </row>
    <row r="15" spans="2:16" x14ac:dyDescent="0.2">
      <c r="B15" s="34" t="s">
        <v>5</v>
      </c>
      <c r="C15" s="2" t="s">
        <v>68</v>
      </c>
      <c r="D15" s="21">
        <v>35</v>
      </c>
      <c r="E15" s="2" t="s">
        <v>81</v>
      </c>
      <c r="F15" s="2" t="s">
        <v>58</v>
      </c>
      <c r="G15" s="7">
        <f>D18*M35</f>
        <v>58.842598080000002</v>
      </c>
      <c r="H15" s="2" t="s">
        <v>44</v>
      </c>
      <c r="I15" s="4" t="s">
        <v>124</v>
      </c>
      <c r="J15" s="24">
        <f>D14+D15*D1*D26/D23</f>
        <v>87.223684210526329</v>
      </c>
      <c r="L15" s="36"/>
    </row>
    <row r="16" spans="2:16" x14ac:dyDescent="0.2">
      <c r="B16" s="34" t="s">
        <v>87</v>
      </c>
      <c r="C16" s="2" t="s">
        <v>89</v>
      </c>
      <c r="D16" s="116">
        <v>280.10000000000002</v>
      </c>
      <c r="E16" s="2" t="s">
        <v>82</v>
      </c>
      <c r="F16" s="2" t="s">
        <v>59</v>
      </c>
      <c r="G16" s="7">
        <f>D19*M35</f>
        <v>59.017724860000001</v>
      </c>
      <c r="H16" s="2"/>
      <c r="I16" s="70" t="s">
        <v>125</v>
      </c>
      <c r="J16" s="77">
        <f>J9+J12+J14</f>
        <v>859.99605530556971</v>
      </c>
    </row>
    <row r="17" spans="2:16" ht="13.5" thickBot="1" x14ac:dyDescent="0.25">
      <c r="B17" s="34" t="s">
        <v>88</v>
      </c>
      <c r="C17" s="2" t="s">
        <v>90</v>
      </c>
      <c r="D17" s="116">
        <v>280.10000000000002</v>
      </c>
      <c r="E17" s="2" t="s">
        <v>83</v>
      </c>
      <c r="F17" s="2" t="s">
        <v>60</v>
      </c>
      <c r="G17" s="37">
        <f>(D4^2*G13)</f>
        <v>37.128224084938203</v>
      </c>
      <c r="H17" s="2"/>
      <c r="I17" s="70" t="s">
        <v>126</v>
      </c>
      <c r="J17" s="78">
        <f>J10+J13+J15</f>
        <v>1078.2459201979027</v>
      </c>
      <c r="L17" s="36"/>
      <c r="P17" s="22"/>
    </row>
    <row r="18" spans="2:16" ht="13.5" thickBot="1" x14ac:dyDescent="0.25">
      <c r="B18" s="34" t="s">
        <v>81</v>
      </c>
      <c r="C18" s="2" t="s">
        <v>91</v>
      </c>
      <c r="D18" s="98">
        <v>336</v>
      </c>
      <c r="E18" s="2" t="s">
        <v>84</v>
      </c>
      <c r="F18" s="2" t="s">
        <v>85</v>
      </c>
      <c r="G18" s="37">
        <f>(D5^2*G14)</f>
        <v>32.983244648847197</v>
      </c>
      <c r="H18" s="2"/>
      <c r="I18" s="76" t="s">
        <v>127</v>
      </c>
      <c r="J18" s="45">
        <f>J16+J17</f>
        <v>1938.2419755034725</v>
      </c>
      <c r="P18" s="22"/>
    </row>
    <row r="19" spans="2:16" x14ac:dyDescent="0.2">
      <c r="B19" s="34" t="s">
        <v>82</v>
      </c>
      <c r="C19" s="2" t="s">
        <v>92</v>
      </c>
      <c r="D19" s="98">
        <v>337</v>
      </c>
      <c r="E19" s="2" t="s">
        <v>134</v>
      </c>
      <c r="F19" s="2" t="s">
        <v>130</v>
      </c>
      <c r="G19" s="37">
        <f>(D10*M35)</f>
        <v>34.815203864000004</v>
      </c>
      <c r="H19" s="2" t="s">
        <v>86</v>
      </c>
      <c r="I19" s="2" t="s">
        <v>38</v>
      </c>
      <c r="J19" s="40">
        <f>(D8*9.81)+J16</f>
        <v>2682.6940553055697</v>
      </c>
      <c r="L19" s="52" t="s">
        <v>108</v>
      </c>
      <c r="M19" s="53"/>
      <c r="N19" s="54"/>
      <c r="O19" s="55"/>
      <c r="P19" s="22"/>
    </row>
    <row r="20" spans="2:16" x14ac:dyDescent="0.2">
      <c r="B20" s="34" t="s">
        <v>10</v>
      </c>
      <c r="C20" s="2" t="s">
        <v>8</v>
      </c>
      <c r="D20" s="21">
        <v>1.47</v>
      </c>
      <c r="E20" s="2" t="s">
        <v>135</v>
      </c>
      <c r="F20" s="2" t="s">
        <v>131</v>
      </c>
      <c r="G20" s="37">
        <f>(D11*M35)</f>
        <v>38.387790176000003</v>
      </c>
      <c r="H20" s="4" t="s">
        <v>96</v>
      </c>
      <c r="I20" s="2" t="s">
        <v>148</v>
      </c>
      <c r="J20" s="40">
        <f>(D9*9.81)-J16</f>
        <v>1162.8259446944303</v>
      </c>
      <c r="L20" s="56" t="s">
        <v>107</v>
      </c>
      <c r="M20" s="19"/>
      <c r="N20" s="19"/>
      <c r="O20" s="57"/>
      <c r="P20" s="22"/>
    </row>
    <row r="21" spans="2:16" x14ac:dyDescent="0.2">
      <c r="B21" s="34"/>
      <c r="C21" s="2"/>
      <c r="D21" s="33"/>
      <c r="E21" s="2"/>
      <c r="F21" s="2" t="s">
        <v>146</v>
      </c>
      <c r="G21" s="37">
        <f>(G17+G18)*1000/2</f>
        <v>35055.734366892699</v>
      </c>
      <c r="H21" s="4"/>
      <c r="I21" s="2"/>
      <c r="J21" s="93"/>
      <c r="L21" s="56"/>
      <c r="M21" s="19"/>
      <c r="N21" s="19"/>
      <c r="O21" s="57"/>
      <c r="P21" s="22"/>
    </row>
    <row r="22" spans="2:16" x14ac:dyDescent="0.2">
      <c r="B22" s="34"/>
      <c r="C22" s="2"/>
      <c r="D22" s="33"/>
      <c r="E22" s="2"/>
      <c r="F22" s="2" t="s">
        <v>147</v>
      </c>
      <c r="G22" s="37">
        <f>(G18+G19)*1000/2</f>
        <v>33899.2242564236</v>
      </c>
      <c r="H22" s="4"/>
      <c r="I22" s="2"/>
      <c r="J22" s="93"/>
      <c r="L22" s="56"/>
      <c r="M22" s="19"/>
      <c r="N22" s="19"/>
      <c r="O22" s="57"/>
      <c r="P22" s="22"/>
    </row>
    <row r="23" spans="2:16" x14ac:dyDescent="0.2">
      <c r="B23" s="34" t="s">
        <v>11</v>
      </c>
      <c r="C23" s="2" t="s">
        <v>9</v>
      </c>
      <c r="D23" s="21">
        <v>1.52</v>
      </c>
      <c r="E23" s="2" t="s">
        <v>21</v>
      </c>
      <c r="F23" s="4" t="s">
        <v>98</v>
      </c>
      <c r="G23" s="11">
        <f>G9*D24/G10</f>
        <v>1.3011730205278591</v>
      </c>
      <c r="H23" s="4" t="s">
        <v>93</v>
      </c>
      <c r="I23" s="2" t="s">
        <v>39</v>
      </c>
      <c r="J23" s="32">
        <f>(D10*9.81)+J17</f>
        <v>3028.4739201979028</v>
      </c>
      <c r="L23" s="58" t="s">
        <v>113</v>
      </c>
      <c r="M23" s="19"/>
      <c r="N23" s="19"/>
      <c r="O23" s="57"/>
    </row>
    <row r="24" spans="2:16" ht="13.5" thickBot="1" x14ac:dyDescent="0.25">
      <c r="B24" s="34" t="s">
        <v>13</v>
      </c>
      <c r="C24" s="2" t="s">
        <v>12</v>
      </c>
      <c r="D24" s="21">
        <v>2.5499999999999998</v>
      </c>
      <c r="E24" s="2" t="s">
        <v>22</v>
      </c>
      <c r="F24" s="2" t="s">
        <v>31</v>
      </c>
      <c r="G24" s="21">
        <f>D30-D29</f>
        <v>0.11000000000000001</v>
      </c>
      <c r="H24" s="2" t="s">
        <v>25</v>
      </c>
      <c r="I24" s="2" t="s">
        <v>40</v>
      </c>
      <c r="J24" s="32">
        <f>(D11*9.81)-J17</f>
        <v>1072.1060798020972</v>
      </c>
      <c r="L24" s="59" t="s">
        <v>112</v>
      </c>
      <c r="M24" s="60"/>
      <c r="N24" s="60"/>
      <c r="O24" s="61"/>
    </row>
    <row r="25" spans="2:16" x14ac:dyDescent="0.2">
      <c r="B25" s="69" t="s">
        <v>119</v>
      </c>
      <c r="C25" s="70" t="s">
        <v>117</v>
      </c>
      <c r="D25" s="96">
        <v>0.28000000000000003</v>
      </c>
      <c r="E25" s="2" t="s">
        <v>23</v>
      </c>
      <c r="F25" s="2" t="s">
        <v>28</v>
      </c>
      <c r="G25" s="16">
        <f>(G24/D24)*G23</f>
        <v>5.6129032258064517E-2</v>
      </c>
      <c r="H25" s="2"/>
      <c r="I25" s="41" t="s">
        <v>128</v>
      </c>
      <c r="J25" s="42">
        <f>G11*9.81</f>
        <v>7946.1</v>
      </c>
    </row>
    <row r="26" spans="2:16" ht="13.5" thickBot="1" x14ac:dyDescent="0.25">
      <c r="B26" s="71" t="s">
        <v>118</v>
      </c>
      <c r="C26" s="72" t="s">
        <v>120</v>
      </c>
      <c r="D26" s="99">
        <v>0.28000000000000003</v>
      </c>
      <c r="E26" s="2" t="s">
        <v>24</v>
      </c>
      <c r="F26" s="2" t="s">
        <v>29</v>
      </c>
      <c r="G26" s="21">
        <f>G25+D29</f>
        <v>0.11612903225806451</v>
      </c>
      <c r="H26" s="2"/>
      <c r="I26" s="30" t="s">
        <v>129</v>
      </c>
      <c r="J26" s="94">
        <f>J24+J23+J20+J19</f>
        <v>7946.1</v>
      </c>
    </row>
    <row r="27" spans="2:16" x14ac:dyDescent="0.2">
      <c r="B27" s="88" t="s">
        <v>138</v>
      </c>
      <c r="C27" s="2" t="s">
        <v>48</v>
      </c>
      <c r="D27" s="96">
        <v>0.45</v>
      </c>
      <c r="E27" s="2" t="s">
        <v>52</v>
      </c>
      <c r="F27" s="2" t="s">
        <v>30</v>
      </c>
      <c r="G27" s="92">
        <f>D28-G25-D29</f>
        <v>0.3657771260997067</v>
      </c>
      <c r="H27" s="2"/>
      <c r="I27" s="2"/>
      <c r="J27" s="39"/>
    </row>
    <row r="28" spans="2:16" ht="13.5" thickBot="1" x14ac:dyDescent="0.25">
      <c r="B28" s="34" t="s">
        <v>46</v>
      </c>
      <c r="C28" s="2" t="s">
        <v>47</v>
      </c>
      <c r="D28" s="92">
        <f>((D27*G11)-(SUM(D12:D13)*D25)-( SUM(D14:D15)*D26))/G10</f>
        <v>0.48190615835777123</v>
      </c>
      <c r="F28" s="2"/>
      <c r="G28" s="6"/>
      <c r="H28" s="2"/>
      <c r="I28" s="2"/>
      <c r="J28" s="38"/>
    </row>
    <row r="29" spans="2:16" ht="13.5" thickBot="1" x14ac:dyDescent="0.25">
      <c r="B29" s="34" t="s">
        <v>19</v>
      </c>
      <c r="C29" s="4" t="s">
        <v>139</v>
      </c>
      <c r="D29" s="100">
        <v>0.06</v>
      </c>
      <c r="E29" s="2"/>
      <c r="F29" s="2"/>
      <c r="G29" s="6"/>
      <c r="H29" s="2" t="s">
        <v>50</v>
      </c>
      <c r="I29" s="27" t="s">
        <v>51</v>
      </c>
      <c r="J29" s="45">
        <f>G11*D1*D27/D20+D23/2</f>
        <v>2009.2293877551022</v>
      </c>
      <c r="L29" s="62" t="s">
        <v>109</v>
      </c>
      <c r="M29" s="54"/>
      <c r="N29" s="54"/>
      <c r="O29" s="63"/>
      <c r="P29" s="55"/>
    </row>
    <row r="30" spans="2:16" ht="13.5" thickBot="1" x14ac:dyDescent="0.25">
      <c r="B30" s="85" t="s">
        <v>20</v>
      </c>
      <c r="C30" s="89" t="s">
        <v>140</v>
      </c>
      <c r="D30" s="101">
        <v>0.17</v>
      </c>
      <c r="E30" s="35"/>
      <c r="F30" s="35"/>
      <c r="G30" s="86"/>
      <c r="H30" s="35"/>
      <c r="I30" s="35"/>
      <c r="J30" s="87"/>
      <c r="L30" s="64" t="s">
        <v>133</v>
      </c>
      <c r="M30" s="60"/>
      <c r="N30" s="60"/>
      <c r="O30" s="65"/>
      <c r="P30" s="61"/>
    </row>
    <row r="31" spans="2:16" ht="13.5" thickBot="1" x14ac:dyDescent="0.25">
      <c r="I31" s="26" t="s">
        <v>150</v>
      </c>
      <c r="J31" s="103">
        <f>J19-J20</f>
        <v>1519.8681106111394</v>
      </c>
      <c r="L31" s="44"/>
      <c r="M31" s="44"/>
      <c r="N31" s="44"/>
      <c r="O31" s="44"/>
    </row>
    <row r="32" spans="2:16" ht="15" thickBot="1" x14ac:dyDescent="0.25">
      <c r="D32" s="50" t="s">
        <v>102</v>
      </c>
      <c r="E32" s="51"/>
      <c r="G32" s="12"/>
      <c r="H32" s="12"/>
      <c r="I32" s="12" t="s">
        <v>151</v>
      </c>
      <c r="J32" s="103">
        <f>J23-J24</f>
        <v>1956.3678403958056</v>
      </c>
      <c r="L32" s="43"/>
      <c r="M32" s="43"/>
      <c r="N32" s="43"/>
      <c r="O32" s="43"/>
    </row>
    <row r="33" spans="2:13" ht="15.75" thickBot="1" x14ac:dyDescent="0.3">
      <c r="G33" s="12"/>
      <c r="H33" s="13"/>
      <c r="I33" s="12" t="s">
        <v>152</v>
      </c>
      <c r="J33" s="103">
        <f>J31-J32</f>
        <v>-436.49972978466621</v>
      </c>
    </row>
    <row r="34" spans="2:13" ht="18" thickBot="1" x14ac:dyDescent="0.25">
      <c r="C34" s="68" t="s">
        <v>145</v>
      </c>
      <c r="F34" s="66" t="s">
        <v>105</v>
      </c>
      <c r="I34" s="104" t="s">
        <v>153</v>
      </c>
      <c r="J34">
        <f>J10/J29*100</f>
        <v>33.632880037983654</v>
      </c>
    </row>
    <row r="35" spans="2:13" ht="15" thickBot="1" x14ac:dyDescent="0.25">
      <c r="F35" s="67" t="s">
        <v>106</v>
      </c>
      <c r="M35">
        <v>0.17512678000000001</v>
      </c>
    </row>
    <row r="37" spans="2:13" x14ac:dyDescent="0.2">
      <c r="B37" s="26"/>
    </row>
    <row r="38" spans="2:13" x14ac:dyDescent="0.2">
      <c r="B38" s="104"/>
      <c r="C38" s="104"/>
      <c r="D38" s="111"/>
      <c r="E38" s="112"/>
    </row>
    <row r="39" spans="2:13" x14ac:dyDescent="0.2">
      <c r="B39" s="104"/>
      <c r="C39" s="104"/>
      <c r="D39" s="111"/>
      <c r="E39" s="112"/>
    </row>
    <row r="40" spans="2:13" x14ac:dyDescent="0.2">
      <c r="B40" s="113"/>
      <c r="C40" s="113"/>
      <c r="D40" s="112"/>
      <c r="E40" s="112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8A7BA-BD83-43E6-986F-1D1B0DBBA749}">
  <dimension ref="B1:P41"/>
  <sheetViews>
    <sheetView tabSelected="1" topLeftCell="B13" zoomScaleNormal="100" workbookViewId="0">
      <selection activeCell="C41" sqref="C41"/>
    </sheetView>
  </sheetViews>
  <sheetFormatPr defaultRowHeight="12.75" x14ac:dyDescent="0.2"/>
  <cols>
    <col min="3" max="3" width="51.7109375" customWidth="1"/>
    <col min="4" max="4" width="9.7109375" bestFit="1" customWidth="1"/>
    <col min="6" max="6" width="41.7109375" customWidth="1"/>
    <col min="7" max="7" width="13.7109375" customWidth="1"/>
    <col min="9" max="9" width="53.42578125" customWidth="1"/>
    <col min="10" max="10" width="12.140625" customWidth="1"/>
    <col min="11" max="11" width="7.42578125" customWidth="1"/>
    <col min="12" max="14" width="9.140625" customWidth="1"/>
    <col min="15" max="15" width="11.140625" customWidth="1"/>
    <col min="16" max="16" width="10.140625" customWidth="1"/>
  </cols>
  <sheetData>
    <row r="1" spans="2:16" ht="21" thickBot="1" x14ac:dyDescent="0.35">
      <c r="C1" s="5" t="s">
        <v>149</v>
      </c>
      <c r="D1" s="23">
        <v>8.1</v>
      </c>
      <c r="F1" s="18" t="s">
        <v>137</v>
      </c>
      <c r="G1" s="17"/>
    </row>
    <row r="2" spans="2:16" ht="13.5" thickBot="1" x14ac:dyDescent="0.25"/>
    <row r="3" spans="2:16" ht="16.5" thickBot="1" x14ac:dyDescent="0.3">
      <c r="B3" s="9" t="s">
        <v>15</v>
      </c>
      <c r="C3" s="10"/>
      <c r="D3" s="10"/>
      <c r="E3" s="10" t="s">
        <v>16</v>
      </c>
      <c r="F3" s="10"/>
      <c r="G3" s="10"/>
      <c r="H3" s="10" t="s">
        <v>18</v>
      </c>
      <c r="I3" s="10"/>
      <c r="J3" s="79"/>
    </row>
    <row r="4" spans="2:16" ht="15" thickBot="1" x14ac:dyDescent="0.25">
      <c r="B4" s="80" t="s">
        <v>69</v>
      </c>
      <c r="C4" s="83" t="s">
        <v>141</v>
      </c>
      <c r="D4" s="95">
        <v>0.87</v>
      </c>
      <c r="E4" s="81" t="s">
        <v>78</v>
      </c>
      <c r="F4" s="81" t="s">
        <v>53</v>
      </c>
      <c r="G4" s="82">
        <f>D8-D12</f>
        <v>181.8</v>
      </c>
      <c r="H4" s="83" t="s">
        <v>49</v>
      </c>
      <c r="I4" s="83" t="s">
        <v>103</v>
      </c>
      <c r="J4" s="84">
        <f>(D20^2)*G21/2</f>
        <v>37875.968196709211</v>
      </c>
      <c r="M4" s="15"/>
    </row>
    <row r="5" spans="2:16" ht="12" customHeight="1" thickBot="1" x14ac:dyDescent="0.25">
      <c r="B5" s="34" t="s">
        <v>70</v>
      </c>
      <c r="C5" s="83" t="s">
        <v>142</v>
      </c>
      <c r="D5" s="95">
        <v>0.82</v>
      </c>
      <c r="E5" s="2" t="s">
        <v>79</v>
      </c>
      <c r="F5" s="2" t="s">
        <v>2</v>
      </c>
      <c r="G5" s="82">
        <f>D9-D13</f>
        <v>152.19999999999999</v>
      </c>
      <c r="H5" s="2" t="s">
        <v>26</v>
      </c>
      <c r="I5" s="2" t="s">
        <v>35</v>
      </c>
      <c r="J5" s="84">
        <f>(D23^2)*G22/2</f>
        <v>36631.553157820548</v>
      </c>
      <c r="M5" s="14"/>
    </row>
    <row r="6" spans="2:16" ht="16.5" customHeight="1" thickBot="1" x14ac:dyDescent="0.25">
      <c r="B6" s="34" t="s">
        <v>71</v>
      </c>
      <c r="C6" s="83" t="s">
        <v>143</v>
      </c>
      <c r="D6" s="92">
        <v>0.7</v>
      </c>
      <c r="E6" s="2" t="s">
        <v>80</v>
      </c>
      <c r="F6" s="2" t="s">
        <v>55</v>
      </c>
      <c r="G6" s="82">
        <f>D10-D14</f>
        <v>138.80000000000001</v>
      </c>
      <c r="H6" s="2" t="s">
        <v>27</v>
      </c>
      <c r="I6" s="2" t="s">
        <v>34</v>
      </c>
      <c r="J6" s="24">
        <f>J4+J5</f>
        <v>74507.521354529759</v>
      </c>
      <c r="L6" s="90" t="s">
        <v>136</v>
      </c>
      <c r="M6" s="91"/>
    </row>
    <row r="7" spans="2:16" x14ac:dyDescent="0.2">
      <c r="B7" s="34" t="s">
        <v>41</v>
      </c>
      <c r="C7" s="83" t="s">
        <v>144</v>
      </c>
      <c r="D7" s="92">
        <v>0.7</v>
      </c>
      <c r="E7" s="2" t="s">
        <v>0</v>
      </c>
      <c r="F7" s="2" t="s">
        <v>54</v>
      </c>
      <c r="G7" s="82">
        <f>D11-D15</f>
        <v>209.2</v>
      </c>
      <c r="H7" s="2" t="s">
        <v>32</v>
      </c>
      <c r="I7" s="2" t="s">
        <v>33</v>
      </c>
      <c r="J7" s="24">
        <f>G10*D1*G27</f>
        <v>2020.6259999999997</v>
      </c>
    </row>
    <row r="8" spans="2:16" x14ac:dyDescent="0.2">
      <c r="B8" s="34" t="s">
        <v>72</v>
      </c>
      <c r="C8" s="2" t="s">
        <v>61</v>
      </c>
      <c r="D8" s="119">
        <v>210.8</v>
      </c>
      <c r="E8" s="4" t="s">
        <v>7</v>
      </c>
      <c r="F8" s="2" t="s">
        <v>3</v>
      </c>
      <c r="G8" s="6">
        <f>(D8+D9)-(D12+D13)</f>
        <v>334</v>
      </c>
      <c r="H8" s="75" t="s">
        <v>104</v>
      </c>
      <c r="I8" s="4" t="s">
        <v>115</v>
      </c>
      <c r="J8" s="102">
        <f>J7/J6</f>
        <v>2.7119758693692656E-2</v>
      </c>
      <c r="K8" s="31">
        <f>J8*180/3.142</f>
        <v>1.5536462650746907</v>
      </c>
      <c r="L8" s="28" t="s">
        <v>114</v>
      </c>
      <c r="P8" s="20"/>
    </row>
    <row r="9" spans="2:16" ht="13.5" thickBot="1" x14ac:dyDescent="0.25">
      <c r="B9" s="34" t="s">
        <v>73</v>
      </c>
      <c r="C9" s="2" t="s">
        <v>62</v>
      </c>
      <c r="D9" s="119">
        <v>181.2</v>
      </c>
      <c r="E9" s="2" t="s">
        <v>6</v>
      </c>
      <c r="F9" s="2" t="s">
        <v>4</v>
      </c>
      <c r="G9" s="6">
        <f>(D10+D11)-(D14+D15)</f>
        <v>348</v>
      </c>
      <c r="H9" s="2" t="s">
        <v>14</v>
      </c>
      <c r="I9" s="117" t="s">
        <v>36</v>
      </c>
      <c r="J9" s="105">
        <f>(J8*G21*D20)/2</f>
        <v>698.76674679233429</v>
      </c>
      <c r="P9" s="8"/>
    </row>
    <row r="10" spans="2:16" ht="13.5" thickBot="1" x14ac:dyDescent="0.25">
      <c r="B10" s="34" t="s">
        <v>74</v>
      </c>
      <c r="C10" s="2" t="s">
        <v>63</v>
      </c>
      <c r="D10" s="119">
        <v>173.8</v>
      </c>
      <c r="E10" s="70" t="s">
        <v>101</v>
      </c>
      <c r="F10" s="70" t="s">
        <v>99</v>
      </c>
      <c r="G10" s="21">
        <f>(G9+G8)</f>
        <v>682</v>
      </c>
      <c r="H10" s="46" t="s">
        <v>17</v>
      </c>
      <c r="I10" s="118" t="s">
        <v>37</v>
      </c>
      <c r="J10" s="29">
        <f>(J8*G22*D23)/2</f>
        <v>653.57821198372915</v>
      </c>
      <c r="L10" s="48" t="s">
        <v>116</v>
      </c>
      <c r="M10" s="49"/>
      <c r="P10" s="8"/>
    </row>
    <row r="11" spans="2:16" ht="13.5" thickBot="1" x14ac:dyDescent="0.25">
      <c r="B11" s="34" t="s">
        <v>1</v>
      </c>
      <c r="C11" s="2" t="s">
        <v>64</v>
      </c>
      <c r="D11" s="119">
        <v>244.2</v>
      </c>
      <c r="E11" s="70" t="s">
        <v>97</v>
      </c>
      <c r="F11" s="70" t="s">
        <v>100</v>
      </c>
      <c r="G11" s="73">
        <f>(G10+D12+D13+D14+D15)</f>
        <v>810</v>
      </c>
      <c r="H11" s="3"/>
      <c r="I11" s="3"/>
      <c r="J11" s="25"/>
      <c r="K11" s="1"/>
      <c r="P11" s="22"/>
    </row>
    <row r="12" spans="2:16" ht="13.5" thickBot="1" x14ac:dyDescent="0.25">
      <c r="B12" s="34" t="s">
        <v>75</v>
      </c>
      <c r="C12" s="2" t="s">
        <v>65</v>
      </c>
      <c r="D12" s="97">
        <v>29</v>
      </c>
      <c r="E12" s="74" t="s">
        <v>110</v>
      </c>
      <c r="F12" s="74" t="s">
        <v>111</v>
      </c>
      <c r="G12" s="73">
        <f>(D12+D13+D14+D15)</f>
        <v>128</v>
      </c>
      <c r="H12" s="2" t="s">
        <v>42</v>
      </c>
      <c r="I12" s="4" t="s">
        <v>121</v>
      </c>
      <c r="J12" s="24">
        <f>G8*D1*D29/D20</f>
        <v>110.42448979591838</v>
      </c>
      <c r="L12" s="48" t="s">
        <v>132</v>
      </c>
      <c r="M12" s="49"/>
      <c r="P12" s="8"/>
    </row>
    <row r="13" spans="2:16" x14ac:dyDescent="0.2">
      <c r="B13" s="34" t="s">
        <v>76</v>
      </c>
      <c r="C13" s="2" t="s">
        <v>66</v>
      </c>
      <c r="D13" s="21">
        <v>29</v>
      </c>
      <c r="E13" s="4" t="s">
        <v>94</v>
      </c>
      <c r="F13" s="2" t="s">
        <v>56</v>
      </c>
      <c r="G13" s="7">
        <f>D16*M35</f>
        <v>49.053011078000004</v>
      </c>
      <c r="H13" s="2" t="s">
        <v>45</v>
      </c>
      <c r="I13" s="4" t="s">
        <v>122</v>
      </c>
      <c r="J13" s="24">
        <f>G9*D1*D30/D23</f>
        <v>315.26052631578943</v>
      </c>
      <c r="P13" s="8"/>
    </row>
    <row r="14" spans="2:16" x14ac:dyDescent="0.2">
      <c r="B14" s="34" t="s">
        <v>77</v>
      </c>
      <c r="C14" s="2" t="s">
        <v>67</v>
      </c>
      <c r="D14" s="21">
        <v>35</v>
      </c>
      <c r="E14" s="4" t="s">
        <v>95</v>
      </c>
      <c r="F14" s="2" t="s">
        <v>57</v>
      </c>
      <c r="G14" s="7">
        <f>D17*M35</f>
        <v>49.053011078000004</v>
      </c>
      <c r="H14" s="2" t="s">
        <v>43</v>
      </c>
      <c r="I14" s="4" t="s">
        <v>123</v>
      </c>
      <c r="J14" s="24">
        <f>D12+D13*D1*D25/D20</f>
        <v>73.742857142857147</v>
      </c>
    </row>
    <row r="15" spans="2:16" x14ac:dyDescent="0.2">
      <c r="B15" s="34" t="s">
        <v>5</v>
      </c>
      <c r="C15" s="2" t="s">
        <v>68</v>
      </c>
      <c r="D15" s="21">
        <v>35</v>
      </c>
      <c r="E15" s="2" t="s">
        <v>81</v>
      </c>
      <c r="F15" s="2" t="s">
        <v>58</v>
      </c>
      <c r="G15" s="7">
        <f>D18*M35</f>
        <v>48.159864500000005</v>
      </c>
      <c r="H15" s="2" t="s">
        <v>44</v>
      </c>
      <c r="I15" s="4" t="s">
        <v>124</v>
      </c>
      <c r="J15" s="24">
        <f>D14+D15*D1*D26/D23</f>
        <v>87.223684210526329</v>
      </c>
      <c r="L15" s="36"/>
    </row>
    <row r="16" spans="2:16" x14ac:dyDescent="0.2">
      <c r="B16" s="34" t="s">
        <v>87</v>
      </c>
      <c r="C16" s="2" t="s">
        <v>89</v>
      </c>
      <c r="D16" s="116">
        <v>280.10000000000002</v>
      </c>
      <c r="E16" s="2" t="s">
        <v>82</v>
      </c>
      <c r="F16" s="2" t="s">
        <v>59</v>
      </c>
      <c r="G16" s="7">
        <f>D19*M35</f>
        <v>48.159864500000005</v>
      </c>
      <c r="H16" s="2"/>
      <c r="I16" s="70" t="s">
        <v>125</v>
      </c>
      <c r="J16" s="77">
        <f>J9+J12+J14</f>
        <v>882.93409373110978</v>
      </c>
    </row>
    <row r="17" spans="2:16" ht="13.5" thickBot="1" x14ac:dyDescent="0.25">
      <c r="B17" s="34" t="s">
        <v>88</v>
      </c>
      <c r="C17" s="2" t="s">
        <v>90</v>
      </c>
      <c r="D17" s="116">
        <v>280.10000000000002</v>
      </c>
      <c r="E17" s="2" t="s">
        <v>83</v>
      </c>
      <c r="F17" s="2" t="s">
        <v>60</v>
      </c>
      <c r="G17" s="37">
        <f>(D4^2*G13)</f>
        <v>37.128224084938203</v>
      </c>
      <c r="H17" s="2"/>
      <c r="I17" s="70" t="s">
        <v>126</v>
      </c>
      <c r="J17" s="78">
        <f>J10+J13+J15</f>
        <v>1056.0624225100448</v>
      </c>
      <c r="L17" s="36"/>
      <c r="P17" s="22"/>
    </row>
    <row r="18" spans="2:16" ht="13.5" thickBot="1" x14ac:dyDescent="0.25">
      <c r="B18" s="34" t="s">
        <v>81</v>
      </c>
      <c r="C18" s="2" t="s">
        <v>91</v>
      </c>
      <c r="D18" s="98">
        <v>275</v>
      </c>
      <c r="E18" s="2" t="s">
        <v>84</v>
      </c>
      <c r="F18" s="2" t="s">
        <v>85</v>
      </c>
      <c r="G18" s="37">
        <f>(D5^2*G14)</f>
        <v>32.983244648847197</v>
      </c>
      <c r="H18" s="2"/>
      <c r="I18" s="76" t="s">
        <v>127</v>
      </c>
      <c r="J18" s="45">
        <f>J16+J17</f>
        <v>1938.9965162411545</v>
      </c>
      <c r="P18" s="22"/>
    </row>
    <row r="19" spans="2:16" x14ac:dyDescent="0.2">
      <c r="B19" s="34" t="s">
        <v>82</v>
      </c>
      <c r="C19" s="2" t="s">
        <v>92</v>
      </c>
      <c r="D19" s="98">
        <v>275</v>
      </c>
      <c r="E19" s="2" t="s">
        <v>134</v>
      </c>
      <c r="F19" s="2" t="s">
        <v>130</v>
      </c>
      <c r="G19" s="37">
        <f>(D10*M35)</f>
        <v>30.437034364000002</v>
      </c>
      <c r="H19" s="2" t="s">
        <v>86</v>
      </c>
      <c r="I19" s="2" t="s">
        <v>38</v>
      </c>
      <c r="J19" s="40">
        <f>(D8*9.81)+J16</f>
        <v>2950.8820937311102</v>
      </c>
      <c r="L19" s="52" t="s">
        <v>108</v>
      </c>
      <c r="M19" s="53"/>
      <c r="N19" s="54"/>
      <c r="O19" s="55"/>
      <c r="P19" s="22"/>
    </row>
    <row r="20" spans="2:16" x14ac:dyDescent="0.2">
      <c r="B20" s="34" t="s">
        <v>10</v>
      </c>
      <c r="C20" s="2" t="s">
        <v>8</v>
      </c>
      <c r="D20" s="21">
        <v>1.47</v>
      </c>
      <c r="E20" s="2" t="s">
        <v>135</v>
      </c>
      <c r="F20" s="2" t="s">
        <v>131</v>
      </c>
      <c r="G20" s="37">
        <f>(D11*M35)</f>
        <v>42.765959676000001</v>
      </c>
      <c r="H20" s="4" t="s">
        <v>96</v>
      </c>
      <c r="I20" s="2" t="s">
        <v>148</v>
      </c>
      <c r="J20" s="40">
        <f>(D9*9.81)-J16</f>
        <v>894.63790626889011</v>
      </c>
      <c r="L20" s="56" t="s">
        <v>107</v>
      </c>
      <c r="M20" s="19"/>
      <c r="N20" s="19"/>
      <c r="O20" s="57"/>
      <c r="P20" s="22"/>
    </row>
    <row r="21" spans="2:16" x14ac:dyDescent="0.2">
      <c r="B21" s="34"/>
      <c r="C21" s="2"/>
      <c r="D21" s="33"/>
      <c r="E21" s="2"/>
      <c r="F21" s="2" t="s">
        <v>146</v>
      </c>
      <c r="G21" s="37">
        <f>(G17+G18)*1000/2</f>
        <v>35055.734366892699</v>
      </c>
      <c r="H21" s="4"/>
      <c r="I21" s="2"/>
      <c r="J21" s="93"/>
      <c r="L21" s="56"/>
      <c r="M21" s="19"/>
      <c r="N21" s="19"/>
      <c r="O21" s="57"/>
      <c r="P21" s="22"/>
    </row>
    <row r="22" spans="2:16" x14ac:dyDescent="0.2">
      <c r="B22" s="34"/>
      <c r="C22" s="2"/>
      <c r="D22" s="33"/>
      <c r="E22" s="2"/>
      <c r="F22" s="2" t="s">
        <v>147</v>
      </c>
      <c r="G22" s="37">
        <f>(G18+G19)*1000/2</f>
        <v>31710.139506423602</v>
      </c>
      <c r="H22" s="4"/>
      <c r="I22" s="2"/>
      <c r="J22" s="93"/>
      <c r="L22" s="56"/>
      <c r="M22" s="19"/>
      <c r="N22" s="19"/>
      <c r="O22" s="57"/>
      <c r="P22" s="22"/>
    </row>
    <row r="23" spans="2:16" x14ac:dyDescent="0.2">
      <c r="B23" s="34" t="s">
        <v>11</v>
      </c>
      <c r="C23" s="2" t="s">
        <v>9</v>
      </c>
      <c r="D23" s="21">
        <v>1.52</v>
      </c>
      <c r="E23" s="2" t="s">
        <v>21</v>
      </c>
      <c r="F23" s="4" t="s">
        <v>98</v>
      </c>
      <c r="G23" s="11">
        <f>G9*D24/G10</f>
        <v>1.3011730205278591</v>
      </c>
      <c r="H23" s="4" t="s">
        <v>93</v>
      </c>
      <c r="I23" s="2" t="s">
        <v>39</v>
      </c>
      <c r="J23" s="32">
        <f>(D10*9.81)+J17</f>
        <v>2761.0404225100451</v>
      </c>
      <c r="L23" s="58" t="s">
        <v>113</v>
      </c>
      <c r="M23" s="19"/>
      <c r="N23" s="19"/>
      <c r="O23" s="57"/>
    </row>
    <row r="24" spans="2:16" ht="13.5" thickBot="1" x14ac:dyDescent="0.25">
      <c r="B24" s="34" t="s">
        <v>13</v>
      </c>
      <c r="C24" s="2" t="s">
        <v>12</v>
      </c>
      <c r="D24" s="21">
        <v>2.5499999999999998</v>
      </c>
      <c r="E24" s="2" t="s">
        <v>22</v>
      </c>
      <c r="F24" s="2" t="s">
        <v>31</v>
      </c>
      <c r="G24" s="21">
        <f>D30-D29</f>
        <v>0.11000000000000001</v>
      </c>
      <c r="H24" s="2" t="s">
        <v>25</v>
      </c>
      <c r="I24" s="2" t="s">
        <v>40</v>
      </c>
      <c r="J24" s="32">
        <f>(D11*9.81)-J17</f>
        <v>1339.539577489955</v>
      </c>
      <c r="L24" s="59" t="s">
        <v>112</v>
      </c>
      <c r="M24" s="60"/>
      <c r="N24" s="60"/>
      <c r="O24" s="61"/>
    </row>
    <row r="25" spans="2:16" x14ac:dyDescent="0.2">
      <c r="B25" s="69" t="s">
        <v>119</v>
      </c>
      <c r="C25" s="70" t="s">
        <v>117</v>
      </c>
      <c r="D25" s="96">
        <v>0.28000000000000003</v>
      </c>
      <c r="E25" s="2" t="s">
        <v>23</v>
      </c>
      <c r="F25" s="2" t="s">
        <v>28</v>
      </c>
      <c r="G25" s="16">
        <f>(G24/D24)*G23</f>
        <v>5.6129032258064517E-2</v>
      </c>
      <c r="H25" s="2"/>
      <c r="I25" s="41" t="s">
        <v>128</v>
      </c>
      <c r="J25" s="42">
        <f>G11*9.81</f>
        <v>7946.1</v>
      </c>
    </row>
    <row r="26" spans="2:16" ht="13.5" thickBot="1" x14ac:dyDescent="0.25">
      <c r="B26" s="71" t="s">
        <v>118</v>
      </c>
      <c r="C26" s="72" t="s">
        <v>120</v>
      </c>
      <c r="D26" s="99">
        <v>0.28000000000000003</v>
      </c>
      <c r="E26" s="2" t="s">
        <v>24</v>
      </c>
      <c r="F26" s="2" t="s">
        <v>29</v>
      </c>
      <c r="G26" s="21">
        <f>G25+D29</f>
        <v>0.11612903225806451</v>
      </c>
      <c r="H26" s="2"/>
      <c r="I26" s="30" t="s">
        <v>129</v>
      </c>
      <c r="J26" s="94">
        <f>J24+J23+J20+J19</f>
        <v>7946.1</v>
      </c>
    </row>
    <row r="27" spans="2:16" x14ac:dyDescent="0.2">
      <c r="B27" s="88" t="s">
        <v>138</v>
      </c>
      <c r="C27" s="2" t="s">
        <v>48</v>
      </c>
      <c r="D27" s="96">
        <v>0.45</v>
      </c>
      <c r="E27" s="2" t="s">
        <v>52</v>
      </c>
      <c r="F27" s="2" t="s">
        <v>30</v>
      </c>
      <c r="G27" s="92">
        <f>D28-G25-D29</f>
        <v>0.3657771260997067</v>
      </c>
      <c r="H27" s="2"/>
      <c r="I27" s="2"/>
      <c r="J27" s="39"/>
    </row>
    <row r="28" spans="2:16" ht="13.5" thickBot="1" x14ac:dyDescent="0.25">
      <c r="B28" s="34" t="s">
        <v>46</v>
      </c>
      <c r="C28" s="2" t="s">
        <v>47</v>
      </c>
      <c r="D28" s="92">
        <f>((D27*G11)-(SUM(D12:D13)*D25)-( SUM(D14:D15)*D26))/G10</f>
        <v>0.48190615835777123</v>
      </c>
      <c r="F28" s="2"/>
      <c r="G28" s="6"/>
      <c r="H28" s="2"/>
      <c r="I28" s="2"/>
      <c r="J28" s="38"/>
    </row>
    <row r="29" spans="2:16" ht="13.5" thickBot="1" x14ac:dyDescent="0.25">
      <c r="B29" s="34" t="s">
        <v>19</v>
      </c>
      <c r="C29" s="4" t="s">
        <v>139</v>
      </c>
      <c r="D29" s="100">
        <v>0.06</v>
      </c>
      <c r="E29" s="2"/>
      <c r="F29" s="2"/>
      <c r="G29" s="6"/>
      <c r="H29" s="2" t="s">
        <v>50</v>
      </c>
      <c r="I29" s="27" t="s">
        <v>51</v>
      </c>
      <c r="J29" s="45">
        <f>G11*D1*D27/D20+D23/2</f>
        <v>2009.2293877551022</v>
      </c>
      <c r="L29" s="62" t="s">
        <v>109</v>
      </c>
      <c r="M29" s="54"/>
      <c r="N29" s="54"/>
      <c r="O29" s="63"/>
      <c r="P29" s="55"/>
    </row>
    <row r="30" spans="2:16" ht="13.5" thickBot="1" x14ac:dyDescent="0.25">
      <c r="B30" s="85" t="s">
        <v>20</v>
      </c>
      <c r="C30" s="89" t="s">
        <v>140</v>
      </c>
      <c r="D30" s="101">
        <v>0.17</v>
      </c>
      <c r="E30" s="35"/>
      <c r="F30" s="35"/>
      <c r="G30" s="86"/>
      <c r="H30" s="35"/>
      <c r="I30" s="35"/>
      <c r="J30" s="87"/>
      <c r="L30" s="64" t="s">
        <v>133</v>
      </c>
      <c r="M30" s="60"/>
      <c r="N30" s="60"/>
      <c r="O30" s="65"/>
      <c r="P30" s="61"/>
    </row>
    <row r="31" spans="2:16" ht="13.5" thickBot="1" x14ac:dyDescent="0.25">
      <c r="I31" s="26" t="s">
        <v>150</v>
      </c>
      <c r="J31" s="103">
        <f>J19-J20</f>
        <v>2056.24418746222</v>
      </c>
      <c r="L31" s="44"/>
      <c r="M31" s="44"/>
      <c r="N31" s="44"/>
      <c r="O31" s="44"/>
    </row>
    <row r="32" spans="2:16" ht="15" thickBot="1" x14ac:dyDescent="0.25">
      <c r="D32" s="50" t="s">
        <v>102</v>
      </c>
      <c r="E32" s="51"/>
      <c r="G32" s="12"/>
      <c r="H32" s="12"/>
      <c r="I32" s="12" t="s">
        <v>151</v>
      </c>
      <c r="J32" s="103">
        <f>J23-J24</f>
        <v>1421.5008450200901</v>
      </c>
      <c r="L32" s="43"/>
      <c r="M32" s="43"/>
      <c r="N32" s="43"/>
      <c r="O32" s="43"/>
    </row>
    <row r="33" spans="2:13" ht="15.75" thickBot="1" x14ac:dyDescent="0.3">
      <c r="G33" s="12"/>
      <c r="H33" s="13"/>
      <c r="I33" s="12" t="s">
        <v>152</v>
      </c>
      <c r="J33" s="103">
        <f>J31-J32</f>
        <v>634.74334244212992</v>
      </c>
    </row>
    <row r="34" spans="2:13" ht="18" thickBot="1" x14ac:dyDescent="0.25">
      <c r="C34" s="68" t="s">
        <v>145</v>
      </c>
      <c r="F34" s="66" t="s">
        <v>105</v>
      </c>
      <c r="I34" s="104" t="s">
        <v>153</v>
      </c>
      <c r="J34">
        <f>J10/J29*100</f>
        <v>32.528800144316399</v>
      </c>
    </row>
    <row r="35" spans="2:13" ht="15" thickBot="1" x14ac:dyDescent="0.25">
      <c r="F35" s="67" t="s">
        <v>106</v>
      </c>
      <c r="M35">
        <v>0.17512678000000001</v>
      </c>
    </row>
    <row r="37" spans="2:13" x14ac:dyDescent="0.2">
      <c r="B37" s="26"/>
    </row>
    <row r="38" spans="2:13" x14ac:dyDescent="0.2">
      <c r="B38" s="104" t="s">
        <v>160</v>
      </c>
      <c r="C38" s="104" t="s">
        <v>161</v>
      </c>
      <c r="D38" s="111"/>
      <c r="E38" s="112"/>
    </row>
    <row r="39" spans="2:13" x14ac:dyDescent="0.2">
      <c r="B39" s="104"/>
      <c r="C39" s="104" t="s">
        <v>162</v>
      </c>
      <c r="D39" s="111"/>
      <c r="E39" s="112"/>
    </row>
    <row r="40" spans="2:13" x14ac:dyDescent="0.2">
      <c r="B40" s="113"/>
      <c r="C40" s="113"/>
      <c r="D40" s="112"/>
      <c r="E40" s="112"/>
    </row>
    <row r="41" spans="2:13" x14ac:dyDescent="0.2">
      <c r="B41" s="26" t="s">
        <v>163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Exam Q1</vt:lpstr>
      <vt:lpstr>Exam Q2</vt:lpstr>
      <vt:lpstr>Exam Q3</vt:lpstr>
      <vt:lpstr>Exam Q4</vt:lpstr>
      <vt:lpstr>Exam Q5</vt:lpstr>
      <vt:lpstr>Exam Q6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Owner</cp:lastModifiedBy>
  <cp:lastPrinted>2011-02-13T19:11:45Z</cp:lastPrinted>
  <dcterms:created xsi:type="dcterms:W3CDTF">2008-02-09T17:39:24Z</dcterms:created>
  <dcterms:modified xsi:type="dcterms:W3CDTF">2020-05-04T13:12:52Z</dcterms:modified>
</cp:coreProperties>
</file>