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03382\"/>
    </mc:Choice>
  </mc:AlternateContent>
  <xr:revisionPtr revIDLastSave="0" documentId="10_ncr:8100000_{4B4664BA-1024-4B69-BA11-3E65371F9145}" xr6:coauthVersionLast="33" xr6:coauthVersionMax="33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62913"/>
</workbook>
</file>

<file path=xl/calcChain.xml><?xml version="1.0" encoding="utf-8"?>
<calcChain xmlns="http://schemas.openxmlformats.org/spreadsheetml/2006/main">
  <c r="G47" i="1" l="1"/>
  <c r="F53" i="1"/>
  <c r="E53" i="1"/>
  <c r="D53" i="1"/>
  <c r="E16" i="1"/>
  <c r="F16" i="1"/>
  <c r="G16" i="1"/>
  <c r="H16" i="1"/>
  <c r="I16" i="1"/>
  <c r="J16" i="1"/>
  <c r="K16" i="1"/>
  <c r="L16" i="1"/>
  <c r="M16" i="1"/>
  <c r="N16" i="1"/>
  <c r="O16" i="1"/>
  <c r="P16" i="1"/>
  <c r="E50" i="1"/>
  <c r="F50" i="1"/>
  <c r="G50" i="1"/>
  <c r="H50" i="1"/>
  <c r="I50" i="1"/>
  <c r="J50" i="1"/>
  <c r="K50" i="1"/>
  <c r="L50" i="1"/>
  <c r="M50" i="1"/>
  <c r="N50" i="1"/>
  <c r="O50" i="1"/>
  <c r="P50" i="1"/>
  <c r="E47" i="1"/>
  <c r="F47" i="1" s="1"/>
  <c r="D16" i="1"/>
  <c r="D50" i="1" s="1"/>
  <c r="D47" i="1"/>
  <c r="E43" i="1"/>
  <c r="F43" i="1"/>
  <c r="G43" i="1"/>
  <c r="H43" i="1"/>
  <c r="I43" i="1"/>
  <c r="J43" i="1"/>
  <c r="K43" i="1"/>
  <c r="L43" i="1"/>
  <c r="M43" i="1"/>
  <c r="N43" i="1"/>
  <c r="O43" i="1"/>
  <c r="D43" i="1"/>
  <c r="P12" i="1"/>
  <c r="P13" i="1"/>
  <c r="P11" i="1"/>
  <c r="F13" i="1"/>
  <c r="G13" i="1"/>
  <c r="H13" i="1" s="1"/>
  <c r="I13" i="1" s="1"/>
  <c r="J13" i="1" s="1"/>
  <c r="K13" i="1" s="1"/>
  <c r="L13" i="1" s="1"/>
  <c r="M13" i="1" s="1"/>
  <c r="N13" i="1" s="1"/>
  <c r="O13" i="1" s="1"/>
  <c r="E13" i="1"/>
  <c r="D13" i="1"/>
  <c r="P32" i="1"/>
  <c r="F32" i="1"/>
  <c r="G32" i="1" s="1"/>
  <c r="H32" i="1" s="1"/>
  <c r="I32" i="1" s="1"/>
  <c r="J32" i="1" s="1"/>
  <c r="K32" i="1" s="1"/>
  <c r="L32" i="1" s="1"/>
  <c r="M32" i="1" s="1"/>
  <c r="N32" i="1" s="1"/>
  <c r="O32" i="1" s="1"/>
  <c r="E32" i="1"/>
  <c r="D32" i="1"/>
  <c r="P24" i="1"/>
  <c r="O24" i="1"/>
  <c r="N24" i="1"/>
  <c r="M24" i="1"/>
  <c r="L24" i="1"/>
  <c r="K24" i="1"/>
  <c r="P33" i="1"/>
  <c r="F33" i="1"/>
  <c r="G33" i="1" s="1"/>
  <c r="H33" i="1" s="1"/>
  <c r="I33" i="1" s="1"/>
  <c r="J33" i="1" s="1"/>
  <c r="K33" i="1" s="1"/>
  <c r="L33" i="1" s="1"/>
  <c r="M33" i="1" s="1"/>
  <c r="N33" i="1" s="1"/>
  <c r="O33" i="1" s="1"/>
  <c r="E33" i="1"/>
  <c r="D33" i="1"/>
  <c r="P23" i="1"/>
  <c r="F23" i="1"/>
  <c r="E23" i="1"/>
  <c r="D23" i="1"/>
  <c r="P35" i="1"/>
  <c r="P38" i="1"/>
  <c r="F26" i="1"/>
  <c r="I26" i="1"/>
  <c r="L31" i="1"/>
  <c r="M31" i="1" s="1"/>
  <c r="K31" i="1"/>
  <c r="J31" i="1"/>
  <c r="E28" i="1"/>
  <c r="F28" i="1"/>
  <c r="G28" i="1"/>
  <c r="H28" i="1"/>
  <c r="I28" i="1"/>
  <c r="J28" i="1"/>
  <c r="K28" i="1"/>
  <c r="L28" i="1"/>
  <c r="M28" i="1"/>
  <c r="N28" i="1"/>
  <c r="O28" i="1"/>
  <c r="D28" i="1"/>
  <c r="P28" i="1" s="1"/>
  <c r="E29" i="1"/>
  <c r="F29" i="1"/>
  <c r="G29" i="1"/>
  <c r="H29" i="1"/>
  <c r="I29" i="1"/>
  <c r="J29" i="1"/>
  <c r="K29" i="1"/>
  <c r="L29" i="1"/>
  <c r="M29" i="1"/>
  <c r="N29" i="1"/>
  <c r="O29" i="1"/>
  <c r="D29" i="1"/>
  <c r="P29" i="1" s="1"/>
  <c r="K36" i="1"/>
  <c r="D37" i="1"/>
  <c r="K37" i="1" s="1"/>
  <c r="G53" i="1" l="1"/>
  <c r="L26" i="1"/>
  <c r="H24" i="1"/>
  <c r="D24" i="1"/>
  <c r="E40" i="1"/>
  <c r="F40" i="1"/>
  <c r="G40" i="1"/>
  <c r="H40" i="1"/>
  <c r="I40" i="1"/>
  <c r="J40" i="1"/>
  <c r="K40" i="1"/>
  <c r="L40" i="1"/>
  <c r="M40" i="1"/>
  <c r="N40" i="1"/>
  <c r="O40" i="1"/>
  <c r="P40" i="1"/>
  <c r="D40" i="1"/>
  <c r="F16" i="2"/>
  <c r="G16" i="2"/>
  <c r="H16" i="2"/>
  <c r="I16" i="2"/>
  <c r="J16" i="2"/>
  <c r="K16" i="2"/>
  <c r="L16" i="2"/>
  <c r="M16" i="2"/>
  <c r="N16" i="2"/>
  <c r="O16" i="2"/>
  <c r="P16" i="2"/>
  <c r="E16" i="2"/>
  <c r="E12" i="2"/>
  <c r="F15" i="2"/>
  <c r="G15" i="2"/>
  <c r="H15" i="2"/>
  <c r="I15" i="2"/>
  <c r="J15" i="2"/>
  <c r="K15" i="2"/>
  <c r="L15" i="2"/>
  <c r="M15" i="2"/>
  <c r="N15" i="2"/>
  <c r="O15" i="2"/>
  <c r="P15" i="2"/>
  <c r="E15" i="2"/>
  <c r="F14" i="2"/>
  <c r="G14" i="2"/>
  <c r="H14" i="2"/>
  <c r="I14" i="2"/>
  <c r="J14" i="2"/>
  <c r="K14" i="2"/>
  <c r="L14" i="2"/>
  <c r="M14" i="2"/>
  <c r="N14" i="2"/>
  <c r="O14" i="2"/>
  <c r="P14" i="2"/>
  <c r="E14" i="2"/>
  <c r="F13" i="2"/>
  <c r="G13" i="2"/>
  <c r="H13" i="2"/>
  <c r="I13" i="2"/>
  <c r="J13" i="2"/>
  <c r="K13" i="2"/>
  <c r="L13" i="2"/>
  <c r="M13" i="2"/>
  <c r="N13" i="2"/>
  <c r="O13" i="2"/>
  <c r="P13" i="2"/>
  <c r="E13" i="2"/>
  <c r="F12" i="2"/>
  <c r="G12" i="2"/>
  <c r="H12" i="2"/>
  <c r="I12" i="2"/>
  <c r="J12" i="2"/>
  <c r="K12" i="2"/>
  <c r="L12" i="2"/>
  <c r="M12" i="2"/>
  <c r="N12" i="2"/>
  <c r="O12" i="2"/>
  <c r="P12" i="2"/>
  <c r="F11" i="2"/>
  <c r="G11" i="2"/>
  <c r="H11" i="2"/>
  <c r="I11" i="2"/>
  <c r="J11" i="2"/>
  <c r="K11" i="2"/>
  <c r="L11" i="2"/>
  <c r="M11" i="2"/>
  <c r="N11" i="2"/>
  <c r="O11" i="2"/>
  <c r="P11" i="2"/>
  <c r="E11" i="2"/>
  <c r="I41" i="1"/>
  <c r="L41" i="1" s="1"/>
  <c r="O41" i="1" s="1"/>
  <c r="F41" i="1"/>
  <c r="P41" i="1" s="1"/>
  <c r="N42" i="1"/>
  <c r="K42" i="1"/>
  <c r="H42" i="1"/>
  <c r="D42" i="1"/>
  <c r="F25" i="1"/>
  <c r="I25" i="1" s="1"/>
  <c r="L25" i="1" s="1"/>
  <c r="O25" i="1" s="1"/>
  <c r="F11" i="1"/>
  <c r="G11" i="1"/>
  <c r="H11" i="1"/>
  <c r="I11" i="1"/>
  <c r="J11" i="1"/>
  <c r="K11" i="1"/>
  <c r="L11" i="1"/>
  <c r="M11" i="1"/>
  <c r="N11" i="1"/>
  <c r="O11" i="1"/>
  <c r="E11" i="1"/>
  <c r="D11" i="1"/>
  <c r="E12" i="1"/>
  <c r="F12" i="1"/>
  <c r="G12" i="1"/>
  <c r="H12" i="1"/>
  <c r="I12" i="1"/>
  <c r="J12" i="1"/>
  <c r="K12" i="1"/>
  <c r="L12" i="1"/>
  <c r="M12" i="1"/>
  <c r="N12" i="1"/>
  <c r="O12" i="1"/>
  <c r="D12" i="1"/>
  <c r="M9" i="2"/>
  <c r="M10" i="2"/>
  <c r="F10" i="2"/>
  <c r="G10" i="2"/>
  <c r="H10" i="2"/>
  <c r="I10" i="2"/>
  <c r="J10" i="2"/>
  <c r="K10" i="2"/>
  <c r="L10" i="2"/>
  <c r="N10" i="2"/>
  <c r="O10" i="2"/>
  <c r="P10" i="2"/>
  <c r="E10" i="2"/>
  <c r="F9" i="2"/>
  <c r="G9" i="2"/>
  <c r="H9" i="2"/>
  <c r="I9" i="2"/>
  <c r="J9" i="2"/>
  <c r="K9" i="2"/>
  <c r="L9" i="2"/>
  <c r="N9" i="2"/>
  <c r="O9" i="2"/>
  <c r="P9" i="2"/>
  <c r="E9" i="2"/>
  <c r="H47" i="1" l="1"/>
  <c r="P25" i="1"/>
  <c r="O26" i="1"/>
  <c r="P26" i="1"/>
  <c r="H53" i="1" l="1"/>
  <c r="I47" i="1" s="1"/>
  <c r="I53" i="1" l="1"/>
  <c r="J47" i="1"/>
  <c r="J53" i="1" s="1"/>
  <c r="K47" i="1" l="1"/>
  <c r="K53" i="1" s="1"/>
  <c r="L47" i="1" s="1"/>
  <c r="L53" i="1" s="1"/>
  <c r="M47" i="1" l="1"/>
  <c r="M53" i="1" s="1"/>
  <c r="N47" i="1" l="1"/>
  <c r="N53" i="1" s="1"/>
  <c r="O47" i="1" l="1"/>
  <c r="O53" i="1" s="1"/>
  <c r="P47" i="1" l="1"/>
  <c r="P53" i="1" s="1"/>
</calcChain>
</file>

<file path=xl/sharedStrings.xml><?xml version="1.0" encoding="utf-8"?>
<sst xmlns="http://schemas.openxmlformats.org/spreadsheetml/2006/main" count="232" uniqueCount="87">
  <si>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</si>
  <si>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</si>
  <si>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</si>
  <si>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</si>
  <si>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</si>
  <si>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</si>
  <si>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</si>
  <si>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</si>
  <si>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</si>
  <si>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</si>
  <si>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</si>
  <si>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</si>
  <si>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</si>
  <si>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</si>
  <si>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</si>
  <si>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</si>
  <si>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</si>
  <si>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</si>
  <si>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</si>
  <si>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</si>
  <si>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</si>
  <si>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</si>
  <si>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</si>
  <si>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</si>
  <si>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</si>
  <si>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</si>
  <si>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</si>
  <si>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</si>
  <si>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</si>
  <si>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</si>
  <si>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</si>
  <si>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</si>
  <si>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</si>
  <si>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</si>
  <si>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</si>
  <si>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</si>
  <si>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</si>
  <si>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</si>
  <si>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</si>
  <si>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</si>
  <si>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</si>
  <si>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</si>
  <si>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</si>
  <si>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</si>
  <si>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</si>
  <si>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</si>
  <si>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</si>
  <si>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</si>
  <si>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</si>
  <si>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</si>
  <si>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</si>
  <si>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</si>
  <si>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</si>
  <si>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</si>
  <si>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</si>
  <si>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</si>
  <si>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</si>
  <si>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</si>
  <si>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</si>
  <si>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</si>
  <si>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</si>
  <si>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</si>
  <si>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</si>
  <si>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</si>
  <si>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</si>
  <si>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</si>
  <si>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</si>
  <si>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</si>
  <si>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</si>
  <si>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</si>
  <si>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Revenue (Predicted)</t>
  </si>
  <si>
    <t>Credit sales</t>
  </si>
  <si>
    <t>Printing cost</t>
  </si>
  <si>
    <t>Toiletaries</t>
  </si>
  <si>
    <t>Number of customers</t>
  </si>
  <si>
    <t>ROOMS</t>
  </si>
  <si>
    <t>Single day room occupancy</t>
  </si>
  <si>
    <t>Total rooms</t>
  </si>
  <si>
    <t>Total rooms during month</t>
  </si>
  <si>
    <t>Occupancy</t>
  </si>
  <si>
    <t>In room beverage</t>
  </si>
  <si>
    <t>Branded beddings</t>
  </si>
  <si>
    <t>Kitchen accessories</t>
  </si>
  <si>
    <t>Zero hour contract</t>
  </si>
  <si>
    <t>Corporation tax</t>
  </si>
  <si>
    <t>Maintinance cost</t>
  </si>
  <si>
    <t>Opening cash flows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</si>
</sst>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9" fontId="9" fillId="0" borderId="0" applyFont="0" applyFill="0" applyBorder="0" applyAlignment="0" applyProtection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9" fontId="6" fillId="0" borderId="0" xfId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1"/>
  <sheetViews>
    <sheetView tabSelected="1" workbookViewId="0">
      <pane ySplit="1" topLeftCell="A2" activePane="bottomLeft" state="frozen"/>
      <selection pane="bottomLeft" activeCell="L11" sqref="L11"/>
    </sheetView>
  </sheetViews>
  <sheetFormatPr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2" width="10.7109375" bestFit="1" customWidth="1"/>
    <col min="13" max="15" width="11.7109375" bestFit="1" customWidth="1"/>
    <col min="16" max="16" width="13.42578125" bestFit="1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5" spans="1:16" x14ac:dyDescent="0.2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0" t="s">
        <v>57</v>
      </c>
    </row>
    <row r="6" spans="1:16" x14ac:dyDescent="0.2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6" x14ac:dyDescent="0.2">
      <c r="A10" s="21" t="s">
        <v>86</v>
      </c>
      <c r="B10" s="22"/>
      <c r="C10" s="23"/>
      <c r="D10" s="3">
        <v>318000</v>
      </c>
      <c r="E10" s="3"/>
      <c r="F10" s="3"/>
      <c r="G10" s="3"/>
      <c r="H10" s="3"/>
      <c r="I10" s="3"/>
    </row>
    <row r="11" spans="1:16" x14ac:dyDescent="0.2">
      <c r="A11" s="24" t="s">
        <v>48</v>
      </c>
      <c r="B11" s="25"/>
      <c r="C11" s="26"/>
      <c r="D11" s="2">
        <f>Sheet2!E10*52%</f>
        <v>79542.112000000008</v>
      </c>
      <c r="E11" s="2">
        <f>Sheet2!E10*47%+Sheet2!F10*52%</f>
        <v>133923.17600000001</v>
      </c>
      <c r="F11" s="2">
        <f>Sheet2!F10*47%+Sheet2!G10*52%</f>
        <v>116594.024</v>
      </c>
      <c r="G11" s="2">
        <f>Sheet2!G10*47%+Sheet2!H10*52%</f>
        <v>114012.02799999999</v>
      </c>
      <c r="H11" s="2">
        <f>Sheet2!H10*47%+Sheet2!I10*52%</f>
        <v>121325.66800000001</v>
      </c>
      <c r="I11" s="2">
        <f>Sheet2!I10*47%+Sheet2!J10*52%</f>
        <v>140346.4</v>
      </c>
      <c r="J11" s="2">
        <f>Sheet2!J10*47%+Sheet2!K10*52%</f>
        <v>154849.4</v>
      </c>
      <c r="K11" s="2">
        <f>Sheet2!K10*47%+Sheet2!L10*52%</f>
        <v>175308.79999999999</v>
      </c>
      <c r="L11" s="2">
        <f>Sheet2!L10*47%+Sheet2!M10*52%</f>
        <v>252677.16</v>
      </c>
      <c r="M11" s="2">
        <f>Sheet2!M10*47%+Sheet2!N10*52%</f>
        <v>230057.15999999997</v>
      </c>
      <c r="N11" s="2">
        <f>Sheet2!N10*47%+Sheet2!O10*52%</f>
        <v>153367.03999999998</v>
      </c>
      <c r="O11" s="2">
        <f>Sheet2!O10*47%+Sheet2!P10*52%</f>
        <v>141422.24</v>
      </c>
      <c r="P11">
        <f>SUM(D11:O11)</f>
        <v>1813425.2079999999</v>
      </c>
    </row>
    <row r="12" spans="1:16" x14ac:dyDescent="0.2">
      <c r="A12" s="24" t="s">
        <v>9</v>
      </c>
      <c r="B12" s="25"/>
      <c r="C12" s="26"/>
      <c r="D12" s="2">
        <f>Sheet2!E9</f>
        <v>229448.4</v>
      </c>
      <c r="E12" s="2">
        <f>Sheet2!F9</f>
        <v>178930.8</v>
      </c>
      <c r="F12" s="2">
        <f>Sheet2!G9</f>
        <v>174603</v>
      </c>
      <c r="G12" s="2">
        <f>Sheet2!H9</f>
        <v>171066.6</v>
      </c>
      <c r="H12" s="2">
        <f>Sheet2!I9</f>
        <v>195360</v>
      </c>
      <c r="I12" s="2">
        <f>Sheet2!J9</f>
        <v>228270</v>
      </c>
      <c r="J12" s="2">
        <f>Sheet2!K9</f>
        <v>240360</v>
      </c>
      <c r="K12" s="2">
        <f>Sheet2!L9</f>
        <v>288450</v>
      </c>
      <c r="L12" s="2">
        <f>Sheet2!M9</f>
        <v>208072</v>
      </c>
      <c r="M12" s="2">
        <f>Sheet2!N9</f>
        <v>240480</v>
      </c>
      <c r="N12" s="2">
        <f>Sheet2!O9</f>
        <v>225048</v>
      </c>
      <c r="O12" s="2">
        <f>Sheet2!P9</f>
        <v>204540</v>
      </c>
      <c r="P12">
        <f t="shared" ref="P12:P13" si="0">SUM(D12:O12)</f>
        <v>2584628.7999999998</v>
      </c>
    </row>
    <row r="13" spans="1:16" x14ac:dyDescent="0.2">
      <c r="A13" s="24" t="s">
        <v>55</v>
      </c>
      <c r="B13" s="25"/>
      <c r="C13" s="26"/>
      <c r="D13" s="2">
        <f>D10*2.6%</f>
        <v>8268</v>
      </c>
      <c r="E13" s="2">
        <f>D13</f>
        <v>8268</v>
      </c>
      <c r="F13" s="2">
        <f t="shared" ref="F13:O13" si="1">E13</f>
        <v>8268</v>
      </c>
      <c r="G13" s="2">
        <f t="shared" si="1"/>
        <v>8268</v>
      </c>
      <c r="H13" s="2">
        <f t="shared" si="1"/>
        <v>8268</v>
      </c>
      <c r="I13" s="2">
        <f t="shared" si="1"/>
        <v>8268</v>
      </c>
      <c r="J13" s="2">
        <f t="shared" si="1"/>
        <v>8268</v>
      </c>
      <c r="K13" s="2">
        <f t="shared" si="1"/>
        <v>8268</v>
      </c>
      <c r="L13" s="2">
        <f t="shared" si="1"/>
        <v>8268</v>
      </c>
      <c r="M13" s="2">
        <f t="shared" si="1"/>
        <v>8268</v>
      </c>
      <c r="N13" s="2">
        <f t="shared" si="1"/>
        <v>8268</v>
      </c>
      <c r="O13" s="2">
        <f t="shared" si="1"/>
        <v>8268</v>
      </c>
      <c r="P13">
        <f t="shared" si="0"/>
        <v>99216</v>
      </c>
    </row>
    <row r="14" spans="1:16" x14ac:dyDescent="0.2">
      <c r="A14" s="24" t="s">
        <v>8</v>
      </c>
      <c r="B14" s="25"/>
      <c r="C14" s="26"/>
      <c r="D14" s="2"/>
      <c r="E14" s="2"/>
      <c r="F14" s="2"/>
      <c r="G14" s="2"/>
      <c r="H14" s="2"/>
      <c r="I14" s="2"/>
    </row>
    <row r="15" spans="1:16" x14ac:dyDescent="0.2">
      <c r="A15" s="24"/>
      <c r="B15" s="25"/>
      <c r="C15" s="26"/>
      <c r="D15" s="3"/>
      <c r="E15" s="3"/>
      <c r="F15" s="3"/>
      <c r="G15" s="3"/>
      <c r="H15" s="3"/>
      <c r="I15" s="3"/>
    </row>
    <row r="16" spans="1:16" ht="13.5" thickBot="1" x14ac:dyDescent="0.25">
      <c r="A16" s="34" t="s">
        <v>10</v>
      </c>
      <c r="B16" s="35"/>
      <c r="C16" s="36"/>
      <c r="D16" s="19">
        <f>D11+D12+D13</f>
        <v>317258.51199999999</v>
      </c>
      <c r="E16" s="19">
        <f t="shared" ref="E16:P16" si="2">E11+E12+E13</f>
        <v>321121.97600000002</v>
      </c>
      <c r="F16" s="19">
        <f t="shared" si="2"/>
        <v>299465.02399999998</v>
      </c>
      <c r="G16" s="19">
        <f t="shared" si="2"/>
        <v>293346.62800000003</v>
      </c>
      <c r="H16" s="19">
        <f t="shared" si="2"/>
        <v>324953.66800000001</v>
      </c>
      <c r="I16" s="19">
        <f t="shared" si="2"/>
        <v>376884.4</v>
      </c>
      <c r="J16" s="19">
        <f t="shared" si="2"/>
        <v>403477.4</v>
      </c>
      <c r="K16" s="19">
        <f t="shared" si="2"/>
        <v>472026.8</v>
      </c>
      <c r="L16" s="19">
        <f t="shared" si="2"/>
        <v>469017.16000000003</v>
      </c>
      <c r="M16" s="19">
        <f t="shared" si="2"/>
        <v>478805.16</v>
      </c>
      <c r="N16" s="19">
        <f t="shared" si="2"/>
        <v>386683.04</v>
      </c>
      <c r="O16" s="19">
        <f t="shared" si="2"/>
        <v>354230.24</v>
      </c>
      <c r="P16" s="19">
        <f t="shared" si="2"/>
        <v>4497270.0079999994</v>
      </c>
    </row>
    <row r="17" spans="1:16" x14ac:dyDescent="0.2">
      <c r="A17" s="24"/>
      <c r="B17" s="25"/>
      <c r="C17" s="26"/>
      <c r="D17" s="4"/>
      <c r="E17" s="4"/>
      <c r="F17" s="4"/>
      <c r="G17" s="4"/>
      <c r="H17" s="4"/>
      <c r="I17" s="4"/>
    </row>
    <row r="18" spans="1:16" x14ac:dyDescent="0.2">
      <c r="A18" s="24"/>
      <c r="B18" s="25"/>
      <c r="C18" s="26"/>
      <c r="D18" s="4"/>
      <c r="E18" s="4"/>
      <c r="F18" s="4"/>
      <c r="G18" s="4"/>
      <c r="H18" s="4"/>
      <c r="I18" s="4"/>
    </row>
    <row r="19" spans="1:16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16" x14ac:dyDescent="0.2">
      <c r="A20" s="34" t="s">
        <v>11</v>
      </c>
      <c r="B20" s="32"/>
      <c r="C20" s="33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  <c r="P20" s="31"/>
    </row>
    <row r="21" spans="1:16" x14ac:dyDescent="0.2">
      <c r="A21" s="24"/>
      <c r="B21" s="25"/>
      <c r="C21" s="26"/>
      <c r="D21" s="3"/>
      <c r="E21" s="3"/>
      <c r="F21" s="3"/>
      <c r="G21" s="3"/>
      <c r="H21" s="3"/>
      <c r="I21" s="3"/>
    </row>
    <row r="22" spans="1:16" x14ac:dyDescent="0.2">
      <c r="A22" s="24" t="s">
        <v>50</v>
      </c>
      <c r="B22" s="25"/>
      <c r="C22" s="26"/>
      <c r="D22" s="2" t="s">
        <v>8</v>
      </c>
      <c r="E22" s="2"/>
      <c r="F22" s="2" t="s">
        <v>8</v>
      </c>
      <c r="G22" s="2"/>
      <c r="H22" s="2"/>
      <c r="I22" s="2"/>
      <c r="N22">
        <v>10000</v>
      </c>
    </row>
    <row r="23" spans="1:16" x14ac:dyDescent="0.2">
      <c r="A23" s="24" t="s">
        <v>12</v>
      </c>
      <c r="B23" s="25"/>
      <c r="C23" s="26"/>
      <c r="D23" s="2">
        <f>150000/3</f>
        <v>50000</v>
      </c>
      <c r="E23" s="2">
        <f>D23</f>
        <v>50000</v>
      </c>
      <c r="F23" s="2">
        <f>D23</f>
        <v>50000</v>
      </c>
      <c r="G23" s="2"/>
      <c r="H23" s="2" t="s">
        <v>8</v>
      </c>
      <c r="I23" s="2"/>
      <c r="J23" t="s">
        <v>8</v>
      </c>
      <c r="L23" t="s">
        <v>8</v>
      </c>
      <c r="M23">
        <v>50000</v>
      </c>
      <c r="N23">
        <v>50000</v>
      </c>
      <c r="O23">
        <v>50000</v>
      </c>
      <c r="P23">
        <f>SUM(D23:O23)</f>
        <v>300000</v>
      </c>
    </row>
    <row r="24" spans="1:16" x14ac:dyDescent="0.2">
      <c r="A24" s="24" t="s">
        <v>13</v>
      </c>
      <c r="B24" s="25"/>
      <c r="C24" s="26"/>
      <c r="D24" s="2">
        <f>80000*35%</f>
        <v>28000</v>
      </c>
      <c r="E24" s="2" t="s">
        <v>8</v>
      </c>
      <c r="F24" s="2"/>
      <c r="G24" s="2" t="s">
        <v>8</v>
      </c>
      <c r="H24" s="2">
        <f>80000*(1-35%)</f>
        <v>52000</v>
      </c>
      <c r="I24" s="2"/>
      <c r="J24" s="2" t="s">
        <v>8</v>
      </c>
      <c r="K24" s="2">
        <f>546000/5</f>
        <v>109200</v>
      </c>
      <c r="L24" s="2">
        <f>K24</f>
        <v>109200</v>
      </c>
      <c r="M24">
        <f>L24</f>
        <v>109200</v>
      </c>
      <c r="N24">
        <f>M24</f>
        <v>109200</v>
      </c>
      <c r="O24">
        <f>N24</f>
        <v>109200</v>
      </c>
      <c r="P24">
        <f>SUM(D24:O24)</f>
        <v>626000</v>
      </c>
    </row>
    <row r="25" spans="1:16" x14ac:dyDescent="0.2">
      <c r="A25" s="24" t="s">
        <v>49</v>
      </c>
      <c r="B25" s="25"/>
      <c r="C25" s="26"/>
      <c r="D25" s="2" t="s">
        <v>8</v>
      </c>
      <c r="E25" s="2" t="s">
        <v>8</v>
      </c>
      <c r="F25" s="2">
        <f>75000/4</f>
        <v>18750</v>
      </c>
      <c r="G25" s="2" t="s">
        <v>8</v>
      </c>
      <c r="H25" s="2" t="s">
        <v>8</v>
      </c>
      <c r="I25" s="2">
        <f>F25</f>
        <v>18750</v>
      </c>
      <c r="J25" t="s">
        <v>8</v>
      </c>
      <c r="K25" t="s">
        <v>8</v>
      </c>
      <c r="L25">
        <f>I25</f>
        <v>18750</v>
      </c>
      <c r="M25" t="s">
        <v>8</v>
      </c>
      <c r="N25" t="s">
        <v>8</v>
      </c>
      <c r="O25">
        <f>L25</f>
        <v>18750</v>
      </c>
      <c r="P25">
        <f>F25+I25+L25+O25</f>
        <v>75000</v>
      </c>
    </row>
    <row r="26" spans="1:16" x14ac:dyDescent="0.2">
      <c r="A26" s="24" t="s">
        <v>14</v>
      </c>
      <c r="B26" s="25"/>
      <c r="C26" s="26"/>
      <c r="D26" s="2" t="s">
        <v>8</v>
      </c>
      <c r="E26" s="2" t="s">
        <v>8</v>
      </c>
      <c r="F26" s="2">
        <f>120000/4</f>
        <v>30000</v>
      </c>
      <c r="G26" s="2" t="s">
        <v>8</v>
      </c>
      <c r="H26" s="2" t="s">
        <v>8</v>
      </c>
      <c r="I26" s="2">
        <f>F26</f>
        <v>30000</v>
      </c>
      <c r="J26" t="s">
        <v>8</v>
      </c>
      <c r="K26" t="s">
        <v>8</v>
      </c>
      <c r="L26">
        <f>I26</f>
        <v>30000</v>
      </c>
      <c r="M26" t="s">
        <v>8</v>
      </c>
      <c r="N26" t="s">
        <v>8</v>
      </c>
      <c r="O26">
        <f>L26</f>
        <v>30000</v>
      </c>
      <c r="P26">
        <f>SUM(D26:O26)</f>
        <v>120000</v>
      </c>
    </row>
    <row r="27" spans="1:16" x14ac:dyDescent="0.2">
      <c r="A27" s="24" t="s">
        <v>15</v>
      </c>
      <c r="B27" s="25"/>
      <c r="C27" s="26"/>
      <c r="D27" s="2" t="s">
        <v>8</v>
      </c>
      <c r="E27" s="2" t="s">
        <v>8</v>
      </c>
      <c r="F27" s="2" t="s">
        <v>8</v>
      </c>
      <c r="G27" s="2" t="s">
        <v>8</v>
      </c>
      <c r="H27" s="2" t="s">
        <v>8</v>
      </c>
      <c r="I27" s="2" t="s">
        <v>8</v>
      </c>
      <c r="J27" s="2" t="s">
        <v>8</v>
      </c>
      <c r="K27" s="2" t="s">
        <v>8</v>
      </c>
      <c r="L27" s="2" t="s">
        <v>8</v>
      </c>
      <c r="M27" s="2" t="s">
        <v>8</v>
      </c>
      <c r="N27" s="2" t="s">
        <v>8</v>
      </c>
      <c r="O27" s="2" t="s">
        <v>8</v>
      </c>
    </row>
    <row r="28" spans="1:16" x14ac:dyDescent="0.2">
      <c r="A28" s="24" t="s">
        <v>16</v>
      </c>
      <c r="B28" s="25"/>
      <c r="C28" s="26"/>
      <c r="D28" s="2">
        <f>480000/12</f>
        <v>40000</v>
      </c>
      <c r="E28" s="2">
        <f t="shared" ref="E28:O28" si="3">480000/12</f>
        <v>40000</v>
      </c>
      <c r="F28" s="2">
        <f t="shared" si="3"/>
        <v>40000</v>
      </c>
      <c r="G28" s="2">
        <f t="shared" si="3"/>
        <v>40000</v>
      </c>
      <c r="H28" s="2">
        <f t="shared" si="3"/>
        <v>40000</v>
      </c>
      <c r="I28" s="2">
        <f t="shared" si="3"/>
        <v>40000</v>
      </c>
      <c r="J28" s="2">
        <f t="shared" si="3"/>
        <v>40000</v>
      </c>
      <c r="K28" s="2">
        <f t="shared" si="3"/>
        <v>40000</v>
      </c>
      <c r="L28" s="2">
        <f t="shared" si="3"/>
        <v>40000</v>
      </c>
      <c r="M28" s="2">
        <f t="shared" si="3"/>
        <v>40000</v>
      </c>
      <c r="N28" s="2">
        <f t="shared" si="3"/>
        <v>40000</v>
      </c>
      <c r="O28" s="2">
        <f t="shared" si="3"/>
        <v>40000</v>
      </c>
      <c r="P28">
        <f>SUM(D28:O28)</f>
        <v>480000</v>
      </c>
    </row>
    <row r="29" spans="1:16" x14ac:dyDescent="0.2">
      <c r="A29" s="24" t="s">
        <v>51</v>
      </c>
      <c r="B29" s="25"/>
      <c r="C29" s="26"/>
      <c r="D29" s="2">
        <f>320000/12</f>
        <v>26666.666666666668</v>
      </c>
      <c r="E29" s="2">
        <f t="shared" ref="E29:O29" si="4">320000/12</f>
        <v>26666.666666666668</v>
      </c>
      <c r="F29" s="2">
        <f t="shared" si="4"/>
        <v>26666.666666666668</v>
      </c>
      <c r="G29" s="2">
        <f t="shared" si="4"/>
        <v>26666.666666666668</v>
      </c>
      <c r="H29" s="2">
        <f t="shared" si="4"/>
        <v>26666.666666666668</v>
      </c>
      <c r="I29" s="2">
        <f t="shared" si="4"/>
        <v>26666.666666666668</v>
      </c>
      <c r="J29" s="2">
        <f t="shared" si="4"/>
        <v>26666.666666666668</v>
      </c>
      <c r="K29" s="2">
        <f t="shared" si="4"/>
        <v>26666.666666666668</v>
      </c>
      <c r="L29" s="2">
        <f t="shared" si="4"/>
        <v>26666.666666666668</v>
      </c>
      <c r="M29" s="2">
        <f t="shared" si="4"/>
        <v>26666.666666666668</v>
      </c>
      <c r="N29" s="2">
        <f t="shared" si="4"/>
        <v>26666.666666666668</v>
      </c>
      <c r="O29" s="2">
        <f t="shared" si="4"/>
        <v>26666.666666666668</v>
      </c>
      <c r="P29">
        <f>SUM(D29:O29)</f>
        <v>320000</v>
      </c>
    </row>
    <row r="30" spans="1:16" x14ac:dyDescent="0.2">
      <c r="A30" s="24" t="s">
        <v>54</v>
      </c>
      <c r="B30" s="25"/>
      <c r="C30" s="26"/>
      <c r="D30" s="2" t="s">
        <v>8</v>
      </c>
      <c r="E30" s="2" t="s">
        <v>8</v>
      </c>
      <c r="F30" s="2" t="s">
        <v>8</v>
      </c>
      <c r="G30" s="2">
        <v>30000</v>
      </c>
      <c r="H30" s="2" t="s">
        <v>8</v>
      </c>
      <c r="I30" s="2" t="s">
        <v>8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  <c r="O30" s="2" t="s">
        <v>8</v>
      </c>
    </row>
    <row r="31" spans="1:16" x14ac:dyDescent="0.2">
      <c r="A31" s="24" t="s">
        <v>83</v>
      </c>
      <c r="B31" s="25"/>
      <c r="C31" s="26"/>
      <c r="D31" s="2"/>
      <c r="E31" s="2"/>
      <c r="F31" s="2"/>
      <c r="G31" s="2"/>
      <c r="H31" s="2"/>
      <c r="I31" s="2"/>
      <c r="J31" s="2">
        <f>10*(55*31)</f>
        <v>17050</v>
      </c>
      <c r="K31" s="2">
        <f>10*(55*31)</f>
        <v>17050</v>
      </c>
      <c r="L31" s="2">
        <f>10*(55*30)</f>
        <v>16500</v>
      </c>
      <c r="M31" s="2">
        <f>L31</f>
        <v>16500</v>
      </c>
      <c r="N31" s="2"/>
      <c r="O31" s="2"/>
      <c r="P31" s="2"/>
    </row>
    <row r="32" spans="1:16" x14ac:dyDescent="0.2">
      <c r="A32" s="24" t="s">
        <v>85</v>
      </c>
      <c r="B32" s="25"/>
      <c r="C32" s="26"/>
      <c r="D32" s="2">
        <f>72000/12</f>
        <v>6000</v>
      </c>
      <c r="E32" s="2">
        <f>D32</f>
        <v>6000</v>
      </c>
      <c r="F32" s="2">
        <f t="shared" ref="F32:O32" si="5">E32</f>
        <v>6000</v>
      </c>
      <c r="G32" s="2">
        <f t="shared" si="5"/>
        <v>6000</v>
      </c>
      <c r="H32" s="2">
        <f t="shared" si="5"/>
        <v>6000</v>
      </c>
      <c r="I32" s="2">
        <f t="shared" si="5"/>
        <v>6000</v>
      </c>
      <c r="J32" s="2">
        <f t="shared" si="5"/>
        <v>6000</v>
      </c>
      <c r="K32" s="2">
        <f t="shared" si="5"/>
        <v>6000</v>
      </c>
      <c r="L32" s="2">
        <f t="shared" si="5"/>
        <v>6000</v>
      </c>
      <c r="M32" s="2">
        <f t="shared" si="5"/>
        <v>6000</v>
      </c>
      <c r="N32" s="2">
        <f t="shared" si="5"/>
        <v>6000</v>
      </c>
      <c r="O32" s="2">
        <f t="shared" si="5"/>
        <v>6000</v>
      </c>
      <c r="P32">
        <f>SUM(D32:O32)</f>
        <v>72000</v>
      </c>
    </row>
    <row r="33" spans="1:16" x14ac:dyDescent="0.2">
      <c r="A33" s="24" t="s">
        <v>56</v>
      </c>
      <c r="B33" s="25"/>
      <c r="C33" s="26"/>
      <c r="D33" s="2">
        <f>13200/12</f>
        <v>1100</v>
      </c>
      <c r="E33" s="2">
        <f>D33</f>
        <v>1100</v>
      </c>
      <c r="F33" s="2">
        <f t="shared" ref="F33:O33" si="6">E33</f>
        <v>1100</v>
      </c>
      <c r="G33" s="2">
        <f t="shared" si="6"/>
        <v>1100</v>
      </c>
      <c r="H33" s="2">
        <f t="shared" si="6"/>
        <v>1100</v>
      </c>
      <c r="I33" s="2">
        <f t="shared" si="6"/>
        <v>1100</v>
      </c>
      <c r="J33" s="2">
        <f t="shared" si="6"/>
        <v>1100</v>
      </c>
      <c r="K33" s="2">
        <f t="shared" si="6"/>
        <v>1100</v>
      </c>
      <c r="L33" s="2">
        <f t="shared" si="6"/>
        <v>1100</v>
      </c>
      <c r="M33" s="2">
        <f t="shared" si="6"/>
        <v>1100</v>
      </c>
      <c r="N33" s="2">
        <f t="shared" si="6"/>
        <v>1100</v>
      </c>
      <c r="O33" s="2">
        <f t="shared" si="6"/>
        <v>1100</v>
      </c>
      <c r="P33">
        <f>SUM(D33:O33)</f>
        <v>13200</v>
      </c>
    </row>
    <row r="34" spans="1:16" x14ac:dyDescent="0.2">
      <c r="A34" s="24" t="s">
        <v>84</v>
      </c>
      <c r="B34" s="25"/>
      <c r="C34" s="26"/>
      <c r="D34" s="2"/>
      <c r="E34" s="2"/>
      <c r="F34" s="2">
        <v>779000</v>
      </c>
      <c r="G34" s="2"/>
      <c r="H34" s="2"/>
      <c r="I34" s="2"/>
      <c r="J34" s="2"/>
      <c r="K34" s="2"/>
      <c r="L34" s="2"/>
      <c r="M34" s="2"/>
      <c r="N34" s="2"/>
      <c r="O34" s="2"/>
    </row>
    <row r="35" spans="1:16" x14ac:dyDescent="0.2">
      <c r="A35" s="24" t="s">
        <v>52</v>
      </c>
      <c r="B35" s="25"/>
      <c r="C35" s="26"/>
      <c r="D35" s="2" t="s">
        <v>8</v>
      </c>
      <c r="E35" s="2" t="s">
        <v>8</v>
      </c>
      <c r="F35" s="2" t="s">
        <v>8</v>
      </c>
      <c r="G35" s="2">
        <v>75000</v>
      </c>
      <c r="H35" s="2">
        <v>75000</v>
      </c>
      <c r="I35" s="2">
        <v>75000</v>
      </c>
      <c r="J35" s="2">
        <v>75000</v>
      </c>
      <c r="K35" s="2">
        <v>75000</v>
      </c>
      <c r="L35" s="2">
        <v>75000</v>
      </c>
      <c r="M35" s="2">
        <v>75000</v>
      </c>
      <c r="N35" s="2">
        <v>75000</v>
      </c>
      <c r="O35" s="2">
        <v>75000</v>
      </c>
      <c r="P35">
        <f>SUM(D35:O35)</f>
        <v>675000</v>
      </c>
    </row>
    <row r="36" spans="1:16" x14ac:dyDescent="0.2">
      <c r="A36" s="24" t="s">
        <v>82</v>
      </c>
      <c r="B36" s="25"/>
      <c r="C36" s="26"/>
      <c r="D36" s="2"/>
      <c r="E36" s="2"/>
      <c r="F36" s="2"/>
      <c r="G36" s="2"/>
      <c r="H36" s="2"/>
      <c r="I36" s="2"/>
      <c r="J36" s="2"/>
      <c r="K36" s="2">
        <f>130*55</f>
        <v>7150</v>
      </c>
      <c r="L36" s="2"/>
      <c r="M36" s="2"/>
      <c r="N36" s="2"/>
      <c r="O36" s="2"/>
    </row>
    <row r="37" spans="1:16" x14ac:dyDescent="0.2">
      <c r="A37" s="24" t="s">
        <v>81</v>
      </c>
      <c r="B37" s="25"/>
      <c r="C37" s="26"/>
      <c r="D37" s="2">
        <f>80*32</f>
        <v>2560</v>
      </c>
      <c r="E37" s="2"/>
      <c r="F37" s="2"/>
      <c r="G37" s="2"/>
      <c r="H37" s="2"/>
      <c r="I37" s="2"/>
      <c r="J37" s="2"/>
      <c r="K37" s="2">
        <f>D37</f>
        <v>2560</v>
      </c>
      <c r="L37" s="2"/>
      <c r="M37" s="2"/>
      <c r="N37" s="2"/>
      <c r="O37" s="2"/>
    </row>
    <row r="38" spans="1:16" x14ac:dyDescent="0.2">
      <c r="A38" s="24" t="s">
        <v>53</v>
      </c>
      <c r="B38" s="25"/>
      <c r="C38" s="26"/>
      <c r="D38" s="2"/>
      <c r="E38" s="2" t="s">
        <v>58</v>
      </c>
      <c r="F38" s="2">
        <v>25000</v>
      </c>
      <c r="G38" s="2" t="s">
        <v>8</v>
      </c>
      <c r="H38" s="2"/>
      <c r="J38" s="2">
        <v>25000</v>
      </c>
      <c r="K38" s="2" t="s">
        <v>8</v>
      </c>
      <c r="L38" t="s">
        <v>8</v>
      </c>
      <c r="N38" s="2">
        <v>25000</v>
      </c>
      <c r="P38">
        <f>SUM(D38:O38)</f>
        <v>75000</v>
      </c>
    </row>
    <row r="39" spans="1:16" x14ac:dyDescent="0.2">
      <c r="A39" s="24" t="s">
        <v>17</v>
      </c>
      <c r="B39" s="25"/>
      <c r="C39" s="26"/>
      <c r="D39" s="2"/>
      <c r="E39" s="2"/>
      <c r="F39" s="2"/>
      <c r="G39" s="2"/>
      <c r="H39" s="2"/>
      <c r="I39" s="2"/>
      <c r="J39" s="2"/>
      <c r="K39" s="2"/>
      <c r="M39" s="2"/>
      <c r="N39" s="2"/>
    </row>
    <row r="40" spans="1:16" x14ac:dyDescent="0.2">
      <c r="A40" s="24" t="s">
        <v>80</v>
      </c>
      <c r="B40" s="25"/>
      <c r="C40" s="26"/>
      <c r="D40" s="2">
        <f>IF(Sheet2!E16&gt;65%,4100,IF(Sheet2!E16&gt;85%,5000,3000))</f>
        <v>3000</v>
      </c>
      <c r="E40" s="2">
        <f>IF(Sheet2!F16&gt;65%,4100,IF(Sheet2!F16&gt;85%,5000,3000))</f>
        <v>3000</v>
      </c>
      <c r="F40" s="2">
        <f>IF(Sheet2!G16&gt;65%,4100,IF(Sheet2!G16&gt;85%,5000,3000))</f>
        <v>3000</v>
      </c>
      <c r="G40" s="2">
        <f>IF(Sheet2!H16&gt;65%,4100,IF(Sheet2!H16&gt;85%,5000,3000))</f>
        <v>3000</v>
      </c>
      <c r="H40" s="2">
        <f>IF(Sheet2!I16&gt;65%,4100,IF(Sheet2!I16&gt;85%,5000,3000))</f>
        <v>3000</v>
      </c>
      <c r="I40" s="2">
        <f>IF(Sheet2!J16&gt;65%,4100,IF(Sheet2!J16&gt;85%,5000,3000))</f>
        <v>3000</v>
      </c>
      <c r="J40" s="2">
        <f>IF(Sheet2!K16&gt;65%,4100,IF(Sheet2!K16&gt;85%,5000,3000))</f>
        <v>3000</v>
      </c>
      <c r="K40" s="2">
        <f>IF(Sheet2!L16&gt;65%,4100,IF(Sheet2!L16&gt;85%,5000,3000))</f>
        <v>3000</v>
      </c>
      <c r="L40" s="2">
        <f>IF(Sheet2!M16&gt;65%,4100,IF(Sheet2!M16&gt;85%,5000,3000))</f>
        <v>4100</v>
      </c>
      <c r="M40" s="2">
        <f>IF(Sheet2!N16&gt;65%,4100,IF(Sheet2!N16&gt;85%,5000,3000))</f>
        <v>3000</v>
      </c>
      <c r="N40" s="2">
        <f>IF(Sheet2!O16&gt;65%,4100,IF(Sheet2!O16&gt;85%,5000,3000))</f>
        <v>3000</v>
      </c>
      <c r="O40" s="2">
        <f>IF(Sheet2!P16&gt;65%,4100,IF(Sheet2!P16&gt;85%,5000,3000))</f>
        <v>3000</v>
      </c>
      <c r="P40" s="2">
        <f>IF(Sheet2!Q16&gt;65%,4100,IF(Sheet2!Q16&gt;85%,5000,3000))</f>
        <v>3000</v>
      </c>
    </row>
    <row r="41" spans="1:16" x14ac:dyDescent="0.2">
      <c r="A41" s="24" t="s">
        <v>73</v>
      </c>
      <c r="B41" s="25"/>
      <c r="C41" s="26"/>
      <c r="D41" s="2"/>
      <c r="E41" s="2"/>
      <c r="F41" s="2">
        <f>98000/4</f>
        <v>24500</v>
      </c>
      <c r="G41" s="2"/>
      <c r="H41" s="2"/>
      <c r="I41" s="2">
        <f>F41</f>
        <v>24500</v>
      </c>
      <c r="J41" s="2"/>
      <c r="K41" s="2"/>
      <c r="L41">
        <f>I41</f>
        <v>24500</v>
      </c>
      <c r="M41" s="2">
        <v>18000</v>
      </c>
      <c r="N41" s="2"/>
      <c r="O41">
        <f>L41</f>
        <v>24500</v>
      </c>
      <c r="P41">
        <f>F41+I41+L41+O41</f>
        <v>98000</v>
      </c>
    </row>
    <row r="42" spans="1:16" x14ac:dyDescent="0.2">
      <c r="A42" s="24" t="s">
        <v>72</v>
      </c>
      <c r="B42" s="25"/>
      <c r="C42" s="26"/>
      <c r="D42" s="3">
        <f>4000*(1+45%)</f>
        <v>5800</v>
      </c>
      <c r="E42" s="3">
        <v>4000</v>
      </c>
      <c r="F42" s="3">
        <v>4000</v>
      </c>
      <c r="G42" s="3">
        <v>4000</v>
      </c>
      <c r="H42" s="3">
        <f>4000*(1+45%)</f>
        <v>5800</v>
      </c>
      <c r="I42" s="3">
        <v>4000</v>
      </c>
      <c r="J42" s="3">
        <v>4000</v>
      </c>
      <c r="K42" s="3">
        <f>4000*(1+45%)</f>
        <v>5800</v>
      </c>
      <c r="L42" s="3">
        <v>4000</v>
      </c>
      <c r="M42" s="3">
        <v>4000</v>
      </c>
      <c r="N42" s="3">
        <f>4000*(1+45%)</f>
        <v>5800</v>
      </c>
      <c r="O42" s="3">
        <v>4000</v>
      </c>
    </row>
    <row r="43" spans="1:16" ht="13.5" thickBot="1" x14ac:dyDescent="0.25">
      <c r="A43" s="34" t="s">
        <v>18</v>
      </c>
      <c r="B43" s="35"/>
      <c r="C43" s="36"/>
      <c r="D43" s="19">
        <f>SUM(D22:D42)</f>
        <v>163126.66666666666</v>
      </c>
      <c r="E43" s="19">
        <f t="shared" ref="E43:O43" si="7">SUM(E22:E42)</f>
        <v>130766.66666666667</v>
      </c>
      <c r="F43" s="19">
        <f t="shared" si="7"/>
        <v>1008016.6666666666</v>
      </c>
      <c r="G43" s="19">
        <f t="shared" si="7"/>
        <v>185766.66666666669</v>
      </c>
      <c r="H43" s="19">
        <f t="shared" si="7"/>
        <v>209566.66666666669</v>
      </c>
      <c r="I43" s="19">
        <f t="shared" si="7"/>
        <v>229016.66666666669</v>
      </c>
      <c r="J43" s="19">
        <f t="shared" si="7"/>
        <v>197816.66666666669</v>
      </c>
      <c r="K43" s="19">
        <f t="shared" si="7"/>
        <v>293526.66666666663</v>
      </c>
      <c r="L43" s="19">
        <f t="shared" si="7"/>
        <v>355816.66666666663</v>
      </c>
      <c r="M43" s="19">
        <f t="shared" si="7"/>
        <v>349466.66666666663</v>
      </c>
      <c r="N43" s="19">
        <f t="shared" si="7"/>
        <v>351766.66666666663</v>
      </c>
      <c r="O43" s="19">
        <f t="shared" si="7"/>
        <v>388216.66666666669</v>
      </c>
      <c r="P43" s="20"/>
    </row>
    <row r="44" spans="1:16" x14ac:dyDescent="0.2">
      <c r="A44" s="24"/>
      <c r="B44" s="25"/>
      <c r="C44" s="26"/>
      <c r="D44" s="4"/>
      <c r="E44" s="4"/>
      <c r="F44" s="4"/>
      <c r="G44" s="4"/>
      <c r="H44" s="4"/>
      <c r="I44" s="4"/>
    </row>
    <row r="45" spans="1:16" x14ac:dyDescent="0.2">
      <c r="A45" s="24"/>
      <c r="B45" s="25"/>
      <c r="C45" s="26"/>
      <c r="D45" s="4"/>
      <c r="E45" s="4"/>
      <c r="F45" s="4"/>
      <c r="G45" s="4"/>
      <c r="H45" s="4"/>
      <c r="I45" s="4"/>
    </row>
    <row r="46" spans="1:16" x14ac:dyDescent="0.2">
      <c r="A46" s="24"/>
      <c r="B46" s="25"/>
      <c r="C46" s="26"/>
      <c r="D46" s="3"/>
      <c r="E46" s="3"/>
      <c r="F46" s="3"/>
      <c r="G46" s="3"/>
      <c r="H46" s="3"/>
      <c r="I46" s="3"/>
    </row>
    <row r="47" spans="1:16" x14ac:dyDescent="0.2">
      <c r="A47" s="37" t="s">
        <v>19</v>
      </c>
      <c r="B47" s="38"/>
      <c r="C47" s="39"/>
      <c r="D47" s="3">
        <f>D10</f>
        <v>318000</v>
      </c>
      <c r="E47" s="3">
        <f>D47+D53</f>
        <v>790131.84533333336</v>
      </c>
      <c r="F47" s="3">
        <f t="shared" ref="F47:P47" si="8">E47+E53</f>
        <v>1770619</v>
      </c>
      <c r="G47" s="3">
        <f>F47+F53</f>
        <v>2832686.3573333332</v>
      </c>
      <c r="H47" s="3">
        <f t="shared" si="8"/>
        <v>5772952.676</v>
      </c>
      <c r="I47" s="3">
        <f t="shared" si="8"/>
        <v>11661292.353333334</v>
      </c>
      <c r="J47" s="3">
        <f t="shared" si="8"/>
        <v>23470452.439999998</v>
      </c>
      <c r="K47" s="3">
        <f t="shared" si="8"/>
        <v>47146565.61333333</v>
      </c>
      <c r="L47" s="3">
        <f t="shared" si="8"/>
        <v>94471631.359999985</v>
      </c>
      <c r="M47" s="3">
        <f t="shared" si="8"/>
        <v>189056463.21333331</v>
      </c>
      <c r="N47" s="3">
        <f t="shared" si="8"/>
        <v>378242264.91999996</v>
      </c>
      <c r="O47" s="3">
        <f t="shared" si="8"/>
        <v>756519446.21333325</v>
      </c>
      <c r="P47" s="3">
        <f t="shared" si="8"/>
        <v>1513004906</v>
      </c>
    </row>
    <row r="48" spans="1:16" x14ac:dyDescent="0.2">
      <c r="A48" s="40"/>
      <c r="B48" s="41"/>
      <c r="C48" s="42"/>
      <c r="D48" s="3"/>
      <c r="E48" s="3"/>
      <c r="F48" s="3"/>
      <c r="G48" s="3"/>
      <c r="H48" s="3"/>
      <c r="I48" s="3"/>
    </row>
    <row r="49" spans="1:16" x14ac:dyDescent="0.2">
      <c r="A49" s="37"/>
      <c r="B49" s="38"/>
      <c r="C49" s="39"/>
      <c r="D49" s="3"/>
      <c r="E49" s="3"/>
      <c r="F49" s="3"/>
      <c r="G49" s="3"/>
      <c r="H49" s="3"/>
      <c r="I49" s="3"/>
    </row>
    <row r="50" spans="1:16" x14ac:dyDescent="0.2">
      <c r="A50" s="43" t="s">
        <v>20</v>
      </c>
      <c r="B50" s="44"/>
      <c r="C50" s="45"/>
      <c r="D50" s="3">
        <f>D16-D43</f>
        <v>154131.84533333333</v>
      </c>
      <c r="E50" s="3">
        <f>E16-E43</f>
        <v>190355.30933333334</v>
      </c>
      <c r="F50" s="3">
        <f t="shared" ref="E50:P50" si="9">F16-F43</f>
        <v>-708551.64266666665</v>
      </c>
      <c r="G50" s="3">
        <f t="shared" si="9"/>
        <v>107579.96133333334</v>
      </c>
      <c r="H50" s="3">
        <f t="shared" si="9"/>
        <v>115387.00133333332</v>
      </c>
      <c r="I50" s="3">
        <f t="shared" si="9"/>
        <v>147867.73333333334</v>
      </c>
      <c r="J50" s="3">
        <f t="shared" si="9"/>
        <v>205660.73333333334</v>
      </c>
      <c r="K50" s="3">
        <f t="shared" si="9"/>
        <v>178500.13333333336</v>
      </c>
      <c r="L50" s="3">
        <f t="shared" si="9"/>
        <v>113200.4933333334</v>
      </c>
      <c r="M50" s="3">
        <f t="shared" si="9"/>
        <v>129338.49333333335</v>
      </c>
      <c r="N50" s="3">
        <f t="shared" si="9"/>
        <v>34916.373333333351</v>
      </c>
      <c r="O50" s="3">
        <f t="shared" si="9"/>
        <v>-33986.426666666695</v>
      </c>
      <c r="P50" s="3">
        <f t="shared" si="9"/>
        <v>4497270.0079999994</v>
      </c>
    </row>
    <row r="51" spans="1:16" x14ac:dyDescent="0.2">
      <c r="A51" s="40"/>
      <c r="B51" s="41"/>
      <c r="C51" s="42"/>
      <c r="D51" s="3"/>
      <c r="E51" s="3"/>
      <c r="F51" s="3"/>
      <c r="G51" s="3"/>
      <c r="H51" s="3"/>
      <c r="I51" s="3"/>
    </row>
    <row r="52" spans="1:16" x14ac:dyDescent="0.2">
      <c r="A52" s="27"/>
      <c r="B52" s="28"/>
      <c r="C52" s="29"/>
      <c r="D52" s="3"/>
      <c r="E52" s="3"/>
      <c r="F52" s="3"/>
      <c r="G52" s="3"/>
      <c r="H52" s="3"/>
      <c r="I52" s="3"/>
    </row>
    <row r="53" spans="1:16" ht="13.5" thickBot="1" x14ac:dyDescent="0.25">
      <c r="A53" s="46" t="s">
        <v>21</v>
      </c>
      <c r="B53" s="47"/>
      <c r="C53" s="48"/>
      <c r="D53" s="19">
        <f>D47+D50</f>
        <v>472131.84533333336</v>
      </c>
      <c r="E53" s="19">
        <f t="shared" ref="E53:P53" si="10">E47+E50</f>
        <v>980487.15466666664</v>
      </c>
      <c r="F53" s="19">
        <f>F47+F50</f>
        <v>1062067.3573333332</v>
      </c>
      <c r="G53" s="19">
        <f t="shared" si="10"/>
        <v>2940266.3186666667</v>
      </c>
      <c r="H53" s="19">
        <f t="shared" si="10"/>
        <v>5888339.6773333335</v>
      </c>
      <c r="I53" s="19">
        <f t="shared" si="10"/>
        <v>11809160.086666666</v>
      </c>
      <c r="J53" s="19">
        <f t="shared" si="10"/>
        <v>23676113.173333332</v>
      </c>
      <c r="K53" s="19">
        <f t="shared" si="10"/>
        <v>47325065.746666662</v>
      </c>
      <c r="L53" s="19">
        <f t="shared" si="10"/>
        <v>94584831.853333324</v>
      </c>
      <c r="M53" s="19">
        <f t="shared" si="10"/>
        <v>189185801.70666665</v>
      </c>
      <c r="N53" s="19">
        <f t="shared" si="10"/>
        <v>378277181.29333329</v>
      </c>
      <c r="O53" s="19">
        <f t="shared" si="10"/>
        <v>756485459.78666663</v>
      </c>
      <c r="P53" s="19">
        <f t="shared" si="10"/>
        <v>1517502176.0079999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  <ignoredErrors>
    <ignoredError sqref="P2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topLeftCell="C1" workbookViewId="0">
      <selection activeCell="M16" sqref="M16"/>
    </sheetView>
  </sheetViews>
  <sheetFormatPr defaultRowHeight="12.75" x14ac:dyDescent="0.2"/>
  <cols>
    <col min="3" max="3" width="10.85546875" customWidth="1"/>
    <col min="4" max="4" width="35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9" max="12" width="10.28515625" bestFit="1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5" t="s">
        <v>22</v>
      </c>
      <c r="D1" t="s">
        <v>69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62</v>
      </c>
      <c r="N5" s="9" t="s">
        <v>63</v>
      </c>
      <c r="O5" s="9" t="s">
        <v>38</v>
      </c>
      <c r="P5" s="9" t="s">
        <v>39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t="s">
        <v>70</v>
      </c>
      <c r="E8">
        <v>382414</v>
      </c>
      <c r="F8">
        <v>298218</v>
      </c>
      <c r="G8">
        <v>291005</v>
      </c>
      <c r="H8">
        <v>285111</v>
      </c>
      <c r="I8">
        <v>325600</v>
      </c>
      <c r="J8">
        <v>380450</v>
      </c>
      <c r="K8">
        <v>400600</v>
      </c>
      <c r="L8">
        <v>480750</v>
      </c>
      <c r="M8">
        <v>520180</v>
      </c>
      <c r="N8">
        <v>400800</v>
      </c>
      <c r="O8">
        <v>375080</v>
      </c>
      <c r="P8">
        <v>340900</v>
      </c>
    </row>
    <row r="9" spans="1:16" ht="15" x14ac:dyDescent="0.2">
      <c r="A9" s="8" t="s">
        <v>8</v>
      </c>
      <c r="B9" s="8"/>
      <c r="C9" s="9"/>
      <c r="D9" s="9" t="s">
        <v>9</v>
      </c>
      <c r="E9" s="9">
        <f>E8*60%</f>
        <v>229448.4</v>
      </c>
      <c r="F9" s="9">
        <f t="shared" ref="F9:P9" si="0">F8*60%</f>
        <v>178930.8</v>
      </c>
      <c r="G9" s="9">
        <f t="shared" si="0"/>
        <v>174603</v>
      </c>
      <c r="H9" s="9">
        <f t="shared" si="0"/>
        <v>171066.6</v>
      </c>
      <c r="I9" s="9">
        <f t="shared" si="0"/>
        <v>195360</v>
      </c>
      <c r="J9" s="9">
        <f t="shared" si="0"/>
        <v>228270</v>
      </c>
      <c r="K9" s="9">
        <f t="shared" si="0"/>
        <v>240360</v>
      </c>
      <c r="L9" s="9">
        <f t="shared" si="0"/>
        <v>288450</v>
      </c>
      <c r="M9" s="9">
        <f>M8*40%</f>
        <v>208072</v>
      </c>
      <c r="N9" s="9">
        <f t="shared" si="0"/>
        <v>240480</v>
      </c>
      <c r="O9" s="9">
        <f t="shared" si="0"/>
        <v>225048</v>
      </c>
      <c r="P9" s="9">
        <f t="shared" si="0"/>
        <v>204540</v>
      </c>
    </row>
    <row r="10" spans="1:16" ht="15" x14ac:dyDescent="0.2">
      <c r="A10" s="8" t="s">
        <v>8</v>
      </c>
      <c r="B10" s="8"/>
      <c r="C10" s="9"/>
      <c r="D10" s="9" t="s">
        <v>71</v>
      </c>
      <c r="E10" s="9">
        <f>E8*40%</f>
        <v>152965.6</v>
      </c>
      <c r="F10" s="9">
        <f t="shared" ref="F10:P10" si="1">F8*40%</f>
        <v>119287.20000000001</v>
      </c>
      <c r="G10" s="9">
        <f t="shared" si="1"/>
        <v>116402</v>
      </c>
      <c r="H10" s="9">
        <f t="shared" si="1"/>
        <v>114044.40000000001</v>
      </c>
      <c r="I10" s="9">
        <f t="shared" si="1"/>
        <v>130240</v>
      </c>
      <c r="J10" s="9">
        <f t="shared" si="1"/>
        <v>152180</v>
      </c>
      <c r="K10" s="9">
        <f t="shared" si="1"/>
        <v>160240</v>
      </c>
      <c r="L10" s="9">
        <f t="shared" si="1"/>
        <v>192300</v>
      </c>
      <c r="M10" s="9">
        <f>M8*60%</f>
        <v>312108</v>
      </c>
      <c r="N10" s="9">
        <f t="shared" si="1"/>
        <v>160320</v>
      </c>
      <c r="O10" s="9">
        <f t="shared" si="1"/>
        <v>150032</v>
      </c>
      <c r="P10" s="9">
        <f t="shared" si="1"/>
        <v>136360</v>
      </c>
    </row>
    <row r="11" spans="1:16" ht="15" x14ac:dyDescent="0.2">
      <c r="A11" s="8"/>
      <c r="B11" s="8"/>
      <c r="C11" s="9"/>
      <c r="D11" s="9" t="s">
        <v>74</v>
      </c>
      <c r="E11" s="9">
        <f>E8/100</f>
        <v>3824.14</v>
      </c>
      <c r="F11" s="9">
        <f t="shared" ref="F11:P11" si="2">F8/100</f>
        <v>2982.18</v>
      </c>
      <c r="G11" s="9">
        <f t="shared" si="2"/>
        <v>2910.05</v>
      </c>
      <c r="H11" s="9">
        <f t="shared" si="2"/>
        <v>2851.11</v>
      </c>
      <c r="I11" s="9">
        <f t="shared" si="2"/>
        <v>3256</v>
      </c>
      <c r="J11" s="9">
        <f t="shared" si="2"/>
        <v>3804.5</v>
      </c>
      <c r="K11" s="9">
        <f t="shared" si="2"/>
        <v>4006</v>
      </c>
      <c r="L11" s="9">
        <f t="shared" si="2"/>
        <v>4807.5</v>
      </c>
      <c r="M11" s="9">
        <f t="shared" si="2"/>
        <v>5201.8</v>
      </c>
      <c r="N11" s="9">
        <f t="shared" si="2"/>
        <v>4008</v>
      </c>
      <c r="O11" s="9">
        <f t="shared" si="2"/>
        <v>3750.8</v>
      </c>
      <c r="P11" s="9">
        <f t="shared" si="2"/>
        <v>3409</v>
      </c>
    </row>
    <row r="12" spans="1:16" ht="15" x14ac:dyDescent="0.2">
      <c r="A12" s="8" t="s">
        <v>8</v>
      </c>
      <c r="B12" s="8"/>
      <c r="C12" s="9"/>
      <c r="D12" s="9" t="s">
        <v>75</v>
      </c>
      <c r="E12" s="9">
        <f>E11/2</f>
        <v>1912.07</v>
      </c>
      <c r="F12" s="9">
        <f t="shared" ref="F12:P12" si="3">F11/2</f>
        <v>1491.09</v>
      </c>
      <c r="G12" s="9">
        <f t="shared" si="3"/>
        <v>1455.0250000000001</v>
      </c>
      <c r="H12" s="9">
        <f t="shared" si="3"/>
        <v>1425.5550000000001</v>
      </c>
      <c r="I12" s="9">
        <f t="shared" si="3"/>
        <v>1628</v>
      </c>
      <c r="J12" s="9">
        <f t="shared" si="3"/>
        <v>1902.25</v>
      </c>
      <c r="K12" s="9">
        <f t="shared" si="3"/>
        <v>2003</v>
      </c>
      <c r="L12" s="9">
        <f t="shared" si="3"/>
        <v>2403.75</v>
      </c>
      <c r="M12" s="9">
        <f t="shared" si="3"/>
        <v>2600.9</v>
      </c>
      <c r="N12" s="9">
        <f t="shared" si="3"/>
        <v>2004</v>
      </c>
      <c r="O12" s="9">
        <f t="shared" si="3"/>
        <v>1875.4</v>
      </c>
      <c r="P12" s="9">
        <f t="shared" si="3"/>
        <v>1704.5</v>
      </c>
    </row>
    <row r="13" spans="1:16" ht="15" x14ac:dyDescent="0.2">
      <c r="A13" s="8" t="s">
        <v>8</v>
      </c>
      <c r="B13" s="8"/>
      <c r="C13" s="9"/>
      <c r="D13" s="9" t="s">
        <v>76</v>
      </c>
      <c r="E13" s="9">
        <f>E12/30</f>
        <v>63.735666666666667</v>
      </c>
      <c r="F13" s="9">
        <f t="shared" ref="F13:P13" si="4">F12/30</f>
        <v>49.702999999999996</v>
      </c>
      <c r="G13" s="9">
        <f t="shared" si="4"/>
        <v>48.50083333333334</v>
      </c>
      <c r="H13" s="9">
        <f t="shared" si="4"/>
        <v>47.518500000000003</v>
      </c>
      <c r="I13" s="9">
        <f t="shared" si="4"/>
        <v>54.266666666666666</v>
      </c>
      <c r="J13" s="9">
        <f t="shared" si="4"/>
        <v>63.408333333333331</v>
      </c>
      <c r="K13" s="9">
        <f t="shared" si="4"/>
        <v>66.766666666666666</v>
      </c>
      <c r="L13" s="9">
        <f t="shared" si="4"/>
        <v>80.125</v>
      </c>
      <c r="M13" s="9">
        <f t="shared" si="4"/>
        <v>86.696666666666673</v>
      </c>
      <c r="N13" s="9">
        <f t="shared" si="4"/>
        <v>66.8</v>
      </c>
      <c r="O13" s="9">
        <f t="shared" si="4"/>
        <v>62.513333333333335</v>
      </c>
      <c r="P13" s="9">
        <f t="shared" si="4"/>
        <v>56.81666666666667</v>
      </c>
    </row>
    <row r="14" spans="1:16" ht="15" x14ac:dyDescent="0.2">
      <c r="A14" s="8"/>
      <c r="B14" s="8"/>
      <c r="C14" s="9"/>
      <c r="D14" s="9" t="s">
        <v>77</v>
      </c>
      <c r="E14" s="9">
        <f>80+50</f>
        <v>130</v>
      </c>
      <c r="F14" s="9">
        <f t="shared" ref="F14:P14" si="5">80+50</f>
        <v>130</v>
      </c>
      <c r="G14" s="9">
        <f t="shared" si="5"/>
        <v>130</v>
      </c>
      <c r="H14" s="9">
        <f t="shared" si="5"/>
        <v>130</v>
      </c>
      <c r="I14" s="9">
        <f t="shared" si="5"/>
        <v>130</v>
      </c>
      <c r="J14" s="9">
        <f t="shared" si="5"/>
        <v>130</v>
      </c>
      <c r="K14" s="9">
        <f t="shared" si="5"/>
        <v>130</v>
      </c>
      <c r="L14" s="9">
        <f t="shared" si="5"/>
        <v>130</v>
      </c>
      <c r="M14" s="9">
        <f t="shared" si="5"/>
        <v>130</v>
      </c>
      <c r="N14" s="9">
        <f t="shared" si="5"/>
        <v>130</v>
      </c>
      <c r="O14" s="9">
        <f t="shared" si="5"/>
        <v>130</v>
      </c>
      <c r="P14" s="9">
        <f t="shared" si="5"/>
        <v>130</v>
      </c>
    </row>
    <row r="15" spans="1:16" ht="15.75" thickBot="1" x14ac:dyDescent="0.25">
      <c r="A15" s="8" t="s">
        <v>8</v>
      </c>
      <c r="B15" s="8"/>
      <c r="C15" s="11"/>
      <c r="D15" s="11" t="s">
        <v>78</v>
      </c>
      <c r="E15" s="11">
        <f>E14*30</f>
        <v>3900</v>
      </c>
      <c r="F15" s="11">
        <f t="shared" ref="F15:P15" si="6">F14*30</f>
        <v>3900</v>
      </c>
      <c r="G15" s="11">
        <f t="shared" si="6"/>
        <v>3900</v>
      </c>
      <c r="H15" s="11">
        <f t="shared" si="6"/>
        <v>3900</v>
      </c>
      <c r="I15" s="11">
        <f t="shared" si="6"/>
        <v>3900</v>
      </c>
      <c r="J15" s="11">
        <f t="shared" si="6"/>
        <v>3900</v>
      </c>
      <c r="K15" s="11">
        <f t="shared" si="6"/>
        <v>3900</v>
      </c>
      <c r="L15" s="11">
        <f t="shared" si="6"/>
        <v>3900</v>
      </c>
      <c r="M15" s="11">
        <f t="shared" si="6"/>
        <v>3900</v>
      </c>
      <c r="N15" s="11">
        <f t="shared" si="6"/>
        <v>3900</v>
      </c>
      <c r="O15" s="11">
        <f t="shared" si="6"/>
        <v>3900</v>
      </c>
      <c r="P15" s="11">
        <f t="shared" si="6"/>
        <v>3900</v>
      </c>
    </row>
    <row r="16" spans="1:16" ht="15.75" thickTop="1" x14ac:dyDescent="0.2">
      <c r="A16" s="8" t="s">
        <v>8</v>
      </c>
      <c r="B16" s="8"/>
      <c r="C16" s="9"/>
      <c r="D16" s="9" t="s">
        <v>79</v>
      </c>
      <c r="E16" s="53">
        <f>E12/E15</f>
        <v>0.49027435897435895</v>
      </c>
      <c r="F16" s="53">
        <f t="shared" ref="F16:P16" si="7">F12/F15</f>
        <v>0.3823307692307692</v>
      </c>
      <c r="G16" s="53">
        <f t="shared" si="7"/>
        <v>0.37308333333333338</v>
      </c>
      <c r="H16" s="53">
        <f t="shared" si="7"/>
        <v>0.36552692307692308</v>
      </c>
      <c r="I16" s="53">
        <f t="shared" si="7"/>
        <v>0.41743589743589743</v>
      </c>
      <c r="J16" s="53">
        <f t="shared" si="7"/>
        <v>0.48775641025641026</v>
      </c>
      <c r="K16" s="53">
        <f t="shared" si="7"/>
        <v>0.51358974358974363</v>
      </c>
      <c r="L16" s="53">
        <f t="shared" si="7"/>
        <v>0.61634615384615388</v>
      </c>
      <c r="M16" s="53">
        <f t="shared" si="7"/>
        <v>0.66689743589743589</v>
      </c>
      <c r="N16" s="53">
        <f t="shared" si="7"/>
        <v>0.51384615384615384</v>
      </c>
      <c r="O16" s="53">
        <f t="shared" si="7"/>
        <v>0.48087179487179488</v>
      </c>
      <c r="P16" s="53">
        <f t="shared" si="7"/>
        <v>0.43705128205128208</v>
      </c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62</v>
      </c>
      <c r="N47" s="9" t="s">
        <v>63</v>
      </c>
      <c r="O47" s="9" t="s">
        <v>38</v>
      </c>
      <c r="P47" s="9" t="s">
        <v>39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62</v>
      </c>
      <c r="N78" s="9" t="s">
        <v>63</v>
      </c>
      <c r="O78" s="9" t="s">
        <v>38</v>
      </c>
      <c r="P78" s="9" t="s">
        <v>39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65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59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user</cp:lastModifiedBy>
  <cp:lastPrinted>2016-08-19T14:08:18Z</cp:lastPrinted>
  <dcterms:created xsi:type="dcterms:W3CDTF">2011-01-20T13:47:40Z</dcterms:created>
  <dcterms:modified xsi:type="dcterms:W3CDTF">2019-12-20T07:17:12Z</dcterms:modified>
</cp:coreProperties>
</file>