
<file path=[Content_Types].xml><?xml version="1.0" encoding="utf-8"?>
<Types xmlns="http://schemas.openxmlformats.org/package/2006/content-types">
  <Default Extension="xml" ContentType="application/xml"/>
  <Default Extension="rels" ContentType="application/vnd.openxmlformats-package.relationships+xml"/>
  <Default Extension="bin" ContentType="application/vnd.openxmlformats-officedocument.spreadsheetml.printerSettings"/>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4" Type="http://schemas.openxmlformats.org/officeDocument/2006/relationships/custom-properties" Target="docProps/custom.xml"/><Relationship Id="rId1" Type="http://schemas.openxmlformats.org/officeDocument/2006/relationships/officeDocument" Target="xl/workbook.xml"/><Relationship Id="rId2"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28109"/>
  <workbookPr/>
  <mc:AlternateContent xmlns:mc="http://schemas.openxmlformats.org/markup-compatibility/2006">
    <mc:Choice Requires="x15">
      <x15ac:absPath xmlns:x15ac="http://schemas.microsoft.com/office/spreadsheetml/2010/11/ac" url="/Users/jamessmith/Desktop/"/>
    </mc:Choice>
  </mc:AlternateContent>
  <bookViews>
    <workbookView xWindow="0" yWindow="460" windowWidth="25600" windowHeight="14120" activeTab="7"/>
  </bookViews>
  <sheets>
    <sheet name="Spring Rate Conversion" sheetId="2" r:id="rId1"/>
    <sheet name="Load Spliits" sheetId="8" r:id="rId2"/>
    <sheet name="Exam Q1" sheetId="7" r:id="rId3"/>
    <sheet name="Exam Q2" sheetId="9" r:id="rId4"/>
    <sheet name="Exam Q3" sheetId="10" r:id="rId5"/>
    <sheet name="Exam Q4" sheetId="11" r:id="rId6"/>
    <sheet name="Exam Q5" sheetId="12" r:id="rId7"/>
    <sheet name="Exam Q6" sheetId="13" r:id="rId8"/>
  </sheets>
  <definedNames>
    <definedName name="Left_front__corner_sprung_mass__kg" comment="FL" localSheetId="2">#REF!</definedName>
    <definedName name="Left_front__corner_sprung_mass__kg" comment="FL" localSheetId="3">#REF!</definedName>
    <definedName name="Left_front__corner_sprung_mass__kg" comment="FL" localSheetId="4">#REF!</definedName>
    <definedName name="Left_front__corner_sprung_mass__kg" comment="FL" localSheetId="5">#REF!</definedName>
    <definedName name="Left_front__corner_sprung_mass__kg" comment="FL" localSheetId="6">#REF!</definedName>
    <definedName name="Left_front__corner_sprung_mass__kg" comment="FL" localSheetId="7">#REF!</definedName>
    <definedName name="Left_front__corner_sprung_mass__kg" comment="FL">#REF!</definedName>
  </definedName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4" i="13" l="1"/>
  <c r="G5" i="13"/>
  <c r="G8" i="13"/>
  <c r="G6" i="13"/>
  <c r="G7" i="13"/>
  <c r="G9" i="13"/>
  <c r="G11" i="13"/>
  <c r="G10" i="13"/>
  <c r="D26" i="13"/>
  <c r="G24" i="13"/>
  <c r="G23" i="13"/>
  <c r="G25" i="13"/>
  <c r="G27" i="13"/>
  <c r="J7" i="13"/>
  <c r="G13" i="13"/>
  <c r="G17" i="13"/>
  <c r="G14" i="13"/>
  <c r="G18" i="13"/>
  <c r="G21" i="13"/>
  <c r="J4" i="13"/>
  <c r="G15" i="13"/>
  <c r="G19" i="13"/>
  <c r="G16" i="13"/>
  <c r="G20" i="13"/>
  <c r="G22" i="13"/>
  <c r="J5" i="13"/>
  <c r="J6" i="13"/>
  <c r="J8" i="13"/>
  <c r="J10" i="13"/>
  <c r="J13" i="13"/>
  <c r="J15" i="13"/>
  <c r="J17" i="13"/>
  <c r="J28" i="13"/>
  <c r="J32" i="13"/>
  <c r="J9" i="13"/>
  <c r="J12" i="13"/>
  <c r="J14" i="13"/>
  <c r="J16" i="13"/>
  <c r="J19" i="13"/>
  <c r="J20" i="13"/>
  <c r="J29" i="13"/>
  <c r="J23" i="13"/>
  <c r="J24" i="13"/>
  <c r="J30" i="13"/>
  <c r="J31" i="13"/>
  <c r="J26" i="13"/>
  <c r="J25" i="13"/>
  <c r="J18" i="13"/>
  <c r="G12" i="13"/>
  <c r="K8" i="13"/>
  <c r="G4" i="12"/>
  <c r="G5" i="12"/>
  <c r="G8" i="12"/>
  <c r="G6" i="12"/>
  <c r="G7" i="12"/>
  <c r="G9" i="12"/>
  <c r="G11" i="12"/>
  <c r="G10" i="12"/>
  <c r="D26" i="12"/>
  <c r="G24" i="12"/>
  <c r="G23" i="12"/>
  <c r="G25" i="12"/>
  <c r="G27" i="12"/>
  <c r="J7" i="12"/>
  <c r="G13" i="12"/>
  <c r="G17" i="12"/>
  <c r="G14" i="12"/>
  <c r="G18" i="12"/>
  <c r="G21" i="12"/>
  <c r="J4" i="12"/>
  <c r="G15" i="12"/>
  <c r="G19" i="12"/>
  <c r="G16" i="12"/>
  <c r="G20" i="12"/>
  <c r="G22" i="12"/>
  <c r="J5" i="12"/>
  <c r="J6" i="12"/>
  <c r="J8" i="12"/>
  <c r="J10" i="12"/>
  <c r="J13" i="12"/>
  <c r="J15" i="12"/>
  <c r="J17" i="12"/>
  <c r="J28" i="12"/>
  <c r="J32" i="12"/>
  <c r="J9" i="12"/>
  <c r="J12" i="12"/>
  <c r="J14" i="12"/>
  <c r="J16" i="12"/>
  <c r="J19" i="12"/>
  <c r="J20" i="12"/>
  <c r="J29" i="12"/>
  <c r="J23" i="12"/>
  <c r="J24" i="12"/>
  <c r="J30" i="12"/>
  <c r="J31" i="12"/>
  <c r="J26" i="12"/>
  <c r="J25" i="12"/>
  <c r="J18" i="12"/>
  <c r="G12" i="12"/>
  <c r="K8" i="12"/>
  <c r="G4" i="11"/>
  <c r="G5" i="11"/>
  <c r="G8" i="11"/>
  <c r="G6" i="11"/>
  <c r="G7" i="11"/>
  <c r="G9" i="11"/>
  <c r="G11" i="11"/>
  <c r="G10" i="11"/>
  <c r="D26" i="11"/>
  <c r="G24" i="11"/>
  <c r="G23" i="11"/>
  <c r="G25" i="11"/>
  <c r="G27" i="11"/>
  <c r="J7" i="11"/>
  <c r="G13" i="11"/>
  <c r="G17" i="11"/>
  <c r="G14" i="11"/>
  <c r="G18" i="11"/>
  <c r="G21" i="11"/>
  <c r="J4" i="11"/>
  <c r="G15" i="11"/>
  <c r="G19" i="11"/>
  <c r="G16" i="11"/>
  <c r="G20" i="11"/>
  <c r="G22" i="11"/>
  <c r="J5" i="11"/>
  <c r="J6" i="11"/>
  <c r="J8" i="11"/>
  <c r="J10" i="11"/>
  <c r="J13" i="11"/>
  <c r="J15" i="11"/>
  <c r="J17" i="11"/>
  <c r="J28" i="11"/>
  <c r="J32" i="11"/>
  <c r="J9" i="11"/>
  <c r="J12" i="11"/>
  <c r="J14" i="11"/>
  <c r="J16" i="11"/>
  <c r="J19" i="11"/>
  <c r="J20" i="11"/>
  <c r="J29" i="11"/>
  <c r="J23" i="11"/>
  <c r="J24" i="11"/>
  <c r="J30" i="11"/>
  <c r="J31" i="11"/>
  <c r="J26" i="11"/>
  <c r="J25" i="11"/>
  <c r="J18" i="11"/>
  <c r="G12" i="11"/>
  <c r="K8" i="11"/>
  <c r="G4" i="10"/>
  <c r="G5" i="10"/>
  <c r="G8" i="10"/>
  <c r="G6" i="10"/>
  <c r="G7" i="10"/>
  <c r="G9" i="10"/>
  <c r="G11" i="10"/>
  <c r="G10" i="10"/>
  <c r="D26" i="10"/>
  <c r="G24" i="10"/>
  <c r="G23" i="10"/>
  <c r="G25" i="10"/>
  <c r="G27" i="10"/>
  <c r="J7" i="10"/>
  <c r="G13" i="10"/>
  <c r="G17" i="10"/>
  <c r="G14" i="10"/>
  <c r="G18" i="10"/>
  <c r="G21" i="10"/>
  <c r="J4" i="10"/>
  <c r="G15" i="10"/>
  <c r="G19" i="10"/>
  <c r="G16" i="10"/>
  <c r="G20" i="10"/>
  <c r="G22" i="10"/>
  <c r="J5" i="10"/>
  <c r="J6" i="10"/>
  <c r="J8" i="10"/>
  <c r="J10" i="10"/>
  <c r="J13" i="10"/>
  <c r="J15" i="10"/>
  <c r="J17" i="10"/>
  <c r="J28" i="10"/>
  <c r="J32" i="10"/>
  <c r="J9" i="10"/>
  <c r="J12" i="10"/>
  <c r="J14" i="10"/>
  <c r="J16" i="10"/>
  <c r="J19" i="10"/>
  <c r="J20" i="10"/>
  <c r="J29" i="10"/>
  <c r="J23" i="10"/>
  <c r="J24" i="10"/>
  <c r="J30" i="10"/>
  <c r="J31" i="10"/>
  <c r="J26" i="10"/>
  <c r="J25" i="10"/>
  <c r="J18" i="10"/>
  <c r="G12" i="10"/>
  <c r="K8" i="10"/>
  <c r="G4" i="9"/>
  <c r="G5" i="9"/>
  <c r="G8" i="9"/>
  <c r="G6" i="9"/>
  <c r="G7" i="9"/>
  <c r="G9" i="9"/>
  <c r="G11" i="9"/>
  <c r="G10" i="9"/>
  <c r="D26" i="9"/>
  <c r="G24" i="9"/>
  <c r="G23" i="9"/>
  <c r="G25" i="9"/>
  <c r="G27" i="9"/>
  <c r="J7" i="9"/>
  <c r="G13" i="9"/>
  <c r="G17" i="9"/>
  <c r="G14" i="9"/>
  <c r="G18" i="9"/>
  <c r="G21" i="9"/>
  <c r="J4" i="9"/>
  <c r="G15" i="9"/>
  <c r="G19" i="9"/>
  <c r="G16" i="9"/>
  <c r="G20" i="9"/>
  <c r="G22" i="9"/>
  <c r="J5" i="9"/>
  <c r="J6" i="9"/>
  <c r="J8" i="9"/>
  <c r="J10" i="9"/>
  <c r="J13" i="9"/>
  <c r="J15" i="9"/>
  <c r="J17" i="9"/>
  <c r="J28" i="9"/>
  <c r="J32" i="9"/>
  <c r="J9" i="9"/>
  <c r="J12" i="9"/>
  <c r="J14" i="9"/>
  <c r="J16" i="9"/>
  <c r="J19" i="9"/>
  <c r="J20" i="9"/>
  <c r="J29" i="9"/>
  <c r="J23" i="9"/>
  <c r="J24" i="9"/>
  <c r="J30" i="9"/>
  <c r="J31" i="9"/>
  <c r="J26" i="9"/>
  <c r="J25" i="9"/>
  <c r="J18" i="9"/>
  <c r="G12" i="9"/>
  <c r="K8" i="9"/>
  <c r="J32" i="7"/>
  <c r="J30" i="7"/>
  <c r="J31" i="7"/>
  <c r="J29" i="7"/>
  <c r="J28" i="7"/>
  <c r="D26" i="7"/>
  <c r="G11" i="7"/>
  <c r="G4" i="7"/>
  <c r="G5" i="7"/>
  <c r="G8" i="7"/>
  <c r="J12" i="7"/>
  <c r="G6" i="7"/>
  <c r="G9" i="7"/>
  <c r="G7" i="7"/>
  <c r="G13" i="7"/>
  <c r="G17" i="7"/>
  <c r="G21" i="7"/>
  <c r="J4" i="7"/>
  <c r="G14" i="7"/>
  <c r="G18" i="7"/>
  <c r="G15" i="7"/>
  <c r="G19" i="7"/>
  <c r="G16" i="7"/>
  <c r="G20" i="7"/>
  <c r="J15" i="7"/>
  <c r="J14" i="7"/>
  <c r="G24" i="7"/>
  <c r="G12" i="7"/>
  <c r="J26" i="7"/>
  <c r="G22" i="7"/>
  <c r="J5" i="7"/>
  <c r="J6" i="7"/>
  <c r="J13" i="7"/>
  <c r="G10" i="7"/>
  <c r="G23" i="7"/>
  <c r="G25" i="7"/>
  <c r="G27" i="7"/>
  <c r="J7" i="7"/>
  <c r="J8" i="7"/>
  <c r="J9" i="7"/>
  <c r="J16" i="7"/>
  <c r="K8" i="7"/>
  <c r="J10" i="7"/>
  <c r="J17" i="7"/>
  <c r="J24" i="7"/>
  <c r="J13" i="8"/>
  <c r="J23" i="7"/>
  <c r="F13" i="8"/>
  <c r="J20" i="7"/>
  <c r="J9" i="8"/>
  <c r="J19" i="7"/>
  <c r="J18" i="7"/>
  <c r="F9" i="8"/>
  <c r="F14" i="8"/>
  <c r="J25" i="7"/>
  <c r="J11" i="8"/>
  <c r="F16" i="8"/>
  <c r="E13" i="8"/>
  <c r="H14" i="8"/>
  <c r="J14" i="8"/>
  <c r="E9" i="8"/>
  <c r="E12" i="8"/>
  <c r="F11" i="8"/>
  <c r="H7" i="8"/>
  <c r="H11" i="8"/>
  <c r="H5" i="8"/>
  <c r="E11" i="8"/>
  <c r="J8" i="8"/>
  <c r="F15" i="8"/>
  <c r="F12" i="8"/>
  <c r="J12" i="8"/>
  <c r="H16" i="8"/>
  <c r="K11" i="8"/>
  <c r="F8" i="8"/>
</calcChain>
</file>

<file path=xl/sharedStrings.xml><?xml version="1.0" encoding="utf-8"?>
<sst xmlns="http://schemas.openxmlformats.org/spreadsheetml/2006/main" count="931" uniqueCount="204">
  <si>
    <t xml:space="preserve">Lateral Acceleration </t>
  </si>
  <si>
    <t>Measured Suspension  Data</t>
  </si>
  <si>
    <t xml:space="preserve">Calculated Suspension Data </t>
  </si>
  <si>
    <t xml:space="preserve">Results </t>
  </si>
  <si>
    <t>MR fl</t>
  </si>
  <si>
    <t>Motion Ratio front left</t>
  </si>
  <si>
    <t>Ms fl</t>
  </si>
  <si>
    <t>Front Left   corner sprung mass [kg]</t>
  </si>
  <si>
    <t>Kϕf</t>
  </si>
  <si>
    <t>Front Roll Stiffness [Nm/rad]</t>
  </si>
  <si>
    <t>MR fr</t>
  </si>
  <si>
    <t>Motion Ratio front right</t>
  </si>
  <si>
    <t>Ms fr</t>
  </si>
  <si>
    <t>Front Right corner sprung mass [kg]</t>
  </si>
  <si>
    <t>Kϕr</t>
  </si>
  <si>
    <t>Rear Roll Stiffness [Nm/rad]</t>
  </si>
  <si>
    <t>MR rl</t>
  </si>
  <si>
    <t xml:space="preserve">Motion Ratio rear left </t>
  </si>
  <si>
    <t>Ms rl</t>
  </si>
  <si>
    <t>Rear Left   corner sprung mass [kg]</t>
  </si>
  <si>
    <t>Kϕt</t>
  </si>
  <si>
    <t>Total Roll Stiffness [Nm/rad]</t>
  </si>
  <si>
    <t>MR rr</t>
  </si>
  <si>
    <t xml:space="preserve">Motion Ratio rear right </t>
  </si>
  <si>
    <t>Ms rr</t>
  </si>
  <si>
    <t>Rear Right corner sprung  mass [kg]</t>
  </si>
  <si>
    <t>Mot</t>
  </si>
  <si>
    <t>Overturning moment [Nm]</t>
  </si>
  <si>
    <t>M fl</t>
  </si>
  <si>
    <t>Front Left total measured static corner mass [kg]</t>
  </si>
  <si>
    <t>Ms f</t>
  </si>
  <si>
    <t>Total front sprung mass [kg]</t>
  </si>
  <si>
    <t>ϕ</t>
  </si>
  <si>
    <t>Roll angle  (Radians)</t>
  </si>
  <si>
    <t>M fr</t>
  </si>
  <si>
    <t>Front Right  measured static corner mass [kg]</t>
  </si>
  <si>
    <t>Ms r</t>
  </si>
  <si>
    <t>Total rear sprung mass  [kg]</t>
  </si>
  <si>
    <t>WTsf</t>
  </si>
  <si>
    <t>Front weight transfer due to spung mass [N]</t>
  </si>
  <si>
    <t>M rl</t>
  </si>
  <si>
    <t>Rear Left  total measured static corner mass [kg]</t>
  </si>
  <si>
    <t>Mstot</t>
  </si>
  <si>
    <t xml:space="preserve">Total  sprung mass </t>
  </si>
  <si>
    <t>WTsr</t>
  </si>
  <si>
    <t>Rear  weight transfer due to spung mass [N]</t>
  </si>
  <si>
    <t>M rr</t>
  </si>
  <si>
    <t>Rear Right   total measured static corner mass [kg]</t>
  </si>
  <si>
    <t>Mtot</t>
  </si>
  <si>
    <t xml:space="preserve">Total Mass </t>
  </si>
  <si>
    <t>Mus fl</t>
  </si>
  <si>
    <t>Front Left  unsprung mass  [kg]</t>
  </si>
  <si>
    <t>Mustot</t>
  </si>
  <si>
    <t>Total unsprung mass</t>
  </si>
  <si>
    <t>WTsrcf</t>
  </si>
  <si>
    <t>Front WT due to sprung mass at RC Height</t>
  </si>
  <si>
    <t>Mus fr</t>
  </si>
  <si>
    <t>Front Right total unsprung mass  [kg]</t>
  </si>
  <si>
    <t>Ks fl</t>
  </si>
  <si>
    <t>Front Left Spring rate [N/mm]</t>
  </si>
  <si>
    <t>WTsrcr</t>
  </si>
  <si>
    <t>Rear WT due to sprung mass at RC Height</t>
  </si>
  <si>
    <t>Mus rl</t>
  </si>
  <si>
    <t>Rear Left unsprung mass  [kg]</t>
  </si>
  <si>
    <t>Ks fr</t>
  </si>
  <si>
    <t>Front Right rspring rate [N/mm]</t>
  </si>
  <si>
    <t>Wtusf</t>
  </si>
  <si>
    <t>Front WT due to Unsprung mass at wheel centre height</t>
  </si>
  <si>
    <t>Mus rr</t>
  </si>
  <si>
    <t>Rear Right unsprung mass  [kg]</t>
  </si>
  <si>
    <t>Ks rl</t>
  </si>
  <si>
    <t>Rear Left  Spring rate [N/mm]</t>
  </si>
  <si>
    <t>Wtusr</t>
  </si>
  <si>
    <t>Rear WT due to Unsprung mass at wheel centre height</t>
  </si>
  <si>
    <t xml:space="preserve">Ks fl  </t>
  </si>
  <si>
    <t>Front Left Spring rate [lb/in]</t>
  </si>
  <si>
    <t>Ks rr</t>
  </si>
  <si>
    <t>Rear Right  Spring Rate [N/mm]</t>
  </si>
  <si>
    <t xml:space="preserve">Total front WT </t>
  </si>
  <si>
    <t xml:space="preserve">Ks fr </t>
  </si>
  <si>
    <t>Front Right Spring rate [lb/in]</t>
  </si>
  <si>
    <t>Kw fl</t>
  </si>
  <si>
    <t>Front Left   wheel rate  [N/mm]</t>
  </si>
  <si>
    <t>Total Rear WT</t>
  </si>
  <si>
    <t>Rear Left   Spring rate [lb/in]</t>
  </si>
  <si>
    <t>Kw fr</t>
  </si>
  <si>
    <t>Front Right wheel rate  [N/mm]</t>
  </si>
  <si>
    <t xml:space="preserve">Total WT calculated by adding alll Weight Transfers </t>
  </si>
  <si>
    <t>Rear Right  Spring rate [lb/in]</t>
  </si>
  <si>
    <t>Kw rl</t>
  </si>
  <si>
    <t>Rear Left Wheel Rate [N/mm]</t>
  </si>
  <si>
    <t>Fz fl</t>
  </si>
  <si>
    <t>Left front  vertical force [N]</t>
  </si>
  <si>
    <t>Tf</t>
  </si>
  <si>
    <t xml:space="preserve">Front Track </t>
  </si>
  <si>
    <t>Kw rr</t>
  </si>
  <si>
    <t>Rear  Right wheel  rate [N/mm]</t>
  </si>
  <si>
    <t>Fz fr</t>
  </si>
  <si>
    <t>Front Rightvertical force  [N]</t>
  </si>
  <si>
    <t>Kwf</t>
  </si>
  <si>
    <t>Average Front Wheel rate</t>
  </si>
  <si>
    <t>Kwr</t>
  </si>
  <si>
    <t>Average rear wheel rate</t>
  </si>
  <si>
    <t>Tr</t>
  </si>
  <si>
    <t xml:space="preserve">Rear track </t>
  </si>
  <si>
    <t>b</t>
  </si>
  <si>
    <t>distance of cg of sprung mass from front axle [m]</t>
  </si>
  <si>
    <t>Fz rl</t>
  </si>
  <si>
    <t>Rear Left vertical force [N]</t>
  </si>
  <si>
    <t xml:space="preserve">L </t>
  </si>
  <si>
    <t xml:space="preserve">Wheel base  </t>
  </si>
  <si>
    <t>hr -hf</t>
  </si>
  <si>
    <t>Rear -Front RC Height [m]</t>
  </si>
  <si>
    <t>Fz rr</t>
  </si>
  <si>
    <t>Rear Right  vertical force [N]</t>
  </si>
  <si>
    <t>Rrf</t>
  </si>
  <si>
    <t>Rolling  Radius front</t>
  </si>
  <si>
    <t>z</t>
  </si>
  <si>
    <t>Depth  of triangle at CG [m]</t>
  </si>
  <si>
    <t xml:space="preserve">Total wheel loads  by individual wheel load check </t>
  </si>
  <si>
    <t>Rrr</t>
  </si>
  <si>
    <t>Rolling Radius rear</t>
  </si>
  <si>
    <t>z+hf</t>
  </si>
  <si>
    <t>Height of roll axis at CG [m]</t>
  </si>
  <si>
    <t xml:space="preserve">Total  wheel load  by static corner weight check </t>
  </si>
  <si>
    <t xml:space="preserve">Ht </t>
  </si>
  <si>
    <t xml:space="preserve">Height of CG of total mass above ground </t>
  </si>
  <si>
    <t>Hsra</t>
  </si>
  <si>
    <t>Height of CG above roll axis [m]</t>
  </si>
  <si>
    <t xml:space="preserve">Hs </t>
  </si>
  <si>
    <t xml:space="preserve">Height of CG of sprung mass  above ground </t>
  </si>
  <si>
    <t xml:space="preserve">hf </t>
  </si>
  <si>
    <t xml:space="preserve">WT </t>
  </si>
  <si>
    <t xml:space="preserve">Total WT calculated for 'solid' car </t>
  </si>
  <si>
    <t xml:space="preserve">hr </t>
  </si>
  <si>
    <t xml:space="preserve">Height of Rear roll centre above ground  </t>
  </si>
  <si>
    <t>Spring Rate Conversions</t>
  </si>
  <si>
    <t>kg/mm to N/m</t>
  </si>
  <si>
    <t>lb/in to N/mm</t>
  </si>
  <si>
    <t>lb/in to N/m</t>
  </si>
  <si>
    <t>lb/in to kg/mm</t>
  </si>
  <si>
    <t>N/mm to kg/mm</t>
  </si>
  <si>
    <t>N/mm to lb/in</t>
  </si>
  <si>
    <t>N/mm to N/m</t>
  </si>
  <si>
    <t>N/m to N/mm</t>
  </si>
  <si>
    <t>N/m to kg/mm</t>
  </si>
  <si>
    <t>N/m to lb/in</t>
  </si>
  <si>
    <t>N/mm</t>
  </si>
  <si>
    <t>N/m</t>
  </si>
  <si>
    <t>kg/mm</t>
  </si>
  <si>
    <t>lb/in</t>
  </si>
  <si>
    <t xml:space="preserve">Wheel load distribution </t>
  </si>
  <si>
    <t>LF+RF</t>
  </si>
  <si>
    <t>LF</t>
  </si>
  <si>
    <t>RF</t>
  </si>
  <si>
    <t xml:space="preserve">Front Split </t>
  </si>
  <si>
    <t xml:space="preserve">LF-RF </t>
  </si>
  <si>
    <t>LF+LR</t>
  </si>
  <si>
    <t xml:space="preserve">   RF+RR</t>
  </si>
  <si>
    <t xml:space="preserve"> (LR-RR) -</t>
  </si>
  <si>
    <t xml:space="preserve">(LF-RF) </t>
  </si>
  <si>
    <t xml:space="preserve">Rear Split </t>
  </si>
  <si>
    <t xml:space="preserve">LR-RR </t>
  </si>
  <si>
    <t>LR</t>
  </si>
  <si>
    <t>RR</t>
  </si>
  <si>
    <t>LR-LF Split</t>
  </si>
  <si>
    <t>RR-RF Split</t>
  </si>
  <si>
    <t>Wedge</t>
  </si>
  <si>
    <t>LR+RR</t>
  </si>
  <si>
    <t>LR-RF Split</t>
  </si>
  <si>
    <t xml:space="preserve">Height of front roll centre above ground  </t>
  </si>
  <si>
    <t>Degrees</t>
  </si>
  <si>
    <t xml:space="preserve">By Warren Rowley </t>
  </si>
  <si>
    <t>Front Split</t>
  </si>
  <si>
    <t>Rear Split</t>
  </si>
  <si>
    <t>FRLSD</t>
  </si>
  <si>
    <t>Rear WT %</t>
  </si>
  <si>
    <t>Q3.1</t>
  </si>
  <si>
    <t>Q3.2</t>
  </si>
  <si>
    <t>Q3.3</t>
  </si>
  <si>
    <t xml:space="preserve">If the wheel load is increased on the front right corner by 20kg, then it is expected that the car would understeer more on the other 3 corners. </t>
  </si>
  <si>
    <t xml:space="preserve">If the load split is increased in the front of an understeering car, then the car will understeer more. Therfore as the data above is equal, this car will understeer less. </t>
  </si>
  <si>
    <t>Q4.i</t>
  </si>
  <si>
    <t>Effected Cells from data Changes (Highlighted Blue)</t>
  </si>
  <si>
    <t>Q4.ii</t>
  </si>
  <si>
    <t>Q.4.iii</t>
  </si>
  <si>
    <t>WTr</t>
  </si>
  <si>
    <t>Q6i</t>
  </si>
  <si>
    <t>Q6ii</t>
  </si>
  <si>
    <t xml:space="preserve">By reducing the motion ratio, from 1.02 to 0.7 the ride will be less comfortable and will be harder over most road surfaces.This is because the force transmitted to the </t>
  </si>
  <si>
    <t>comfortable ride in the car because the spring is compressing less.</t>
  </si>
  <si>
    <t xml:space="preserve">With inboard suspension geometric weight transfer occurs through the suspension linkage. To achieve this change, the ride height would need to be lowered the spring rate.  </t>
  </si>
  <si>
    <t xml:space="preserve">vehciles chassis increases when the motion ratio decreases. The roll angle weight transfer is redcued and the wheel rate is reduced causing a harder and less  </t>
  </si>
  <si>
    <t>By also changing the bell crank ratio, you lower the compression relationship which creates a harder ride.</t>
  </si>
  <si>
    <t xml:space="preserve">The rear weight transfer has increased after chaning the rear spring rates and static corner loads. The FRLSD has increased from 0 to 793, because the front and rear </t>
  </si>
  <si>
    <t xml:space="preserve">weight transfer is no longer equal. The car will now have less grip and will not handle as predictably because there is a greater weight transfer between the inner and   </t>
  </si>
  <si>
    <t>outer wheels. The axel will therfore produce less grip.</t>
  </si>
  <si>
    <t>For oval racing by increasing spring rates on the corning side of the car and reducing spring rates on the outside wheel of the car can increase handling for this racing type.</t>
  </si>
  <si>
    <t>handling, providing the car is only travelling around one direction corners of a tarck. If you increase the load split at the front of the car, you will increase the understeer</t>
  </si>
  <si>
    <t>which is beneficical in oval racing motorsport events.</t>
  </si>
  <si>
    <t xml:space="preserve">By also increasing the vertical load on the outside tyres and reducing the vertical load of the inner tyre, you can change the centre of gravity of the vehicle and increasing </t>
  </si>
  <si>
    <t>It would be expected that the car would  understeer less whilst cornering than in question 2.</t>
  </si>
  <si>
    <t>By increasing the rear left and right spring rates to 238.95, equal total front and rear weight transfer has been achieved.</t>
  </si>
  <si>
    <t>The diagonal distribution is import in overal circuit racing because when cars are only turning in one direction the car balance needs to also be turn direction dependant.</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</si>
</sst>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000"/>
    <numFmt numFmtId="165" formatCode="0.000"/>
    <numFmt numFmtId="166" formatCode="0.0"/>
    <numFmt numFmtId="167" formatCode="0.0%"/>
    <numFmt numFmtId="168" formatCode="0.000000"/>
  </numFmts>
  <fonts count="31" x14ac:knownFonts="1">
    <font>
      <sz val="10"/>
      <name val="Arial"/>
    </font>
    <font>
      <sz val="8"/>
      <name val="Arial"/>
      <family val="2"/>
    </font>
    <font>
      <b/>
      <sz val="14"/>
      <color indexed="10"/>
      <name val="Verdana"/>
      <family val="2"/>
    </font>
    <font>
      <sz val="10"/>
      <color indexed="8"/>
      <name val="Verdana"/>
      <family val="2"/>
    </font>
    <font>
      <sz val="10"/>
      <color rgb="FFFF0000"/>
      <name val="Arial"/>
      <family val="2"/>
    </font>
    <font>
      <b/>
      <sz val="10"/>
      <color rgb="FFFF0000"/>
      <name val="Arial"/>
      <family val="2"/>
    </font>
    <font>
      <b/>
      <sz val="10"/>
      <name val="Arial"/>
      <family val="2"/>
    </font>
    <font>
      <b/>
      <sz val="12"/>
      <name val="Arial"/>
      <family val="2"/>
    </font>
    <font>
      <sz val="10"/>
      <name val="Arial"/>
      <family val="2"/>
    </font>
    <font>
      <u/>
      <sz val="11"/>
      <color rgb="FF000000"/>
      <name val="Calibri"/>
      <family val="2"/>
    </font>
    <font>
      <sz val="11"/>
      <color rgb="FF000000"/>
      <name val="Calibri"/>
      <family val="2"/>
    </font>
    <font>
      <sz val="11"/>
      <name val="Arial"/>
      <family val="2"/>
    </font>
    <font>
      <sz val="10"/>
      <name val="Calibri"/>
      <family val="2"/>
    </font>
    <font>
      <sz val="24"/>
      <color rgb="FFFF0000"/>
      <name val="Arial"/>
      <family val="2"/>
    </font>
    <font>
      <sz val="11"/>
      <color rgb="FFFF0000"/>
      <name val="Arial"/>
      <family val="2"/>
    </font>
    <font>
      <sz val="13"/>
      <color rgb="FF000000"/>
      <name val="Calibri"/>
      <family val="2"/>
    </font>
    <font>
      <sz val="10"/>
      <name val="Arial"/>
      <family val="2"/>
    </font>
    <font>
      <sz val="12"/>
      <name val="Arial"/>
      <family val="2"/>
    </font>
    <font>
      <sz val="10"/>
      <color theme="0"/>
      <name val="Arial"/>
      <family val="2"/>
    </font>
    <font>
      <sz val="28"/>
      <color rgb="FF000000"/>
      <name val="Calibri"/>
      <family val="2"/>
    </font>
    <font>
      <sz val="12"/>
      <color rgb="FF006100"/>
      <name val="Calibri"/>
      <family val="2"/>
      <scheme val="minor"/>
    </font>
    <font>
      <sz val="12"/>
      <color rgb="FF3F3F76"/>
      <name val="Calibri"/>
      <family val="2"/>
      <scheme val="minor"/>
    </font>
    <font>
      <b/>
      <sz val="12"/>
      <color rgb="FFFA7D00"/>
      <name val="Calibri"/>
      <family val="2"/>
      <scheme val="minor"/>
    </font>
    <font>
      <i/>
      <sz val="12"/>
      <color rgb="FF7F7F7F"/>
      <name val="Calibri"/>
      <family val="2"/>
      <scheme val="minor"/>
    </font>
    <font>
      <i/>
      <sz val="12"/>
      <name val="Calibri"/>
      <family val="2"/>
      <scheme val="minor"/>
    </font>
    <font>
      <i/>
      <sz val="14"/>
      <name val="Calibri"/>
      <family val="2"/>
      <scheme val="minor"/>
    </font>
    <font>
      <sz val="14"/>
      <color rgb="FF3F3F76"/>
      <name val="Calibri"/>
      <family val="2"/>
      <scheme val="minor"/>
    </font>
    <font>
      <i/>
      <sz val="16"/>
      <name val="Calibri"/>
      <family val="2"/>
      <scheme val="minor"/>
    </font>
    <font>
      <sz val="10"/>
      <name val="Verdana"/>
      <family val="2"/>
    </font>
    <font>
      <sz val="12"/>
      <name val="Calibri"/>
      <family val="2"/>
      <scheme val="minor"/>
    </font>
    <font>
      <sz val="10"/>
      <color rgb="FF000000"/>
      <name val="Arial"/>
    </font>
  </fonts>
  <fills count="16">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13"/>
        <bgColor indexed="64"/>
      </patternFill>
    </fill>
    <fill>
      <patternFill patternType="solid">
        <fgColor indexed="47"/>
        <bgColor indexed="64"/>
      </patternFill>
    </fill>
    <fill>
      <patternFill patternType="solid">
        <fgColor rgb="FFFFFF00"/>
        <bgColor indexed="64"/>
      </patternFill>
    </fill>
    <fill>
      <patternFill patternType="solid">
        <fgColor theme="0"/>
        <bgColor indexed="64"/>
      </patternFill>
    </fill>
    <fill>
      <patternFill patternType="solid">
        <fgColor rgb="FFCCFFCC"/>
        <bgColor indexed="64"/>
      </patternFill>
    </fill>
    <fill>
      <patternFill patternType="solid">
        <fgColor indexed="22"/>
        <bgColor indexed="64"/>
      </patternFill>
    </fill>
    <fill>
      <patternFill patternType="solid">
        <fgColor rgb="FF66FF33"/>
        <bgColor indexed="64"/>
      </patternFill>
    </fill>
    <fill>
      <patternFill patternType="solid">
        <fgColor rgb="FFC6EFCE"/>
      </patternFill>
    </fill>
    <fill>
      <patternFill patternType="solid">
        <fgColor rgb="FFFFCC99"/>
      </patternFill>
    </fill>
    <fill>
      <patternFill patternType="solid">
        <fgColor rgb="FFF2F2F2"/>
      </patternFill>
    </fill>
    <fill>
      <patternFill patternType="solid">
        <fgColor theme="0" tint="-0.14999847407452621"/>
        <bgColor indexed="64"/>
      </patternFill>
    </fill>
    <fill>
      <patternFill patternType="solid">
        <fgColor theme="3" tint="0.59999389629810485"/>
        <bgColor indexed="64"/>
      </patternFill>
    </fill>
  </fills>
  <borders count="44">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style="thin">
        <color auto="1"/>
      </left>
      <right style="medium">
        <color auto="1"/>
      </right>
      <top style="thin">
        <color auto="1"/>
      </top>
      <bottom style="thin">
        <color auto="1"/>
      </bottom>
      <diagonal/>
    </border>
    <border>
      <left/>
      <right style="medium">
        <color auto="1"/>
      </right>
      <top/>
      <bottom/>
      <diagonal/>
    </border>
    <border>
      <left style="thin">
        <color auto="1"/>
      </left>
      <right style="thin">
        <color auto="1"/>
      </right>
      <top style="thin">
        <color auto="1"/>
      </top>
      <bottom style="thin">
        <color auto="1"/>
      </bottom>
      <diagonal/>
    </border>
    <border>
      <left style="medium">
        <color auto="1"/>
      </left>
      <right/>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right style="thin">
        <color auto="1"/>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thin">
        <color auto="1"/>
      </bottom>
      <diagonal/>
    </border>
    <border>
      <left style="medium">
        <color auto="1"/>
      </left>
      <right style="medium">
        <color auto="1"/>
      </right>
      <top style="thin">
        <color auto="1"/>
      </top>
      <bottom style="medium">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top style="thin">
        <color auto="1"/>
      </top>
      <bottom/>
      <diagonal/>
    </border>
    <border>
      <left style="medium">
        <color auto="1"/>
      </left>
      <right/>
      <top/>
      <bottom style="thin">
        <color auto="1"/>
      </bottom>
      <diagonal/>
    </border>
    <border>
      <left/>
      <right style="medium">
        <color auto="1"/>
      </right>
      <top/>
      <bottom style="thin">
        <color auto="1"/>
      </bottom>
      <diagonal/>
    </border>
    <border>
      <left/>
      <right style="thin">
        <color auto="1"/>
      </right>
      <top style="medium">
        <color auto="1"/>
      </top>
      <bottom style="medium">
        <color auto="1"/>
      </bottom>
      <diagonal/>
    </border>
    <border>
      <left/>
      <right style="medium">
        <color auto="1"/>
      </right>
      <top/>
      <bottom style="medium">
        <color auto="1"/>
      </bottom>
      <diagonal/>
    </border>
    <border>
      <left/>
      <right style="medium">
        <color auto="1"/>
      </right>
      <top style="thin">
        <color auto="1"/>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diagonal/>
    </border>
    <border>
      <left style="medium">
        <color auto="1"/>
      </left>
      <right style="medium">
        <color auto="1"/>
      </right>
      <top/>
      <bottom style="medium">
        <color auto="1"/>
      </bottom>
      <diagonal/>
    </border>
    <border>
      <left style="thin">
        <color rgb="FF7F7F7F"/>
      </left>
      <right style="thin">
        <color rgb="FF7F7F7F"/>
      </right>
      <top style="thin">
        <color rgb="FF7F7F7F"/>
      </top>
      <bottom style="thin">
        <color rgb="FF7F7F7F"/>
      </bottom>
      <diagonal/>
    </border>
    <border>
      <left/>
      <right style="thin">
        <color rgb="FF7F7F7F"/>
      </right>
      <top style="thin">
        <color rgb="FF7F7F7F"/>
      </top>
      <bottom style="thin">
        <color rgb="FF7F7F7F"/>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bottom/>
      <diagonal/>
    </border>
  </borders>
  <cellStyleXfs count="6">
    <xf numFmtId="0" fontId="0" fillId="0" borderId="0"/>
    <xf numFmtId="9" fontId="16" fillId="0" borderId="0" applyFont="0" applyFill="0" applyBorder="0" applyAlignment="0" applyProtection="0"/>
    <xf numFmtId="0" fontId="20" fillId="11" borderId="0" applyNumberFormat="0" applyBorder="0" applyAlignment="0" applyProtection="0"/>
    <xf numFmtId="0" fontId="21" fillId="12" borderId="37" applyNumberFormat="0" applyAlignment="0" applyProtection="0"/>
    <xf numFmtId="0" fontId="22" fillId="13" borderId="37" applyNumberFormat="0" applyAlignment="0" applyProtection="0"/>
    <xf numFmtId="0" fontId="23" fillId="0" borderId="0" applyNumberFormat="0" applyFill="0" applyBorder="0" applyAlignment="0" applyProtection="0"/>
  </cellStyleXfs>
  <cellXfs count="216">
    <xf numFmtId="0" fontId="0" fillId="0" borderId="0" xfId="0"/>
    <xf numFmtId="2" fontId="0" fillId="4" borderId="7" xfId="0" applyNumberFormat="1" applyFill="1" applyBorder="1" applyAlignment="1" applyProtection="1">
      <alignment horizontal="center"/>
      <protection locked="0"/>
    </xf>
    <xf numFmtId="0" fontId="0" fillId="0" borderId="2" xfId="0" applyBorder="1" applyProtection="1">
      <protection locked="0"/>
    </xf>
    <xf numFmtId="0" fontId="0" fillId="0" borderId="3" xfId="0" applyBorder="1" applyProtection="1"/>
    <xf numFmtId="0" fontId="3" fillId="0" borderId="4" xfId="0" applyFont="1" applyBorder="1" applyProtection="1"/>
    <xf numFmtId="0" fontId="0" fillId="0" borderId="0" xfId="0" applyBorder="1" applyProtection="1"/>
    <xf numFmtId="0" fontId="0" fillId="2" borderId="5" xfId="0" applyFill="1" applyBorder="1" applyAlignment="1" applyProtection="1">
      <alignment horizontal="center"/>
    </xf>
    <xf numFmtId="0" fontId="0" fillId="0" borderId="0" xfId="0" applyBorder="1" applyAlignment="1" applyProtection="1">
      <alignment horizontal="right"/>
    </xf>
    <xf numFmtId="0" fontId="0" fillId="0" borderId="4" xfId="0" applyBorder="1" applyProtection="1"/>
    <xf numFmtId="0" fontId="0" fillId="0" borderId="0" xfId="0" applyFill="1" applyBorder="1" applyProtection="1"/>
    <xf numFmtId="0" fontId="0" fillId="0" borderId="4" xfId="0" applyFill="1" applyBorder="1" applyProtection="1"/>
    <xf numFmtId="0" fontId="0" fillId="0" borderId="0" xfId="0" applyBorder="1" applyAlignment="1" applyProtection="1">
      <alignment horizontal="center"/>
    </xf>
    <xf numFmtId="0" fontId="0" fillId="0" borderId="6" xfId="0" applyBorder="1" applyAlignment="1" applyProtection="1">
      <alignment horizontal="center"/>
    </xf>
    <xf numFmtId="0" fontId="0" fillId="0" borderId="4" xfId="0" applyBorder="1" applyAlignment="1" applyProtection="1">
      <alignment horizontal="right"/>
    </xf>
    <xf numFmtId="0" fontId="0" fillId="0" borderId="8" xfId="0" applyBorder="1" applyAlignment="1" applyProtection="1">
      <alignment horizontal="right"/>
    </xf>
    <xf numFmtId="0" fontId="2" fillId="0" borderId="4" xfId="0" applyFont="1" applyBorder="1" applyAlignment="1" applyProtection="1">
      <alignment horizontal="left"/>
    </xf>
    <xf numFmtId="0" fontId="0" fillId="0" borderId="0" xfId="0" applyBorder="1" applyProtection="1">
      <protection locked="0"/>
    </xf>
    <xf numFmtId="0" fontId="0" fillId="0" borderId="6" xfId="0" applyBorder="1" applyProtection="1"/>
    <xf numFmtId="2" fontId="0" fillId="5" borderId="7" xfId="0" applyNumberFormat="1" applyFill="1" applyBorder="1" applyAlignment="1" applyProtection="1">
      <alignment horizontal="center"/>
    </xf>
    <xf numFmtId="2" fontId="0" fillId="5" borderId="5" xfId="0" applyNumberFormat="1" applyFill="1" applyBorder="1" applyAlignment="1" applyProtection="1">
      <alignment horizontal="center"/>
    </xf>
    <xf numFmtId="2" fontId="0" fillId="4" borderId="9" xfId="0" applyNumberFormat="1" applyFill="1" applyBorder="1" applyAlignment="1" applyProtection="1">
      <alignment horizontal="center"/>
      <protection locked="0"/>
    </xf>
    <xf numFmtId="2" fontId="0" fillId="5" borderId="9" xfId="0" applyNumberFormat="1" applyFill="1" applyBorder="1" applyAlignment="1" applyProtection="1">
      <alignment horizontal="center"/>
    </xf>
    <xf numFmtId="2" fontId="0" fillId="5" borderId="10" xfId="0" applyNumberFormat="1" applyFill="1" applyBorder="1" applyAlignment="1" applyProtection="1">
      <alignment horizontal="center"/>
    </xf>
    <xf numFmtId="2" fontId="0" fillId="3" borderId="5" xfId="0" applyNumberFormat="1" applyFill="1" applyBorder="1" applyAlignment="1" applyProtection="1">
      <alignment horizontal="center"/>
    </xf>
    <xf numFmtId="2" fontId="3" fillId="3" borderId="5" xfId="0" applyNumberFormat="1" applyFont="1" applyFill="1" applyBorder="1" applyAlignment="1" applyProtection="1">
      <alignment horizontal="center"/>
    </xf>
    <xf numFmtId="0" fontId="4" fillId="0" borderId="0" xfId="0" applyFont="1"/>
    <xf numFmtId="0" fontId="0" fillId="0" borderId="7" xfId="0" applyBorder="1"/>
    <xf numFmtId="0" fontId="5" fillId="0" borderId="7" xfId="0" applyFont="1" applyBorder="1"/>
    <xf numFmtId="0" fontId="8" fillId="0" borderId="7" xfId="0" applyFont="1" applyBorder="1"/>
    <xf numFmtId="0" fontId="0" fillId="0" borderId="7" xfId="0" applyBorder="1" applyAlignment="1">
      <alignment horizontal="center" vertical="center"/>
    </xf>
    <xf numFmtId="164" fontId="0" fillId="3" borderId="5" xfId="0" applyNumberFormat="1" applyFill="1" applyBorder="1" applyAlignment="1" applyProtection="1">
      <alignment horizontal="center"/>
    </xf>
    <xf numFmtId="0" fontId="0" fillId="0" borderId="0" xfId="0" applyBorder="1"/>
    <xf numFmtId="0" fontId="11" fillId="0" borderId="0" xfId="0" applyFont="1"/>
    <xf numFmtId="0" fontId="10" fillId="0" borderId="0" xfId="0" applyFont="1"/>
    <xf numFmtId="0" fontId="13" fillId="0" borderId="0" xfId="0" applyFont="1" applyAlignment="1">
      <alignment horizontal="left" vertical="center" indent="3" readingOrder="1"/>
    </xf>
    <xf numFmtId="0" fontId="14" fillId="0" borderId="0" xfId="0" applyFont="1" applyAlignment="1">
      <alignment horizontal="left" vertical="center" indent="3" readingOrder="1"/>
    </xf>
    <xf numFmtId="0" fontId="0" fillId="0" borderId="0" xfId="0" applyAlignment="1"/>
    <xf numFmtId="0" fontId="0" fillId="7" borderId="0" xfId="0" applyFill="1" applyBorder="1"/>
    <xf numFmtId="0" fontId="8" fillId="0" borderId="0" xfId="0" applyFont="1"/>
    <xf numFmtId="0" fontId="7" fillId="0" borderId="1" xfId="0" applyFont="1" applyFill="1" applyBorder="1" applyAlignment="1">
      <alignment horizontal="left"/>
    </xf>
    <xf numFmtId="0" fontId="0" fillId="0" borderId="2" xfId="0" applyFill="1" applyBorder="1"/>
    <xf numFmtId="167" fontId="17" fillId="8" borderId="19" xfId="1" applyNumberFormat="1" applyFont="1" applyFill="1" applyBorder="1" applyAlignment="1">
      <alignment horizontal="center"/>
    </xf>
    <xf numFmtId="0" fontId="17" fillId="0" borderId="2" xfId="0" applyFont="1" applyFill="1" applyBorder="1"/>
    <xf numFmtId="0" fontId="17" fillId="0" borderId="2" xfId="0" applyFont="1" applyFill="1" applyBorder="1" applyAlignment="1">
      <alignment horizontal="center"/>
    </xf>
    <xf numFmtId="0" fontId="17" fillId="0" borderId="3" xfId="0" applyFont="1" applyFill="1" applyBorder="1"/>
    <xf numFmtId="0" fontId="17" fillId="0" borderId="4" xfId="0" applyFont="1" applyFill="1" applyBorder="1"/>
    <xf numFmtId="0" fontId="7" fillId="0" borderId="0" xfId="0" applyFont="1" applyFill="1" applyBorder="1"/>
    <xf numFmtId="0" fontId="17" fillId="0" borderId="0" xfId="0" applyFont="1" applyFill="1" applyBorder="1"/>
    <xf numFmtId="0" fontId="7" fillId="8" borderId="20" xfId="0" applyFont="1" applyFill="1" applyBorder="1" applyAlignment="1">
      <alignment horizontal="center"/>
    </xf>
    <xf numFmtId="0" fontId="17" fillId="0" borderId="6" xfId="0" applyFont="1" applyFill="1" applyBorder="1"/>
    <xf numFmtId="166" fontId="17" fillId="8" borderId="21" xfId="0" applyNumberFormat="1" applyFont="1" applyFill="1" applyBorder="1" applyAlignment="1">
      <alignment horizontal="center"/>
    </xf>
    <xf numFmtId="167" fontId="17" fillId="0" borderId="0" xfId="1" applyNumberFormat="1" applyFont="1" applyFill="1" applyBorder="1" applyAlignment="1">
      <alignment horizontal="center"/>
    </xf>
    <xf numFmtId="167" fontId="17" fillId="6" borderId="22" xfId="1" applyNumberFormat="1" applyFont="1" applyFill="1" applyBorder="1" applyAlignment="1">
      <alignment horizontal="center"/>
    </xf>
    <xf numFmtId="0" fontId="7" fillId="9" borderId="1" xfId="0" applyFont="1" applyFill="1" applyBorder="1" applyAlignment="1">
      <alignment horizontal="center"/>
    </xf>
    <xf numFmtId="166" fontId="6" fillId="9" borderId="2" xfId="0" applyNumberFormat="1" applyFont="1" applyFill="1" applyBorder="1" applyAlignment="1">
      <alignment horizontal="center"/>
    </xf>
    <xf numFmtId="0" fontId="7" fillId="9" borderId="3" xfId="0" applyFont="1" applyFill="1" applyBorder="1" applyAlignment="1">
      <alignment horizontal="center"/>
    </xf>
    <xf numFmtId="167" fontId="17" fillId="6" borderId="23" xfId="1" applyNumberFormat="1" applyFont="1" applyFill="1" applyBorder="1" applyAlignment="1">
      <alignment horizontal="center"/>
    </xf>
    <xf numFmtId="0" fontId="7" fillId="8" borderId="15" xfId="0" applyFont="1" applyFill="1" applyBorder="1"/>
    <xf numFmtId="0" fontId="7" fillId="8" borderId="11" xfId="0" applyFont="1" applyFill="1" applyBorder="1" applyAlignment="1">
      <alignment horizontal="right"/>
    </xf>
    <xf numFmtId="166" fontId="17" fillId="8" borderId="17" xfId="0" applyNumberFormat="1" applyFont="1" applyFill="1" applyBorder="1" applyAlignment="1">
      <alignment horizontal="center"/>
    </xf>
    <xf numFmtId="166" fontId="17" fillId="4" borderId="24" xfId="0" applyNumberFormat="1" applyFont="1" applyFill="1" applyBorder="1" applyAlignment="1">
      <alignment horizontal="center"/>
    </xf>
    <xf numFmtId="0" fontId="6" fillId="9" borderId="4" xfId="0" applyFont="1" applyFill="1" applyBorder="1"/>
    <xf numFmtId="0" fontId="7" fillId="9" borderId="0" xfId="0" applyFont="1" applyFill="1" applyBorder="1"/>
    <xf numFmtId="0" fontId="6" fillId="9" borderId="6" xfId="0" applyFont="1" applyFill="1" applyBorder="1"/>
    <xf numFmtId="166" fontId="17" fillId="4" borderId="25" xfId="0" applyNumberFormat="1" applyFont="1" applyFill="1" applyBorder="1" applyAlignment="1">
      <alignment horizontal="center"/>
    </xf>
    <xf numFmtId="0" fontId="17" fillId="0" borderId="0" xfId="0" applyFont="1" applyFill="1" applyBorder="1" applyAlignment="1">
      <alignment horizontal="center"/>
    </xf>
    <xf numFmtId="0" fontId="7" fillId="9" borderId="4" xfId="0" applyFont="1" applyFill="1" applyBorder="1" applyAlignment="1">
      <alignment horizontal="center"/>
    </xf>
    <xf numFmtId="0" fontId="7" fillId="9" borderId="6" xfId="0" applyFont="1" applyFill="1" applyBorder="1" applyAlignment="1">
      <alignment horizontal="center"/>
    </xf>
    <xf numFmtId="166" fontId="17" fillId="0" borderId="0" xfId="0" applyNumberFormat="1" applyFont="1" applyFill="1" applyBorder="1" applyAlignment="1">
      <alignment horizontal="center"/>
    </xf>
    <xf numFmtId="166" fontId="7" fillId="8" borderId="26" xfId="0" applyNumberFormat="1" applyFont="1" applyFill="1" applyBorder="1" applyAlignment="1">
      <alignment horizontal="center"/>
    </xf>
    <xf numFmtId="167" fontId="17" fillId="8" borderId="11" xfId="0" applyNumberFormat="1" applyFont="1" applyFill="1" applyBorder="1" applyAlignment="1">
      <alignment horizontal="center"/>
    </xf>
    <xf numFmtId="0" fontId="17" fillId="8" borderId="12" xfId="0" applyFont="1" applyFill="1" applyBorder="1" applyAlignment="1">
      <alignment horizontal="center"/>
    </xf>
    <xf numFmtId="0" fontId="7" fillId="9" borderId="0" xfId="0" applyFont="1" applyFill="1" applyBorder="1" applyAlignment="1">
      <alignment horizontal="center"/>
    </xf>
    <xf numFmtId="166" fontId="17" fillId="0" borderId="13" xfId="0" applyNumberFormat="1" applyFont="1" applyFill="1" applyBorder="1" applyAlignment="1">
      <alignment horizontal="center"/>
    </xf>
    <xf numFmtId="166" fontId="17" fillId="8" borderId="26" xfId="0" applyNumberFormat="1" applyFont="1" applyFill="1" applyBorder="1" applyAlignment="1">
      <alignment horizontal="center"/>
    </xf>
    <xf numFmtId="167" fontId="17" fillId="8" borderId="27" xfId="0" applyNumberFormat="1" applyFont="1" applyFill="1" applyBorder="1" applyAlignment="1">
      <alignment horizontal="center"/>
    </xf>
    <xf numFmtId="0" fontId="7" fillId="8" borderId="17" xfId="0" applyFont="1" applyFill="1" applyBorder="1" applyAlignment="1">
      <alignment horizontal="left"/>
    </xf>
    <xf numFmtId="0" fontId="7" fillId="10" borderId="28" xfId="0" applyFont="1" applyFill="1" applyBorder="1" applyAlignment="1">
      <alignment horizontal="right"/>
    </xf>
    <xf numFmtId="0" fontId="7" fillId="10" borderId="14" xfId="0" applyFont="1" applyFill="1" applyBorder="1" applyAlignment="1"/>
    <xf numFmtId="166" fontId="7" fillId="10" borderId="0" xfId="0" applyNumberFormat="1" applyFont="1" applyFill="1" applyBorder="1" applyAlignment="1">
      <alignment horizontal="center"/>
    </xf>
    <xf numFmtId="167" fontId="17" fillId="6" borderId="29" xfId="1" applyNumberFormat="1" applyFont="1" applyFill="1" applyBorder="1" applyAlignment="1">
      <alignment horizontal="center"/>
    </xf>
    <xf numFmtId="167" fontId="17" fillId="6" borderId="30" xfId="1" applyNumberFormat="1" applyFont="1" applyFill="1" applyBorder="1" applyAlignment="1">
      <alignment horizontal="center"/>
    </xf>
    <xf numFmtId="0" fontId="7" fillId="8" borderId="31" xfId="0" applyFont="1" applyFill="1" applyBorder="1" applyAlignment="1">
      <alignment horizontal="center"/>
    </xf>
    <xf numFmtId="0" fontId="7" fillId="9" borderId="8" xfId="0" applyFont="1" applyFill="1" applyBorder="1" applyAlignment="1">
      <alignment horizontal="center"/>
    </xf>
    <xf numFmtId="0" fontId="7" fillId="9" borderId="18" xfId="0" applyFont="1" applyFill="1" applyBorder="1"/>
    <xf numFmtId="0" fontId="7" fillId="9" borderId="32" xfId="0" applyFont="1" applyFill="1" applyBorder="1" applyAlignment="1">
      <alignment horizontal="center"/>
    </xf>
    <xf numFmtId="166" fontId="17" fillId="4" borderId="33" xfId="0" applyNumberFormat="1" applyFont="1" applyFill="1" applyBorder="1" applyAlignment="1">
      <alignment horizontal="center"/>
    </xf>
    <xf numFmtId="0" fontId="17" fillId="0" borderId="15" xfId="0" applyFont="1" applyFill="1" applyBorder="1" applyAlignment="1">
      <alignment horizontal="center"/>
    </xf>
    <xf numFmtId="0" fontId="7" fillId="0" borderId="16" xfId="0" applyFont="1" applyFill="1" applyBorder="1" applyAlignment="1">
      <alignment horizontal="right"/>
    </xf>
    <xf numFmtId="166" fontId="17" fillId="0" borderId="17" xfId="0" applyNumberFormat="1" applyFont="1" applyFill="1" applyBorder="1" applyAlignment="1">
      <alignment horizontal="center"/>
    </xf>
    <xf numFmtId="166" fontId="17" fillId="8" borderId="34" xfId="0" applyNumberFormat="1" applyFont="1" applyFill="1" applyBorder="1" applyAlignment="1">
      <alignment horizontal="center"/>
    </xf>
    <xf numFmtId="166" fontId="17" fillId="8" borderId="15" xfId="0" applyNumberFormat="1" applyFont="1" applyFill="1" applyBorder="1" applyAlignment="1">
      <alignment horizontal="center"/>
    </xf>
    <xf numFmtId="0" fontId="7" fillId="8" borderId="16" xfId="0" applyFont="1" applyFill="1" applyBorder="1" applyAlignment="1">
      <alignment horizontal="left"/>
    </xf>
    <xf numFmtId="0" fontId="7" fillId="8" borderId="4" xfId="0" applyFont="1" applyFill="1" applyBorder="1" applyAlignment="1">
      <alignment horizontal="right"/>
    </xf>
    <xf numFmtId="167" fontId="17" fillId="8" borderId="6" xfId="1" applyNumberFormat="1" applyFont="1" applyFill="1" applyBorder="1" applyAlignment="1">
      <alignment horizontal="center"/>
    </xf>
    <xf numFmtId="0" fontId="7" fillId="8" borderId="35" xfId="0" applyFont="1" applyFill="1" applyBorder="1" applyAlignment="1">
      <alignment horizontal="center"/>
    </xf>
    <xf numFmtId="0" fontId="17" fillId="0" borderId="8" xfId="0" applyFont="1" applyFill="1" applyBorder="1"/>
    <xf numFmtId="166" fontId="17" fillId="0" borderId="17" xfId="1" applyNumberFormat="1" applyFont="1" applyFill="1" applyBorder="1" applyAlignment="1">
      <alignment horizontal="center"/>
    </xf>
    <xf numFmtId="0" fontId="17" fillId="0" borderId="18" xfId="0" applyFont="1" applyFill="1" applyBorder="1"/>
    <xf numFmtId="167" fontId="17" fillId="8" borderId="36" xfId="1" applyNumberFormat="1" applyFont="1" applyFill="1" applyBorder="1" applyAlignment="1">
      <alignment horizontal="center"/>
    </xf>
    <xf numFmtId="2" fontId="7" fillId="7" borderId="18" xfId="0" applyNumberFormat="1" applyFont="1" applyFill="1" applyBorder="1"/>
    <xf numFmtId="0" fontId="6" fillId="7" borderId="32" xfId="0" applyFont="1" applyFill="1" applyBorder="1"/>
    <xf numFmtId="0" fontId="4" fillId="0" borderId="7" xfId="0" applyFont="1" applyBorder="1"/>
    <xf numFmtId="0" fontId="8" fillId="7" borderId="7" xfId="0" applyFont="1" applyFill="1" applyBorder="1"/>
    <xf numFmtId="0" fontId="0" fillId="7" borderId="7" xfId="0" applyFill="1" applyBorder="1"/>
    <xf numFmtId="0" fontId="12" fillId="7" borderId="7" xfId="0" applyFont="1" applyFill="1" applyBorder="1"/>
    <xf numFmtId="0" fontId="8" fillId="0" borderId="0" xfId="0" applyFont="1" applyFill="1" applyBorder="1"/>
    <xf numFmtId="0" fontId="0" fillId="0" borderId="0" xfId="0" applyFill="1" applyBorder="1"/>
    <xf numFmtId="0" fontId="15" fillId="0" borderId="0" xfId="0" applyFont="1" applyFill="1" applyBorder="1" applyAlignment="1">
      <alignment horizontal="center" vertical="center" readingOrder="1"/>
    </xf>
    <xf numFmtId="0" fontId="9" fillId="0" borderId="0" xfId="0" applyFont="1" applyFill="1" applyBorder="1" applyAlignment="1">
      <alignment horizontal="left" vertical="center" indent="4" readingOrder="1"/>
    </xf>
    <xf numFmtId="0" fontId="11" fillId="0" borderId="0" xfId="0" applyFont="1" applyFill="1" applyBorder="1"/>
    <xf numFmtId="0" fontId="18" fillId="0" borderId="0" xfId="0" applyFont="1" applyFill="1" applyBorder="1"/>
    <xf numFmtId="166" fontId="0" fillId="0" borderId="0" xfId="0" applyNumberFormat="1" applyFill="1" applyBorder="1"/>
    <xf numFmtId="0" fontId="8" fillId="0" borderId="0" xfId="0" applyFont="1" applyFill="1" applyBorder="1" applyAlignment="1">
      <alignment horizontal="center"/>
    </xf>
    <xf numFmtId="0" fontId="0" fillId="0" borderId="0" xfId="0" applyFill="1" applyBorder="1" applyAlignment="1">
      <alignment horizontal="left"/>
    </xf>
    <xf numFmtId="0" fontId="19" fillId="0" borderId="0" xfId="0" applyFont="1" applyFill="1" applyBorder="1" applyAlignment="1">
      <alignment vertical="center"/>
    </xf>
    <xf numFmtId="0" fontId="0" fillId="0" borderId="0" xfId="0" applyFill="1" applyBorder="1" applyAlignment="1">
      <alignment vertical="center"/>
    </xf>
    <xf numFmtId="0" fontId="0" fillId="7" borderId="7" xfId="0" applyFont="1" applyFill="1" applyBorder="1"/>
    <xf numFmtId="0" fontId="8" fillId="0" borderId="7" xfId="0" applyFont="1" applyFill="1" applyBorder="1"/>
    <xf numFmtId="0" fontId="0" fillId="0" borderId="0" xfId="0" applyBorder="1" applyAlignment="1">
      <alignment horizontal="center" vertical="center"/>
    </xf>
    <xf numFmtId="0" fontId="20" fillId="11" borderId="7" xfId="2" applyBorder="1" applyAlignment="1">
      <alignment horizontal="center" vertical="center"/>
    </xf>
    <xf numFmtId="1" fontId="22" fillId="13" borderId="7" xfId="4" applyNumberFormat="1" applyBorder="1" applyAlignment="1">
      <alignment horizontal="center" vertical="center"/>
    </xf>
    <xf numFmtId="0" fontId="21" fillId="12" borderId="7" xfId="3" applyBorder="1" applyAlignment="1">
      <alignment horizontal="center" vertical="center"/>
    </xf>
    <xf numFmtId="0" fontId="22" fillId="13" borderId="7" xfId="4" applyBorder="1" applyAlignment="1">
      <alignment horizontal="center" vertical="center"/>
    </xf>
    <xf numFmtId="166" fontId="22" fillId="13" borderId="7" xfId="4" applyNumberFormat="1" applyBorder="1" applyAlignment="1">
      <alignment horizontal="center" vertical="center"/>
    </xf>
    <xf numFmtId="168" fontId="22" fillId="13" borderId="7" xfId="4" applyNumberFormat="1" applyBorder="1" applyAlignment="1">
      <alignment horizontal="center" vertical="center"/>
    </xf>
    <xf numFmtId="0" fontId="22" fillId="13" borderId="7" xfId="4" applyBorder="1" applyAlignment="1">
      <alignment horizontal="center"/>
    </xf>
    <xf numFmtId="168" fontId="22" fillId="13" borderId="7" xfId="4" applyNumberFormat="1" applyBorder="1" applyAlignment="1" applyProtection="1">
      <alignment horizontal="center"/>
    </xf>
    <xf numFmtId="166" fontId="22" fillId="13" borderId="7" xfId="4" applyNumberFormat="1" applyBorder="1" applyAlignment="1">
      <alignment horizontal="center"/>
    </xf>
    <xf numFmtId="2" fontId="22" fillId="13" borderId="7" xfId="4" applyNumberFormat="1" applyBorder="1" applyAlignment="1">
      <alignment horizontal="center" vertical="center"/>
    </xf>
    <xf numFmtId="1" fontId="22" fillId="13" borderId="7" xfId="4" applyNumberFormat="1" applyBorder="1" applyAlignment="1">
      <alignment horizontal="center"/>
    </xf>
    <xf numFmtId="165" fontId="21" fillId="12" borderId="7" xfId="3" applyNumberFormat="1" applyBorder="1" applyAlignment="1">
      <alignment horizontal="center" vertical="center"/>
    </xf>
    <xf numFmtId="165" fontId="22" fillId="13" borderId="7" xfId="4" applyNumberFormat="1" applyBorder="1" applyAlignment="1">
      <alignment horizontal="center" vertical="center"/>
    </xf>
    <xf numFmtId="0" fontId="17" fillId="0" borderId="7" xfId="0" applyFont="1" applyBorder="1"/>
    <xf numFmtId="0" fontId="25" fillId="0" borderId="7" xfId="5" applyFont="1" applyBorder="1"/>
    <xf numFmtId="0" fontId="25" fillId="0" borderId="1" xfId="5" applyFont="1" applyBorder="1" applyAlignment="1" applyProtection="1">
      <alignment horizontal="left"/>
    </xf>
    <xf numFmtId="0" fontId="25" fillId="0" borderId="2" xfId="5" applyFont="1" applyBorder="1" applyProtection="1"/>
    <xf numFmtId="0" fontId="28" fillId="0" borderId="4" xfId="0" applyFont="1" applyBorder="1" applyProtection="1"/>
    <xf numFmtId="0" fontId="0" fillId="0" borderId="0" xfId="0" applyFont="1" applyBorder="1" applyProtection="1"/>
    <xf numFmtId="0" fontId="26" fillId="12" borderId="7" xfId="3" applyFont="1" applyBorder="1" applyAlignment="1">
      <alignment horizontal="center"/>
    </xf>
    <xf numFmtId="0" fontId="22" fillId="13" borderId="38" xfId="4" applyBorder="1" applyAlignment="1">
      <alignment horizontal="center"/>
    </xf>
    <xf numFmtId="0" fontId="24" fillId="0" borderId="7" xfId="5" applyFont="1" applyBorder="1" applyAlignment="1">
      <alignment horizontal="center"/>
    </xf>
    <xf numFmtId="0" fontId="27" fillId="0" borderId="39" xfId="5" applyFont="1" applyBorder="1" applyAlignment="1">
      <alignment horizontal="center"/>
    </xf>
    <xf numFmtId="0" fontId="27" fillId="0" borderId="40" xfId="5" applyFont="1" applyBorder="1" applyAlignment="1">
      <alignment horizontal="center"/>
    </xf>
    <xf numFmtId="0" fontId="27" fillId="0" borderId="41" xfId="5" applyFont="1" applyBorder="1" applyAlignment="1">
      <alignment horizontal="center"/>
    </xf>
    <xf numFmtId="165" fontId="21" fillId="6" borderId="7" xfId="3" applyNumberFormat="1" applyFill="1" applyBorder="1" applyAlignment="1">
      <alignment horizontal="center" vertical="center"/>
    </xf>
    <xf numFmtId="0" fontId="0" fillId="0" borderId="7" xfId="0" applyFill="1" applyBorder="1"/>
    <xf numFmtId="0" fontId="11" fillId="0" borderId="7" xfId="0" applyFont="1" applyBorder="1"/>
    <xf numFmtId="1" fontId="22" fillId="13" borderId="37" xfId="4" applyNumberFormat="1" applyAlignment="1">
      <alignment horizontal="center" vertical="center"/>
    </xf>
    <xf numFmtId="1" fontId="22" fillId="13" borderId="37" xfId="4" applyNumberFormat="1" applyAlignment="1">
      <alignment horizontal="center"/>
    </xf>
    <xf numFmtId="0" fontId="22" fillId="13" borderId="37" xfId="4" applyAlignment="1">
      <alignment horizontal="center"/>
    </xf>
    <xf numFmtId="166" fontId="22" fillId="6" borderId="7" xfId="4" applyNumberFormat="1" applyFill="1" applyBorder="1" applyAlignment="1">
      <alignment horizontal="center" vertical="center"/>
    </xf>
    <xf numFmtId="0" fontId="21" fillId="6" borderId="7" xfId="3" applyFill="1" applyBorder="1" applyAlignment="1">
      <alignment horizontal="center" vertical="center"/>
    </xf>
    <xf numFmtId="0" fontId="0" fillId="0" borderId="0" xfId="0" applyFill="1" applyBorder="1" applyAlignment="1">
      <alignment horizontal="center"/>
    </xf>
    <xf numFmtId="0" fontId="0" fillId="0" borderId="0" xfId="0" applyFill="1" applyBorder="1" applyAlignment="1">
      <alignment horizontal="left"/>
    </xf>
    <xf numFmtId="0" fontId="8" fillId="14" borderId="0" xfId="0" applyFont="1" applyFill="1" applyBorder="1"/>
    <xf numFmtId="0" fontId="0" fillId="14" borderId="0" xfId="0" applyFill="1" applyBorder="1"/>
    <xf numFmtId="0" fontId="15" fillId="14" borderId="0" xfId="0" applyFont="1" applyFill="1" applyBorder="1" applyAlignment="1">
      <alignment horizontal="center" vertical="center" readingOrder="1"/>
    </xf>
    <xf numFmtId="0" fontId="9" fillId="14" borderId="0" xfId="0" applyFont="1" applyFill="1" applyBorder="1" applyAlignment="1">
      <alignment horizontal="left" vertical="center" indent="4" readingOrder="1"/>
    </xf>
    <xf numFmtId="0" fontId="0" fillId="14" borderId="0" xfId="0" applyFill="1" applyBorder="1" applyAlignment="1">
      <alignment horizontal="left"/>
    </xf>
    <xf numFmtId="0" fontId="0" fillId="0" borderId="41" xfId="0" applyFill="1" applyBorder="1"/>
    <xf numFmtId="0" fontId="11" fillId="0" borderId="41" xfId="0" applyFont="1" applyBorder="1"/>
    <xf numFmtId="0" fontId="0" fillId="14" borderId="7" xfId="0" applyFill="1" applyBorder="1"/>
    <xf numFmtId="0" fontId="0" fillId="14" borderId="0" xfId="0" applyFill="1" applyBorder="1" applyAlignment="1">
      <alignment horizontal="left"/>
    </xf>
    <xf numFmtId="0" fontId="0" fillId="14" borderId="2" xfId="0" applyFill="1" applyBorder="1"/>
    <xf numFmtId="0" fontId="0" fillId="14" borderId="3" xfId="0" applyFill="1" applyBorder="1"/>
    <xf numFmtId="0" fontId="11" fillId="14" borderId="6" xfId="0" applyFont="1" applyFill="1" applyBorder="1"/>
    <xf numFmtId="0" fontId="0" fillId="14" borderId="6" xfId="0" applyFill="1" applyBorder="1" applyAlignment="1">
      <alignment horizontal="left"/>
    </xf>
    <xf numFmtId="0" fontId="0" fillId="14" borderId="6" xfId="0" applyFill="1" applyBorder="1"/>
    <xf numFmtId="0" fontId="0" fillId="14" borderId="18" xfId="0" applyFill="1" applyBorder="1"/>
    <xf numFmtId="0" fontId="0" fillId="14" borderId="32" xfId="0" applyFill="1" applyBorder="1"/>
    <xf numFmtId="0" fontId="0" fillId="14" borderId="34" xfId="0" applyFill="1" applyBorder="1"/>
    <xf numFmtId="0" fontId="0" fillId="14" borderId="42" xfId="0" applyFill="1" applyBorder="1"/>
    <xf numFmtId="0" fontId="0" fillId="14" borderId="21" xfId="0" applyFill="1" applyBorder="1"/>
    <xf numFmtId="0" fontId="0" fillId="15" borderId="2" xfId="0" applyFill="1" applyBorder="1" applyAlignment="1">
      <alignment horizontal="left"/>
    </xf>
    <xf numFmtId="0" fontId="0" fillId="14" borderId="0" xfId="0" applyFill="1" applyBorder="1" applyAlignment="1"/>
    <xf numFmtId="2" fontId="22" fillId="15" borderId="7" xfId="4" applyNumberFormat="1" applyFill="1" applyBorder="1" applyAlignment="1">
      <alignment horizontal="center" vertical="center"/>
    </xf>
    <xf numFmtId="166" fontId="22" fillId="15" borderId="7" xfId="4" applyNumberFormat="1" applyFill="1" applyBorder="1" applyAlignment="1">
      <alignment horizontal="center" vertical="center"/>
    </xf>
    <xf numFmtId="168" fontId="22" fillId="15" borderId="7" xfId="4" applyNumberFormat="1" applyFill="1" applyBorder="1" applyAlignment="1">
      <alignment horizontal="center" vertical="center"/>
    </xf>
    <xf numFmtId="166" fontId="22" fillId="15" borderId="7" xfId="4" applyNumberFormat="1" applyFill="1" applyBorder="1" applyAlignment="1">
      <alignment horizontal="center"/>
    </xf>
    <xf numFmtId="1" fontId="22" fillId="15" borderId="7" xfId="4" applyNumberFormat="1" applyFill="1" applyBorder="1" applyAlignment="1">
      <alignment horizontal="center" vertical="center"/>
    </xf>
    <xf numFmtId="0" fontId="22" fillId="15" borderId="37" xfId="4" applyFill="1" applyAlignment="1">
      <alignment horizontal="center"/>
    </xf>
    <xf numFmtId="0" fontId="22" fillId="15" borderId="38" xfId="4" applyFill="1" applyBorder="1" applyAlignment="1">
      <alignment horizontal="center"/>
    </xf>
    <xf numFmtId="1" fontId="22" fillId="15" borderId="7" xfId="4" applyNumberFormat="1" applyFill="1" applyBorder="1" applyAlignment="1">
      <alignment horizontal="center"/>
    </xf>
    <xf numFmtId="1" fontId="22" fillId="15" borderId="37" xfId="4" applyNumberFormat="1" applyFill="1" applyAlignment="1">
      <alignment horizontal="center" vertical="center"/>
    </xf>
    <xf numFmtId="1" fontId="22" fillId="15" borderId="37" xfId="4" applyNumberFormat="1" applyFill="1" applyAlignment="1">
      <alignment horizontal="center"/>
    </xf>
    <xf numFmtId="0" fontId="21" fillId="15" borderId="7" xfId="3" applyFill="1" applyBorder="1" applyAlignment="1">
      <alignment horizontal="center" vertical="center"/>
    </xf>
    <xf numFmtId="0" fontId="0" fillId="0" borderId="0" xfId="0" applyFill="1" applyBorder="1" applyAlignment="1"/>
    <xf numFmtId="0" fontId="21" fillId="12" borderId="37" xfId="3" applyAlignment="1">
      <alignment horizontal="center" vertical="center"/>
    </xf>
    <xf numFmtId="0" fontId="22" fillId="13" borderId="37" xfId="4" applyAlignment="1">
      <alignment horizontal="center" vertical="center"/>
    </xf>
    <xf numFmtId="168" fontId="22" fillId="13" borderId="37" xfId="4" applyNumberFormat="1" applyAlignment="1" applyProtection="1">
      <alignment horizontal="center"/>
    </xf>
    <xf numFmtId="2" fontId="22" fillId="13" borderId="37" xfId="4" applyNumberFormat="1" applyAlignment="1">
      <alignment horizontal="center" vertical="center"/>
    </xf>
    <xf numFmtId="165" fontId="22" fillId="13" borderId="37" xfId="4" applyNumberFormat="1" applyAlignment="1">
      <alignment horizontal="center" vertical="center"/>
    </xf>
    <xf numFmtId="0" fontId="0" fillId="0" borderId="39" xfId="0" applyBorder="1" applyAlignment="1">
      <alignment horizontal="center" vertical="center"/>
    </xf>
    <xf numFmtId="166" fontId="22" fillId="6" borderId="7" xfId="4" applyNumberFormat="1" applyFill="1" applyBorder="1" applyAlignment="1">
      <alignment horizontal="center"/>
    </xf>
    <xf numFmtId="165" fontId="21" fillId="12" borderId="37" xfId="3" applyNumberFormat="1" applyAlignment="1">
      <alignment horizontal="center" vertical="center"/>
    </xf>
    <xf numFmtId="0" fontId="29" fillId="0" borderId="0" xfId="2" applyFont="1" applyFill="1" applyBorder="1" applyAlignment="1">
      <alignment horizontal="center" vertical="center"/>
    </xf>
    <xf numFmtId="0" fontId="30" fillId="14" borderId="0" xfId="0" applyFont="1" applyFill="1" applyBorder="1" applyAlignment="1">
      <alignment horizontal="left" vertical="center" readingOrder="1"/>
    </xf>
    <xf numFmtId="0" fontId="30" fillId="14" borderId="6" xfId="0" applyFont="1" applyFill="1" applyBorder="1" applyAlignment="1">
      <alignment horizontal="left" vertical="center" readingOrder="1"/>
    </xf>
    <xf numFmtId="0" fontId="30" fillId="14" borderId="0" xfId="0" applyFont="1" applyFill="1" applyBorder="1" applyAlignment="1">
      <alignment horizontal="left" vertical="center" readingOrder="1"/>
    </xf>
    <xf numFmtId="0" fontId="30" fillId="14" borderId="6" xfId="0" applyFont="1" applyFill="1" applyBorder="1" applyAlignment="1">
      <alignment horizontal="left" vertical="center" readingOrder="1"/>
    </xf>
    <xf numFmtId="0" fontId="0" fillId="14" borderId="7" xfId="0" applyFill="1" applyBorder="1" applyAlignment="1">
      <alignment horizontal="left" vertical="center"/>
    </xf>
    <xf numFmtId="0" fontId="0" fillId="14" borderId="42" xfId="0" applyFill="1" applyBorder="1" applyAlignment="1">
      <alignment horizontal="left" vertical="center"/>
    </xf>
    <xf numFmtId="0" fontId="0" fillId="14" borderId="1" xfId="0" applyFill="1" applyBorder="1" applyAlignment="1">
      <alignment horizontal="left"/>
    </xf>
    <xf numFmtId="0" fontId="0" fillId="14" borderId="2" xfId="0" applyFill="1" applyBorder="1" applyAlignment="1">
      <alignment horizontal="left"/>
    </xf>
    <xf numFmtId="0" fontId="0" fillId="14" borderId="3" xfId="0" applyFill="1" applyBorder="1" applyAlignment="1">
      <alignment horizontal="left"/>
    </xf>
    <xf numFmtId="0" fontId="0" fillId="14" borderId="6" xfId="0" applyFill="1" applyBorder="1" applyAlignment="1">
      <alignment horizontal="left"/>
    </xf>
    <xf numFmtId="0" fontId="0" fillId="14" borderId="43" xfId="0" applyFill="1" applyBorder="1" applyAlignment="1">
      <alignment horizontal="left" vertical="center"/>
    </xf>
    <xf numFmtId="0" fontId="0" fillId="14" borderId="35" xfId="0" applyFill="1" applyBorder="1" applyAlignment="1">
      <alignment horizontal="left" vertical="center"/>
    </xf>
    <xf numFmtId="0" fontId="0" fillId="14" borderId="36" xfId="0" applyFill="1" applyBorder="1" applyAlignment="1">
      <alignment horizontal="left" vertical="center"/>
    </xf>
    <xf numFmtId="0" fontId="15" fillId="0" borderId="0" xfId="0" applyFont="1" applyFill="1" applyBorder="1" applyAlignment="1">
      <alignment horizontal="center" vertical="center" readingOrder="1"/>
    </xf>
    <xf numFmtId="0" fontId="0" fillId="14" borderId="15" xfId="0" applyFill="1" applyBorder="1" applyAlignment="1">
      <alignment horizontal="center"/>
    </xf>
    <xf numFmtId="0" fontId="0" fillId="14" borderId="16" xfId="0" applyFill="1" applyBorder="1" applyAlignment="1">
      <alignment horizontal="center"/>
    </xf>
    <xf numFmtId="0" fontId="0" fillId="14" borderId="17" xfId="0" applyFill="1" applyBorder="1" applyAlignment="1">
      <alignment horizontal="center"/>
    </xf>
    <xf numFmtId="0" fontId="0" fillId="14" borderId="18" xfId="0" applyFont="1" applyFill="1" applyBorder="1"/>
    <xf numFmtId="0" fontId="0" fillId="14" borderId="0" xfId="0" applyFont="1" applyFill="1" applyBorder="1"/>
  </cellXfs>
  <cellStyles count="6">
    <cellStyle name="Calculation" xfId="4" builtinId="22"/>
    <cellStyle name="Explanatory Text" xfId="5" builtinId="53"/>
    <cellStyle name="Good" xfId="2" builtinId="26"/>
    <cellStyle name="Input" xfId="3" builtinId="20"/>
    <cellStyle name="Normal" xfId="0" builtinId="0"/>
    <cellStyle name="Percent" xfId="1" builtinId="5"/>
  </cellStyles>
  <dxfs count="0"/>
  <tableStyles count="0" defaultTableStyle="TableStyleMedium9" defaultPivotStyle="PivotStyleLight16"/>
  <colors>
    <mruColors>
      <color rgb="FFCCFFFF"/>
      <color rgb="FF00FF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 Type="http://schemas.openxmlformats.org/officeDocument/2006/relationships/sharedStrings" Target="sharedStrings.xml"/><Relationship Id="rId12" Type="http://schemas.openxmlformats.org/officeDocument/2006/relationships/calcChain" Target="calcChain.xml"/><Relationship Id="rId13" Type="http://schemas.openxmlformats.org/officeDocument/2006/relationships/customXml" Target="../customXml/item1.xml"/><Relationship Id="rId14" Type="http://schemas.openxmlformats.org/officeDocument/2006/relationships/customXml" Target="../customXml/item2.xml"/><Relationship Id="rId15" Type="http://schemas.openxmlformats.org/officeDocument/2006/relationships/customXml" Target="../customXml/item3.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theme" Target="theme/theme1.xml"/><Relationship Id="rId10"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4:H23"/>
  <sheetViews>
    <sheetView workbookViewId="0">
      <selection activeCell="K13" sqref="K13"/>
    </sheetView>
  </sheetViews>
  <sheetFormatPr baseColWidth="10" defaultColWidth="8.83203125" defaultRowHeight="13" x14ac:dyDescent="0.15"/>
  <cols>
    <col min="6" max="6" width="12.1640625" customWidth="1"/>
  </cols>
  <sheetData>
    <row r="4" spans="3:8" ht="14" thickBot="1" x14ac:dyDescent="0.2"/>
    <row r="5" spans="3:8" ht="19" x14ac:dyDescent="0.25">
      <c r="C5" s="135" t="s">
        <v>136</v>
      </c>
      <c r="D5" s="136"/>
      <c r="E5" s="136"/>
      <c r="F5" s="136"/>
      <c r="G5" s="2"/>
      <c r="H5" s="3"/>
    </row>
    <row r="6" spans="3:8" ht="18" x14ac:dyDescent="0.2">
      <c r="C6" s="15"/>
      <c r="D6" s="5"/>
      <c r="E6" s="5"/>
      <c r="F6" s="5"/>
      <c r="G6" s="16"/>
      <c r="H6" s="17"/>
    </row>
    <row r="7" spans="3:8" x14ac:dyDescent="0.15">
      <c r="C7" s="137" t="s">
        <v>172</v>
      </c>
      <c r="D7" s="138"/>
      <c r="E7" s="5"/>
      <c r="F7" s="5"/>
      <c r="G7" s="5"/>
      <c r="H7" s="6">
        <v>1</v>
      </c>
    </row>
    <row r="8" spans="3:8" x14ac:dyDescent="0.15">
      <c r="C8" s="4"/>
      <c r="D8" s="5"/>
      <c r="E8" s="9"/>
      <c r="F8" s="5"/>
      <c r="G8" s="7" t="s">
        <v>137</v>
      </c>
      <c r="H8" s="23">
        <v>9806.65</v>
      </c>
    </row>
    <row r="9" spans="3:8" x14ac:dyDescent="0.15">
      <c r="C9" s="4"/>
      <c r="D9" s="5"/>
      <c r="E9" s="5"/>
      <c r="F9" s="5"/>
      <c r="G9" s="7" t="s">
        <v>138</v>
      </c>
      <c r="H9" s="30">
        <v>0.17512678000000001</v>
      </c>
    </row>
    <row r="10" spans="3:8" x14ac:dyDescent="0.15">
      <c r="C10" s="4"/>
      <c r="D10" s="5"/>
      <c r="E10" s="5"/>
      <c r="F10" s="5"/>
      <c r="G10" s="7"/>
      <c r="H10" s="23"/>
    </row>
    <row r="11" spans="3:8" x14ac:dyDescent="0.15">
      <c r="C11" s="10"/>
      <c r="D11" s="5"/>
      <c r="E11" s="5"/>
      <c r="F11" s="5"/>
      <c r="G11" s="7" t="s">
        <v>139</v>
      </c>
      <c r="H11" s="23">
        <v>175.126777258</v>
      </c>
    </row>
    <row r="12" spans="3:8" x14ac:dyDescent="0.15">
      <c r="C12" s="4"/>
      <c r="D12" s="5"/>
      <c r="E12" s="5"/>
      <c r="F12" s="5"/>
      <c r="G12" s="7" t="s">
        <v>140</v>
      </c>
      <c r="H12" s="23">
        <v>1.7857959999999999E-2</v>
      </c>
    </row>
    <row r="13" spans="3:8" x14ac:dyDescent="0.15">
      <c r="C13" s="4"/>
      <c r="D13" s="5"/>
      <c r="E13" s="5"/>
      <c r="F13" s="5"/>
      <c r="G13" s="7" t="s">
        <v>141</v>
      </c>
      <c r="H13" s="23">
        <v>0.10197162</v>
      </c>
    </row>
    <row r="14" spans="3:8" x14ac:dyDescent="0.15">
      <c r="C14" s="8"/>
      <c r="D14" s="7"/>
      <c r="E14" s="11"/>
      <c r="F14" s="5"/>
      <c r="G14" s="7" t="s">
        <v>142</v>
      </c>
      <c r="H14" s="23">
        <v>5.7101490500000001</v>
      </c>
    </row>
    <row r="15" spans="3:8" x14ac:dyDescent="0.15">
      <c r="C15" s="8"/>
      <c r="D15" s="5"/>
      <c r="E15" s="5"/>
      <c r="F15" s="5"/>
      <c r="G15" s="7" t="s">
        <v>143</v>
      </c>
      <c r="H15" s="23">
        <v>1000</v>
      </c>
    </row>
    <row r="16" spans="3:8" x14ac:dyDescent="0.15">
      <c r="C16" s="8"/>
      <c r="D16" s="5"/>
      <c r="E16" s="5"/>
      <c r="F16" s="5"/>
      <c r="G16" s="7" t="s">
        <v>144</v>
      </c>
      <c r="H16" s="23">
        <v>1E-3</v>
      </c>
    </row>
    <row r="17" spans="3:8" x14ac:dyDescent="0.15">
      <c r="C17" s="8"/>
      <c r="D17" s="5"/>
      <c r="E17" s="5"/>
      <c r="F17" s="5"/>
      <c r="G17" s="7" t="s">
        <v>145</v>
      </c>
      <c r="H17" s="23">
        <v>1.0197E-4</v>
      </c>
    </row>
    <row r="18" spans="3:8" x14ac:dyDescent="0.15">
      <c r="C18" s="8"/>
      <c r="D18" s="5"/>
      <c r="E18" s="5"/>
      <c r="F18" s="5"/>
      <c r="G18" s="7" t="s">
        <v>146</v>
      </c>
      <c r="H18" s="24">
        <v>5.7101499999999998E-3</v>
      </c>
    </row>
    <row r="19" spans="3:8" x14ac:dyDescent="0.15">
      <c r="C19" s="8"/>
      <c r="D19" s="5"/>
      <c r="E19" s="11" t="s">
        <v>147</v>
      </c>
      <c r="F19" s="11" t="s">
        <v>148</v>
      </c>
      <c r="G19" s="11" t="s">
        <v>149</v>
      </c>
      <c r="H19" s="12" t="s">
        <v>150</v>
      </c>
    </row>
    <row r="20" spans="3:8" x14ac:dyDescent="0.15">
      <c r="C20" s="13" t="s">
        <v>147</v>
      </c>
      <c r="D20" s="1">
        <v>148.85776300000003</v>
      </c>
      <c r="E20" s="18">
        <v>148.85776300000003</v>
      </c>
      <c r="F20" s="18">
        <v>148857.76300000004</v>
      </c>
      <c r="G20" s="18">
        <v>15.179267242686063</v>
      </c>
      <c r="H20" s="19">
        <v>850.00001397957533</v>
      </c>
    </row>
    <row r="21" spans="3:8" x14ac:dyDescent="0.15">
      <c r="C21" s="13" t="s">
        <v>148</v>
      </c>
      <c r="D21" s="1">
        <v>100</v>
      </c>
      <c r="E21" s="18">
        <v>0.1</v>
      </c>
      <c r="F21" s="18">
        <v>100</v>
      </c>
      <c r="G21" s="18">
        <v>1.0196999999999999E-2</v>
      </c>
      <c r="H21" s="19">
        <v>0.57101499999999994</v>
      </c>
    </row>
    <row r="22" spans="3:8" x14ac:dyDescent="0.15">
      <c r="C22" s="13" t="s">
        <v>149</v>
      </c>
      <c r="D22" s="1">
        <v>1.0197162000000001E-2</v>
      </c>
      <c r="E22" s="18">
        <v>9.9999998727300005E-2</v>
      </c>
      <c r="F22" s="18">
        <v>99.99999872730001</v>
      </c>
      <c r="G22" s="18">
        <v>1.0197162000000001E-2</v>
      </c>
      <c r="H22" s="19">
        <v>0.57101489731274868</v>
      </c>
    </row>
    <row r="23" spans="3:8" ht="14" thickBot="1" x14ac:dyDescent="0.2">
      <c r="C23" s="14" t="s">
        <v>150</v>
      </c>
      <c r="D23" s="20">
        <v>900</v>
      </c>
      <c r="E23" s="21">
        <v>157.614102</v>
      </c>
      <c r="F23" s="21">
        <v>157614.09953219999</v>
      </c>
      <c r="G23" s="21">
        <v>16.072164000000001</v>
      </c>
      <c r="H23" s="22">
        <v>900</v>
      </c>
    </row>
  </sheetData>
  <phoneticPr fontId="1" type="noConversion"/>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L23"/>
  <sheetViews>
    <sheetView workbookViewId="0">
      <selection activeCell="C20" sqref="C20"/>
    </sheetView>
  </sheetViews>
  <sheetFormatPr baseColWidth="10" defaultColWidth="8.83203125" defaultRowHeight="13" x14ac:dyDescent="0.15"/>
  <cols>
    <col min="2" max="2" width="3.83203125" customWidth="1"/>
    <col min="3" max="3" width="19.6640625" customWidth="1"/>
    <col min="8" max="8" width="12.33203125" customWidth="1"/>
    <col min="12" max="12" width="21.1640625" customWidth="1"/>
  </cols>
  <sheetData>
    <row r="2" spans="3:12" ht="21" x14ac:dyDescent="0.25">
      <c r="C2" s="142" t="s">
        <v>151</v>
      </c>
      <c r="D2" s="143"/>
      <c r="E2" s="144"/>
    </row>
    <row r="4" spans="3:12" ht="14" thickBot="1" x14ac:dyDescent="0.2"/>
    <row r="5" spans="3:12" ht="16" x14ac:dyDescent="0.2">
      <c r="C5" s="39"/>
      <c r="D5" s="40"/>
      <c r="E5" s="40"/>
      <c r="F5" s="40"/>
      <c r="G5" s="40"/>
      <c r="H5" s="41">
        <f>H7/H11</f>
        <v>0.5</v>
      </c>
      <c r="I5" s="42"/>
      <c r="J5" s="43"/>
      <c r="K5" s="42"/>
      <c r="L5" s="44"/>
    </row>
    <row r="6" spans="3:12" ht="16" x14ac:dyDescent="0.2">
      <c r="C6" s="45"/>
      <c r="D6" s="46"/>
      <c r="E6" s="47"/>
      <c r="F6" s="47"/>
      <c r="G6" s="47"/>
      <c r="H6" s="48" t="s">
        <v>152</v>
      </c>
      <c r="I6" s="47"/>
      <c r="J6" s="47"/>
      <c r="K6" s="47"/>
      <c r="L6" s="49"/>
    </row>
    <row r="7" spans="3:12" ht="17" thickBot="1" x14ac:dyDescent="0.25">
      <c r="C7" s="45"/>
      <c r="D7" s="47"/>
      <c r="E7" s="47"/>
      <c r="F7" s="47"/>
      <c r="G7" s="47"/>
      <c r="H7" s="50">
        <f>F9+J9</f>
        <v>4905</v>
      </c>
      <c r="I7" s="47"/>
      <c r="J7" s="47"/>
      <c r="K7" s="47"/>
      <c r="L7" s="49"/>
    </row>
    <row r="8" spans="3:12" ht="17" thickBot="1" x14ac:dyDescent="0.25">
      <c r="C8" s="45"/>
      <c r="D8" s="47"/>
      <c r="E8" s="51"/>
      <c r="F8" s="52">
        <f>F9/H11</f>
        <v>0.3344376486578321</v>
      </c>
      <c r="G8" s="53" t="s">
        <v>153</v>
      </c>
      <c r="H8" s="54"/>
      <c r="I8" s="55" t="s">
        <v>154</v>
      </c>
      <c r="J8" s="56">
        <f>J9/H11</f>
        <v>0.16556235134216787</v>
      </c>
      <c r="K8" s="47"/>
      <c r="L8" s="49"/>
    </row>
    <row r="9" spans="3:12" ht="17" thickBot="1" x14ac:dyDescent="0.25">
      <c r="C9" s="57" t="s">
        <v>155</v>
      </c>
      <c r="D9" s="58" t="s">
        <v>156</v>
      </c>
      <c r="E9" s="59">
        <f>F9-J9</f>
        <v>1656.6666666666661</v>
      </c>
      <c r="F9" s="60">
        <f>'Exam Q1'!J19</f>
        <v>3280.833333333333</v>
      </c>
      <c r="G9" s="61"/>
      <c r="H9" s="62"/>
      <c r="I9" s="63"/>
      <c r="J9" s="64">
        <f>'Exam Q1'!J20</f>
        <v>1624.166666666667</v>
      </c>
      <c r="K9" s="47"/>
      <c r="L9" s="49"/>
    </row>
    <row r="10" spans="3:12" ht="17" thickBot="1" x14ac:dyDescent="0.25">
      <c r="C10" s="45"/>
      <c r="D10" s="65"/>
      <c r="E10" s="47"/>
      <c r="F10" s="65"/>
      <c r="G10" s="66"/>
      <c r="H10" s="62"/>
      <c r="I10" s="67"/>
      <c r="J10" s="68"/>
      <c r="K10" s="47"/>
      <c r="L10" s="49"/>
    </row>
    <row r="11" spans="3:12" ht="17" thickBot="1" x14ac:dyDescent="0.25">
      <c r="C11" s="45"/>
      <c r="D11" s="69" t="s">
        <v>157</v>
      </c>
      <c r="E11" s="70">
        <f>F11/H11</f>
        <v>0.69028202514441039</v>
      </c>
      <c r="F11" s="71">
        <f>F9+F13</f>
        <v>6771.6666666666661</v>
      </c>
      <c r="G11" s="72"/>
      <c r="H11" s="73">
        <f>H7+H14</f>
        <v>9810</v>
      </c>
      <c r="I11" s="72"/>
      <c r="J11" s="74">
        <f>J9+J13</f>
        <v>3038.3333333333339</v>
      </c>
      <c r="K11" s="75">
        <f>J11/H11</f>
        <v>0.30971797485558961</v>
      </c>
      <c r="L11" s="76" t="s">
        <v>158</v>
      </c>
    </row>
    <row r="12" spans="3:12" ht="17" thickBot="1" x14ac:dyDescent="0.25">
      <c r="C12" s="77" t="s">
        <v>159</v>
      </c>
      <c r="D12" s="78" t="s">
        <v>160</v>
      </c>
      <c r="E12" s="79">
        <f>E13-E9</f>
        <v>420</v>
      </c>
      <c r="F12" s="80">
        <f>F13/H11</f>
        <v>0.3558443764865783</v>
      </c>
      <c r="G12" s="66"/>
      <c r="H12" s="62"/>
      <c r="I12" s="67"/>
      <c r="J12" s="81">
        <f>J13/H11</f>
        <v>0.14415562351342168</v>
      </c>
      <c r="K12" s="47"/>
      <c r="L12" s="49"/>
    </row>
    <row r="13" spans="3:12" ht="17" thickBot="1" x14ac:dyDescent="0.25">
      <c r="C13" s="57" t="s">
        <v>161</v>
      </c>
      <c r="D13" s="82" t="s">
        <v>162</v>
      </c>
      <c r="E13" s="59">
        <f>F13-J13</f>
        <v>2076.6666666666661</v>
      </c>
      <c r="F13" s="60">
        <f>'Exam Q1'!J23</f>
        <v>3490.833333333333</v>
      </c>
      <c r="G13" s="83" t="s">
        <v>163</v>
      </c>
      <c r="H13" s="84"/>
      <c r="I13" s="85" t="s">
        <v>164</v>
      </c>
      <c r="J13" s="86">
        <f>'Exam Q1'!J24</f>
        <v>1414.1666666666667</v>
      </c>
      <c r="K13" s="47"/>
      <c r="L13" s="49"/>
    </row>
    <row r="14" spans="3:12" ht="17" thickBot="1" x14ac:dyDescent="0.25">
      <c r="C14" s="45"/>
      <c r="D14" s="87"/>
      <c r="E14" s="88" t="s">
        <v>165</v>
      </c>
      <c r="F14" s="89">
        <f>F13-F9</f>
        <v>210</v>
      </c>
      <c r="G14" s="51"/>
      <c r="H14" s="90">
        <f>F13+J13</f>
        <v>4905</v>
      </c>
      <c r="I14" s="51"/>
      <c r="J14" s="91">
        <f>J13-J9</f>
        <v>-210.00000000000023</v>
      </c>
      <c r="K14" s="92" t="s">
        <v>166</v>
      </c>
      <c r="L14" s="76"/>
    </row>
    <row r="15" spans="3:12" ht="17" thickBot="1" x14ac:dyDescent="0.25">
      <c r="C15" s="45"/>
      <c r="D15" s="65"/>
      <c r="E15" s="93" t="s">
        <v>167</v>
      </c>
      <c r="F15" s="94">
        <f>(F13+J9)/H11</f>
        <v>0.5214067278287462</v>
      </c>
      <c r="G15" s="47"/>
      <c r="H15" s="95" t="s">
        <v>168</v>
      </c>
      <c r="I15" s="47"/>
      <c r="J15" s="47"/>
      <c r="K15" s="47"/>
      <c r="L15" s="49"/>
    </row>
    <row r="16" spans="3:12" ht="17" thickBot="1" x14ac:dyDescent="0.25">
      <c r="C16" s="96"/>
      <c r="D16" s="87"/>
      <c r="E16" s="88" t="s">
        <v>169</v>
      </c>
      <c r="F16" s="97">
        <f>F13-J9</f>
        <v>1866.6666666666661</v>
      </c>
      <c r="G16" s="98"/>
      <c r="H16" s="99">
        <f>H14/H11</f>
        <v>0.5</v>
      </c>
      <c r="I16" s="98"/>
      <c r="J16" s="98"/>
      <c r="K16" s="100"/>
      <c r="L16" s="101"/>
    </row>
    <row r="23" spans="10:10" x14ac:dyDescent="0.15">
      <c r="J23" s="38"/>
    </row>
  </sheetData>
  <mergeCells count="1">
    <mergeCell ref="C2: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42"/>
  <sheetViews>
    <sheetView zoomScaleNormal="70" zoomScalePageLayoutView="70" workbookViewId="0">
      <selection activeCell="L28" sqref="L28"/>
    </sheetView>
  </sheetViews>
  <sheetFormatPr baseColWidth="10" defaultColWidth="8.83203125" defaultRowHeight="13" x14ac:dyDescent="0.15"/>
  <cols>
    <col min="3" max="3" width="51.6640625" customWidth="1"/>
    <col min="4" max="4" width="12.83203125" customWidth="1"/>
    <col min="6" max="6" width="41.6640625" customWidth="1"/>
    <col min="7" max="7" width="13.6640625" customWidth="1"/>
    <col min="8" max="8" width="10.5" bestFit="1" customWidth="1"/>
    <col min="9" max="9" width="53.5" customWidth="1"/>
    <col min="10" max="10" width="12.1640625" customWidth="1"/>
    <col min="11" max="11" width="7.5" customWidth="1"/>
    <col min="12" max="14" width="9.1640625" customWidth="1"/>
    <col min="15" max="15" width="11.1640625" customWidth="1"/>
    <col min="16" max="16" width="10.1640625" customWidth="1"/>
  </cols>
  <sheetData>
    <row r="1" spans="2:18" ht="19" x14ac:dyDescent="0.25">
      <c r="C1" s="134" t="s">
        <v>0</v>
      </c>
      <c r="D1" s="139">
        <v>7</v>
      </c>
      <c r="F1" s="106"/>
      <c r="G1" s="107"/>
      <c r="H1" s="107"/>
    </row>
    <row r="3" spans="2:18" ht="19" x14ac:dyDescent="0.25">
      <c r="B3" s="134" t="s">
        <v>1</v>
      </c>
      <c r="C3" s="134"/>
      <c r="D3" s="134"/>
      <c r="E3" s="134" t="s">
        <v>2</v>
      </c>
      <c r="F3" s="134"/>
      <c r="G3" s="134"/>
      <c r="H3" s="134" t="s">
        <v>3</v>
      </c>
      <c r="I3" s="134"/>
      <c r="J3" s="133"/>
    </row>
    <row r="4" spans="2:18" ht="16" x14ac:dyDescent="0.15">
      <c r="B4" s="26" t="s">
        <v>4</v>
      </c>
      <c r="C4" s="28" t="s">
        <v>5</v>
      </c>
      <c r="D4" s="122">
        <v>1</v>
      </c>
      <c r="E4" s="26" t="s">
        <v>6</v>
      </c>
      <c r="F4" s="26" t="s">
        <v>7</v>
      </c>
      <c r="G4" s="123">
        <f>D8-D12</f>
        <v>225</v>
      </c>
      <c r="H4" s="28" t="s">
        <v>8</v>
      </c>
      <c r="I4" s="28" t="s">
        <v>9</v>
      </c>
      <c r="J4" s="124">
        <f>D20^2*(G21)/2*1000</f>
        <v>49254.406875000001</v>
      </c>
      <c r="M4" s="35"/>
    </row>
    <row r="5" spans="2:18" ht="12" customHeight="1" x14ac:dyDescent="0.15">
      <c r="B5" s="26" t="s">
        <v>10</v>
      </c>
      <c r="C5" s="28" t="s">
        <v>11</v>
      </c>
      <c r="D5" s="122">
        <v>1</v>
      </c>
      <c r="E5" s="26" t="s">
        <v>12</v>
      </c>
      <c r="F5" s="26" t="s">
        <v>13</v>
      </c>
      <c r="G5" s="123">
        <f t="shared" ref="G5:G7" si="0">D9-D13</f>
        <v>225</v>
      </c>
      <c r="H5" s="26" t="s">
        <v>14</v>
      </c>
      <c r="I5" s="26" t="s">
        <v>15</v>
      </c>
      <c r="J5" s="124">
        <f>D21^2*(G22)/2*1000</f>
        <v>49254.406875000001</v>
      </c>
      <c r="M5" s="34"/>
    </row>
    <row r="6" spans="2:18" ht="16.5" customHeight="1" x14ac:dyDescent="0.15">
      <c r="B6" s="26" t="s">
        <v>16</v>
      </c>
      <c r="C6" s="28" t="s">
        <v>17</v>
      </c>
      <c r="D6" s="122">
        <v>1</v>
      </c>
      <c r="E6" s="26" t="s">
        <v>18</v>
      </c>
      <c r="F6" s="26" t="s">
        <v>19</v>
      </c>
      <c r="G6" s="123">
        <f t="shared" si="0"/>
        <v>225</v>
      </c>
      <c r="H6" s="26" t="s">
        <v>20</v>
      </c>
      <c r="I6" s="26" t="s">
        <v>21</v>
      </c>
      <c r="J6" s="124">
        <f>J4+J5</f>
        <v>98508.813750000001</v>
      </c>
      <c r="L6" s="115"/>
      <c r="M6" s="116"/>
    </row>
    <row r="7" spans="2:18" ht="16" x14ac:dyDescent="0.15">
      <c r="B7" s="26" t="s">
        <v>22</v>
      </c>
      <c r="C7" s="28" t="s">
        <v>23</v>
      </c>
      <c r="D7" s="122">
        <v>1</v>
      </c>
      <c r="E7" s="26" t="s">
        <v>24</v>
      </c>
      <c r="F7" s="26" t="s">
        <v>25</v>
      </c>
      <c r="G7" s="123">
        <f t="shared" si="0"/>
        <v>225</v>
      </c>
      <c r="H7" s="26" t="s">
        <v>26</v>
      </c>
      <c r="I7" s="26" t="s">
        <v>27</v>
      </c>
      <c r="J7" s="124">
        <f>(G8+G9)*D1*G27</f>
        <v>1662.4999999999998</v>
      </c>
    </row>
    <row r="8" spans="2:18" ht="16" x14ac:dyDescent="0.2">
      <c r="B8" s="26" t="s">
        <v>28</v>
      </c>
      <c r="C8" s="26" t="s">
        <v>29</v>
      </c>
      <c r="D8" s="122">
        <v>250</v>
      </c>
      <c r="E8" s="28" t="s">
        <v>30</v>
      </c>
      <c r="F8" s="26" t="s">
        <v>31</v>
      </c>
      <c r="G8" s="123">
        <f>G4+G5</f>
        <v>450</v>
      </c>
      <c r="H8" s="105" t="s">
        <v>32</v>
      </c>
      <c r="I8" s="28" t="s">
        <v>33</v>
      </c>
      <c r="J8" s="125">
        <f>J7/J6</f>
        <v>1.687666247021475E-2</v>
      </c>
      <c r="K8" s="140">
        <f>J8*180/3.142</f>
        <v>0.966836169522169</v>
      </c>
      <c r="L8" s="141" t="s">
        <v>171</v>
      </c>
      <c r="P8" s="36"/>
    </row>
    <row r="9" spans="2:18" ht="16" x14ac:dyDescent="0.15">
      <c r="B9" s="26" t="s">
        <v>34</v>
      </c>
      <c r="C9" s="26" t="s">
        <v>35</v>
      </c>
      <c r="D9" s="122">
        <v>250</v>
      </c>
      <c r="E9" s="26" t="s">
        <v>36</v>
      </c>
      <c r="F9" s="26" t="s">
        <v>37</v>
      </c>
      <c r="G9" s="123">
        <f>G6+G7</f>
        <v>450</v>
      </c>
      <c r="H9" s="26" t="s">
        <v>38</v>
      </c>
      <c r="I9" s="26" t="s">
        <v>39</v>
      </c>
      <c r="J9" s="124">
        <f>((J8*G21*D20)/2)*1000</f>
        <v>554.16666666666652</v>
      </c>
      <c r="L9" s="107"/>
      <c r="M9" s="107"/>
      <c r="N9" s="107"/>
      <c r="P9" s="31"/>
    </row>
    <row r="10" spans="2:18" ht="16" x14ac:dyDescent="0.15">
      <c r="B10" s="26" t="s">
        <v>40</v>
      </c>
      <c r="C10" s="26" t="s">
        <v>41</v>
      </c>
      <c r="D10" s="122">
        <v>250</v>
      </c>
      <c r="E10" s="103" t="s">
        <v>42</v>
      </c>
      <c r="F10" s="103" t="s">
        <v>43</v>
      </c>
      <c r="G10" s="123">
        <f>G8+G9</f>
        <v>900</v>
      </c>
      <c r="H10" s="102" t="s">
        <v>44</v>
      </c>
      <c r="I10" s="28" t="s">
        <v>45</v>
      </c>
      <c r="J10" s="124">
        <f>((J8*G22*D21)/2)*1000</f>
        <v>554.16666666666652</v>
      </c>
      <c r="L10" s="106"/>
      <c r="M10" s="107"/>
      <c r="N10" s="107"/>
      <c r="P10" s="31"/>
    </row>
    <row r="11" spans="2:18" ht="16" x14ac:dyDescent="0.2">
      <c r="B11" s="26" t="s">
        <v>46</v>
      </c>
      <c r="C11" s="26" t="s">
        <v>47</v>
      </c>
      <c r="D11" s="122">
        <v>250</v>
      </c>
      <c r="E11" s="103" t="s">
        <v>48</v>
      </c>
      <c r="F11" s="103" t="s">
        <v>49</v>
      </c>
      <c r="G11" s="126">
        <f>D8+D9+D10+D11</f>
        <v>1000</v>
      </c>
      <c r="H11" s="27"/>
      <c r="I11" s="27"/>
      <c r="J11" s="26"/>
      <c r="K11" s="25"/>
      <c r="L11" s="107"/>
      <c r="M11" s="107"/>
      <c r="N11" s="107"/>
      <c r="P11" s="37"/>
    </row>
    <row r="12" spans="2:18" ht="16" x14ac:dyDescent="0.2">
      <c r="B12" s="26" t="s">
        <v>50</v>
      </c>
      <c r="C12" s="26" t="s">
        <v>51</v>
      </c>
      <c r="D12" s="122">
        <v>25</v>
      </c>
      <c r="E12" s="104" t="s">
        <v>52</v>
      </c>
      <c r="F12" s="104" t="s">
        <v>53</v>
      </c>
      <c r="G12" s="126">
        <f>D12+D13+D14+D15</f>
        <v>100</v>
      </c>
      <c r="H12" s="26" t="s">
        <v>54</v>
      </c>
      <c r="I12" s="28" t="s">
        <v>55</v>
      </c>
      <c r="J12" s="124">
        <f>(G8*D1*D27)/D20</f>
        <v>210</v>
      </c>
      <c r="L12" s="106"/>
      <c r="M12" s="107"/>
      <c r="N12" s="107"/>
      <c r="P12" s="31"/>
    </row>
    <row r="13" spans="2:18" ht="16" x14ac:dyDescent="0.2">
      <c r="B13" s="26" t="s">
        <v>56</v>
      </c>
      <c r="C13" s="26" t="s">
        <v>57</v>
      </c>
      <c r="D13" s="122">
        <v>25</v>
      </c>
      <c r="E13" s="28" t="s">
        <v>58</v>
      </c>
      <c r="F13" s="26" t="s">
        <v>59</v>
      </c>
      <c r="G13" s="127">
        <f>D16*'Spring Rate Conversion'!$H$9</f>
        <v>43.781694999999999</v>
      </c>
      <c r="H13" s="26" t="s">
        <v>60</v>
      </c>
      <c r="I13" s="28" t="s">
        <v>61</v>
      </c>
      <c r="J13" s="124">
        <f>(G9*D1*D28)/D21</f>
        <v>420</v>
      </c>
      <c r="L13" s="107"/>
      <c r="M13" s="107"/>
      <c r="N13" s="107"/>
      <c r="P13" s="31"/>
    </row>
    <row r="14" spans="2:18" ht="16" x14ac:dyDescent="0.2">
      <c r="B14" s="26" t="s">
        <v>62</v>
      </c>
      <c r="C14" s="26" t="s">
        <v>63</v>
      </c>
      <c r="D14" s="122">
        <v>25</v>
      </c>
      <c r="E14" s="28" t="s">
        <v>64</v>
      </c>
      <c r="F14" s="26" t="s">
        <v>65</v>
      </c>
      <c r="G14" s="127">
        <f>D17*'Spring Rate Conversion'!$H$9</f>
        <v>43.781694999999999</v>
      </c>
      <c r="H14" s="26" t="s">
        <v>66</v>
      </c>
      <c r="I14" s="28" t="s">
        <v>67</v>
      </c>
      <c r="J14" s="124">
        <f>((D12+D13)*D1*D23)/D20</f>
        <v>64.166666666666671</v>
      </c>
      <c r="L14" s="107"/>
      <c r="M14" s="107"/>
      <c r="N14" s="107"/>
    </row>
    <row r="15" spans="2:18" ht="16" x14ac:dyDescent="0.2">
      <c r="B15" s="26" t="s">
        <v>68</v>
      </c>
      <c r="C15" s="26" t="s">
        <v>69</v>
      </c>
      <c r="D15" s="122">
        <v>25</v>
      </c>
      <c r="E15" s="26" t="s">
        <v>70</v>
      </c>
      <c r="F15" s="26" t="s">
        <v>71</v>
      </c>
      <c r="G15" s="127">
        <f>D18*'Spring Rate Conversion'!$H$9</f>
        <v>43.781694999999999</v>
      </c>
      <c r="H15" s="26" t="s">
        <v>72</v>
      </c>
      <c r="I15" s="28" t="s">
        <v>73</v>
      </c>
      <c r="J15" s="124">
        <f>((D14+D15)*D1*D24)/D21</f>
        <v>64.166666666666671</v>
      </c>
      <c r="K15" s="107"/>
      <c r="L15" s="112"/>
      <c r="M15" s="107"/>
      <c r="N15" s="107"/>
      <c r="O15" s="107"/>
      <c r="P15" s="107"/>
      <c r="Q15" s="107"/>
      <c r="R15" s="107"/>
    </row>
    <row r="16" spans="2:18" ht="16" x14ac:dyDescent="0.2">
      <c r="B16" s="26" t="s">
        <v>74</v>
      </c>
      <c r="C16" s="26" t="s">
        <v>75</v>
      </c>
      <c r="D16" s="122">
        <v>250</v>
      </c>
      <c r="E16" s="26" t="s">
        <v>76</v>
      </c>
      <c r="F16" s="26" t="s">
        <v>77</v>
      </c>
      <c r="G16" s="127">
        <f>D19*'Spring Rate Conversion'!$H$9</f>
        <v>43.781694999999999</v>
      </c>
      <c r="H16" s="26"/>
      <c r="I16" s="103" t="s">
        <v>78</v>
      </c>
      <c r="J16" s="128">
        <f>J9+J12+J14</f>
        <v>828.33333333333314</v>
      </c>
      <c r="K16" s="107"/>
      <c r="L16" s="107"/>
      <c r="M16" s="107"/>
      <c r="N16" s="107"/>
      <c r="O16" s="107"/>
      <c r="P16" s="107"/>
      <c r="Q16" s="107"/>
      <c r="R16" s="107"/>
    </row>
    <row r="17" spans="2:18" ht="16" x14ac:dyDescent="0.2">
      <c r="B17" s="26" t="s">
        <v>79</v>
      </c>
      <c r="C17" s="26" t="s">
        <v>80</v>
      </c>
      <c r="D17" s="122">
        <v>250</v>
      </c>
      <c r="E17" s="26" t="s">
        <v>81</v>
      </c>
      <c r="F17" s="26" t="s">
        <v>82</v>
      </c>
      <c r="G17" s="129">
        <f>G13*D4^2</f>
        <v>43.781694999999999</v>
      </c>
      <c r="H17" s="26"/>
      <c r="I17" s="103" t="s">
        <v>83</v>
      </c>
      <c r="J17" s="128">
        <f>J10+J13+J15</f>
        <v>1038.3333333333333</v>
      </c>
      <c r="K17" s="107"/>
      <c r="L17" s="112"/>
      <c r="M17" s="107"/>
      <c r="N17" s="107"/>
      <c r="O17" s="107"/>
      <c r="P17" s="107"/>
      <c r="Q17" s="107"/>
      <c r="R17" s="107"/>
    </row>
    <row r="18" spans="2:18" ht="16" x14ac:dyDescent="0.15">
      <c r="B18" s="26" t="s">
        <v>70</v>
      </c>
      <c r="C18" s="26" t="s">
        <v>84</v>
      </c>
      <c r="D18" s="122">
        <v>250</v>
      </c>
      <c r="E18" s="26" t="s">
        <v>85</v>
      </c>
      <c r="F18" s="26" t="s">
        <v>86</v>
      </c>
      <c r="G18" s="129">
        <f>G14*D5^2</f>
        <v>43.781694999999999</v>
      </c>
      <c r="H18" s="26"/>
      <c r="I18" s="103" t="s">
        <v>87</v>
      </c>
      <c r="J18" s="121">
        <f>J16+J17</f>
        <v>1866.6666666666665</v>
      </c>
      <c r="K18" s="107"/>
      <c r="L18" s="107"/>
      <c r="M18" s="107"/>
      <c r="N18" s="107"/>
      <c r="O18" s="107"/>
      <c r="P18" s="107"/>
      <c r="Q18" s="107"/>
      <c r="R18" s="107"/>
    </row>
    <row r="19" spans="2:18" ht="16" x14ac:dyDescent="0.15">
      <c r="B19" s="26" t="s">
        <v>76</v>
      </c>
      <c r="C19" s="26" t="s">
        <v>88</v>
      </c>
      <c r="D19" s="122">
        <v>250</v>
      </c>
      <c r="E19" s="26" t="s">
        <v>89</v>
      </c>
      <c r="F19" s="26" t="s">
        <v>90</v>
      </c>
      <c r="G19" s="129">
        <f>G15*D6^2</f>
        <v>43.781694999999999</v>
      </c>
      <c r="H19" s="26" t="s">
        <v>91</v>
      </c>
      <c r="I19" s="26" t="s">
        <v>92</v>
      </c>
      <c r="J19" s="121">
        <f>D8*9.81+J16</f>
        <v>3280.833333333333</v>
      </c>
      <c r="K19" s="107"/>
      <c r="L19" s="113"/>
      <c r="M19" s="114"/>
      <c r="N19" s="107"/>
      <c r="O19" s="107"/>
      <c r="P19" s="107"/>
      <c r="Q19" s="107"/>
      <c r="R19" s="107"/>
    </row>
    <row r="20" spans="2:18" ht="16" x14ac:dyDescent="0.15">
      <c r="B20" s="26" t="s">
        <v>93</v>
      </c>
      <c r="C20" s="26" t="s">
        <v>94</v>
      </c>
      <c r="D20" s="122">
        <v>1.5</v>
      </c>
      <c r="E20" s="26" t="s">
        <v>95</v>
      </c>
      <c r="F20" s="26" t="s">
        <v>96</v>
      </c>
      <c r="G20" s="129">
        <f t="shared" ref="G20" si="1">G16*D7^2</f>
        <v>43.781694999999999</v>
      </c>
      <c r="H20" s="28" t="s">
        <v>97</v>
      </c>
      <c r="I20" s="26" t="s">
        <v>98</v>
      </c>
      <c r="J20" s="121">
        <f>D9*9.81-J16</f>
        <v>1624.166666666667</v>
      </c>
      <c r="K20" s="107"/>
      <c r="L20" s="106"/>
      <c r="M20" s="107"/>
      <c r="N20" s="107"/>
      <c r="O20" s="107"/>
      <c r="P20" s="107"/>
      <c r="Q20" s="107"/>
      <c r="R20" s="107"/>
    </row>
    <row r="21" spans="2:18" ht="16" x14ac:dyDescent="0.15">
      <c r="B21" s="26" t="s">
        <v>103</v>
      </c>
      <c r="C21" s="26" t="s">
        <v>104</v>
      </c>
      <c r="D21" s="122">
        <v>1.5</v>
      </c>
      <c r="E21" s="26" t="s">
        <v>99</v>
      </c>
      <c r="F21" s="26" t="s">
        <v>100</v>
      </c>
      <c r="G21" s="129">
        <f>(G17+G18)/2</f>
        <v>43.781694999999999</v>
      </c>
      <c r="H21" s="28"/>
      <c r="I21" s="26"/>
      <c r="J21" s="26"/>
      <c r="K21" s="107"/>
      <c r="L21" s="106"/>
      <c r="M21" s="107"/>
      <c r="N21" s="107"/>
      <c r="O21" s="107"/>
      <c r="P21" s="107"/>
      <c r="Q21" s="107"/>
      <c r="R21" s="107"/>
    </row>
    <row r="22" spans="2:18" ht="16" x14ac:dyDescent="0.15">
      <c r="B22" s="26" t="s">
        <v>109</v>
      </c>
      <c r="C22" s="26" t="s">
        <v>110</v>
      </c>
      <c r="D22" s="122">
        <v>2.5</v>
      </c>
      <c r="E22" s="26" t="s">
        <v>101</v>
      </c>
      <c r="F22" s="26" t="s">
        <v>102</v>
      </c>
      <c r="G22" s="129">
        <f>(G19+G20)/2</f>
        <v>43.781694999999999</v>
      </c>
      <c r="H22" s="28"/>
      <c r="I22" s="26"/>
      <c r="J22" s="26"/>
      <c r="K22" s="107"/>
      <c r="L22" s="106"/>
      <c r="M22" s="107"/>
      <c r="N22" s="107"/>
      <c r="O22" s="107"/>
      <c r="P22" s="107"/>
      <c r="Q22" s="107"/>
      <c r="R22" s="107"/>
    </row>
    <row r="23" spans="2:18" ht="16" x14ac:dyDescent="0.15">
      <c r="B23" s="103" t="s">
        <v>115</v>
      </c>
      <c r="C23" s="103" t="s">
        <v>116</v>
      </c>
      <c r="D23" s="122">
        <v>0.27500000000000002</v>
      </c>
      <c r="E23" s="26" t="s">
        <v>105</v>
      </c>
      <c r="F23" s="28" t="s">
        <v>106</v>
      </c>
      <c r="G23" s="123">
        <f>((G9*D22)/G10)</f>
        <v>1.25</v>
      </c>
      <c r="H23" s="28" t="s">
        <v>107</v>
      </c>
      <c r="I23" s="26" t="s">
        <v>108</v>
      </c>
      <c r="J23" s="121">
        <f>D10*9.81+J17</f>
        <v>3490.833333333333</v>
      </c>
      <c r="K23" s="107"/>
      <c r="L23" s="107"/>
      <c r="M23" s="107"/>
      <c r="N23" s="107"/>
      <c r="O23" s="107"/>
      <c r="P23" s="107"/>
      <c r="Q23" s="107"/>
      <c r="R23" s="107"/>
    </row>
    <row r="24" spans="2:18" ht="16" x14ac:dyDescent="0.15">
      <c r="B24" s="117" t="s">
        <v>120</v>
      </c>
      <c r="C24" s="103" t="s">
        <v>121</v>
      </c>
      <c r="D24" s="122">
        <v>0.27500000000000002</v>
      </c>
      <c r="E24" s="26" t="s">
        <v>111</v>
      </c>
      <c r="F24" s="26" t="s">
        <v>112</v>
      </c>
      <c r="G24" s="123">
        <f>D28-D27</f>
        <v>0.1</v>
      </c>
      <c r="H24" s="26" t="s">
        <v>113</v>
      </c>
      <c r="I24" s="26" t="s">
        <v>114</v>
      </c>
      <c r="J24" s="121">
        <f>D11*9.81-J17</f>
        <v>1414.1666666666667</v>
      </c>
      <c r="K24" s="107"/>
      <c r="L24" s="107"/>
      <c r="M24" s="107"/>
      <c r="N24" s="107"/>
      <c r="O24" s="107"/>
      <c r="P24" s="107"/>
      <c r="Q24" s="107"/>
      <c r="R24" s="107"/>
    </row>
    <row r="25" spans="2:18" ht="16" x14ac:dyDescent="0.2">
      <c r="B25" s="28" t="s">
        <v>125</v>
      </c>
      <c r="C25" s="26" t="s">
        <v>126</v>
      </c>
      <c r="D25" s="122">
        <v>0.4</v>
      </c>
      <c r="E25" s="26" t="s">
        <v>117</v>
      </c>
      <c r="F25" s="26" t="s">
        <v>118</v>
      </c>
      <c r="G25" s="123">
        <f>(G24*G23)/D22</f>
        <v>0.05</v>
      </c>
      <c r="H25" s="26"/>
      <c r="I25" s="118" t="s">
        <v>119</v>
      </c>
      <c r="J25" s="130">
        <f>J19+J20+J23+J24</f>
        <v>9809.9999999999982</v>
      </c>
      <c r="K25" s="107"/>
      <c r="L25" s="107"/>
      <c r="M25" s="107"/>
      <c r="N25" s="107"/>
      <c r="O25" s="107"/>
      <c r="P25" s="107"/>
      <c r="Q25" s="107"/>
      <c r="R25" s="107"/>
    </row>
    <row r="26" spans="2:18" ht="16" x14ac:dyDescent="0.15">
      <c r="B26" s="26" t="s">
        <v>129</v>
      </c>
      <c r="C26" s="26" t="s">
        <v>130</v>
      </c>
      <c r="D26" s="145">
        <f>((D25*G11)-(SUM(D12:D13)*D23)-(SUM(D14:D15)*D24))/G10</f>
        <v>0.41388888888888886</v>
      </c>
      <c r="E26" s="26" t="s">
        <v>122</v>
      </c>
      <c r="F26" s="26" t="s">
        <v>123</v>
      </c>
      <c r="G26" s="123">
        <v>0.15</v>
      </c>
      <c r="H26" s="26"/>
      <c r="I26" s="28" t="s">
        <v>124</v>
      </c>
      <c r="J26" s="123">
        <f>G11*9.81</f>
        <v>9810</v>
      </c>
      <c r="K26" s="107"/>
      <c r="L26" s="107"/>
      <c r="M26" s="107"/>
      <c r="N26" s="107"/>
      <c r="O26" s="107"/>
      <c r="P26" s="107"/>
      <c r="Q26" s="107"/>
      <c r="R26" s="107"/>
    </row>
    <row r="27" spans="2:18" ht="16" x14ac:dyDescent="0.15">
      <c r="B27" s="26" t="s">
        <v>131</v>
      </c>
      <c r="C27" s="28" t="s">
        <v>170</v>
      </c>
      <c r="D27" s="122">
        <v>0.1</v>
      </c>
      <c r="E27" s="26" t="s">
        <v>127</v>
      </c>
      <c r="F27" s="26" t="s">
        <v>128</v>
      </c>
      <c r="G27" s="132">
        <f>D26-G25-D27</f>
        <v>0.26388888888888884</v>
      </c>
      <c r="H27" s="26"/>
      <c r="I27" s="26"/>
      <c r="J27" s="29"/>
      <c r="K27" s="107"/>
      <c r="L27" s="107"/>
      <c r="M27" s="107"/>
      <c r="N27" s="107"/>
      <c r="O27" s="107"/>
      <c r="P27" s="107"/>
      <c r="Q27" s="107"/>
      <c r="R27" s="107"/>
    </row>
    <row r="28" spans="2:18" ht="16" x14ac:dyDescent="0.15">
      <c r="B28" s="26" t="s">
        <v>134</v>
      </c>
      <c r="C28" s="28" t="s">
        <v>135</v>
      </c>
      <c r="D28" s="122">
        <v>0.2</v>
      </c>
      <c r="E28" s="26"/>
      <c r="F28" s="26"/>
      <c r="G28" s="29"/>
      <c r="H28" s="26" t="s">
        <v>132</v>
      </c>
      <c r="I28" s="26" t="s">
        <v>133</v>
      </c>
      <c r="J28" s="120">
        <f>(G11*D1*D25)/((D20+D21)/2)</f>
        <v>1866.6666666666667</v>
      </c>
      <c r="K28" s="107"/>
      <c r="L28" s="107"/>
      <c r="M28" s="107"/>
      <c r="N28" s="107"/>
      <c r="O28" s="107"/>
      <c r="P28" s="107"/>
      <c r="Q28" s="107"/>
      <c r="R28" s="107"/>
    </row>
    <row r="29" spans="2:18" ht="16" x14ac:dyDescent="0.15">
      <c r="E29" s="31"/>
      <c r="F29" s="31"/>
      <c r="G29" s="119"/>
      <c r="H29" s="146" t="s">
        <v>173</v>
      </c>
      <c r="I29" s="146"/>
      <c r="J29" s="148">
        <f>J19-J20</f>
        <v>1656.6666666666661</v>
      </c>
      <c r="K29" s="107"/>
      <c r="L29" s="106"/>
      <c r="M29" s="107"/>
      <c r="N29" s="107"/>
      <c r="O29" s="107"/>
      <c r="P29" s="107"/>
      <c r="Q29" s="107"/>
      <c r="R29" s="107"/>
    </row>
    <row r="30" spans="2:18" ht="16" x14ac:dyDescent="0.15">
      <c r="E30" s="31"/>
      <c r="F30" s="31"/>
      <c r="G30" s="119"/>
      <c r="H30" s="26" t="s">
        <v>174</v>
      </c>
      <c r="I30" s="26"/>
      <c r="J30" s="148">
        <f>J23-J24</f>
        <v>2076.6666666666661</v>
      </c>
      <c r="K30" s="107"/>
      <c r="L30" s="106"/>
      <c r="M30" s="107"/>
      <c r="N30" s="107"/>
      <c r="O30" s="107"/>
      <c r="P30" s="107"/>
      <c r="Q30" s="107"/>
      <c r="R30" s="107"/>
    </row>
    <row r="31" spans="2:18" ht="16" x14ac:dyDescent="0.2">
      <c r="H31" s="146" t="s">
        <v>175</v>
      </c>
      <c r="I31" s="26"/>
      <c r="J31" s="149">
        <f>J29-J30</f>
        <v>-420</v>
      </c>
      <c r="K31" s="107"/>
      <c r="L31" s="111"/>
      <c r="M31" s="111"/>
      <c r="N31" s="111"/>
      <c r="O31" s="111"/>
      <c r="P31" s="107"/>
      <c r="Q31" s="107"/>
      <c r="R31" s="107"/>
    </row>
    <row r="32" spans="2:18" ht="16" x14ac:dyDescent="0.2">
      <c r="D32" s="106"/>
      <c r="E32" s="107"/>
      <c r="F32" s="107"/>
      <c r="G32" s="32"/>
      <c r="H32" s="147" t="s">
        <v>176</v>
      </c>
      <c r="I32" s="147"/>
      <c r="J32" s="150">
        <f>J17/J28*100</f>
        <v>55.624999999999993</v>
      </c>
      <c r="K32" s="107"/>
      <c r="L32" s="111"/>
      <c r="M32" s="111"/>
      <c r="N32" s="111"/>
      <c r="O32" s="111"/>
      <c r="P32" s="107"/>
      <c r="Q32" s="107"/>
      <c r="R32" s="107"/>
    </row>
    <row r="33" spans="2:18" ht="15" x14ac:dyDescent="0.2">
      <c r="D33" s="107"/>
      <c r="E33" s="107"/>
      <c r="F33" s="107"/>
      <c r="G33" s="32"/>
      <c r="H33" s="33"/>
      <c r="I33" s="32"/>
      <c r="K33" s="107"/>
      <c r="L33" s="107"/>
      <c r="M33" s="107"/>
      <c r="N33" s="107"/>
      <c r="O33" s="107"/>
      <c r="P33" s="107"/>
      <c r="Q33" s="107"/>
      <c r="R33" s="107"/>
    </row>
    <row r="34" spans="2:18" ht="17" x14ac:dyDescent="0.15">
      <c r="C34" s="108"/>
      <c r="D34" s="107"/>
      <c r="E34" s="107"/>
      <c r="F34" s="109"/>
    </row>
    <row r="35" spans="2:18" ht="14" x14ac:dyDescent="0.15">
      <c r="C35" s="107"/>
      <c r="D35" s="107"/>
      <c r="E35" s="107"/>
      <c r="F35" s="110"/>
    </row>
    <row r="36" spans="2:18" x14ac:dyDescent="0.15">
      <c r="C36" s="107"/>
      <c r="D36" s="107"/>
      <c r="E36" s="107"/>
      <c r="F36" s="107"/>
    </row>
    <row r="37" spans="2:18" x14ac:dyDescent="0.15">
      <c r="B37" s="38"/>
      <c r="C37" s="107"/>
      <c r="D37" s="107"/>
      <c r="E37" s="107"/>
      <c r="F37" s="107"/>
    </row>
    <row r="38" spans="2:18" x14ac:dyDescent="0.15">
      <c r="B38" s="37"/>
      <c r="C38" s="106"/>
      <c r="D38" s="107"/>
      <c r="E38" s="107"/>
      <c r="F38" s="107"/>
    </row>
    <row r="39" spans="2:18" x14ac:dyDescent="0.15">
      <c r="B39" s="37"/>
      <c r="C39" s="106"/>
      <c r="D39" s="107"/>
      <c r="E39" s="107"/>
      <c r="F39" s="107"/>
    </row>
    <row r="40" spans="2:18" x14ac:dyDescent="0.15">
      <c r="C40" s="107"/>
      <c r="D40" s="107"/>
      <c r="E40" s="107"/>
      <c r="F40" s="107"/>
    </row>
    <row r="41" spans="2:18" x14ac:dyDescent="0.15">
      <c r="C41" s="107"/>
      <c r="D41" s="107"/>
      <c r="E41" s="107"/>
      <c r="F41" s="107"/>
    </row>
    <row r="42" spans="2:18" x14ac:dyDescent="0.15">
      <c r="D42" s="107"/>
      <c r="E42" s="107"/>
      <c r="F42" s="107"/>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42"/>
  <sheetViews>
    <sheetView zoomScaleNormal="70" zoomScalePageLayoutView="70" workbookViewId="0">
      <selection activeCell="F29" sqref="F29"/>
    </sheetView>
  </sheetViews>
  <sheetFormatPr baseColWidth="10" defaultColWidth="8.83203125" defaultRowHeight="13" x14ac:dyDescent="0.15"/>
  <cols>
    <col min="3" max="3" width="51.6640625" customWidth="1"/>
    <col min="4" max="4" width="12.83203125" customWidth="1"/>
    <col min="6" max="6" width="41.6640625" customWidth="1"/>
    <col min="7" max="7" width="13.6640625" customWidth="1"/>
    <col min="8" max="8" width="10.5" bestFit="1" customWidth="1"/>
    <col min="9" max="9" width="53.5" customWidth="1"/>
    <col min="10" max="10" width="12.1640625" customWidth="1"/>
    <col min="11" max="11" width="7.5" customWidth="1"/>
    <col min="12" max="14" width="9.1640625" customWidth="1"/>
    <col min="15" max="15" width="11.1640625" customWidth="1"/>
    <col min="16" max="16" width="10.1640625" customWidth="1"/>
  </cols>
  <sheetData>
    <row r="1" spans="2:18" ht="19" x14ac:dyDescent="0.25">
      <c r="C1" s="134" t="s">
        <v>0</v>
      </c>
      <c r="D1" s="139">
        <v>8.1</v>
      </c>
      <c r="F1" s="106"/>
      <c r="G1" s="107"/>
      <c r="H1" s="107"/>
    </row>
    <row r="3" spans="2:18" ht="19" x14ac:dyDescent="0.25">
      <c r="B3" s="134" t="s">
        <v>1</v>
      </c>
      <c r="C3" s="134"/>
      <c r="D3" s="134"/>
      <c r="E3" s="134" t="s">
        <v>2</v>
      </c>
      <c r="F3" s="134"/>
      <c r="G3" s="134"/>
      <c r="H3" s="134" t="s">
        <v>3</v>
      </c>
      <c r="I3" s="134"/>
      <c r="J3" s="133"/>
    </row>
    <row r="4" spans="2:18" ht="16" x14ac:dyDescent="0.15">
      <c r="B4" s="26" t="s">
        <v>4</v>
      </c>
      <c r="C4" s="28" t="s">
        <v>5</v>
      </c>
      <c r="D4" s="122">
        <v>0.87</v>
      </c>
      <c r="E4" s="26" t="s">
        <v>6</v>
      </c>
      <c r="F4" s="26" t="s">
        <v>7</v>
      </c>
      <c r="G4" s="123">
        <f>D8-D12</f>
        <v>156.80000000000001</v>
      </c>
      <c r="H4" s="28" t="s">
        <v>8</v>
      </c>
      <c r="I4" s="28" t="s">
        <v>9</v>
      </c>
      <c r="J4" s="124">
        <f>D20^2*(G21)/2*1000</f>
        <v>28882.106541489502</v>
      </c>
      <c r="M4" s="35"/>
    </row>
    <row r="5" spans="2:18" ht="20" customHeight="1" x14ac:dyDescent="0.15">
      <c r="B5" s="26" t="s">
        <v>10</v>
      </c>
      <c r="C5" s="28" t="s">
        <v>11</v>
      </c>
      <c r="D5" s="122">
        <v>0.82</v>
      </c>
      <c r="E5" s="26" t="s">
        <v>12</v>
      </c>
      <c r="F5" s="26" t="s">
        <v>13</v>
      </c>
      <c r="G5" s="123">
        <f t="shared" ref="G5:G7" si="0">D9-D13</f>
        <v>177.2</v>
      </c>
      <c r="H5" s="26" t="s">
        <v>14</v>
      </c>
      <c r="I5" s="26" t="s">
        <v>15</v>
      </c>
      <c r="J5" s="124">
        <f>D21^2*(G22)/2*1000</f>
        <v>70826.397880361823</v>
      </c>
      <c r="M5" s="34"/>
    </row>
    <row r="6" spans="2:18" ht="16.5" customHeight="1" x14ac:dyDescent="0.15">
      <c r="B6" s="26" t="s">
        <v>16</v>
      </c>
      <c r="C6" s="28" t="s">
        <v>17</v>
      </c>
      <c r="D6" s="122">
        <v>1.02</v>
      </c>
      <c r="E6" s="26" t="s">
        <v>18</v>
      </c>
      <c r="F6" s="26" t="s">
        <v>19</v>
      </c>
      <c r="G6" s="123">
        <f t="shared" si="0"/>
        <v>163.80000000000001</v>
      </c>
      <c r="H6" s="26" t="s">
        <v>20</v>
      </c>
      <c r="I6" s="26" t="s">
        <v>21</v>
      </c>
      <c r="J6" s="124">
        <f>J4+J5</f>
        <v>99708.504421851321</v>
      </c>
      <c r="L6" s="115"/>
      <c r="M6" s="116"/>
    </row>
    <row r="7" spans="2:18" ht="16" x14ac:dyDescent="0.15">
      <c r="B7" s="26" t="s">
        <v>22</v>
      </c>
      <c r="C7" s="28" t="s">
        <v>23</v>
      </c>
      <c r="D7" s="122">
        <v>1.02</v>
      </c>
      <c r="E7" s="26" t="s">
        <v>24</v>
      </c>
      <c r="F7" s="26" t="s">
        <v>25</v>
      </c>
      <c r="G7" s="123">
        <f t="shared" si="0"/>
        <v>184.2</v>
      </c>
      <c r="H7" s="26" t="s">
        <v>26</v>
      </c>
      <c r="I7" s="26" t="s">
        <v>27</v>
      </c>
      <c r="J7" s="124">
        <f>(G8+G9)*D1*G27</f>
        <v>2020.6259999999997</v>
      </c>
    </row>
    <row r="8" spans="2:18" ht="16" x14ac:dyDescent="0.2">
      <c r="B8" s="26" t="s">
        <v>28</v>
      </c>
      <c r="C8" s="26" t="s">
        <v>29</v>
      </c>
      <c r="D8" s="122">
        <v>185.8</v>
      </c>
      <c r="E8" s="28" t="s">
        <v>30</v>
      </c>
      <c r="F8" s="26" t="s">
        <v>31</v>
      </c>
      <c r="G8" s="123">
        <f>G4+G5</f>
        <v>334</v>
      </c>
      <c r="H8" s="105" t="s">
        <v>32</v>
      </c>
      <c r="I8" s="28" t="s">
        <v>33</v>
      </c>
      <c r="J8" s="125">
        <f>J7/J6</f>
        <v>2.0265332548275346E-2</v>
      </c>
      <c r="K8" s="140">
        <f>J8*180/3.142</f>
        <v>1.1609674916262134</v>
      </c>
      <c r="L8" s="141" t="s">
        <v>171</v>
      </c>
      <c r="P8" s="36"/>
    </row>
    <row r="9" spans="2:18" ht="16" x14ac:dyDescent="0.15">
      <c r="B9" s="26" t="s">
        <v>34</v>
      </c>
      <c r="C9" s="26" t="s">
        <v>35</v>
      </c>
      <c r="D9" s="122">
        <v>206.2</v>
      </c>
      <c r="E9" s="26" t="s">
        <v>36</v>
      </c>
      <c r="F9" s="26" t="s">
        <v>37</v>
      </c>
      <c r="G9" s="123">
        <f>G6+G7</f>
        <v>348</v>
      </c>
      <c r="H9" s="26" t="s">
        <v>38</v>
      </c>
      <c r="I9" s="26" t="s">
        <v>39</v>
      </c>
      <c r="J9" s="151">
        <f>((J8*G21*D20)/2)*1000</f>
        <v>398.16700255646504</v>
      </c>
      <c r="L9" s="107"/>
      <c r="M9" s="107"/>
      <c r="N9" s="107"/>
      <c r="P9" s="31"/>
    </row>
    <row r="10" spans="2:18" ht="16" x14ac:dyDescent="0.15">
      <c r="B10" s="26" t="s">
        <v>40</v>
      </c>
      <c r="C10" s="26" t="s">
        <v>41</v>
      </c>
      <c r="D10" s="122">
        <v>198.8</v>
      </c>
      <c r="E10" s="103" t="s">
        <v>42</v>
      </c>
      <c r="F10" s="103" t="s">
        <v>43</v>
      </c>
      <c r="G10" s="123">
        <f>G8+G9</f>
        <v>682</v>
      </c>
      <c r="H10" s="102" t="s">
        <v>44</v>
      </c>
      <c r="I10" s="28" t="s">
        <v>45</v>
      </c>
      <c r="J10" s="124">
        <f>((J8*G22*D21)/2)*1000</f>
        <v>944.28980673815568</v>
      </c>
      <c r="L10" s="106"/>
      <c r="M10" s="107"/>
      <c r="N10" s="107"/>
      <c r="P10" s="31"/>
    </row>
    <row r="11" spans="2:18" ht="16" x14ac:dyDescent="0.2">
      <c r="B11" s="26" t="s">
        <v>46</v>
      </c>
      <c r="C11" s="26" t="s">
        <v>47</v>
      </c>
      <c r="D11" s="122">
        <v>219.2</v>
      </c>
      <c r="E11" s="103" t="s">
        <v>48</v>
      </c>
      <c r="F11" s="103" t="s">
        <v>49</v>
      </c>
      <c r="G11" s="126">
        <f>D8+D9+D10+D11</f>
        <v>810</v>
      </c>
      <c r="H11" s="27"/>
      <c r="I11" s="27"/>
      <c r="J11" s="26"/>
      <c r="K11" s="25"/>
      <c r="L11" s="107"/>
      <c r="M11" s="107"/>
      <c r="N11" s="107"/>
      <c r="P11" s="37"/>
    </row>
    <row r="12" spans="2:18" ht="16" x14ac:dyDescent="0.2">
      <c r="B12" s="26" t="s">
        <v>50</v>
      </c>
      <c r="C12" s="26" t="s">
        <v>51</v>
      </c>
      <c r="D12" s="122">
        <v>29</v>
      </c>
      <c r="E12" s="104" t="s">
        <v>52</v>
      </c>
      <c r="F12" s="104" t="s">
        <v>53</v>
      </c>
      <c r="G12" s="126">
        <f>D12+D13+D14+D15</f>
        <v>128</v>
      </c>
      <c r="H12" s="26" t="s">
        <v>54</v>
      </c>
      <c r="I12" s="28" t="s">
        <v>55</v>
      </c>
      <c r="J12" s="124">
        <f>(G8*D1*D27)/D20</f>
        <v>110.42448979591838</v>
      </c>
      <c r="L12" s="106"/>
      <c r="M12" s="107"/>
      <c r="N12" s="107"/>
      <c r="P12" s="31"/>
    </row>
    <row r="13" spans="2:18" ht="16" x14ac:dyDescent="0.2">
      <c r="B13" s="26" t="s">
        <v>56</v>
      </c>
      <c r="C13" s="26" t="s">
        <v>57</v>
      </c>
      <c r="D13" s="122">
        <v>29</v>
      </c>
      <c r="E13" s="28" t="s">
        <v>58</v>
      </c>
      <c r="F13" s="26" t="s">
        <v>59</v>
      </c>
      <c r="G13" s="127">
        <f>D16*'Spring Rate Conversion'!$H$9</f>
        <v>37.6522577</v>
      </c>
      <c r="H13" s="26" t="s">
        <v>60</v>
      </c>
      <c r="I13" s="28" t="s">
        <v>61</v>
      </c>
      <c r="J13" s="124">
        <f>(G9*D1*D28)/D21</f>
        <v>315.26052631578943</v>
      </c>
      <c r="L13" s="107"/>
      <c r="M13" s="107"/>
      <c r="N13" s="107"/>
      <c r="P13" s="31"/>
    </row>
    <row r="14" spans="2:18" ht="16" x14ac:dyDescent="0.2">
      <c r="B14" s="26" t="s">
        <v>62</v>
      </c>
      <c r="C14" s="26" t="s">
        <v>63</v>
      </c>
      <c r="D14" s="122">
        <v>35</v>
      </c>
      <c r="E14" s="28" t="s">
        <v>64</v>
      </c>
      <c r="F14" s="26" t="s">
        <v>65</v>
      </c>
      <c r="G14" s="127">
        <f>D17*'Spring Rate Conversion'!$H$9</f>
        <v>37.126877360000002</v>
      </c>
      <c r="H14" s="26" t="s">
        <v>66</v>
      </c>
      <c r="I14" s="28" t="s">
        <v>67</v>
      </c>
      <c r="J14" s="124">
        <f>((D12+D13)*D1*D23)/D20</f>
        <v>89.485714285714295</v>
      </c>
      <c r="L14" s="107"/>
      <c r="M14" s="107"/>
      <c r="N14" s="107"/>
    </row>
    <row r="15" spans="2:18" ht="16" x14ac:dyDescent="0.2">
      <c r="B15" s="26" t="s">
        <v>68</v>
      </c>
      <c r="C15" s="26" t="s">
        <v>69</v>
      </c>
      <c r="D15" s="122">
        <v>35</v>
      </c>
      <c r="E15" s="26" t="s">
        <v>70</v>
      </c>
      <c r="F15" s="26" t="s">
        <v>71</v>
      </c>
      <c r="G15" s="127">
        <f>D18*'Spring Rate Conversion'!$H$9</f>
        <v>58.842598080000002</v>
      </c>
      <c r="H15" s="26" t="s">
        <v>72</v>
      </c>
      <c r="I15" s="28" t="s">
        <v>73</v>
      </c>
      <c r="J15" s="124">
        <f>((D14+D15)*D1*D24)/D21</f>
        <v>104.44736842105264</v>
      </c>
      <c r="K15" s="107"/>
      <c r="L15" s="112"/>
      <c r="M15" s="107"/>
      <c r="N15" s="107"/>
      <c r="O15" s="107"/>
      <c r="P15" s="107"/>
      <c r="Q15" s="107"/>
      <c r="R15" s="107"/>
    </row>
    <row r="16" spans="2:18" ht="16" x14ac:dyDescent="0.2">
      <c r="B16" s="26" t="s">
        <v>74</v>
      </c>
      <c r="C16" s="26" t="s">
        <v>75</v>
      </c>
      <c r="D16" s="122">
        <v>215</v>
      </c>
      <c r="E16" s="26" t="s">
        <v>76</v>
      </c>
      <c r="F16" s="26" t="s">
        <v>77</v>
      </c>
      <c r="G16" s="127">
        <f>D19*'Spring Rate Conversion'!$H$9</f>
        <v>59.017724860000001</v>
      </c>
      <c r="H16" s="26"/>
      <c r="I16" s="103" t="s">
        <v>78</v>
      </c>
      <c r="J16" s="128">
        <f>J9+J12+J14</f>
        <v>598.07720663809766</v>
      </c>
      <c r="K16" s="107"/>
      <c r="L16" s="107"/>
      <c r="M16" s="107"/>
      <c r="N16" s="107"/>
      <c r="O16" s="107"/>
      <c r="P16" s="107"/>
      <c r="Q16" s="107"/>
      <c r="R16" s="107"/>
    </row>
    <row r="17" spans="2:18" ht="16" x14ac:dyDescent="0.2">
      <c r="B17" s="26" t="s">
        <v>79</v>
      </c>
      <c r="C17" s="26" t="s">
        <v>80</v>
      </c>
      <c r="D17" s="122">
        <v>212</v>
      </c>
      <c r="E17" s="26" t="s">
        <v>81</v>
      </c>
      <c r="F17" s="26" t="s">
        <v>82</v>
      </c>
      <c r="G17" s="129">
        <f>G13*D4^2</f>
        <v>28.498993853129999</v>
      </c>
      <c r="H17" s="26"/>
      <c r="I17" s="103" t="s">
        <v>83</v>
      </c>
      <c r="J17" s="128">
        <f>J10+J13+J15</f>
        <v>1363.9977014749977</v>
      </c>
      <c r="K17" s="107"/>
      <c r="L17" s="112"/>
      <c r="M17" s="107"/>
      <c r="N17" s="107"/>
      <c r="O17" s="107"/>
      <c r="P17" s="107"/>
      <c r="Q17" s="107"/>
      <c r="R17" s="107"/>
    </row>
    <row r="18" spans="2:18" ht="16" x14ac:dyDescent="0.15">
      <c r="B18" s="26" t="s">
        <v>70</v>
      </c>
      <c r="C18" s="26" t="s">
        <v>84</v>
      </c>
      <c r="D18" s="122">
        <v>336</v>
      </c>
      <c r="E18" s="26" t="s">
        <v>85</v>
      </c>
      <c r="F18" s="26" t="s">
        <v>86</v>
      </c>
      <c r="G18" s="129">
        <f>G14*D5^2</f>
        <v>24.964112336863998</v>
      </c>
      <c r="H18" s="26"/>
      <c r="I18" s="103" t="s">
        <v>87</v>
      </c>
      <c r="J18" s="121">
        <f>J16+J17</f>
        <v>1962.0749081130953</v>
      </c>
      <c r="K18" s="107"/>
      <c r="L18" s="107"/>
      <c r="M18" s="107"/>
      <c r="N18" s="107"/>
      <c r="O18" s="107"/>
      <c r="P18" s="107"/>
      <c r="Q18" s="107"/>
      <c r="R18" s="107"/>
    </row>
    <row r="19" spans="2:18" ht="16" x14ac:dyDescent="0.15">
      <c r="B19" s="26" t="s">
        <v>76</v>
      </c>
      <c r="C19" s="26" t="s">
        <v>88</v>
      </c>
      <c r="D19" s="122">
        <v>337</v>
      </c>
      <c r="E19" s="26" t="s">
        <v>89</v>
      </c>
      <c r="F19" s="26" t="s">
        <v>90</v>
      </c>
      <c r="G19" s="129">
        <f>G15*D6^2</f>
        <v>61.219839042432</v>
      </c>
      <c r="H19" s="26" t="s">
        <v>91</v>
      </c>
      <c r="I19" s="26" t="s">
        <v>92</v>
      </c>
      <c r="J19" s="121">
        <f>D8*9.81+J16</f>
        <v>2420.7752066380976</v>
      </c>
      <c r="K19" s="107"/>
      <c r="L19" s="113"/>
      <c r="M19" s="114"/>
      <c r="N19" s="107"/>
      <c r="O19" s="107"/>
      <c r="P19" s="107"/>
      <c r="Q19" s="107"/>
      <c r="R19" s="107"/>
    </row>
    <row r="20" spans="2:18" ht="16" x14ac:dyDescent="0.15">
      <c r="B20" s="26" t="s">
        <v>93</v>
      </c>
      <c r="C20" s="26" t="s">
        <v>94</v>
      </c>
      <c r="D20" s="122">
        <v>1.47</v>
      </c>
      <c r="E20" s="26" t="s">
        <v>95</v>
      </c>
      <c r="F20" s="26" t="s">
        <v>96</v>
      </c>
      <c r="G20" s="129">
        <f t="shared" ref="G20" si="1">G16*D7^2</f>
        <v>61.402040944344002</v>
      </c>
      <c r="H20" s="28" t="s">
        <v>97</v>
      </c>
      <c r="I20" s="26" t="s">
        <v>98</v>
      </c>
      <c r="J20" s="121">
        <f>D9*9.81-J16</f>
        <v>1424.7447933619023</v>
      </c>
      <c r="K20" s="107"/>
      <c r="L20" s="106"/>
      <c r="M20" s="107"/>
      <c r="N20" s="107"/>
      <c r="O20" s="107"/>
      <c r="P20" s="107"/>
      <c r="Q20" s="107"/>
      <c r="R20" s="107"/>
    </row>
    <row r="21" spans="2:18" ht="16" x14ac:dyDescent="0.15">
      <c r="B21" s="26" t="s">
        <v>103</v>
      </c>
      <c r="C21" s="26" t="s">
        <v>104</v>
      </c>
      <c r="D21" s="122">
        <v>1.52</v>
      </c>
      <c r="E21" s="26" t="s">
        <v>99</v>
      </c>
      <c r="F21" s="26" t="s">
        <v>100</v>
      </c>
      <c r="G21" s="129">
        <f>(G17+G18)/2</f>
        <v>26.731553094996997</v>
      </c>
      <c r="H21" s="28"/>
      <c r="I21" s="26"/>
      <c r="J21" s="26"/>
      <c r="K21" s="107"/>
      <c r="L21" s="106"/>
      <c r="M21" s="107"/>
      <c r="N21" s="107"/>
      <c r="O21" s="107"/>
      <c r="P21" s="107"/>
      <c r="Q21" s="107"/>
      <c r="R21" s="107"/>
    </row>
    <row r="22" spans="2:18" ht="16" x14ac:dyDescent="0.15">
      <c r="B22" s="26" t="s">
        <v>109</v>
      </c>
      <c r="C22" s="26" t="s">
        <v>110</v>
      </c>
      <c r="D22" s="122">
        <v>2.5499999999999998</v>
      </c>
      <c r="E22" s="26" t="s">
        <v>101</v>
      </c>
      <c r="F22" s="26" t="s">
        <v>102</v>
      </c>
      <c r="G22" s="129">
        <f>(G19+G20)/2</f>
        <v>61.310939993388004</v>
      </c>
      <c r="H22" s="28"/>
      <c r="I22" s="26"/>
      <c r="J22" s="26"/>
      <c r="K22" s="107"/>
      <c r="L22" s="106"/>
      <c r="M22" s="107"/>
      <c r="N22" s="107"/>
      <c r="O22" s="107"/>
      <c r="P22" s="107"/>
      <c r="Q22" s="107"/>
      <c r="R22" s="107"/>
    </row>
    <row r="23" spans="2:18" ht="16" x14ac:dyDescent="0.15">
      <c r="B23" s="103" t="s">
        <v>115</v>
      </c>
      <c r="C23" s="103" t="s">
        <v>116</v>
      </c>
      <c r="D23" s="122">
        <v>0.28000000000000003</v>
      </c>
      <c r="E23" s="26" t="s">
        <v>105</v>
      </c>
      <c r="F23" s="28" t="s">
        <v>106</v>
      </c>
      <c r="G23" s="123">
        <f>((G9*D22)/G10)</f>
        <v>1.3011730205278591</v>
      </c>
      <c r="H23" s="28" t="s">
        <v>107</v>
      </c>
      <c r="I23" s="26" t="s">
        <v>108</v>
      </c>
      <c r="J23" s="121">
        <f>D10*9.81+J17</f>
        <v>3314.225701474998</v>
      </c>
      <c r="K23" s="107"/>
      <c r="L23" s="107"/>
      <c r="M23" s="107"/>
      <c r="N23" s="107"/>
      <c r="O23" s="107"/>
      <c r="P23" s="107"/>
      <c r="Q23" s="107"/>
      <c r="R23" s="107"/>
    </row>
    <row r="24" spans="2:18" ht="16" x14ac:dyDescent="0.15">
      <c r="B24" s="117" t="s">
        <v>120</v>
      </c>
      <c r="C24" s="103" t="s">
        <v>121</v>
      </c>
      <c r="D24" s="122">
        <v>0.28000000000000003</v>
      </c>
      <c r="E24" s="26" t="s">
        <v>111</v>
      </c>
      <c r="F24" s="26" t="s">
        <v>112</v>
      </c>
      <c r="G24" s="123">
        <f>D28-D27</f>
        <v>0.11000000000000001</v>
      </c>
      <c r="H24" s="26" t="s">
        <v>113</v>
      </c>
      <c r="I24" s="26" t="s">
        <v>114</v>
      </c>
      <c r="J24" s="121">
        <f>D11*9.81-J17</f>
        <v>786.35429852500215</v>
      </c>
      <c r="K24" s="107"/>
      <c r="L24" s="107"/>
      <c r="M24" s="107"/>
      <c r="N24" s="107"/>
      <c r="O24" s="107"/>
      <c r="P24" s="107"/>
      <c r="Q24" s="107"/>
      <c r="R24" s="107"/>
    </row>
    <row r="25" spans="2:18" ht="16" x14ac:dyDescent="0.2">
      <c r="B25" s="28" t="s">
        <v>125</v>
      </c>
      <c r="C25" s="26" t="s">
        <v>126</v>
      </c>
      <c r="D25" s="122">
        <v>0.45</v>
      </c>
      <c r="E25" s="26" t="s">
        <v>117</v>
      </c>
      <c r="F25" s="26" t="s">
        <v>118</v>
      </c>
      <c r="G25" s="123">
        <f>(G24*G23)/D22</f>
        <v>5.6129032258064523E-2</v>
      </c>
      <c r="H25" s="26"/>
      <c r="I25" s="118" t="s">
        <v>119</v>
      </c>
      <c r="J25" s="130">
        <f>J19+J20+J23+J24</f>
        <v>7946.1</v>
      </c>
      <c r="K25" s="107"/>
      <c r="L25" s="107"/>
      <c r="M25" s="107"/>
      <c r="N25" s="107"/>
      <c r="O25" s="107"/>
      <c r="P25" s="107"/>
      <c r="Q25" s="107"/>
      <c r="R25" s="107"/>
    </row>
    <row r="26" spans="2:18" ht="16" x14ac:dyDescent="0.15">
      <c r="B26" s="26" t="s">
        <v>129</v>
      </c>
      <c r="C26" s="26" t="s">
        <v>130</v>
      </c>
      <c r="D26" s="145">
        <f>((D25*G11)-(SUM(D12:D13)*D23)-(SUM(D14:D15)*D24))/G10</f>
        <v>0.48190615835777123</v>
      </c>
      <c r="E26" s="26" t="s">
        <v>122</v>
      </c>
      <c r="F26" s="26" t="s">
        <v>123</v>
      </c>
      <c r="G26" s="123">
        <v>0.15</v>
      </c>
      <c r="H26" s="26"/>
      <c r="I26" s="28" t="s">
        <v>124</v>
      </c>
      <c r="J26" s="123">
        <f>G11*9.81</f>
        <v>7946.1</v>
      </c>
      <c r="K26" s="107"/>
      <c r="L26" s="107"/>
      <c r="M26" s="107"/>
      <c r="N26" s="107"/>
      <c r="O26" s="107"/>
      <c r="P26" s="107"/>
      <c r="Q26" s="107"/>
      <c r="R26" s="107"/>
    </row>
    <row r="27" spans="2:18" ht="16" x14ac:dyDescent="0.15">
      <c r="B27" s="26" t="s">
        <v>131</v>
      </c>
      <c r="C27" s="28" t="s">
        <v>170</v>
      </c>
      <c r="D27" s="122">
        <v>0.06</v>
      </c>
      <c r="E27" s="26" t="s">
        <v>127</v>
      </c>
      <c r="F27" s="26" t="s">
        <v>128</v>
      </c>
      <c r="G27" s="132">
        <f>D26-G25-D27</f>
        <v>0.3657771260997067</v>
      </c>
      <c r="H27" s="26"/>
      <c r="I27" s="26"/>
      <c r="J27" s="29"/>
      <c r="K27" s="107"/>
      <c r="L27" s="107"/>
      <c r="M27" s="107"/>
      <c r="N27" s="107"/>
      <c r="O27" s="107"/>
      <c r="P27" s="107"/>
      <c r="Q27" s="107"/>
      <c r="R27" s="107"/>
    </row>
    <row r="28" spans="2:18" ht="16" x14ac:dyDescent="0.15">
      <c r="B28" s="26" t="s">
        <v>134</v>
      </c>
      <c r="C28" s="28" t="s">
        <v>135</v>
      </c>
      <c r="D28" s="122">
        <v>0.17</v>
      </c>
      <c r="E28" s="26"/>
      <c r="F28" s="26"/>
      <c r="G28" s="29"/>
      <c r="H28" s="26" t="s">
        <v>132</v>
      </c>
      <c r="I28" s="26" t="s">
        <v>133</v>
      </c>
      <c r="J28" s="120">
        <f>(G11*D1*D25)/((D20+D21)/2)</f>
        <v>1974.8829431438128</v>
      </c>
      <c r="K28" s="107"/>
      <c r="L28" s="107"/>
      <c r="M28" s="107"/>
      <c r="N28" s="107"/>
      <c r="O28" s="107"/>
      <c r="P28" s="107"/>
      <c r="Q28" s="107"/>
      <c r="R28" s="107"/>
    </row>
    <row r="29" spans="2:18" ht="16" x14ac:dyDescent="0.15">
      <c r="E29" s="31"/>
      <c r="F29" s="31"/>
      <c r="G29" s="119"/>
      <c r="H29" s="146" t="s">
        <v>173</v>
      </c>
      <c r="I29" s="146"/>
      <c r="J29" s="148">
        <f>J19-J20</f>
        <v>996.0304132761953</v>
      </c>
      <c r="K29" s="107"/>
      <c r="L29" s="106"/>
      <c r="M29" s="107"/>
      <c r="N29" s="107"/>
      <c r="O29" s="107"/>
      <c r="P29" s="107"/>
      <c r="Q29" s="107"/>
      <c r="R29" s="107"/>
    </row>
    <row r="30" spans="2:18" ht="16" x14ac:dyDescent="0.15">
      <c r="E30" s="31"/>
      <c r="F30" s="31"/>
      <c r="G30" s="119"/>
      <c r="H30" s="26" t="s">
        <v>174</v>
      </c>
      <c r="I30" s="26"/>
      <c r="J30" s="148">
        <f>J23-J24</f>
        <v>2527.8714029499961</v>
      </c>
      <c r="K30" s="107"/>
      <c r="L30" s="106"/>
      <c r="M30" s="107"/>
      <c r="N30" s="107"/>
      <c r="O30" s="107"/>
      <c r="P30" s="107"/>
      <c r="Q30" s="107"/>
      <c r="R30" s="107"/>
    </row>
    <row r="31" spans="2:18" ht="16" x14ac:dyDescent="0.2">
      <c r="H31" s="146" t="s">
        <v>175</v>
      </c>
      <c r="I31" s="26"/>
      <c r="J31" s="149">
        <f>J29-J30</f>
        <v>-1531.8409896738008</v>
      </c>
      <c r="K31" s="107"/>
      <c r="L31" s="111"/>
      <c r="M31" s="111"/>
      <c r="N31" s="111"/>
      <c r="O31" s="111"/>
      <c r="P31" s="107"/>
      <c r="Q31" s="107"/>
      <c r="R31" s="107"/>
    </row>
    <row r="32" spans="2:18" ht="16" x14ac:dyDescent="0.2">
      <c r="D32" s="106"/>
      <c r="E32" s="107"/>
      <c r="F32" s="107"/>
      <c r="G32" s="32"/>
      <c r="H32" s="147" t="s">
        <v>176</v>
      </c>
      <c r="I32" s="147"/>
      <c r="J32" s="150">
        <f>J17/J28*100</f>
        <v>69.067268326478739</v>
      </c>
      <c r="K32" s="107"/>
      <c r="L32" s="111"/>
      <c r="M32" s="111"/>
      <c r="N32" s="111"/>
      <c r="O32" s="111"/>
      <c r="P32" s="107"/>
      <c r="Q32" s="107"/>
      <c r="R32" s="107"/>
    </row>
    <row r="33" spans="2:18" ht="15" x14ac:dyDescent="0.2">
      <c r="D33" s="107"/>
      <c r="E33" s="107"/>
      <c r="F33" s="107"/>
      <c r="G33" s="32"/>
      <c r="H33" s="33"/>
      <c r="I33" s="32"/>
      <c r="K33" s="107"/>
      <c r="L33" s="107"/>
      <c r="M33" s="107"/>
      <c r="N33" s="107"/>
      <c r="O33" s="107"/>
      <c r="P33" s="107"/>
      <c r="Q33" s="107"/>
      <c r="R33" s="107"/>
    </row>
    <row r="34" spans="2:18" ht="17" x14ac:dyDescent="0.15">
      <c r="C34" s="108"/>
      <c r="D34" s="107"/>
      <c r="E34" s="107"/>
      <c r="F34" s="109"/>
    </row>
    <row r="35" spans="2:18" ht="14" x14ac:dyDescent="0.15">
      <c r="C35" s="107"/>
      <c r="D35" s="107"/>
      <c r="E35" s="107"/>
      <c r="F35" s="110"/>
    </row>
    <row r="36" spans="2:18" x14ac:dyDescent="0.15">
      <c r="C36" s="107"/>
      <c r="D36" s="107"/>
      <c r="E36" s="107"/>
      <c r="F36" s="107"/>
    </row>
    <row r="37" spans="2:18" x14ac:dyDescent="0.15">
      <c r="B37" s="38"/>
      <c r="C37" s="107"/>
      <c r="D37" s="107"/>
      <c r="E37" s="107"/>
      <c r="F37" s="107"/>
    </row>
    <row r="38" spans="2:18" x14ac:dyDescent="0.15">
      <c r="B38" s="37"/>
      <c r="C38" s="106"/>
      <c r="D38" s="107"/>
      <c r="E38" s="107"/>
      <c r="F38" s="107"/>
    </row>
    <row r="39" spans="2:18" x14ac:dyDescent="0.15">
      <c r="B39" s="37"/>
      <c r="C39" s="106"/>
      <c r="D39" s="107"/>
      <c r="E39" s="107"/>
      <c r="F39" s="107"/>
    </row>
    <row r="40" spans="2:18" x14ac:dyDescent="0.15">
      <c r="C40" s="107"/>
      <c r="D40" s="107"/>
      <c r="E40" s="107"/>
      <c r="F40" s="107"/>
    </row>
    <row r="41" spans="2:18" x14ac:dyDescent="0.15">
      <c r="C41" s="107"/>
      <c r="D41" s="107"/>
      <c r="E41" s="107"/>
      <c r="F41" s="107"/>
    </row>
    <row r="42" spans="2:18" x14ac:dyDescent="0.15">
      <c r="D42" s="107"/>
      <c r="E42" s="107"/>
      <c r="F42" s="107"/>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42"/>
  <sheetViews>
    <sheetView zoomScaleNormal="70" zoomScalePageLayoutView="70" workbookViewId="0">
      <selection activeCell="I38" sqref="I38"/>
    </sheetView>
  </sheetViews>
  <sheetFormatPr baseColWidth="10" defaultColWidth="8.83203125" defaultRowHeight="13" x14ac:dyDescent="0.15"/>
  <cols>
    <col min="3" max="3" width="51.6640625" customWidth="1"/>
    <col min="4" max="4" width="12.83203125" customWidth="1"/>
    <col min="6" max="6" width="41.6640625" customWidth="1"/>
    <col min="7" max="7" width="13.6640625" customWidth="1"/>
    <col min="8" max="8" width="10.5" bestFit="1" customWidth="1"/>
    <col min="9" max="9" width="53.5" customWidth="1"/>
    <col min="10" max="10" width="12.1640625" customWidth="1"/>
    <col min="11" max="11" width="7.5" customWidth="1"/>
    <col min="12" max="14" width="9.1640625" customWidth="1"/>
    <col min="15" max="15" width="11.1640625" customWidth="1"/>
    <col min="16" max="16" width="10.1640625" customWidth="1"/>
  </cols>
  <sheetData>
    <row r="1" spans="2:18" ht="19" x14ac:dyDescent="0.25">
      <c r="C1" s="134" t="s">
        <v>0</v>
      </c>
      <c r="D1" s="139">
        <v>8.1</v>
      </c>
      <c r="F1" s="106"/>
      <c r="G1" s="107"/>
      <c r="H1" s="107"/>
    </row>
    <row r="3" spans="2:18" ht="19" x14ac:dyDescent="0.25">
      <c r="B3" s="134" t="s">
        <v>1</v>
      </c>
      <c r="C3" s="134"/>
      <c r="D3" s="134"/>
      <c r="E3" s="134" t="s">
        <v>2</v>
      </c>
      <c r="F3" s="134"/>
      <c r="G3" s="134"/>
      <c r="H3" s="134" t="s">
        <v>3</v>
      </c>
      <c r="I3" s="134"/>
      <c r="J3" s="133"/>
    </row>
    <row r="4" spans="2:18" ht="16" x14ac:dyDescent="0.15">
      <c r="B4" s="26" t="s">
        <v>4</v>
      </c>
      <c r="C4" s="28" t="s">
        <v>5</v>
      </c>
      <c r="D4" s="122">
        <v>0.87</v>
      </c>
      <c r="E4" s="26" t="s">
        <v>6</v>
      </c>
      <c r="F4" s="26" t="s">
        <v>7</v>
      </c>
      <c r="G4" s="123">
        <f>D8-D12</f>
        <v>156.80000000000001</v>
      </c>
      <c r="H4" s="28" t="s">
        <v>8</v>
      </c>
      <c r="I4" s="28" t="s">
        <v>9</v>
      </c>
      <c r="J4" s="124">
        <f>D20^2*(G21)/2*1000</f>
        <v>31777.409947256929</v>
      </c>
      <c r="M4" s="35"/>
    </row>
    <row r="5" spans="2:18" ht="20" customHeight="1" x14ac:dyDescent="0.15">
      <c r="B5" s="26" t="s">
        <v>10</v>
      </c>
      <c r="C5" s="28" t="s">
        <v>11</v>
      </c>
      <c r="D5" s="122">
        <v>0.82</v>
      </c>
      <c r="E5" s="26" t="s">
        <v>12</v>
      </c>
      <c r="F5" s="26" t="s">
        <v>13</v>
      </c>
      <c r="G5" s="123">
        <f t="shared" ref="G5:G7" si="0">D9-D13</f>
        <v>177.2</v>
      </c>
      <c r="H5" s="26" t="s">
        <v>14</v>
      </c>
      <c r="I5" s="26" t="s">
        <v>15</v>
      </c>
      <c r="J5" s="124">
        <f>D21^2*(G22)/2*1000</f>
        <v>70826.397880361823</v>
      </c>
      <c r="M5" s="34"/>
    </row>
    <row r="6" spans="2:18" ht="16.5" customHeight="1" x14ac:dyDescent="0.15">
      <c r="B6" s="26" t="s">
        <v>16</v>
      </c>
      <c r="C6" s="28" t="s">
        <v>17</v>
      </c>
      <c r="D6" s="122">
        <v>1.02</v>
      </c>
      <c r="E6" s="26" t="s">
        <v>18</v>
      </c>
      <c r="F6" s="26" t="s">
        <v>19</v>
      </c>
      <c r="G6" s="123">
        <f t="shared" si="0"/>
        <v>163.80000000000001</v>
      </c>
      <c r="H6" s="26" t="s">
        <v>20</v>
      </c>
      <c r="I6" s="26" t="s">
        <v>21</v>
      </c>
      <c r="J6" s="124">
        <f>J4+J5</f>
        <v>102603.80782761876</v>
      </c>
      <c r="L6" s="115"/>
      <c r="M6" s="116"/>
    </row>
    <row r="7" spans="2:18" ht="16" x14ac:dyDescent="0.15">
      <c r="B7" s="26" t="s">
        <v>22</v>
      </c>
      <c r="C7" s="28" t="s">
        <v>23</v>
      </c>
      <c r="D7" s="122">
        <v>1.02</v>
      </c>
      <c r="E7" s="26" t="s">
        <v>24</v>
      </c>
      <c r="F7" s="26" t="s">
        <v>25</v>
      </c>
      <c r="G7" s="123">
        <f t="shared" si="0"/>
        <v>184.2</v>
      </c>
      <c r="H7" s="26" t="s">
        <v>26</v>
      </c>
      <c r="I7" s="26" t="s">
        <v>27</v>
      </c>
      <c r="J7" s="124">
        <f>(G8+G9)*D1*G27</f>
        <v>2020.6259999999997</v>
      </c>
    </row>
    <row r="8" spans="2:18" ht="16" x14ac:dyDescent="0.2">
      <c r="B8" s="26" t="s">
        <v>28</v>
      </c>
      <c r="C8" s="26" t="s">
        <v>29</v>
      </c>
      <c r="D8" s="122">
        <v>185.8</v>
      </c>
      <c r="E8" s="28" t="s">
        <v>30</v>
      </c>
      <c r="F8" s="26" t="s">
        <v>31</v>
      </c>
      <c r="G8" s="123">
        <f>G4+G5</f>
        <v>334</v>
      </c>
      <c r="H8" s="105" t="s">
        <v>32</v>
      </c>
      <c r="I8" s="28" t="s">
        <v>33</v>
      </c>
      <c r="J8" s="125">
        <f>J7/J6</f>
        <v>1.9693479635714752E-2</v>
      </c>
      <c r="K8" s="140">
        <f>J8*180/3.142</f>
        <v>1.1282069810403106</v>
      </c>
      <c r="L8" s="141" t="s">
        <v>171</v>
      </c>
      <c r="P8" s="36"/>
    </row>
    <row r="9" spans="2:18" ht="16" x14ac:dyDescent="0.15">
      <c r="B9" s="26" t="s">
        <v>34</v>
      </c>
      <c r="C9" s="26" t="s">
        <v>35</v>
      </c>
      <c r="D9" s="122">
        <v>206.2</v>
      </c>
      <c r="E9" s="26" t="s">
        <v>36</v>
      </c>
      <c r="F9" s="26" t="s">
        <v>37</v>
      </c>
      <c r="G9" s="123">
        <f>G6+G7</f>
        <v>348</v>
      </c>
      <c r="H9" s="26" t="s">
        <v>38</v>
      </c>
      <c r="I9" s="26" t="s">
        <v>39</v>
      </c>
      <c r="J9" s="151">
        <f>((J8*G21*D20)/2)*1000</f>
        <v>425.71957528711812</v>
      </c>
      <c r="L9" s="107"/>
      <c r="M9" s="107"/>
      <c r="N9" s="107"/>
      <c r="P9" s="31"/>
    </row>
    <row r="10" spans="2:18" ht="16" x14ac:dyDescent="0.15">
      <c r="B10" s="26" t="s">
        <v>40</v>
      </c>
      <c r="C10" s="26" t="s">
        <v>41</v>
      </c>
      <c r="D10" s="122">
        <v>198.8</v>
      </c>
      <c r="E10" s="103" t="s">
        <v>42</v>
      </c>
      <c r="F10" s="103" t="s">
        <v>43</v>
      </c>
      <c r="G10" s="123">
        <f>G8+G9</f>
        <v>682</v>
      </c>
      <c r="H10" s="102" t="s">
        <v>44</v>
      </c>
      <c r="I10" s="28" t="s">
        <v>45</v>
      </c>
      <c r="J10" s="124">
        <f>((J8*G22*D21)/2)*1000</f>
        <v>917.64356863679996</v>
      </c>
      <c r="L10" s="106"/>
      <c r="M10" s="107"/>
      <c r="N10" s="107"/>
      <c r="P10" s="31"/>
    </row>
    <row r="11" spans="2:18" ht="16" x14ac:dyDescent="0.2">
      <c r="B11" s="26" t="s">
        <v>46</v>
      </c>
      <c r="C11" s="26" t="s">
        <v>47</v>
      </c>
      <c r="D11" s="122">
        <v>219.2</v>
      </c>
      <c r="E11" s="103" t="s">
        <v>48</v>
      </c>
      <c r="F11" s="103" t="s">
        <v>49</v>
      </c>
      <c r="G11" s="126">
        <f>D8+D9+D10+D11</f>
        <v>810</v>
      </c>
      <c r="H11" s="27"/>
      <c r="I11" s="27"/>
      <c r="J11" s="26"/>
      <c r="K11" s="25"/>
      <c r="L11" s="107"/>
      <c r="M11" s="107"/>
      <c r="N11" s="107"/>
      <c r="P11" s="37"/>
    </row>
    <row r="12" spans="2:18" ht="16" x14ac:dyDescent="0.2">
      <c r="B12" s="26" t="s">
        <v>50</v>
      </c>
      <c r="C12" s="26" t="s">
        <v>51</v>
      </c>
      <c r="D12" s="122">
        <v>29</v>
      </c>
      <c r="E12" s="104" t="s">
        <v>52</v>
      </c>
      <c r="F12" s="104" t="s">
        <v>53</v>
      </c>
      <c r="G12" s="126">
        <f>D12+D13+D14+D15</f>
        <v>128</v>
      </c>
      <c r="H12" s="26" t="s">
        <v>54</v>
      </c>
      <c r="I12" s="28" t="s">
        <v>55</v>
      </c>
      <c r="J12" s="124">
        <f>(G8*D1*D27)/D20</f>
        <v>110.42448979591838</v>
      </c>
      <c r="L12" s="106"/>
      <c r="M12" s="107"/>
      <c r="N12" s="107"/>
      <c r="P12" s="31"/>
    </row>
    <row r="13" spans="2:18" ht="16" x14ac:dyDescent="0.2">
      <c r="B13" s="26" t="s">
        <v>56</v>
      </c>
      <c r="C13" s="26" t="s">
        <v>57</v>
      </c>
      <c r="D13" s="122">
        <v>29</v>
      </c>
      <c r="E13" s="28" t="s">
        <v>58</v>
      </c>
      <c r="F13" s="26" t="s">
        <v>59</v>
      </c>
      <c r="G13" s="127">
        <f>D16*'Spring Rate Conversion'!$H$9</f>
        <v>41.154793300000001</v>
      </c>
      <c r="H13" s="26" t="s">
        <v>60</v>
      </c>
      <c r="I13" s="28" t="s">
        <v>61</v>
      </c>
      <c r="J13" s="124">
        <f>(G9*D1*D28)/D21</f>
        <v>315.26052631578943</v>
      </c>
      <c r="L13" s="107"/>
      <c r="M13" s="107"/>
      <c r="N13" s="107"/>
      <c r="P13" s="31"/>
    </row>
    <row r="14" spans="2:18" ht="16" x14ac:dyDescent="0.2">
      <c r="B14" s="26" t="s">
        <v>62</v>
      </c>
      <c r="C14" s="26" t="s">
        <v>63</v>
      </c>
      <c r="D14" s="122">
        <v>35</v>
      </c>
      <c r="E14" s="28" t="s">
        <v>64</v>
      </c>
      <c r="F14" s="26" t="s">
        <v>65</v>
      </c>
      <c r="G14" s="127">
        <f>D17*'Spring Rate Conversion'!$H$9</f>
        <v>41.154793300000001</v>
      </c>
      <c r="H14" s="26" t="s">
        <v>66</v>
      </c>
      <c r="I14" s="28" t="s">
        <v>67</v>
      </c>
      <c r="J14" s="124">
        <f>((D12+D13)*D1*D23)/D20</f>
        <v>89.485714285714295</v>
      </c>
      <c r="L14" s="107"/>
      <c r="M14" s="107"/>
      <c r="N14" s="107"/>
    </row>
    <row r="15" spans="2:18" ht="16" x14ac:dyDescent="0.2">
      <c r="B15" s="26" t="s">
        <v>68</v>
      </c>
      <c r="C15" s="26" t="s">
        <v>69</v>
      </c>
      <c r="D15" s="122">
        <v>35</v>
      </c>
      <c r="E15" s="26" t="s">
        <v>70</v>
      </c>
      <c r="F15" s="26" t="s">
        <v>71</v>
      </c>
      <c r="G15" s="127">
        <f>D18*'Spring Rate Conversion'!$H$9</f>
        <v>58.842598080000002</v>
      </c>
      <c r="H15" s="26" t="s">
        <v>72</v>
      </c>
      <c r="I15" s="28" t="s">
        <v>73</v>
      </c>
      <c r="J15" s="124">
        <f>((D14+D15)*D1*D24)/D21</f>
        <v>104.44736842105264</v>
      </c>
      <c r="K15" s="107"/>
      <c r="L15" s="112"/>
      <c r="M15" s="107"/>
      <c r="N15" s="107"/>
      <c r="O15" s="107"/>
      <c r="P15" s="107"/>
      <c r="Q15" s="107"/>
      <c r="R15" s="107"/>
    </row>
    <row r="16" spans="2:18" ht="16" x14ac:dyDescent="0.2">
      <c r="B16" s="26" t="s">
        <v>74</v>
      </c>
      <c r="C16" s="26" t="s">
        <v>75</v>
      </c>
      <c r="D16" s="152">
        <v>235</v>
      </c>
      <c r="E16" s="26" t="s">
        <v>76</v>
      </c>
      <c r="F16" s="26" t="s">
        <v>77</v>
      </c>
      <c r="G16" s="127">
        <f>D19*'Spring Rate Conversion'!$H$9</f>
        <v>59.017724860000001</v>
      </c>
      <c r="H16" s="26"/>
      <c r="I16" s="103" t="s">
        <v>78</v>
      </c>
      <c r="J16" s="128">
        <f>J9+J12+J14</f>
        <v>625.62977936875075</v>
      </c>
      <c r="K16" s="107"/>
      <c r="L16" s="107"/>
      <c r="M16" s="107"/>
      <c r="N16" s="107"/>
      <c r="O16" s="107"/>
      <c r="P16" s="107"/>
      <c r="Q16" s="107"/>
      <c r="R16" s="107"/>
    </row>
    <row r="17" spans="2:18" ht="16" x14ac:dyDescent="0.2">
      <c r="B17" s="26" t="s">
        <v>79</v>
      </c>
      <c r="C17" s="26" t="s">
        <v>80</v>
      </c>
      <c r="D17" s="152">
        <v>235</v>
      </c>
      <c r="E17" s="26" t="s">
        <v>81</v>
      </c>
      <c r="F17" s="26" t="s">
        <v>82</v>
      </c>
      <c r="G17" s="129">
        <f>G13*D4^2</f>
        <v>31.150063048770001</v>
      </c>
      <c r="H17" s="26"/>
      <c r="I17" s="103" t="s">
        <v>83</v>
      </c>
      <c r="J17" s="128">
        <f>J10+J13+J15</f>
        <v>1337.351463373642</v>
      </c>
      <c r="K17" s="107"/>
      <c r="L17" s="112"/>
      <c r="M17" s="107"/>
      <c r="N17" s="107"/>
      <c r="O17" s="107"/>
      <c r="P17" s="107"/>
      <c r="Q17" s="107"/>
      <c r="R17" s="107"/>
    </row>
    <row r="18" spans="2:18" ht="16" x14ac:dyDescent="0.15">
      <c r="B18" s="26" t="s">
        <v>70</v>
      </c>
      <c r="C18" s="26" t="s">
        <v>84</v>
      </c>
      <c r="D18" s="122">
        <v>336</v>
      </c>
      <c r="E18" s="26" t="s">
        <v>85</v>
      </c>
      <c r="F18" s="26" t="s">
        <v>86</v>
      </c>
      <c r="G18" s="129">
        <f>G14*D5^2</f>
        <v>27.672483014919997</v>
      </c>
      <c r="H18" s="26"/>
      <c r="I18" s="103" t="s">
        <v>87</v>
      </c>
      <c r="J18" s="121">
        <f>J16+J17</f>
        <v>1962.9812427423926</v>
      </c>
      <c r="K18" s="107"/>
      <c r="L18" s="107"/>
      <c r="M18" s="107"/>
      <c r="N18" s="107"/>
      <c r="O18" s="107"/>
      <c r="P18" s="107"/>
      <c r="Q18" s="107"/>
      <c r="R18" s="107"/>
    </row>
    <row r="19" spans="2:18" ht="16" x14ac:dyDescent="0.15">
      <c r="B19" s="26" t="s">
        <v>76</v>
      </c>
      <c r="C19" s="26" t="s">
        <v>88</v>
      </c>
      <c r="D19" s="122">
        <v>337</v>
      </c>
      <c r="E19" s="26" t="s">
        <v>89</v>
      </c>
      <c r="F19" s="26" t="s">
        <v>90</v>
      </c>
      <c r="G19" s="129">
        <f>G15*D6^2</f>
        <v>61.219839042432</v>
      </c>
      <c r="H19" s="26" t="s">
        <v>91</v>
      </c>
      <c r="I19" s="26" t="s">
        <v>92</v>
      </c>
      <c r="J19" s="121">
        <f>D8*9.81+J16</f>
        <v>2448.3277793687507</v>
      </c>
      <c r="K19" s="107"/>
      <c r="L19" s="113"/>
      <c r="M19" s="114"/>
      <c r="N19" s="107"/>
      <c r="O19" s="107"/>
      <c r="P19" s="107"/>
      <c r="Q19" s="107"/>
      <c r="R19" s="107"/>
    </row>
    <row r="20" spans="2:18" ht="16" x14ac:dyDescent="0.15">
      <c r="B20" s="26" t="s">
        <v>93</v>
      </c>
      <c r="C20" s="26" t="s">
        <v>94</v>
      </c>
      <c r="D20" s="122">
        <v>1.47</v>
      </c>
      <c r="E20" s="26" t="s">
        <v>95</v>
      </c>
      <c r="F20" s="26" t="s">
        <v>96</v>
      </c>
      <c r="G20" s="129">
        <f t="shared" ref="G20" si="1">G16*D7^2</f>
        <v>61.402040944344002</v>
      </c>
      <c r="H20" s="28" t="s">
        <v>97</v>
      </c>
      <c r="I20" s="26" t="s">
        <v>98</v>
      </c>
      <c r="J20" s="121">
        <f>D9*9.81-J16</f>
        <v>1397.1922206312493</v>
      </c>
      <c r="K20" s="107"/>
      <c r="L20" s="106"/>
      <c r="M20" s="107"/>
      <c r="N20" s="107"/>
      <c r="O20" s="107"/>
      <c r="P20" s="107"/>
      <c r="Q20" s="107"/>
      <c r="R20" s="107"/>
    </row>
    <row r="21" spans="2:18" ht="16" x14ac:dyDescent="0.15">
      <c r="B21" s="26" t="s">
        <v>103</v>
      </c>
      <c r="C21" s="26" t="s">
        <v>104</v>
      </c>
      <c r="D21" s="122">
        <v>1.52</v>
      </c>
      <c r="E21" s="26" t="s">
        <v>99</v>
      </c>
      <c r="F21" s="26" t="s">
        <v>100</v>
      </c>
      <c r="G21" s="129">
        <f>(G17+G18)/2</f>
        <v>29.411273031844999</v>
      </c>
      <c r="H21" s="28"/>
      <c r="I21" s="26"/>
      <c r="J21" s="26"/>
      <c r="K21" s="107"/>
      <c r="L21" s="106"/>
      <c r="M21" s="107"/>
      <c r="N21" s="107"/>
      <c r="O21" s="107"/>
      <c r="P21" s="107"/>
      <c r="Q21" s="107"/>
      <c r="R21" s="107"/>
    </row>
    <row r="22" spans="2:18" ht="16" x14ac:dyDescent="0.15">
      <c r="B22" s="26" t="s">
        <v>109</v>
      </c>
      <c r="C22" s="26" t="s">
        <v>110</v>
      </c>
      <c r="D22" s="122">
        <v>2.5499999999999998</v>
      </c>
      <c r="E22" s="26" t="s">
        <v>101</v>
      </c>
      <c r="F22" s="26" t="s">
        <v>102</v>
      </c>
      <c r="G22" s="129">
        <f>(G19+G20)/2</f>
        <v>61.310939993388004</v>
      </c>
      <c r="H22" s="28"/>
      <c r="I22" s="26"/>
      <c r="J22" s="26"/>
      <c r="K22" s="107"/>
      <c r="L22" s="106"/>
      <c r="M22" s="107"/>
      <c r="N22" s="107"/>
      <c r="O22" s="107"/>
      <c r="P22" s="107"/>
      <c r="Q22" s="107"/>
      <c r="R22" s="107"/>
    </row>
    <row r="23" spans="2:18" ht="16" x14ac:dyDescent="0.15">
      <c r="B23" s="103" t="s">
        <v>115</v>
      </c>
      <c r="C23" s="103" t="s">
        <v>116</v>
      </c>
      <c r="D23" s="122">
        <v>0.28000000000000003</v>
      </c>
      <c r="E23" s="26" t="s">
        <v>105</v>
      </c>
      <c r="F23" s="28" t="s">
        <v>106</v>
      </c>
      <c r="G23" s="123">
        <f>((G9*D22)/G10)</f>
        <v>1.3011730205278591</v>
      </c>
      <c r="H23" s="28" t="s">
        <v>107</v>
      </c>
      <c r="I23" s="26" t="s">
        <v>108</v>
      </c>
      <c r="J23" s="121">
        <f>D10*9.81+J17</f>
        <v>3287.5794633736423</v>
      </c>
      <c r="K23" s="107"/>
      <c r="L23" s="107"/>
      <c r="M23" s="107"/>
      <c r="N23" s="107"/>
      <c r="O23" s="107"/>
      <c r="P23" s="107"/>
      <c r="Q23" s="107"/>
      <c r="R23" s="107"/>
    </row>
    <row r="24" spans="2:18" ht="16" x14ac:dyDescent="0.15">
      <c r="B24" s="117" t="s">
        <v>120</v>
      </c>
      <c r="C24" s="103" t="s">
        <v>121</v>
      </c>
      <c r="D24" s="122">
        <v>0.28000000000000003</v>
      </c>
      <c r="E24" s="26" t="s">
        <v>111</v>
      </c>
      <c r="F24" s="26" t="s">
        <v>112</v>
      </c>
      <c r="G24" s="123">
        <f>D28-D27</f>
        <v>0.11000000000000001</v>
      </c>
      <c r="H24" s="26" t="s">
        <v>113</v>
      </c>
      <c r="I24" s="26" t="s">
        <v>114</v>
      </c>
      <c r="J24" s="121">
        <f>D11*9.81-J17</f>
        <v>813.00053662635787</v>
      </c>
      <c r="K24" s="107"/>
      <c r="L24" s="107"/>
      <c r="M24" s="107"/>
      <c r="N24" s="107"/>
      <c r="O24" s="107"/>
      <c r="P24" s="107"/>
      <c r="Q24" s="107"/>
      <c r="R24" s="107"/>
    </row>
    <row r="25" spans="2:18" ht="16" x14ac:dyDescent="0.2">
      <c r="B25" s="28" t="s">
        <v>125</v>
      </c>
      <c r="C25" s="26" t="s">
        <v>126</v>
      </c>
      <c r="D25" s="122">
        <v>0.45</v>
      </c>
      <c r="E25" s="26" t="s">
        <v>117</v>
      </c>
      <c r="F25" s="26" t="s">
        <v>118</v>
      </c>
      <c r="G25" s="123">
        <f>(G24*G23)/D22</f>
        <v>5.6129032258064523E-2</v>
      </c>
      <c r="H25" s="26"/>
      <c r="I25" s="118" t="s">
        <v>119</v>
      </c>
      <c r="J25" s="130">
        <f>J19+J20+J23+J24</f>
        <v>7946.1</v>
      </c>
      <c r="K25" s="107"/>
      <c r="L25" s="107"/>
      <c r="M25" s="107"/>
      <c r="N25" s="107"/>
      <c r="O25" s="107"/>
      <c r="P25" s="107"/>
      <c r="Q25" s="107"/>
      <c r="R25" s="107"/>
    </row>
    <row r="26" spans="2:18" ht="16" x14ac:dyDescent="0.15">
      <c r="B26" s="26" t="s">
        <v>129</v>
      </c>
      <c r="C26" s="26" t="s">
        <v>130</v>
      </c>
      <c r="D26" s="145">
        <f>((D25*G11)-(SUM(D12:D13)*D23)-(SUM(D14:D15)*D24))/G10</f>
        <v>0.48190615835777123</v>
      </c>
      <c r="E26" s="26" t="s">
        <v>122</v>
      </c>
      <c r="F26" s="26" t="s">
        <v>123</v>
      </c>
      <c r="G26" s="123">
        <v>0.15</v>
      </c>
      <c r="H26" s="26"/>
      <c r="I26" s="28" t="s">
        <v>124</v>
      </c>
      <c r="J26" s="123">
        <f>G11*9.81</f>
        <v>7946.1</v>
      </c>
      <c r="K26" s="107"/>
      <c r="L26" s="107"/>
      <c r="M26" s="107"/>
      <c r="N26" s="107"/>
      <c r="O26" s="107"/>
      <c r="P26" s="107"/>
      <c r="Q26" s="107"/>
      <c r="R26" s="107"/>
    </row>
    <row r="27" spans="2:18" ht="16" x14ac:dyDescent="0.15">
      <c r="B27" s="26" t="s">
        <v>131</v>
      </c>
      <c r="C27" s="28" t="s">
        <v>170</v>
      </c>
      <c r="D27" s="122">
        <v>0.06</v>
      </c>
      <c r="E27" s="26" t="s">
        <v>127</v>
      </c>
      <c r="F27" s="26" t="s">
        <v>128</v>
      </c>
      <c r="G27" s="132">
        <f>D26-G25-D27</f>
        <v>0.3657771260997067</v>
      </c>
      <c r="H27" s="26"/>
      <c r="I27" s="26"/>
      <c r="J27" s="29"/>
      <c r="K27" s="107"/>
      <c r="L27" s="107"/>
      <c r="M27" s="107"/>
      <c r="N27" s="107"/>
      <c r="O27" s="107"/>
      <c r="P27" s="107"/>
      <c r="Q27" s="107"/>
      <c r="R27" s="107"/>
    </row>
    <row r="28" spans="2:18" ht="16" x14ac:dyDescent="0.15">
      <c r="B28" s="26" t="s">
        <v>134</v>
      </c>
      <c r="C28" s="28" t="s">
        <v>135</v>
      </c>
      <c r="D28" s="122">
        <v>0.17</v>
      </c>
      <c r="E28" s="26"/>
      <c r="F28" s="26"/>
      <c r="G28" s="29"/>
      <c r="H28" s="26" t="s">
        <v>132</v>
      </c>
      <c r="I28" s="26" t="s">
        <v>133</v>
      </c>
      <c r="J28" s="120">
        <f>(G11*D1*D25)/((D20+D21)/2)</f>
        <v>1974.8829431438128</v>
      </c>
      <c r="K28" s="107"/>
      <c r="L28" s="107"/>
      <c r="M28" s="107"/>
      <c r="N28" s="107"/>
      <c r="O28" s="107"/>
      <c r="P28" s="107"/>
      <c r="Q28" s="107"/>
      <c r="R28" s="107"/>
    </row>
    <row r="29" spans="2:18" ht="16" x14ac:dyDescent="0.15">
      <c r="E29" s="31"/>
      <c r="F29" s="31"/>
      <c r="G29" s="119"/>
      <c r="H29" s="146" t="s">
        <v>173</v>
      </c>
      <c r="I29" s="146"/>
      <c r="J29" s="148">
        <f>J19-J20</f>
        <v>1051.1355587375015</v>
      </c>
      <c r="K29" s="107"/>
      <c r="L29" s="106"/>
      <c r="M29" s="107"/>
      <c r="N29" s="107"/>
      <c r="O29" s="107"/>
      <c r="P29" s="107"/>
      <c r="Q29" s="107"/>
      <c r="R29" s="107"/>
    </row>
    <row r="30" spans="2:18" ht="17" thickBot="1" x14ac:dyDescent="0.2">
      <c r="E30" s="31"/>
      <c r="F30" s="31"/>
      <c r="G30" s="119"/>
      <c r="H30" s="26" t="s">
        <v>174</v>
      </c>
      <c r="I30" s="26"/>
      <c r="J30" s="148">
        <f>J23-J24</f>
        <v>2474.5789267472846</v>
      </c>
      <c r="K30" s="107"/>
      <c r="L30" s="106"/>
      <c r="M30" s="107"/>
      <c r="N30" s="107"/>
      <c r="O30" s="107"/>
      <c r="P30" s="107"/>
      <c r="Q30" s="107"/>
      <c r="R30" s="107"/>
    </row>
    <row r="31" spans="2:18" ht="16" x14ac:dyDescent="0.2">
      <c r="B31" s="171" t="s">
        <v>177</v>
      </c>
      <c r="C31" s="203" t="s">
        <v>201</v>
      </c>
      <c r="D31" s="204"/>
      <c r="E31" s="204"/>
      <c r="F31" s="204"/>
      <c r="G31" s="205"/>
      <c r="H31" s="160" t="s">
        <v>175</v>
      </c>
      <c r="I31" s="26"/>
      <c r="J31" s="149">
        <f>J29-J30</f>
        <v>-1423.4433680097832</v>
      </c>
      <c r="K31" s="107"/>
      <c r="L31" s="111"/>
      <c r="M31" s="111"/>
      <c r="N31" s="111"/>
      <c r="O31" s="111"/>
      <c r="P31" s="107"/>
      <c r="Q31" s="107"/>
      <c r="R31" s="107"/>
    </row>
    <row r="32" spans="2:18" ht="16" x14ac:dyDescent="0.2">
      <c r="B32" s="172"/>
      <c r="C32" s="156"/>
      <c r="D32" s="155"/>
      <c r="E32" s="156"/>
      <c r="F32" s="156"/>
      <c r="G32" s="166"/>
      <c r="H32" s="161" t="s">
        <v>176</v>
      </c>
      <c r="I32" s="147"/>
      <c r="J32" s="150">
        <f>J17/J28*100</f>
        <v>67.718011744266448</v>
      </c>
      <c r="K32" s="107"/>
      <c r="L32" s="111"/>
      <c r="M32" s="111"/>
      <c r="N32" s="111"/>
      <c r="O32" s="111"/>
      <c r="P32" s="107"/>
      <c r="Q32" s="107"/>
      <c r="R32" s="107"/>
    </row>
    <row r="33" spans="2:18" ht="15" x14ac:dyDescent="0.2">
      <c r="B33" s="172" t="s">
        <v>178</v>
      </c>
      <c r="C33" s="159" t="s">
        <v>181</v>
      </c>
      <c r="D33" s="159"/>
      <c r="E33" s="159"/>
      <c r="F33" s="159"/>
      <c r="G33" s="167"/>
      <c r="H33" s="33"/>
      <c r="I33" s="32"/>
      <c r="K33" s="107"/>
      <c r="L33" s="107"/>
      <c r="M33" s="107"/>
      <c r="N33" s="107"/>
      <c r="O33" s="107"/>
      <c r="P33" s="107"/>
      <c r="Q33" s="107"/>
      <c r="R33" s="107"/>
    </row>
    <row r="34" spans="2:18" ht="17" x14ac:dyDescent="0.15">
      <c r="B34" s="172"/>
      <c r="C34" s="157"/>
      <c r="D34" s="156"/>
      <c r="E34" s="156"/>
      <c r="F34" s="158"/>
      <c r="G34" s="168"/>
    </row>
    <row r="35" spans="2:18" ht="14" customHeight="1" x14ac:dyDescent="0.15">
      <c r="B35" s="172" t="s">
        <v>179</v>
      </c>
      <c r="C35" s="159" t="s">
        <v>180</v>
      </c>
      <c r="D35" s="159"/>
      <c r="E35" s="159"/>
      <c r="F35" s="159"/>
      <c r="G35" s="168"/>
    </row>
    <row r="36" spans="2:18" ht="14" thickBot="1" x14ac:dyDescent="0.2">
      <c r="B36" s="173"/>
      <c r="C36" s="169"/>
      <c r="D36" s="169"/>
      <c r="E36" s="169"/>
      <c r="F36" s="169"/>
      <c r="G36" s="170"/>
    </row>
    <row r="37" spans="2:18" x14ac:dyDescent="0.15">
      <c r="B37" s="38"/>
      <c r="C37" s="107"/>
      <c r="D37" s="107"/>
      <c r="E37" s="107"/>
      <c r="F37" s="107"/>
    </row>
    <row r="38" spans="2:18" x14ac:dyDescent="0.15">
      <c r="B38" s="37"/>
      <c r="C38" s="106"/>
      <c r="D38" s="107"/>
      <c r="E38" s="107"/>
      <c r="F38" s="107"/>
    </row>
    <row r="39" spans="2:18" x14ac:dyDescent="0.15">
      <c r="B39" s="37"/>
      <c r="C39" s="106"/>
      <c r="D39" s="107"/>
      <c r="E39" s="107"/>
      <c r="F39" s="107"/>
    </row>
    <row r="40" spans="2:18" x14ac:dyDescent="0.15">
      <c r="C40" s="107"/>
      <c r="D40" s="107"/>
      <c r="E40" s="107"/>
      <c r="F40" s="107"/>
    </row>
    <row r="41" spans="2:18" x14ac:dyDescent="0.15">
      <c r="C41" s="107"/>
      <c r="D41" s="107"/>
      <c r="E41" s="107"/>
      <c r="F41" s="107"/>
    </row>
    <row r="42" spans="2:18" x14ac:dyDescent="0.15">
      <c r="D42" s="107"/>
      <c r="E42" s="107"/>
      <c r="F42" s="107"/>
    </row>
  </sheetData>
  <mergeCells count="3">
    <mergeCell ref="C33:G33"/>
    <mergeCell ref="C35:F35"/>
    <mergeCell ref="C31:G31"/>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45"/>
  <sheetViews>
    <sheetView zoomScaleNormal="70" zoomScalePageLayoutView="70" workbookViewId="0">
      <selection activeCell="I38" sqref="I38"/>
    </sheetView>
  </sheetViews>
  <sheetFormatPr baseColWidth="10" defaultColWidth="8.83203125" defaultRowHeight="13" x14ac:dyDescent="0.15"/>
  <cols>
    <col min="3" max="3" width="51.6640625" customWidth="1"/>
    <col min="4" max="4" width="12.83203125" customWidth="1"/>
    <col min="6" max="6" width="41.6640625" customWidth="1"/>
    <col min="7" max="7" width="13.6640625" customWidth="1"/>
    <col min="8" max="8" width="10.5" bestFit="1" customWidth="1"/>
    <col min="9" max="9" width="53.5" customWidth="1"/>
    <col min="10" max="10" width="12.1640625" customWidth="1"/>
    <col min="11" max="11" width="7.5" customWidth="1"/>
    <col min="12" max="14" width="9.1640625" customWidth="1"/>
    <col min="15" max="15" width="11.1640625" customWidth="1"/>
    <col min="16" max="16" width="10.1640625" customWidth="1"/>
  </cols>
  <sheetData>
    <row r="1" spans="2:18" ht="19" x14ac:dyDescent="0.25">
      <c r="C1" s="134" t="s">
        <v>0</v>
      </c>
      <c r="D1" s="139">
        <v>8.1</v>
      </c>
      <c r="F1" s="106"/>
      <c r="G1" s="107"/>
      <c r="H1" s="107"/>
    </row>
    <row r="3" spans="2:18" ht="19" x14ac:dyDescent="0.25">
      <c r="B3" s="134" t="s">
        <v>1</v>
      </c>
      <c r="C3" s="134"/>
      <c r="D3" s="134"/>
      <c r="E3" s="134" t="s">
        <v>2</v>
      </c>
      <c r="F3" s="134"/>
      <c r="G3" s="134"/>
      <c r="H3" s="134" t="s">
        <v>3</v>
      </c>
      <c r="I3" s="134"/>
      <c r="J3" s="133"/>
    </row>
    <row r="4" spans="2:18" ht="16" x14ac:dyDescent="0.15">
      <c r="B4" s="26" t="s">
        <v>4</v>
      </c>
      <c r="C4" s="28" t="s">
        <v>5</v>
      </c>
      <c r="D4" s="122">
        <v>0.87</v>
      </c>
      <c r="E4" s="26" t="s">
        <v>6</v>
      </c>
      <c r="F4" s="26" t="s">
        <v>7</v>
      </c>
      <c r="G4" s="123">
        <f>D8-D12</f>
        <v>156.80000000000001</v>
      </c>
      <c r="H4" s="28" t="s">
        <v>8</v>
      </c>
      <c r="I4" s="28" t="s">
        <v>9</v>
      </c>
      <c r="J4" s="124">
        <f>D20^2*(G21)/2*1000</f>
        <v>31777.409947256929</v>
      </c>
      <c r="M4" s="35"/>
    </row>
    <row r="5" spans="2:18" ht="20" customHeight="1" x14ac:dyDescent="0.15">
      <c r="B5" s="26" t="s">
        <v>10</v>
      </c>
      <c r="C5" s="28" t="s">
        <v>11</v>
      </c>
      <c r="D5" s="122">
        <v>0.82</v>
      </c>
      <c r="E5" s="26" t="s">
        <v>12</v>
      </c>
      <c r="F5" s="26" t="s">
        <v>13</v>
      </c>
      <c r="G5" s="123">
        <f t="shared" ref="G5:G7" si="0">D9-D13</f>
        <v>177.2</v>
      </c>
      <c r="H5" s="26" t="s">
        <v>14</v>
      </c>
      <c r="I5" s="26" t="s">
        <v>15</v>
      </c>
      <c r="J5" s="177">
        <f>D21^2*(G22)/2*1000</f>
        <v>33357.300039770555</v>
      </c>
      <c r="M5" s="34"/>
    </row>
    <row r="6" spans="2:18" ht="16.5" customHeight="1" x14ac:dyDescent="0.15">
      <c r="B6" s="26" t="s">
        <v>16</v>
      </c>
      <c r="C6" s="28" t="s">
        <v>17</v>
      </c>
      <c r="D6" s="186">
        <v>0.7</v>
      </c>
      <c r="E6" s="26" t="s">
        <v>18</v>
      </c>
      <c r="F6" s="26" t="s">
        <v>19</v>
      </c>
      <c r="G6" s="123">
        <f t="shared" si="0"/>
        <v>163.80000000000001</v>
      </c>
      <c r="H6" s="26" t="s">
        <v>20</v>
      </c>
      <c r="I6" s="26" t="s">
        <v>21</v>
      </c>
      <c r="J6" s="177">
        <f>J4+J5</f>
        <v>65134.709987027483</v>
      </c>
      <c r="L6" s="115"/>
      <c r="M6" s="116"/>
    </row>
    <row r="7" spans="2:18" ht="16" x14ac:dyDescent="0.15">
      <c r="B7" s="26" t="s">
        <v>22</v>
      </c>
      <c r="C7" s="28" t="s">
        <v>23</v>
      </c>
      <c r="D7" s="186">
        <v>0.7</v>
      </c>
      <c r="E7" s="26" t="s">
        <v>24</v>
      </c>
      <c r="F7" s="26" t="s">
        <v>25</v>
      </c>
      <c r="G7" s="123">
        <f t="shared" si="0"/>
        <v>184.2</v>
      </c>
      <c r="H7" s="26" t="s">
        <v>26</v>
      </c>
      <c r="I7" s="26" t="s">
        <v>27</v>
      </c>
      <c r="J7" s="124">
        <f>(G8+G9)*D1*G27</f>
        <v>2020.6259999999997</v>
      </c>
    </row>
    <row r="8" spans="2:18" ht="16" x14ac:dyDescent="0.2">
      <c r="B8" s="26" t="s">
        <v>28</v>
      </c>
      <c r="C8" s="26" t="s">
        <v>29</v>
      </c>
      <c r="D8" s="122">
        <v>185.8</v>
      </c>
      <c r="E8" s="28" t="s">
        <v>30</v>
      </c>
      <c r="F8" s="26" t="s">
        <v>31</v>
      </c>
      <c r="G8" s="123">
        <f>G4+G5</f>
        <v>334</v>
      </c>
      <c r="H8" s="105" t="s">
        <v>32</v>
      </c>
      <c r="I8" s="28" t="s">
        <v>33</v>
      </c>
      <c r="J8" s="178">
        <f>J7/J6</f>
        <v>3.1022261408739465E-2</v>
      </c>
      <c r="K8" s="182">
        <f>J8*180/3.142</f>
        <v>1.7772142118310326</v>
      </c>
      <c r="L8" s="141" t="s">
        <v>171</v>
      </c>
      <c r="P8" s="36"/>
    </row>
    <row r="9" spans="2:18" ht="16" x14ac:dyDescent="0.15">
      <c r="B9" s="26" t="s">
        <v>34</v>
      </c>
      <c r="C9" s="26" t="s">
        <v>35</v>
      </c>
      <c r="D9" s="122">
        <v>206.2</v>
      </c>
      <c r="E9" s="26" t="s">
        <v>36</v>
      </c>
      <c r="F9" s="26" t="s">
        <v>37</v>
      </c>
      <c r="G9" s="123">
        <f>G6+G7</f>
        <v>348</v>
      </c>
      <c r="H9" s="26" t="s">
        <v>38</v>
      </c>
      <c r="I9" s="26" t="s">
        <v>39</v>
      </c>
      <c r="J9" s="177">
        <f>((J8*G21*D20)/2)*1000</f>
        <v>670.61708726291306</v>
      </c>
      <c r="L9" s="107"/>
      <c r="M9" s="107"/>
      <c r="N9" s="107"/>
      <c r="P9" s="31"/>
    </row>
    <row r="10" spans="2:18" ht="16" x14ac:dyDescent="0.15">
      <c r="B10" s="26" t="s">
        <v>40</v>
      </c>
      <c r="C10" s="26" t="s">
        <v>41</v>
      </c>
      <c r="D10" s="122">
        <v>198.8</v>
      </c>
      <c r="E10" s="103" t="s">
        <v>42</v>
      </c>
      <c r="F10" s="103" t="s">
        <v>43</v>
      </c>
      <c r="G10" s="123">
        <f>G8+G9</f>
        <v>682</v>
      </c>
      <c r="H10" s="102" t="s">
        <v>44</v>
      </c>
      <c r="I10" s="28" t="s">
        <v>45</v>
      </c>
      <c r="J10" s="177">
        <f>((J8*G22*D21)/2)*1000</f>
        <v>680.80189587073528</v>
      </c>
      <c r="L10" s="106"/>
      <c r="M10" s="107"/>
      <c r="N10" s="107"/>
      <c r="P10" s="31"/>
    </row>
    <row r="11" spans="2:18" ht="16" x14ac:dyDescent="0.2">
      <c r="B11" s="26" t="s">
        <v>46</v>
      </c>
      <c r="C11" s="26" t="s">
        <v>47</v>
      </c>
      <c r="D11" s="122">
        <v>219.2</v>
      </c>
      <c r="E11" s="103" t="s">
        <v>48</v>
      </c>
      <c r="F11" s="103" t="s">
        <v>49</v>
      </c>
      <c r="G11" s="126">
        <f>D8+D9+D10+D11</f>
        <v>810</v>
      </c>
      <c r="H11" s="27"/>
      <c r="I11" s="27"/>
      <c r="J11" s="26"/>
      <c r="K11" s="25"/>
      <c r="L11" s="107"/>
      <c r="M11" s="107"/>
      <c r="N11" s="107"/>
      <c r="P11" s="37"/>
    </row>
    <row r="12" spans="2:18" ht="16" x14ac:dyDescent="0.2">
      <c r="B12" s="26" t="s">
        <v>50</v>
      </c>
      <c r="C12" s="26" t="s">
        <v>51</v>
      </c>
      <c r="D12" s="122">
        <v>29</v>
      </c>
      <c r="E12" s="104" t="s">
        <v>52</v>
      </c>
      <c r="F12" s="104" t="s">
        <v>53</v>
      </c>
      <c r="G12" s="126">
        <f>D12+D13+D14+D15</f>
        <v>128</v>
      </c>
      <c r="H12" s="26" t="s">
        <v>54</v>
      </c>
      <c r="I12" s="28" t="s">
        <v>55</v>
      </c>
      <c r="J12" s="124">
        <f>(G8*D1*D27)/D20</f>
        <v>110.42448979591838</v>
      </c>
      <c r="L12" s="106"/>
      <c r="M12" s="107"/>
      <c r="N12" s="107"/>
      <c r="P12" s="31"/>
    </row>
    <row r="13" spans="2:18" ht="16" x14ac:dyDescent="0.2">
      <c r="B13" s="26" t="s">
        <v>56</v>
      </c>
      <c r="C13" s="26" t="s">
        <v>57</v>
      </c>
      <c r="D13" s="122">
        <v>29</v>
      </c>
      <c r="E13" s="28" t="s">
        <v>58</v>
      </c>
      <c r="F13" s="26" t="s">
        <v>59</v>
      </c>
      <c r="G13" s="127">
        <f>D16*'Spring Rate Conversion'!$H$9</f>
        <v>41.154793300000001</v>
      </c>
      <c r="H13" s="26" t="s">
        <v>60</v>
      </c>
      <c r="I13" s="28" t="s">
        <v>61</v>
      </c>
      <c r="J13" s="124">
        <f>(G9*D1*D28)/D21</f>
        <v>315.26052631578943</v>
      </c>
      <c r="L13" s="107"/>
      <c r="M13" s="107"/>
      <c r="N13" s="107"/>
      <c r="P13" s="31"/>
    </row>
    <row r="14" spans="2:18" ht="16" x14ac:dyDescent="0.2">
      <c r="B14" s="26" t="s">
        <v>62</v>
      </c>
      <c r="C14" s="26" t="s">
        <v>63</v>
      </c>
      <c r="D14" s="122">
        <v>35</v>
      </c>
      <c r="E14" s="28" t="s">
        <v>64</v>
      </c>
      <c r="F14" s="26" t="s">
        <v>65</v>
      </c>
      <c r="G14" s="127">
        <f>D17*'Spring Rate Conversion'!$H$9</f>
        <v>41.154793300000001</v>
      </c>
      <c r="H14" s="26" t="s">
        <v>66</v>
      </c>
      <c r="I14" s="28" t="s">
        <v>67</v>
      </c>
      <c r="J14" s="124">
        <f>((D12+D13)*D1*D23)/D20</f>
        <v>89.485714285714295</v>
      </c>
      <c r="L14" s="107"/>
      <c r="M14" s="107"/>
      <c r="N14" s="107"/>
    </row>
    <row r="15" spans="2:18" ht="16" x14ac:dyDescent="0.2">
      <c r="B15" s="26" t="s">
        <v>68</v>
      </c>
      <c r="C15" s="26" t="s">
        <v>69</v>
      </c>
      <c r="D15" s="122">
        <v>35</v>
      </c>
      <c r="E15" s="26" t="s">
        <v>70</v>
      </c>
      <c r="F15" s="26" t="s">
        <v>71</v>
      </c>
      <c r="G15" s="127">
        <f>D18*'Spring Rate Conversion'!$H$9</f>
        <v>58.842598080000002</v>
      </c>
      <c r="H15" s="26" t="s">
        <v>72</v>
      </c>
      <c r="I15" s="28" t="s">
        <v>73</v>
      </c>
      <c r="J15" s="124">
        <f>((D14+D15)*D1*D24)/D21</f>
        <v>104.44736842105264</v>
      </c>
      <c r="K15" s="107"/>
      <c r="L15" s="112"/>
      <c r="M15" s="107"/>
      <c r="N15" s="107"/>
      <c r="O15" s="107"/>
      <c r="P15" s="107"/>
      <c r="Q15" s="107"/>
      <c r="R15" s="107"/>
    </row>
    <row r="16" spans="2:18" ht="16" x14ac:dyDescent="0.2">
      <c r="B16" s="26" t="s">
        <v>74</v>
      </c>
      <c r="C16" s="26" t="s">
        <v>75</v>
      </c>
      <c r="D16" s="152">
        <v>235</v>
      </c>
      <c r="E16" s="26" t="s">
        <v>76</v>
      </c>
      <c r="F16" s="26" t="s">
        <v>77</v>
      </c>
      <c r="G16" s="127">
        <f>D19*'Spring Rate Conversion'!$H$9</f>
        <v>59.017724860000001</v>
      </c>
      <c r="H16" s="26"/>
      <c r="I16" s="103" t="s">
        <v>78</v>
      </c>
      <c r="J16" s="179">
        <f>J9+J12+J14</f>
        <v>870.52729134454569</v>
      </c>
      <c r="K16" s="107"/>
      <c r="L16" s="107"/>
      <c r="M16" s="107"/>
      <c r="N16" s="107"/>
      <c r="O16" s="107"/>
      <c r="P16" s="107"/>
      <c r="Q16" s="107"/>
      <c r="R16" s="107"/>
    </row>
    <row r="17" spans="2:18" ht="16" x14ac:dyDescent="0.2">
      <c r="B17" s="26" t="s">
        <v>79</v>
      </c>
      <c r="C17" s="26" t="s">
        <v>80</v>
      </c>
      <c r="D17" s="152">
        <v>235</v>
      </c>
      <c r="E17" s="26" t="s">
        <v>81</v>
      </c>
      <c r="F17" s="26" t="s">
        <v>82</v>
      </c>
      <c r="G17" s="129">
        <f>G13*D4^2</f>
        <v>31.150063048770001</v>
      </c>
      <c r="H17" s="26"/>
      <c r="I17" s="103" t="s">
        <v>83</v>
      </c>
      <c r="J17" s="179">
        <f>J10+J13+J15</f>
        <v>1100.5097906075773</v>
      </c>
      <c r="K17" s="107"/>
      <c r="L17" s="112"/>
      <c r="M17" s="107"/>
      <c r="N17" s="107"/>
      <c r="O17" s="107"/>
      <c r="P17" s="107"/>
      <c r="Q17" s="107"/>
      <c r="R17" s="107"/>
    </row>
    <row r="18" spans="2:18" ht="16" x14ac:dyDescent="0.15">
      <c r="B18" s="26" t="s">
        <v>70</v>
      </c>
      <c r="C18" s="26" t="s">
        <v>84</v>
      </c>
      <c r="D18" s="122">
        <v>336</v>
      </c>
      <c r="E18" s="26" t="s">
        <v>85</v>
      </c>
      <c r="F18" s="26" t="s">
        <v>86</v>
      </c>
      <c r="G18" s="129">
        <f>G14*D5^2</f>
        <v>27.672483014919997</v>
      </c>
      <c r="H18" s="26"/>
      <c r="I18" s="103" t="s">
        <v>87</v>
      </c>
      <c r="J18" s="180">
        <f>J16+J17</f>
        <v>1971.0370819521231</v>
      </c>
      <c r="K18" s="107"/>
      <c r="L18" s="107"/>
      <c r="M18" s="107"/>
      <c r="N18" s="107"/>
      <c r="O18" s="107"/>
      <c r="P18" s="107"/>
      <c r="Q18" s="107"/>
      <c r="R18" s="107"/>
    </row>
    <row r="19" spans="2:18" ht="16" x14ac:dyDescent="0.15">
      <c r="B19" s="26" t="s">
        <v>76</v>
      </c>
      <c r="C19" s="26" t="s">
        <v>88</v>
      </c>
      <c r="D19" s="122">
        <v>337</v>
      </c>
      <c r="E19" s="26" t="s">
        <v>89</v>
      </c>
      <c r="F19" s="26" t="s">
        <v>90</v>
      </c>
      <c r="G19" s="176">
        <f>G15*D6^2</f>
        <v>28.832873059199997</v>
      </c>
      <c r="H19" s="26" t="s">
        <v>91</v>
      </c>
      <c r="I19" s="26" t="s">
        <v>92</v>
      </c>
      <c r="J19" s="180">
        <f>D8*9.81+J16</f>
        <v>2693.2252913445459</v>
      </c>
      <c r="K19" s="107"/>
      <c r="L19" s="113"/>
      <c r="M19" s="114"/>
      <c r="N19" s="107"/>
      <c r="O19" s="107"/>
      <c r="P19" s="107"/>
      <c r="Q19" s="107"/>
      <c r="R19" s="107"/>
    </row>
    <row r="20" spans="2:18" ht="16" x14ac:dyDescent="0.15">
      <c r="B20" s="26" t="s">
        <v>93</v>
      </c>
      <c r="C20" s="26" t="s">
        <v>94</v>
      </c>
      <c r="D20" s="122">
        <v>1.47</v>
      </c>
      <c r="E20" s="26" t="s">
        <v>95</v>
      </c>
      <c r="F20" s="26" t="s">
        <v>96</v>
      </c>
      <c r="G20" s="176">
        <f t="shared" ref="G20" si="1">G16*D7^2</f>
        <v>28.918685181399997</v>
      </c>
      <c r="H20" s="28" t="s">
        <v>97</v>
      </c>
      <c r="I20" s="26" t="s">
        <v>98</v>
      </c>
      <c r="J20" s="180">
        <f>D9*9.81-J16</f>
        <v>1152.2947086554541</v>
      </c>
      <c r="K20" s="107"/>
      <c r="L20" s="106"/>
      <c r="M20" s="107"/>
      <c r="N20" s="107"/>
      <c r="O20" s="107"/>
      <c r="P20" s="107"/>
      <c r="Q20" s="107"/>
      <c r="R20" s="107"/>
    </row>
    <row r="21" spans="2:18" ht="16" x14ac:dyDescent="0.15">
      <c r="B21" s="26" t="s">
        <v>103</v>
      </c>
      <c r="C21" s="26" t="s">
        <v>104</v>
      </c>
      <c r="D21" s="122">
        <v>1.52</v>
      </c>
      <c r="E21" s="26" t="s">
        <v>99</v>
      </c>
      <c r="F21" s="26" t="s">
        <v>100</v>
      </c>
      <c r="G21" s="129">
        <f>(G17+G18)/2</f>
        <v>29.411273031844999</v>
      </c>
      <c r="H21" s="28"/>
      <c r="I21" s="26"/>
      <c r="J21" s="26"/>
      <c r="K21" s="107"/>
      <c r="L21" s="106"/>
      <c r="M21" s="107"/>
      <c r="N21" s="107"/>
      <c r="O21" s="107"/>
      <c r="P21" s="107"/>
      <c r="Q21" s="107"/>
      <c r="R21" s="107"/>
    </row>
    <row r="22" spans="2:18" ht="16" x14ac:dyDescent="0.15">
      <c r="B22" s="26" t="s">
        <v>109</v>
      </c>
      <c r="C22" s="26" t="s">
        <v>110</v>
      </c>
      <c r="D22" s="122">
        <v>2.5499999999999998</v>
      </c>
      <c r="E22" s="26" t="s">
        <v>101</v>
      </c>
      <c r="F22" s="26" t="s">
        <v>102</v>
      </c>
      <c r="G22" s="176">
        <f>(G19+G20)/2</f>
        <v>28.875779120299995</v>
      </c>
      <c r="H22" s="28"/>
      <c r="I22" s="26"/>
      <c r="J22" s="26"/>
      <c r="K22" s="107"/>
      <c r="L22" s="106"/>
      <c r="M22" s="107"/>
      <c r="N22" s="107"/>
      <c r="O22" s="107"/>
      <c r="P22" s="107"/>
      <c r="Q22" s="107"/>
      <c r="R22" s="107"/>
    </row>
    <row r="23" spans="2:18" ht="16" x14ac:dyDescent="0.15">
      <c r="B23" s="103" t="s">
        <v>115</v>
      </c>
      <c r="C23" s="103" t="s">
        <v>116</v>
      </c>
      <c r="D23" s="122">
        <v>0.28000000000000003</v>
      </c>
      <c r="E23" s="26" t="s">
        <v>105</v>
      </c>
      <c r="F23" s="28" t="s">
        <v>106</v>
      </c>
      <c r="G23" s="123">
        <f>((G9*D22)/G10)</f>
        <v>1.3011730205278591</v>
      </c>
      <c r="H23" s="28" t="s">
        <v>107</v>
      </c>
      <c r="I23" s="26" t="s">
        <v>108</v>
      </c>
      <c r="J23" s="180">
        <f>D10*9.81+J17</f>
        <v>3050.7377906075776</v>
      </c>
      <c r="K23" s="107"/>
      <c r="L23" s="107"/>
      <c r="M23" s="107"/>
      <c r="N23" s="107"/>
      <c r="O23" s="107"/>
      <c r="P23" s="107"/>
      <c r="Q23" s="107"/>
      <c r="R23" s="107"/>
    </row>
    <row r="24" spans="2:18" ht="16" x14ac:dyDescent="0.15">
      <c r="B24" s="117" t="s">
        <v>120</v>
      </c>
      <c r="C24" s="103" t="s">
        <v>121</v>
      </c>
      <c r="D24" s="122">
        <v>0.28000000000000003</v>
      </c>
      <c r="E24" s="26" t="s">
        <v>111</v>
      </c>
      <c r="F24" s="26" t="s">
        <v>112</v>
      </c>
      <c r="G24" s="123">
        <f>D28-D27</f>
        <v>0.11000000000000001</v>
      </c>
      <c r="H24" s="26" t="s">
        <v>113</v>
      </c>
      <c r="I24" s="26" t="s">
        <v>114</v>
      </c>
      <c r="J24" s="180">
        <f>D11*9.81-J17</f>
        <v>1049.8422093924225</v>
      </c>
      <c r="K24" s="107"/>
      <c r="L24" s="107"/>
      <c r="M24" s="107"/>
      <c r="N24" s="107"/>
      <c r="O24" s="107"/>
      <c r="P24" s="107"/>
      <c r="Q24" s="107"/>
      <c r="R24" s="107"/>
    </row>
    <row r="25" spans="2:18" ht="16" x14ac:dyDescent="0.2">
      <c r="B25" s="28" t="s">
        <v>125</v>
      </c>
      <c r="C25" s="26" t="s">
        <v>126</v>
      </c>
      <c r="D25" s="122">
        <v>0.45</v>
      </c>
      <c r="E25" s="26" t="s">
        <v>117</v>
      </c>
      <c r="F25" s="26" t="s">
        <v>118</v>
      </c>
      <c r="G25" s="123">
        <f>(G24*G23)/D22</f>
        <v>5.6129032258064523E-2</v>
      </c>
      <c r="H25" s="26"/>
      <c r="I25" s="118" t="s">
        <v>119</v>
      </c>
      <c r="J25" s="183">
        <f>J19+J20+J23+J24</f>
        <v>7946.1</v>
      </c>
      <c r="K25" s="107"/>
      <c r="L25" s="107"/>
      <c r="M25" s="107"/>
      <c r="N25" s="107"/>
      <c r="O25" s="107"/>
      <c r="P25" s="107"/>
      <c r="Q25" s="107"/>
      <c r="R25" s="107"/>
    </row>
    <row r="26" spans="2:18" ht="16" x14ac:dyDescent="0.15">
      <c r="B26" s="26" t="s">
        <v>129</v>
      </c>
      <c r="C26" s="26" t="s">
        <v>130</v>
      </c>
      <c r="D26" s="145">
        <f>((D25*G11)-(SUM(D12:D13)*D23)-(SUM(D14:D15)*D24))/G10</f>
        <v>0.48190615835777123</v>
      </c>
      <c r="E26" s="26" t="s">
        <v>122</v>
      </c>
      <c r="F26" s="26" t="s">
        <v>123</v>
      </c>
      <c r="G26" s="123">
        <v>0.15</v>
      </c>
      <c r="H26" s="26"/>
      <c r="I26" s="28" t="s">
        <v>124</v>
      </c>
      <c r="J26" s="123">
        <f>G11*9.81</f>
        <v>7946.1</v>
      </c>
      <c r="K26" s="107"/>
      <c r="L26" s="107"/>
      <c r="M26" s="107"/>
      <c r="N26" s="107"/>
      <c r="O26" s="107"/>
      <c r="P26" s="107"/>
      <c r="Q26" s="107"/>
      <c r="R26" s="107"/>
    </row>
    <row r="27" spans="2:18" ht="16" x14ac:dyDescent="0.15">
      <c r="B27" s="26" t="s">
        <v>131</v>
      </c>
      <c r="C27" s="28" t="s">
        <v>170</v>
      </c>
      <c r="D27" s="122">
        <v>0.06</v>
      </c>
      <c r="E27" s="26" t="s">
        <v>127</v>
      </c>
      <c r="F27" s="26" t="s">
        <v>128</v>
      </c>
      <c r="G27" s="132">
        <f>D26-G25-D27</f>
        <v>0.3657771260997067</v>
      </c>
      <c r="H27" s="26"/>
      <c r="I27" s="26"/>
      <c r="J27" s="29"/>
      <c r="K27" s="107"/>
      <c r="L27" s="107"/>
      <c r="M27" s="107"/>
      <c r="N27" s="107"/>
      <c r="O27" s="107"/>
      <c r="P27" s="107"/>
      <c r="Q27" s="107"/>
      <c r="R27" s="107"/>
    </row>
    <row r="28" spans="2:18" ht="16" x14ac:dyDescent="0.15">
      <c r="B28" s="26" t="s">
        <v>134</v>
      </c>
      <c r="C28" s="28" t="s">
        <v>135</v>
      </c>
      <c r="D28" s="122">
        <v>0.17</v>
      </c>
      <c r="E28" s="26"/>
      <c r="F28" s="26"/>
      <c r="G28" s="29"/>
      <c r="H28" s="26" t="s">
        <v>132</v>
      </c>
      <c r="I28" s="26" t="s">
        <v>133</v>
      </c>
      <c r="J28" s="120">
        <f>(G11*D1*D25)/((D20+D21)/2)</f>
        <v>1974.8829431438128</v>
      </c>
      <c r="K28" s="107"/>
      <c r="L28" s="107"/>
      <c r="M28" s="107"/>
      <c r="N28" s="107"/>
      <c r="O28" s="107"/>
      <c r="P28" s="107"/>
      <c r="Q28" s="107"/>
      <c r="R28" s="107"/>
    </row>
    <row r="29" spans="2:18" ht="16" x14ac:dyDescent="0.15">
      <c r="E29" s="31"/>
      <c r="F29" s="31"/>
      <c r="G29" s="119"/>
      <c r="H29" s="146" t="s">
        <v>173</v>
      </c>
      <c r="I29" s="146"/>
      <c r="J29" s="184">
        <f>J19-J20</f>
        <v>1540.9305826890918</v>
      </c>
      <c r="K29" s="107"/>
      <c r="L29" s="106"/>
      <c r="M29" s="107"/>
      <c r="N29" s="107"/>
      <c r="O29" s="107"/>
      <c r="P29" s="107"/>
      <c r="Q29" s="107"/>
      <c r="R29" s="107"/>
    </row>
    <row r="30" spans="2:18" ht="17" thickBot="1" x14ac:dyDescent="0.2">
      <c r="E30" s="31"/>
      <c r="F30" s="31"/>
      <c r="G30" s="119"/>
      <c r="H30" s="26" t="s">
        <v>174</v>
      </c>
      <c r="I30" s="26"/>
      <c r="J30" s="184">
        <f>J23-J24</f>
        <v>2000.8955812151551</v>
      </c>
      <c r="K30" s="107"/>
      <c r="L30" s="106"/>
      <c r="M30" s="107"/>
      <c r="N30" s="107"/>
      <c r="O30" s="107"/>
      <c r="P30" s="107"/>
      <c r="Q30" s="107"/>
      <c r="R30" s="107"/>
    </row>
    <row r="31" spans="2:18" ht="16" x14ac:dyDescent="0.2">
      <c r="B31" s="171" t="s">
        <v>182</v>
      </c>
      <c r="C31" s="174" t="s">
        <v>183</v>
      </c>
      <c r="D31" s="164"/>
      <c r="E31" s="164"/>
      <c r="F31" s="164"/>
      <c r="G31" s="165"/>
      <c r="H31" s="160" t="s">
        <v>175</v>
      </c>
      <c r="I31" s="26"/>
      <c r="J31" s="185">
        <f>J29-J30</f>
        <v>-459.96499852606325</v>
      </c>
      <c r="K31" s="107"/>
      <c r="L31" s="111"/>
      <c r="M31" s="111"/>
      <c r="N31" s="111"/>
      <c r="O31" s="111"/>
      <c r="P31" s="107"/>
      <c r="Q31" s="107"/>
      <c r="R31" s="107"/>
    </row>
    <row r="32" spans="2:18" ht="16" x14ac:dyDescent="0.2">
      <c r="B32" s="172"/>
      <c r="C32" s="156"/>
      <c r="D32" s="155"/>
      <c r="E32" s="156"/>
      <c r="F32" s="156"/>
      <c r="G32" s="166"/>
      <c r="H32" s="161" t="s">
        <v>176</v>
      </c>
      <c r="I32" s="147"/>
      <c r="J32" s="181">
        <f>J17/J28*100</f>
        <v>55.725317514549886</v>
      </c>
      <c r="K32" s="107"/>
      <c r="L32" s="111"/>
      <c r="M32" s="111"/>
      <c r="N32" s="111"/>
      <c r="O32" s="111"/>
      <c r="P32" s="107"/>
      <c r="Q32" s="107"/>
      <c r="R32" s="107"/>
    </row>
    <row r="33" spans="2:18" ht="15" x14ac:dyDescent="0.2">
      <c r="B33" s="202" t="s">
        <v>184</v>
      </c>
      <c r="C33" s="159" t="s">
        <v>189</v>
      </c>
      <c r="D33" s="159"/>
      <c r="E33" s="159"/>
      <c r="F33" s="159"/>
      <c r="G33" s="167"/>
      <c r="H33" s="33"/>
      <c r="I33" s="32"/>
      <c r="K33" s="107"/>
      <c r="L33" s="107"/>
      <c r="M33" s="107"/>
      <c r="N33" s="107"/>
      <c r="O33" s="107"/>
      <c r="P33" s="107"/>
      <c r="Q33" s="107"/>
      <c r="R33" s="107"/>
    </row>
    <row r="34" spans="2:18" x14ac:dyDescent="0.15">
      <c r="B34" s="202"/>
      <c r="C34" s="197" t="s">
        <v>192</v>
      </c>
      <c r="D34" s="197"/>
      <c r="E34" s="197"/>
      <c r="F34" s="197"/>
      <c r="G34" s="198"/>
    </row>
    <row r="35" spans="2:18" x14ac:dyDescent="0.15">
      <c r="B35" s="202"/>
      <c r="C35" s="199" t="s">
        <v>190</v>
      </c>
      <c r="D35" s="199"/>
      <c r="E35" s="199"/>
      <c r="F35" s="199"/>
      <c r="G35" s="200"/>
    </row>
    <row r="36" spans="2:18" x14ac:dyDescent="0.15">
      <c r="B36" s="172"/>
      <c r="C36" s="199"/>
      <c r="D36" s="199"/>
      <c r="E36" s="199"/>
      <c r="F36" s="199"/>
      <c r="G36" s="200"/>
    </row>
    <row r="37" spans="2:18" ht="14" customHeight="1" x14ac:dyDescent="0.15">
      <c r="B37" s="208" t="s">
        <v>185</v>
      </c>
      <c r="C37" s="175" t="s">
        <v>191</v>
      </c>
      <c r="D37" s="175"/>
      <c r="E37" s="175"/>
      <c r="F37" s="175"/>
      <c r="G37" s="168"/>
    </row>
    <row r="38" spans="2:18" x14ac:dyDescent="0.15">
      <c r="B38" s="207"/>
      <c r="C38" s="156" t="s">
        <v>193</v>
      </c>
      <c r="D38" s="156"/>
      <c r="E38" s="156"/>
      <c r="F38" s="156"/>
      <c r="G38" s="168"/>
    </row>
    <row r="39" spans="2:18" ht="14" thickBot="1" x14ac:dyDescent="0.2">
      <c r="B39" s="209"/>
      <c r="C39" s="169"/>
      <c r="D39" s="169"/>
      <c r="E39" s="169"/>
      <c r="F39" s="169"/>
      <c r="G39" s="170"/>
    </row>
    <row r="40" spans="2:18" x14ac:dyDescent="0.15">
      <c r="B40" s="106"/>
      <c r="C40" s="107"/>
      <c r="D40" s="107"/>
      <c r="E40" s="107"/>
      <c r="F40" s="107"/>
      <c r="G40" s="107"/>
    </row>
    <row r="41" spans="2:18" x14ac:dyDescent="0.15">
      <c r="B41" s="37"/>
      <c r="C41" s="106"/>
      <c r="D41" s="107"/>
      <c r="E41" s="107"/>
      <c r="F41" s="107"/>
    </row>
    <row r="42" spans="2:18" x14ac:dyDescent="0.15">
      <c r="B42" s="37"/>
      <c r="C42" s="106"/>
      <c r="D42" s="107"/>
      <c r="E42" s="107"/>
      <c r="F42" s="107"/>
    </row>
    <row r="43" spans="2:18" x14ac:dyDescent="0.15">
      <c r="C43" s="107"/>
      <c r="D43" s="107"/>
      <c r="E43" s="107"/>
      <c r="F43" s="107"/>
    </row>
    <row r="44" spans="2:18" x14ac:dyDescent="0.15">
      <c r="C44" s="107"/>
      <c r="D44" s="107"/>
      <c r="E44" s="107"/>
      <c r="F44" s="107"/>
    </row>
    <row r="45" spans="2:18" x14ac:dyDescent="0.15">
      <c r="D45" s="107"/>
      <c r="E45" s="107"/>
      <c r="F45" s="107"/>
    </row>
  </sheetData>
  <mergeCells count="4">
    <mergeCell ref="C33:G33"/>
    <mergeCell ref="C34:G34"/>
    <mergeCell ref="B33:B35"/>
    <mergeCell ref="B37:B39"/>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2"/>
  <sheetViews>
    <sheetView zoomScaleNormal="70" zoomScalePageLayoutView="70" workbookViewId="0">
      <selection activeCell="G36" sqref="G36"/>
    </sheetView>
  </sheetViews>
  <sheetFormatPr baseColWidth="10" defaultColWidth="8.83203125" defaultRowHeight="13" x14ac:dyDescent="0.15"/>
  <cols>
    <col min="3" max="3" width="51.6640625" customWidth="1"/>
    <col min="4" max="4" width="12.83203125" customWidth="1"/>
    <col min="6" max="6" width="41.6640625" customWidth="1"/>
    <col min="7" max="7" width="13.6640625" customWidth="1"/>
    <col min="8" max="8" width="10.5" bestFit="1" customWidth="1"/>
    <col min="9" max="9" width="53.5" customWidth="1"/>
    <col min="10" max="10" width="12.1640625" customWidth="1"/>
    <col min="11" max="11" width="7.5" customWidth="1"/>
    <col min="12" max="14" width="9.1640625" customWidth="1"/>
    <col min="15" max="15" width="11.1640625" customWidth="1"/>
    <col min="16" max="16" width="10.1640625" customWidth="1"/>
  </cols>
  <sheetData>
    <row r="1" spans="2:18" ht="19" x14ac:dyDescent="0.25">
      <c r="C1" s="134" t="s">
        <v>0</v>
      </c>
      <c r="D1" s="139">
        <v>8.1</v>
      </c>
      <c r="F1" s="106"/>
      <c r="G1" s="107"/>
      <c r="H1" s="107"/>
    </row>
    <row r="3" spans="2:18" ht="19" x14ac:dyDescent="0.25">
      <c r="B3" s="134" t="s">
        <v>1</v>
      </c>
      <c r="C3" s="134"/>
      <c r="D3" s="134"/>
      <c r="E3" s="134" t="s">
        <v>2</v>
      </c>
      <c r="F3" s="134"/>
      <c r="G3" s="134"/>
      <c r="H3" s="134" t="s">
        <v>3</v>
      </c>
      <c r="I3" s="134"/>
      <c r="J3" s="133"/>
    </row>
    <row r="4" spans="2:18" ht="16" x14ac:dyDescent="0.15">
      <c r="B4" s="26" t="s">
        <v>4</v>
      </c>
      <c r="C4" s="28" t="s">
        <v>5</v>
      </c>
      <c r="D4" s="188">
        <v>0.87</v>
      </c>
      <c r="E4" s="26" t="s">
        <v>6</v>
      </c>
      <c r="F4" s="26" t="s">
        <v>7</v>
      </c>
      <c r="G4" s="189">
        <f>D8-D12</f>
        <v>156.80000000000001</v>
      </c>
      <c r="H4" s="28" t="s">
        <v>8</v>
      </c>
      <c r="I4" s="28" t="s">
        <v>9</v>
      </c>
      <c r="J4" s="124">
        <f>D20^2*(G21)/2*1000</f>
        <v>31777.409947256929</v>
      </c>
      <c r="M4" s="35"/>
    </row>
    <row r="5" spans="2:18" ht="20" customHeight="1" x14ac:dyDescent="0.15">
      <c r="B5" s="26" t="s">
        <v>10</v>
      </c>
      <c r="C5" s="28" t="s">
        <v>11</v>
      </c>
      <c r="D5" s="188">
        <v>0.82</v>
      </c>
      <c r="E5" s="26" t="s">
        <v>12</v>
      </c>
      <c r="F5" s="26" t="s">
        <v>13</v>
      </c>
      <c r="G5" s="189">
        <f t="shared" ref="G5:G7" si="0">D9-D13</f>
        <v>177.2</v>
      </c>
      <c r="H5" s="26" t="s">
        <v>14</v>
      </c>
      <c r="I5" s="26" t="s">
        <v>15</v>
      </c>
      <c r="J5" s="124">
        <f>D21^2*(G22)/2*1000</f>
        <v>23687.152583961884</v>
      </c>
      <c r="M5" s="34"/>
    </row>
    <row r="6" spans="2:18" ht="16.5" customHeight="1" x14ac:dyDescent="0.15">
      <c r="B6" s="26" t="s">
        <v>16</v>
      </c>
      <c r="C6" s="28" t="s">
        <v>17</v>
      </c>
      <c r="D6" s="188">
        <v>0.7</v>
      </c>
      <c r="E6" s="26" t="s">
        <v>18</v>
      </c>
      <c r="F6" s="26" t="s">
        <v>19</v>
      </c>
      <c r="G6" s="189">
        <f t="shared" si="0"/>
        <v>163.80000000000001</v>
      </c>
      <c r="H6" s="26" t="s">
        <v>20</v>
      </c>
      <c r="I6" s="26" t="s">
        <v>21</v>
      </c>
      <c r="J6" s="124">
        <f>J4+J5</f>
        <v>55464.562531218813</v>
      </c>
      <c r="L6" s="115"/>
      <c r="M6" s="116"/>
    </row>
    <row r="7" spans="2:18" ht="16" x14ac:dyDescent="0.15">
      <c r="B7" s="26" t="s">
        <v>22</v>
      </c>
      <c r="C7" s="28" t="s">
        <v>23</v>
      </c>
      <c r="D7" s="188">
        <v>0.7</v>
      </c>
      <c r="E7" s="26" t="s">
        <v>24</v>
      </c>
      <c r="F7" s="26" t="s">
        <v>25</v>
      </c>
      <c r="G7" s="189">
        <f t="shared" si="0"/>
        <v>184.2</v>
      </c>
      <c r="H7" s="26" t="s">
        <v>26</v>
      </c>
      <c r="I7" s="26" t="s">
        <v>27</v>
      </c>
      <c r="J7" s="124">
        <f>(G8+G9)*D1*G27</f>
        <v>2020.6259999999997</v>
      </c>
    </row>
    <row r="8" spans="2:18" ht="16" x14ac:dyDescent="0.2">
      <c r="B8" s="26" t="s">
        <v>28</v>
      </c>
      <c r="C8" s="26" t="s">
        <v>29</v>
      </c>
      <c r="D8" s="188">
        <v>185.8</v>
      </c>
      <c r="E8" s="28" t="s">
        <v>30</v>
      </c>
      <c r="F8" s="26" t="s">
        <v>31</v>
      </c>
      <c r="G8" s="189">
        <f>G4+G5</f>
        <v>334</v>
      </c>
      <c r="H8" s="105" t="s">
        <v>32</v>
      </c>
      <c r="I8" s="28" t="s">
        <v>33</v>
      </c>
      <c r="J8" s="125">
        <f>J7/J6</f>
        <v>3.6430937300959851E-2</v>
      </c>
      <c r="K8" s="126">
        <f>J8*180/3.142</f>
        <v>2.087068336783187</v>
      </c>
      <c r="L8" s="141" t="s">
        <v>171</v>
      </c>
      <c r="P8" s="36"/>
    </row>
    <row r="9" spans="2:18" ht="16" x14ac:dyDescent="0.15">
      <c r="B9" s="26" t="s">
        <v>34</v>
      </c>
      <c r="C9" s="26" t="s">
        <v>35</v>
      </c>
      <c r="D9" s="188">
        <v>206.2</v>
      </c>
      <c r="E9" s="26" t="s">
        <v>36</v>
      </c>
      <c r="F9" s="26" t="s">
        <v>37</v>
      </c>
      <c r="G9" s="189">
        <f>G6+G7</f>
        <v>348</v>
      </c>
      <c r="H9" s="26" t="s">
        <v>38</v>
      </c>
      <c r="I9" s="26" t="s">
        <v>39</v>
      </c>
      <c r="J9" s="124">
        <f>((J8*G21*D20)/2)*1000</f>
        <v>787.53797916694896</v>
      </c>
      <c r="L9" s="107"/>
      <c r="M9" s="107"/>
      <c r="N9" s="107"/>
      <c r="P9" s="31"/>
    </row>
    <row r="10" spans="2:18" ht="16" x14ac:dyDescent="0.15">
      <c r="B10" s="26" t="s">
        <v>40</v>
      </c>
      <c r="C10" s="26" t="s">
        <v>41</v>
      </c>
      <c r="D10" s="188">
        <v>198.8</v>
      </c>
      <c r="E10" s="103" t="s">
        <v>42</v>
      </c>
      <c r="F10" s="103" t="s">
        <v>43</v>
      </c>
      <c r="G10" s="189">
        <f>G8+G9</f>
        <v>682</v>
      </c>
      <c r="H10" s="102" t="s">
        <v>44</v>
      </c>
      <c r="I10" s="28" t="s">
        <v>45</v>
      </c>
      <c r="J10" s="124">
        <f>((J8*G22*D21)/2)*1000</f>
        <v>567.72708593722666</v>
      </c>
      <c r="L10" s="106"/>
      <c r="M10" s="107"/>
      <c r="N10" s="107"/>
      <c r="P10" s="31"/>
    </row>
    <row r="11" spans="2:18" ht="16" x14ac:dyDescent="0.2">
      <c r="B11" s="26" t="s">
        <v>46</v>
      </c>
      <c r="C11" s="26" t="s">
        <v>47</v>
      </c>
      <c r="D11" s="188">
        <v>219.2</v>
      </c>
      <c r="E11" s="103" t="s">
        <v>48</v>
      </c>
      <c r="F11" s="103" t="s">
        <v>49</v>
      </c>
      <c r="G11" s="150">
        <f>D8+D9+D10+D11</f>
        <v>810</v>
      </c>
      <c r="H11" s="27"/>
      <c r="I11" s="27"/>
      <c r="J11" s="26"/>
      <c r="K11" s="25"/>
      <c r="L11" s="107"/>
      <c r="M11" s="107"/>
      <c r="N11" s="107"/>
      <c r="P11" s="37"/>
    </row>
    <row r="12" spans="2:18" ht="16" x14ac:dyDescent="0.2">
      <c r="B12" s="26" t="s">
        <v>50</v>
      </c>
      <c r="C12" s="26" t="s">
        <v>51</v>
      </c>
      <c r="D12" s="188">
        <v>29</v>
      </c>
      <c r="E12" s="104" t="s">
        <v>52</v>
      </c>
      <c r="F12" s="104" t="s">
        <v>53</v>
      </c>
      <c r="G12" s="150">
        <f>D12+D13+D14+D15</f>
        <v>128</v>
      </c>
      <c r="H12" s="26" t="s">
        <v>54</v>
      </c>
      <c r="I12" s="28" t="s">
        <v>55</v>
      </c>
      <c r="J12" s="124">
        <f>(G8*D1*D27)/D20</f>
        <v>110.42448979591838</v>
      </c>
      <c r="L12" s="106"/>
      <c r="M12" s="107"/>
      <c r="N12" s="107"/>
      <c r="P12" s="31"/>
    </row>
    <row r="13" spans="2:18" ht="16" x14ac:dyDescent="0.2">
      <c r="B13" s="26" t="s">
        <v>56</v>
      </c>
      <c r="C13" s="26" t="s">
        <v>57</v>
      </c>
      <c r="D13" s="188">
        <v>29</v>
      </c>
      <c r="E13" s="28" t="s">
        <v>58</v>
      </c>
      <c r="F13" s="26" t="s">
        <v>59</v>
      </c>
      <c r="G13" s="190">
        <f>D16*'Spring Rate Conversion'!$H$9</f>
        <v>41.154793300000001</v>
      </c>
      <c r="H13" s="26" t="s">
        <v>60</v>
      </c>
      <c r="I13" s="28" t="s">
        <v>61</v>
      </c>
      <c r="J13" s="124">
        <f>(G9*D1*D28)/D21</f>
        <v>315.26052631578943</v>
      </c>
      <c r="L13" s="107"/>
      <c r="M13" s="107"/>
      <c r="N13" s="107"/>
      <c r="P13" s="31"/>
    </row>
    <row r="14" spans="2:18" ht="16" x14ac:dyDescent="0.2">
      <c r="B14" s="26" t="s">
        <v>62</v>
      </c>
      <c r="C14" s="26" t="s">
        <v>63</v>
      </c>
      <c r="D14" s="188">
        <v>35</v>
      </c>
      <c r="E14" s="28" t="s">
        <v>64</v>
      </c>
      <c r="F14" s="26" t="s">
        <v>65</v>
      </c>
      <c r="G14" s="190">
        <f>D17*'Spring Rate Conversion'!$H$9</f>
        <v>41.154793300000001</v>
      </c>
      <c r="H14" s="26" t="s">
        <v>66</v>
      </c>
      <c r="I14" s="28" t="s">
        <v>67</v>
      </c>
      <c r="J14" s="124">
        <f>((D12+D13)*D1*D23)/D20</f>
        <v>89.485714285714295</v>
      </c>
      <c r="L14" s="107"/>
      <c r="M14" s="107"/>
      <c r="N14" s="107"/>
    </row>
    <row r="15" spans="2:18" ht="16" x14ac:dyDescent="0.2">
      <c r="B15" s="26" t="s">
        <v>68</v>
      </c>
      <c r="C15" s="26" t="s">
        <v>69</v>
      </c>
      <c r="D15" s="188">
        <v>35</v>
      </c>
      <c r="E15" s="26" t="s">
        <v>70</v>
      </c>
      <c r="F15" s="26" t="s">
        <v>71</v>
      </c>
      <c r="G15" s="190">
        <f>D18*'Spring Rate Conversion'!$H$9</f>
        <v>41.846544080999998</v>
      </c>
      <c r="H15" s="26" t="s">
        <v>72</v>
      </c>
      <c r="I15" s="28" t="s">
        <v>73</v>
      </c>
      <c r="J15" s="124">
        <f>((D14+D15)*D1*D24)/D21</f>
        <v>104.44736842105264</v>
      </c>
      <c r="K15" s="107"/>
      <c r="L15" s="112"/>
      <c r="M15" s="107"/>
      <c r="N15" s="107"/>
      <c r="O15" s="107"/>
      <c r="P15" s="107"/>
      <c r="Q15" s="107"/>
      <c r="R15" s="107"/>
    </row>
    <row r="16" spans="2:18" ht="16" x14ac:dyDescent="0.2">
      <c r="B16" s="26" t="s">
        <v>74</v>
      </c>
      <c r="C16" s="26" t="s">
        <v>75</v>
      </c>
      <c r="D16" s="188">
        <v>235</v>
      </c>
      <c r="E16" s="26" t="s">
        <v>76</v>
      </c>
      <c r="F16" s="26" t="s">
        <v>77</v>
      </c>
      <c r="G16" s="190">
        <f>D19*'Spring Rate Conversion'!$H$9</f>
        <v>41.846544080999998</v>
      </c>
      <c r="H16" s="26"/>
      <c r="I16" s="103" t="s">
        <v>78</v>
      </c>
      <c r="J16" s="194">
        <f>J9+J12+J14</f>
        <v>987.44818324858159</v>
      </c>
      <c r="K16" s="107"/>
      <c r="L16" s="107"/>
      <c r="M16" s="107"/>
      <c r="N16" s="107"/>
      <c r="O16" s="107"/>
      <c r="P16" s="107"/>
      <c r="Q16" s="107"/>
      <c r="R16" s="107"/>
    </row>
    <row r="17" spans="2:18" ht="16" x14ac:dyDescent="0.2">
      <c r="B17" s="26" t="s">
        <v>79</v>
      </c>
      <c r="C17" s="26" t="s">
        <v>80</v>
      </c>
      <c r="D17" s="188">
        <v>235</v>
      </c>
      <c r="E17" s="26" t="s">
        <v>81</v>
      </c>
      <c r="F17" s="26" t="s">
        <v>82</v>
      </c>
      <c r="G17" s="191">
        <f>G13*D4^2</f>
        <v>31.150063048770001</v>
      </c>
      <c r="H17" s="26"/>
      <c r="I17" s="103" t="s">
        <v>83</v>
      </c>
      <c r="J17" s="194">
        <f>J10+J13+J15</f>
        <v>987.4349806740687</v>
      </c>
      <c r="K17" s="107"/>
      <c r="L17" s="112"/>
      <c r="M17" s="107"/>
      <c r="N17" s="107"/>
      <c r="O17" s="107"/>
      <c r="P17" s="107"/>
      <c r="Q17" s="107"/>
      <c r="R17" s="107"/>
    </row>
    <row r="18" spans="2:18" ht="16" x14ac:dyDescent="0.15">
      <c r="B18" s="26" t="s">
        <v>70</v>
      </c>
      <c r="C18" s="26" t="s">
        <v>84</v>
      </c>
      <c r="D18" s="152">
        <v>238.95</v>
      </c>
      <c r="E18" s="26" t="s">
        <v>85</v>
      </c>
      <c r="F18" s="26" t="s">
        <v>86</v>
      </c>
      <c r="G18" s="191">
        <f>G14*D5^2</f>
        <v>27.672483014919997</v>
      </c>
      <c r="H18" s="26"/>
      <c r="I18" s="103" t="s">
        <v>87</v>
      </c>
      <c r="J18" s="121">
        <f>J16+J17</f>
        <v>1974.8831639226503</v>
      </c>
      <c r="K18" s="107"/>
      <c r="L18" s="107"/>
      <c r="M18" s="107"/>
      <c r="N18" s="107"/>
      <c r="O18" s="107"/>
      <c r="P18" s="107"/>
      <c r="Q18" s="107"/>
      <c r="R18" s="107"/>
    </row>
    <row r="19" spans="2:18" ht="16" x14ac:dyDescent="0.15">
      <c r="B19" s="26" t="s">
        <v>76</v>
      </c>
      <c r="C19" s="26" t="s">
        <v>88</v>
      </c>
      <c r="D19" s="152">
        <v>238.95</v>
      </c>
      <c r="E19" s="26" t="s">
        <v>89</v>
      </c>
      <c r="F19" s="26" t="s">
        <v>90</v>
      </c>
      <c r="G19" s="191">
        <f>G15*D6^2</f>
        <v>20.504806599689996</v>
      </c>
      <c r="H19" s="26" t="s">
        <v>91</v>
      </c>
      <c r="I19" s="26" t="s">
        <v>92</v>
      </c>
      <c r="J19" s="121">
        <f>D8*9.81+J16</f>
        <v>2810.1461832485816</v>
      </c>
      <c r="K19" s="107"/>
      <c r="L19" s="113"/>
      <c r="M19" s="114"/>
      <c r="N19" s="107"/>
      <c r="O19" s="107"/>
      <c r="P19" s="107"/>
      <c r="Q19" s="107"/>
      <c r="R19" s="107"/>
    </row>
    <row r="20" spans="2:18" ht="16" x14ac:dyDescent="0.15">
      <c r="B20" s="26" t="s">
        <v>93</v>
      </c>
      <c r="C20" s="26" t="s">
        <v>94</v>
      </c>
      <c r="D20" s="122">
        <v>1.47</v>
      </c>
      <c r="E20" s="26" t="s">
        <v>95</v>
      </c>
      <c r="F20" s="26" t="s">
        <v>96</v>
      </c>
      <c r="G20" s="191">
        <f t="shared" ref="G20" si="1">G16*D7^2</f>
        <v>20.504806599689996</v>
      </c>
      <c r="H20" s="28" t="s">
        <v>97</v>
      </c>
      <c r="I20" s="26" t="s">
        <v>98</v>
      </c>
      <c r="J20" s="121">
        <f>D9*9.81-J16</f>
        <v>1035.3738167514184</v>
      </c>
      <c r="K20" s="107"/>
      <c r="L20" s="106"/>
      <c r="M20" s="107"/>
      <c r="N20" s="107"/>
      <c r="O20" s="107"/>
      <c r="P20" s="107"/>
      <c r="Q20" s="107"/>
      <c r="R20" s="107"/>
    </row>
    <row r="21" spans="2:18" ht="16" x14ac:dyDescent="0.15">
      <c r="B21" s="26" t="s">
        <v>103</v>
      </c>
      <c r="C21" s="26" t="s">
        <v>104</v>
      </c>
      <c r="D21" s="122">
        <v>1.52</v>
      </c>
      <c r="E21" s="26" t="s">
        <v>99</v>
      </c>
      <c r="F21" s="26" t="s">
        <v>100</v>
      </c>
      <c r="G21" s="191">
        <f>(G17+G18)/2</f>
        <v>29.411273031844999</v>
      </c>
      <c r="H21" s="28"/>
      <c r="I21" s="26"/>
      <c r="J21" s="26"/>
      <c r="K21" s="107"/>
      <c r="L21" s="106"/>
      <c r="M21" s="107"/>
      <c r="N21" s="107"/>
      <c r="O21" s="107"/>
      <c r="P21" s="107"/>
      <c r="Q21" s="107"/>
      <c r="R21" s="107"/>
    </row>
    <row r="22" spans="2:18" ht="16" x14ac:dyDescent="0.15">
      <c r="B22" s="26" t="s">
        <v>109</v>
      </c>
      <c r="C22" s="26" t="s">
        <v>110</v>
      </c>
      <c r="D22" s="122">
        <v>2.5499999999999998</v>
      </c>
      <c r="E22" s="26" t="s">
        <v>101</v>
      </c>
      <c r="F22" s="26" t="s">
        <v>102</v>
      </c>
      <c r="G22" s="191">
        <f>(G19+G20)/2</f>
        <v>20.504806599689996</v>
      </c>
      <c r="H22" s="28"/>
      <c r="I22" s="26"/>
      <c r="J22" s="26"/>
      <c r="K22" s="107"/>
      <c r="L22" s="106"/>
      <c r="M22" s="107"/>
      <c r="N22" s="107"/>
      <c r="O22" s="107"/>
      <c r="P22" s="107"/>
      <c r="Q22" s="107"/>
      <c r="R22" s="107"/>
    </row>
    <row r="23" spans="2:18" ht="16" x14ac:dyDescent="0.15">
      <c r="B23" s="103" t="s">
        <v>115</v>
      </c>
      <c r="C23" s="103" t="s">
        <v>116</v>
      </c>
      <c r="D23" s="122">
        <v>0.28000000000000003</v>
      </c>
      <c r="E23" s="26" t="s">
        <v>105</v>
      </c>
      <c r="F23" s="28" t="s">
        <v>106</v>
      </c>
      <c r="G23" s="189">
        <f>((G9*D22)/G10)</f>
        <v>1.3011730205278591</v>
      </c>
      <c r="H23" s="28" t="s">
        <v>107</v>
      </c>
      <c r="I23" s="26" t="s">
        <v>108</v>
      </c>
      <c r="J23" s="121">
        <f>D10*9.81+J17</f>
        <v>2937.6629806740689</v>
      </c>
      <c r="K23" s="107"/>
      <c r="L23" s="107"/>
      <c r="M23" s="107"/>
      <c r="N23" s="107"/>
      <c r="O23" s="107"/>
      <c r="P23" s="107"/>
      <c r="Q23" s="107"/>
      <c r="R23" s="107"/>
    </row>
    <row r="24" spans="2:18" ht="16" x14ac:dyDescent="0.15">
      <c r="B24" s="117" t="s">
        <v>120</v>
      </c>
      <c r="C24" s="103" t="s">
        <v>121</v>
      </c>
      <c r="D24" s="122">
        <v>0.28000000000000003</v>
      </c>
      <c r="E24" s="26" t="s">
        <v>111</v>
      </c>
      <c r="F24" s="26" t="s">
        <v>112</v>
      </c>
      <c r="G24" s="189">
        <f>D28-D27</f>
        <v>0.11000000000000001</v>
      </c>
      <c r="H24" s="26" t="s">
        <v>113</v>
      </c>
      <c r="I24" s="26" t="s">
        <v>114</v>
      </c>
      <c r="J24" s="121">
        <f>D11*9.81-J17</f>
        <v>1162.9170193259311</v>
      </c>
      <c r="K24" s="107"/>
      <c r="L24" s="107"/>
      <c r="M24" s="107"/>
      <c r="N24" s="107"/>
      <c r="O24" s="107"/>
      <c r="P24" s="107"/>
      <c r="Q24" s="107"/>
      <c r="R24" s="107"/>
    </row>
    <row r="25" spans="2:18" ht="16" x14ac:dyDescent="0.2">
      <c r="B25" s="28" t="s">
        <v>125</v>
      </c>
      <c r="C25" s="26" t="s">
        <v>126</v>
      </c>
      <c r="D25" s="122">
        <v>0.45</v>
      </c>
      <c r="E25" s="26" t="s">
        <v>117</v>
      </c>
      <c r="F25" s="26" t="s">
        <v>118</v>
      </c>
      <c r="G25" s="189">
        <f>(G24*G23)/D22</f>
        <v>5.6129032258064523E-2</v>
      </c>
      <c r="H25" s="26"/>
      <c r="I25" s="118" t="s">
        <v>119</v>
      </c>
      <c r="J25" s="130">
        <f>J19+J20+J23+J24</f>
        <v>7946.1</v>
      </c>
      <c r="K25" s="107"/>
      <c r="L25" s="107"/>
      <c r="M25" s="107"/>
      <c r="N25" s="107"/>
      <c r="O25" s="107"/>
      <c r="P25" s="107"/>
      <c r="Q25" s="107"/>
      <c r="R25" s="107"/>
    </row>
    <row r="26" spans="2:18" ht="16" x14ac:dyDescent="0.15">
      <c r="B26" s="26" t="s">
        <v>129</v>
      </c>
      <c r="C26" s="26" t="s">
        <v>130</v>
      </c>
      <c r="D26" s="195">
        <f>((D25*G11)-(SUM(D12:D13)*D23)-(SUM(D14:D15)*D24))/G10</f>
        <v>0.48190615835777123</v>
      </c>
      <c r="E26" s="26" t="s">
        <v>122</v>
      </c>
      <c r="F26" s="26" t="s">
        <v>123</v>
      </c>
      <c r="G26" s="189">
        <v>0.15</v>
      </c>
      <c r="H26" s="26"/>
      <c r="I26" s="28" t="s">
        <v>124</v>
      </c>
      <c r="J26" s="123">
        <f>G11*9.81</f>
        <v>7946.1</v>
      </c>
      <c r="K26" s="107"/>
      <c r="L26" s="107"/>
      <c r="M26" s="107"/>
      <c r="N26" s="107"/>
      <c r="O26" s="107"/>
      <c r="P26" s="107"/>
      <c r="Q26" s="107"/>
      <c r="R26" s="107"/>
    </row>
    <row r="27" spans="2:18" ht="16" x14ac:dyDescent="0.15">
      <c r="B27" s="26" t="s">
        <v>131</v>
      </c>
      <c r="C27" s="28" t="s">
        <v>170</v>
      </c>
      <c r="D27" s="122">
        <v>0.06</v>
      </c>
      <c r="E27" s="26" t="s">
        <v>127</v>
      </c>
      <c r="F27" s="26" t="s">
        <v>128</v>
      </c>
      <c r="G27" s="192">
        <f>D26-G25-D27</f>
        <v>0.3657771260997067</v>
      </c>
      <c r="H27" s="26"/>
      <c r="I27" s="26"/>
      <c r="J27" s="29"/>
      <c r="K27" s="107"/>
      <c r="L27" s="107"/>
      <c r="M27" s="107"/>
      <c r="N27" s="107"/>
      <c r="O27" s="107"/>
      <c r="P27" s="107"/>
      <c r="Q27" s="107"/>
      <c r="R27" s="107"/>
    </row>
    <row r="28" spans="2:18" ht="16" x14ac:dyDescent="0.15">
      <c r="B28" s="26" t="s">
        <v>134</v>
      </c>
      <c r="C28" s="28" t="s">
        <v>135</v>
      </c>
      <c r="D28" s="122">
        <v>0.17</v>
      </c>
      <c r="E28" s="26"/>
      <c r="F28" s="26"/>
      <c r="G28" s="193"/>
      <c r="H28" s="26" t="s">
        <v>132</v>
      </c>
      <c r="I28" s="26" t="s">
        <v>133</v>
      </c>
      <c r="J28" s="120">
        <f>(G11*D1*D25)/((D20+D21)/2)</f>
        <v>1974.8829431438128</v>
      </c>
      <c r="K28" s="107"/>
      <c r="L28" s="107"/>
      <c r="M28" s="107"/>
      <c r="N28" s="107"/>
      <c r="O28" s="107"/>
      <c r="P28" s="107"/>
      <c r="Q28" s="107"/>
      <c r="R28" s="107"/>
    </row>
    <row r="29" spans="2:18" ht="16" x14ac:dyDescent="0.15">
      <c r="E29" s="31"/>
      <c r="F29" s="31"/>
      <c r="G29" s="119"/>
      <c r="H29" s="146" t="s">
        <v>173</v>
      </c>
      <c r="I29" s="146"/>
      <c r="J29" s="121">
        <f>J19-J20</f>
        <v>1774.7723664971631</v>
      </c>
      <c r="K29" s="107"/>
      <c r="L29" s="106"/>
      <c r="M29" s="107"/>
      <c r="N29" s="107"/>
      <c r="O29" s="107"/>
      <c r="P29" s="107"/>
      <c r="Q29" s="107"/>
      <c r="R29" s="107"/>
    </row>
    <row r="30" spans="2:18" ht="16" x14ac:dyDescent="0.15">
      <c r="E30" s="31"/>
      <c r="F30" s="31"/>
      <c r="G30" s="119"/>
      <c r="H30" s="26" t="s">
        <v>174</v>
      </c>
      <c r="I30" s="26"/>
      <c r="J30" s="121">
        <f>J23-J24</f>
        <v>1774.7459613481378</v>
      </c>
      <c r="K30" s="107"/>
      <c r="L30" s="106"/>
      <c r="M30" s="107"/>
      <c r="N30" s="107"/>
      <c r="O30" s="107"/>
      <c r="P30" s="107"/>
      <c r="Q30" s="107"/>
      <c r="R30" s="107"/>
    </row>
    <row r="31" spans="2:18" ht="17" thickBot="1" x14ac:dyDescent="0.25">
      <c r="B31" s="107"/>
      <c r="C31" s="114"/>
      <c r="D31" s="107"/>
      <c r="E31" s="107"/>
      <c r="F31" s="107"/>
      <c r="G31" s="107"/>
      <c r="H31" s="146" t="s">
        <v>175</v>
      </c>
      <c r="I31" s="26"/>
      <c r="J31" s="130">
        <f>J29-J30</f>
        <v>2.6405149025322316E-2</v>
      </c>
      <c r="K31" s="107"/>
      <c r="L31" s="111"/>
      <c r="M31" s="111"/>
      <c r="N31" s="111"/>
      <c r="O31" s="111"/>
      <c r="P31" s="107"/>
      <c r="Q31" s="107"/>
      <c r="R31" s="107"/>
    </row>
    <row r="32" spans="2:18" ht="17" thickBot="1" x14ac:dyDescent="0.25">
      <c r="B32" s="107"/>
      <c r="C32" s="211" t="s">
        <v>202</v>
      </c>
      <c r="D32" s="212"/>
      <c r="E32" s="212"/>
      <c r="F32" s="213"/>
      <c r="G32" s="110"/>
      <c r="H32" s="147" t="s">
        <v>176</v>
      </c>
      <c r="I32" s="147"/>
      <c r="J32" s="126">
        <f>J17/J28*100</f>
        <v>49.999671327464739</v>
      </c>
      <c r="K32" s="107"/>
      <c r="L32" s="111"/>
      <c r="M32" s="111"/>
      <c r="N32" s="111"/>
      <c r="O32" s="111"/>
      <c r="P32" s="107"/>
      <c r="Q32" s="107"/>
      <c r="R32" s="107"/>
    </row>
    <row r="33" spans="1:18" ht="15" x14ac:dyDescent="0.2">
      <c r="B33" s="107"/>
      <c r="C33" s="154"/>
      <c r="D33" s="154"/>
      <c r="E33" s="154"/>
      <c r="F33" s="154"/>
      <c r="G33" s="154"/>
      <c r="H33" s="33"/>
      <c r="I33" s="32"/>
      <c r="K33" s="107"/>
      <c r="L33" s="107"/>
      <c r="M33" s="107"/>
      <c r="N33" s="107"/>
      <c r="O33" s="107"/>
      <c r="P33" s="107"/>
      <c r="Q33" s="107"/>
      <c r="R33" s="107"/>
    </row>
    <row r="34" spans="1:18" ht="15" customHeight="1" x14ac:dyDescent="0.15">
      <c r="A34" s="210"/>
      <c r="B34" s="210"/>
      <c r="C34" s="210"/>
      <c r="D34" s="210"/>
      <c r="E34" s="210"/>
      <c r="F34" s="109"/>
      <c r="G34" s="107"/>
    </row>
    <row r="35" spans="1:18" ht="14" customHeight="1" x14ac:dyDescent="0.15">
      <c r="B35" s="107"/>
      <c r="C35" s="187"/>
      <c r="D35" s="187"/>
      <c r="E35" s="187"/>
      <c r="F35" s="187"/>
      <c r="G35" s="107"/>
    </row>
    <row r="36" spans="1:18" x14ac:dyDescent="0.15">
      <c r="B36" s="107"/>
      <c r="C36" s="107"/>
      <c r="D36" s="107"/>
      <c r="E36" s="107"/>
      <c r="F36" s="107"/>
      <c r="G36" s="107"/>
    </row>
    <row r="37" spans="1:18" x14ac:dyDescent="0.15">
      <c r="B37" s="106"/>
      <c r="C37" s="107"/>
      <c r="D37" s="107"/>
      <c r="E37" s="107"/>
      <c r="F37" s="107"/>
      <c r="G37" s="107"/>
    </row>
    <row r="38" spans="1:18" x14ac:dyDescent="0.15">
      <c r="B38" s="37"/>
      <c r="C38" s="106"/>
      <c r="D38" s="107"/>
      <c r="E38" s="107"/>
      <c r="F38" s="107"/>
    </row>
    <row r="39" spans="1:18" x14ac:dyDescent="0.15">
      <c r="B39" s="37"/>
      <c r="C39" s="106"/>
      <c r="D39" s="107"/>
      <c r="E39" s="107"/>
      <c r="F39" s="107"/>
    </row>
    <row r="40" spans="1:18" x14ac:dyDescent="0.15">
      <c r="C40" s="107"/>
      <c r="D40" s="107"/>
      <c r="E40" s="107"/>
      <c r="F40" s="107"/>
    </row>
    <row r="41" spans="1:18" x14ac:dyDescent="0.15">
      <c r="C41" s="107"/>
      <c r="D41" s="107"/>
      <c r="E41" s="107"/>
      <c r="F41" s="107"/>
    </row>
    <row r="42" spans="1:18" x14ac:dyDescent="0.15">
      <c r="D42" s="107"/>
      <c r="E42" s="107"/>
      <c r="F42" s="107"/>
    </row>
  </sheetData>
  <mergeCells count="3">
    <mergeCell ref="C33:G33"/>
    <mergeCell ref="A34:E34"/>
    <mergeCell ref="C32:F3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44"/>
  <sheetViews>
    <sheetView tabSelected="1" zoomScaleNormal="70" zoomScalePageLayoutView="70" workbookViewId="0">
      <selection activeCell="H43" sqref="H43"/>
    </sheetView>
  </sheetViews>
  <sheetFormatPr baseColWidth="10" defaultColWidth="8.83203125" defaultRowHeight="13" x14ac:dyDescent="0.15"/>
  <cols>
    <col min="3" max="3" width="51.6640625" customWidth="1"/>
    <col min="4" max="4" width="12.83203125" customWidth="1"/>
    <col min="6" max="6" width="41.6640625" customWidth="1"/>
    <col min="7" max="7" width="13.6640625" customWidth="1"/>
    <col min="8" max="8" width="10.5" bestFit="1" customWidth="1"/>
    <col min="9" max="9" width="53.5" customWidth="1"/>
    <col min="10" max="10" width="12.1640625" customWidth="1"/>
    <col min="11" max="11" width="7.5" customWidth="1"/>
    <col min="12" max="14" width="9.1640625" customWidth="1"/>
    <col min="15" max="15" width="11.1640625" customWidth="1"/>
    <col min="16" max="16" width="10.1640625" customWidth="1"/>
  </cols>
  <sheetData>
    <row r="1" spans="2:18" ht="19" x14ac:dyDescent="0.25">
      <c r="C1" s="134" t="s">
        <v>0</v>
      </c>
      <c r="D1" s="139">
        <v>8.1</v>
      </c>
      <c r="F1" s="106"/>
      <c r="G1" s="107"/>
      <c r="H1" s="107"/>
    </row>
    <row r="3" spans="2:18" ht="19" x14ac:dyDescent="0.25">
      <c r="B3" s="134" t="s">
        <v>1</v>
      </c>
      <c r="C3" s="134"/>
      <c r="D3" s="134"/>
      <c r="E3" s="134" t="s">
        <v>2</v>
      </c>
      <c r="F3" s="134"/>
      <c r="G3" s="134"/>
      <c r="H3" s="134" t="s">
        <v>3</v>
      </c>
      <c r="I3" s="134"/>
      <c r="J3" s="133"/>
    </row>
    <row r="4" spans="2:18" ht="16" x14ac:dyDescent="0.15">
      <c r="B4" s="26" t="s">
        <v>4</v>
      </c>
      <c r="C4" s="28" t="s">
        <v>5</v>
      </c>
      <c r="D4" s="122">
        <v>0.87</v>
      </c>
      <c r="E4" s="26" t="s">
        <v>6</v>
      </c>
      <c r="F4" s="26" t="s">
        <v>7</v>
      </c>
      <c r="G4" s="123">
        <f>D8-D12</f>
        <v>181.8</v>
      </c>
      <c r="H4" s="28" t="s">
        <v>8</v>
      </c>
      <c r="I4" s="28" t="s">
        <v>9</v>
      </c>
      <c r="J4" s="124">
        <f>D20^2*(G21)/2*1000</f>
        <v>31777.409947256929</v>
      </c>
      <c r="M4" s="35"/>
    </row>
    <row r="5" spans="2:18" ht="20" customHeight="1" x14ac:dyDescent="0.15">
      <c r="B5" s="26" t="s">
        <v>10</v>
      </c>
      <c r="C5" s="28" t="s">
        <v>11</v>
      </c>
      <c r="D5" s="122">
        <v>0.82</v>
      </c>
      <c r="E5" s="26" t="s">
        <v>12</v>
      </c>
      <c r="F5" s="26" t="s">
        <v>13</v>
      </c>
      <c r="G5" s="123">
        <f t="shared" ref="G5:G7" si="0">D9-D13</f>
        <v>152.19999999999999</v>
      </c>
      <c r="H5" s="26" t="s">
        <v>14</v>
      </c>
      <c r="I5" s="26" t="s">
        <v>15</v>
      </c>
      <c r="J5" s="124">
        <f>D21^2*(G22)/2*1000</f>
        <v>27260.794980496001</v>
      </c>
      <c r="M5" s="34"/>
    </row>
    <row r="6" spans="2:18" ht="16.5" customHeight="1" x14ac:dyDescent="0.15">
      <c r="B6" s="26" t="s">
        <v>16</v>
      </c>
      <c r="C6" s="28" t="s">
        <v>17</v>
      </c>
      <c r="D6" s="122">
        <v>0.7</v>
      </c>
      <c r="E6" s="26" t="s">
        <v>18</v>
      </c>
      <c r="F6" s="26" t="s">
        <v>19</v>
      </c>
      <c r="G6" s="123">
        <f t="shared" si="0"/>
        <v>138.80000000000001</v>
      </c>
      <c r="H6" s="26" t="s">
        <v>20</v>
      </c>
      <c r="I6" s="26" t="s">
        <v>21</v>
      </c>
      <c r="J6" s="124">
        <f>J4+J5</f>
        <v>59038.20492775293</v>
      </c>
      <c r="L6" s="115"/>
      <c r="M6" s="116"/>
    </row>
    <row r="7" spans="2:18" ht="16" x14ac:dyDescent="0.15">
      <c r="B7" s="26" t="s">
        <v>22</v>
      </c>
      <c r="C7" s="28" t="s">
        <v>23</v>
      </c>
      <c r="D7" s="122">
        <v>0.7</v>
      </c>
      <c r="E7" s="26" t="s">
        <v>24</v>
      </c>
      <c r="F7" s="26" t="s">
        <v>25</v>
      </c>
      <c r="G7" s="123">
        <f t="shared" si="0"/>
        <v>209.2</v>
      </c>
      <c r="H7" s="26" t="s">
        <v>26</v>
      </c>
      <c r="I7" s="26" t="s">
        <v>27</v>
      </c>
      <c r="J7" s="124">
        <f>(G8+G9)*D1*G27</f>
        <v>2020.6259999999997</v>
      </c>
    </row>
    <row r="8" spans="2:18" ht="16" x14ac:dyDescent="0.2">
      <c r="B8" s="26" t="s">
        <v>28</v>
      </c>
      <c r="C8" s="26" t="s">
        <v>29</v>
      </c>
      <c r="D8" s="152">
        <v>210.8</v>
      </c>
      <c r="E8" s="28" t="s">
        <v>30</v>
      </c>
      <c r="F8" s="26" t="s">
        <v>31</v>
      </c>
      <c r="G8" s="123">
        <f>G4+G5</f>
        <v>334</v>
      </c>
      <c r="H8" s="105" t="s">
        <v>32</v>
      </c>
      <c r="I8" s="28" t="s">
        <v>33</v>
      </c>
      <c r="J8" s="125">
        <f>J7/J6</f>
        <v>3.4225735732864998E-2</v>
      </c>
      <c r="K8" s="126">
        <f>J8*180/3.142</f>
        <v>1.9607359745116804</v>
      </c>
      <c r="L8" s="141" t="s">
        <v>171</v>
      </c>
      <c r="P8" s="36"/>
    </row>
    <row r="9" spans="2:18" ht="16" x14ac:dyDescent="0.15">
      <c r="B9" s="26" t="s">
        <v>34</v>
      </c>
      <c r="C9" s="26" t="s">
        <v>35</v>
      </c>
      <c r="D9" s="152">
        <v>181.2</v>
      </c>
      <c r="E9" s="26" t="s">
        <v>36</v>
      </c>
      <c r="F9" s="26" t="s">
        <v>37</v>
      </c>
      <c r="G9" s="123">
        <f>G6+G7</f>
        <v>348</v>
      </c>
      <c r="H9" s="26" t="s">
        <v>38</v>
      </c>
      <c r="I9" s="26" t="s">
        <v>39</v>
      </c>
      <c r="J9" s="124">
        <f>((J8*G21*D20)/2)*1000</f>
        <v>739.86750689097346</v>
      </c>
      <c r="L9" s="107"/>
      <c r="M9" s="107"/>
      <c r="N9" s="107"/>
      <c r="P9" s="31"/>
    </row>
    <row r="10" spans="2:18" ht="16" x14ac:dyDescent="0.15">
      <c r="B10" s="26" t="s">
        <v>40</v>
      </c>
      <c r="C10" s="26" t="s">
        <v>41</v>
      </c>
      <c r="D10" s="152">
        <v>173.8</v>
      </c>
      <c r="E10" s="103" t="s">
        <v>42</v>
      </c>
      <c r="F10" s="103" t="s">
        <v>43</v>
      </c>
      <c r="G10" s="123">
        <f>G8+G9</f>
        <v>682</v>
      </c>
      <c r="H10" s="102" t="s">
        <v>44</v>
      </c>
      <c r="I10" s="28" t="s">
        <v>45</v>
      </c>
      <c r="J10" s="124">
        <f>((J8*G22*D21)/2)*1000</f>
        <v>613.82945057254528</v>
      </c>
      <c r="L10" s="106"/>
      <c r="M10" s="107"/>
      <c r="N10" s="107"/>
      <c r="P10" s="31"/>
    </row>
    <row r="11" spans="2:18" ht="16" x14ac:dyDescent="0.2">
      <c r="B11" s="26" t="s">
        <v>46</v>
      </c>
      <c r="C11" s="26" t="s">
        <v>47</v>
      </c>
      <c r="D11" s="152">
        <v>244.2</v>
      </c>
      <c r="E11" s="103" t="s">
        <v>48</v>
      </c>
      <c r="F11" s="103" t="s">
        <v>49</v>
      </c>
      <c r="G11" s="126">
        <f>D8+D9+D10+D11</f>
        <v>810</v>
      </c>
      <c r="H11" s="27"/>
      <c r="I11" s="27"/>
      <c r="J11" s="26"/>
      <c r="K11" s="25"/>
      <c r="L11" s="107"/>
      <c r="M11" s="107"/>
      <c r="N11" s="107"/>
      <c r="P11" s="37"/>
    </row>
    <row r="12" spans="2:18" ht="16" x14ac:dyDescent="0.2">
      <c r="B12" s="26" t="s">
        <v>50</v>
      </c>
      <c r="C12" s="26" t="s">
        <v>51</v>
      </c>
      <c r="D12" s="122">
        <v>29</v>
      </c>
      <c r="E12" s="104" t="s">
        <v>52</v>
      </c>
      <c r="F12" s="104" t="s">
        <v>53</v>
      </c>
      <c r="G12" s="126">
        <f>D12+D13+D14+D15</f>
        <v>128</v>
      </c>
      <c r="H12" s="26" t="s">
        <v>54</v>
      </c>
      <c r="I12" s="28" t="s">
        <v>55</v>
      </c>
      <c r="J12" s="124">
        <f>(G8*D1*D27)/D20</f>
        <v>110.42448979591838</v>
      </c>
      <c r="L12" s="106"/>
      <c r="M12" s="107"/>
      <c r="N12" s="107"/>
      <c r="P12" s="31"/>
    </row>
    <row r="13" spans="2:18" ht="16" x14ac:dyDescent="0.2">
      <c r="B13" s="26" t="s">
        <v>56</v>
      </c>
      <c r="C13" s="26" t="s">
        <v>57</v>
      </c>
      <c r="D13" s="122">
        <v>29</v>
      </c>
      <c r="E13" s="28" t="s">
        <v>58</v>
      </c>
      <c r="F13" s="26" t="s">
        <v>59</v>
      </c>
      <c r="G13" s="127">
        <f>D16*'Spring Rate Conversion'!$H$9</f>
        <v>41.154793300000001</v>
      </c>
      <c r="H13" s="26" t="s">
        <v>60</v>
      </c>
      <c r="I13" s="28" t="s">
        <v>61</v>
      </c>
      <c r="J13" s="124">
        <f>(G9*D1*D28)/D21</f>
        <v>315.26052631578943</v>
      </c>
      <c r="L13" s="107"/>
      <c r="M13" s="107"/>
      <c r="N13" s="107"/>
      <c r="P13" s="31"/>
    </row>
    <row r="14" spans="2:18" ht="16" x14ac:dyDescent="0.2">
      <c r="B14" s="26" t="s">
        <v>62</v>
      </c>
      <c r="C14" s="26" t="s">
        <v>63</v>
      </c>
      <c r="D14" s="122">
        <v>35</v>
      </c>
      <c r="E14" s="28" t="s">
        <v>64</v>
      </c>
      <c r="F14" s="26" t="s">
        <v>65</v>
      </c>
      <c r="G14" s="127">
        <f>D17*'Spring Rate Conversion'!$H$9</f>
        <v>41.154793300000001</v>
      </c>
      <c r="H14" s="26" t="s">
        <v>66</v>
      </c>
      <c r="I14" s="28" t="s">
        <v>67</v>
      </c>
      <c r="J14" s="124">
        <f>((D12+D13)*D1*D23)/D20</f>
        <v>89.485714285714295</v>
      </c>
      <c r="L14" s="107"/>
      <c r="M14" s="107"/>
      <c r="N14" s="107"/>
    </row>
    <row r="15" spans="2:18" ht="16" x14ac:dyDescent="0.2">
      <c r="B15" s="26" t="s">
        <v>68</v>
      </c>
      <c r="C15" s="26" t="s">
        <v>69</v>
      </c>
      <c r="D15" s="122">
        <v>35</v>
      </c>
      <c r="E15" s="26" t="s">
        <v>70</v>
      </c>
      <c r="F15" s="26" t="s">
        <v>71</v>
      </c>
      <c r="G15" s="127">
        <f>D18*'Spring Rate Conversion'!$H$9</f>
        <v>48.159864500000005</v>
      </c>
      <c r="H15" s="26" t="s">
        <v>72</v>
      </c>
      <c r="I15" s="28" t="s">
        <v>73</v>
      </c>
      <c r="J15" s="124">
        <f>((D14+D15)*D1*D24)/D21</f>
        <v>104.44736842105264</v>
      </c>
      <c r="K15" s="107"/>
      <c r="L15" s="112"/>
      <c r="M15" s="107"/>
      <c r="N15" s="107"/>
      <c r="O15" s="107"/>
      <c r="P15" s="107"/>
      <c r="Q15" s="107"/>
      <c r="R15" s="107"/>
    </row>
    <row r="16" spans="2:18" ht="16" x14ac:dyDescent="0.2">
      <c r="B16" s="26" t="s">
        <v>74</v>
      </c>
      <c r="C16" s="26" t="s">
        <v>75</v>
      </c>
      <c r="D16" s="122">
        <v>235</v>
      </c>
      <c r="E16" s="26" t="s">
        <v>76</v>
      </c>
      <c r="F16" s="26" t="s">
        <v>77</v>
      </c>
      <c r="G16" s="127">
        <f>D19*'Spring Rate Conversion'!$H$9</f>
        <v>48.159864500000005</v>
      </c>
      <c r="H16" s="26"/>
      <c r="I16" s="103" t="s">
        <v>78</v>
      </c>
      <c r="J16" s="194">
        <f>J9+J12+J14</f>
        <v>939.77771097260609</v>
      </c>
      <c r="K16" s="107"/>
      <c r="L16" s="107"/>
      <c r="M16" s="107"/>
      <c r="N16" s="107"/>
      <c r="O16" s="107"/>
      <c r="P16" s="107"/>
      <c r="Q16" s="107"/>
      <c r="R16" s="107"/>
    </row>
    <row r="17" spans="2:18" ht="16" x14ac:dyDescent="0.2">
      <c r="B17" s="26" t="s">
        <v>79</v>
      </c>
      <c r="C17" s="26" t="s">
        <v>80</v>
      </c>
      <c r="D17" s="122">
        <v>235</v>
      </c>
      <c r="E17" s="26" t="s">
        <v>81</v>
      </c>
      <c r="F17" s="26" t="s">
        <v>82</v>
      </c>
      <c r="G17" s="129">
        <f>G13*D4^2</f>
        <v>31.150063048770001</v>
      </c>
      <c r="H17" s="26"/>
      <c r="I17" s="103" t="s">
        <v>83</v>
      </c>
      <c r="J17" s="194">
        <f>J10+J13+J15</f>
        <v>1033.5373453093873</v>
      </c>
      <c r="K17" s="107"/>
      <c r="L17" s="112"/>
      <c r="M17" s="107"/>
      <c r="N17" s="107"/>
      <c r="O17" s="107"/>
      <c r="P17" s="107"/>
      <c r="Q17" s="107"/>
      <c r="R17" s="107"/>
    </row>
    <row r="18" spans="2:18" ht="16" x14ac:dyDescent="0.15">
      <c r="B18" s="26" t="s">
        <v>70</v>
      </c>
      <c r="C18" s="26" t="s">
        <v>84</v>
      </c>
      <c r="D18" s="152">
        <v>275</v>
      </c>
      <c r="E18" s="26" t="s">
        <v>85</v>
      </c>
      <c r="F18" s="26" t="s">
        <v>86</v>
      </c>
      <c r="G18" s="129">
        <f>G14*D5^2</f>
        <v>27.672483014919997</v>
      </c>
      <c r="H18" s="26"/>
      <c r="I18" s="103" t="s">
        <v>87</v>
      </c>
      <c r="J18" s="121">
        <f>J16+J17</f>
        <v>1973.3150562819933</v>
      </c>
      <c r="K18" s="107"/>
      <c r="L18" s="107"/>
      <c r="M18" s="107"/>
      <c r="N18" s="107"/>
      <c r="O18" s="107"/>
      <c r="P18" s="107"/>
      <c r="Q18" s="107"/>
      <c r="R18" s="107"/>
    </row>
    <row r="19" spans="2:18" ht="16" x14ac:dyDescent="0.15">
      <c r="B19" s="26" t="s">
        <v>76</v>
      </c>
      <c r="C19" s="26" t="s">
        <v>88</v>
      </c>
      <c r="D19" s="152">
        <v>275</v>
      </c>
      <c r="E19" s="26" t="s">
        <v>89</v>
      </c>
      <c r="F19" s="26" t="s">
        <v>90</v>
      </c>
      <c r="G19" s="129">
        <f>G15*D6^2</f>
        <v>23.598333605000001</v>
      </c>
      <c r="H19" s="26" t="s">
        <v>91</v>
      </c>
      <c r="I19" s="26" t="s">
        <v>92</v>
      </c>
      <c r="J19" s="121">
        <f>D8*9.81+J16</f>
        <v>3007.7257109726065</v>
      </c>
      <c r="K19" s="107"/>
      <c r="L19" s="113"/>
      <c r="M19" s="114"/>
      <c r="N19" s="107"/>
      <c r="O19" s="107"/>
      <c r="P19" s="107"/>
      <c r="Q19" s="107"/>
      <c r="R19" s="107"/>
    </row>
    <row r="20" spans="2:18" ht="16" x14ac:dyDescent="0.15">
      <c r="B20" s="26" t="s">
        <v>93</v>
      </c>
      <c r="C20" s="26" t="s">
        <v>94</v>
      </c>
      <c r="D20" s="122">
        <v>1.47</v>
      </c>
      <c r="E20" s="26" t="s">
        <v>95</v>
      </c>
      <c r="F20" s="26" t="s">
        <v>96</v>
      </c>
      <c r="G20" s="129">
        <f t="shared" ref="G20" si="1">G16*D7^2</f>
        <v>23.598333605000001</v>
      </c>
      <c r="H20" s="28" t="s">
        <v>97</v>
      </c>
      <c r="I20" s="26" t="s">
        <v>98</v>
      </c>
      <c r="J20" s="121">
        <f>D9*9.81-J16</f>
        <v>837.7942890273938</v>
      </c>
      <c r="K20" s="107"/>
      <c r="L20" s="106"/>
      <c r="M20" s="107"/>
      <c r="N20" s="107"/>
      <c r="O20" s="107"/>
      <c r="P20" s="107"/>
      <c r="Q20" s="107"/>
      <c r="R20" s="107"/>
    </row>
    <row r="21" spans="2:18" ht="16" x14ac:dyDescent="0.15">
      <c r="B21" s="26" t="s">
        <v>103</v>
      </c>
      <c r="C21" s="26" t="s">
        <v>104</v>
      </c>
      <c r="D21" s="122">
        <v>1.52</v>
      </c>
      <c r="E21" s="26" t="s">
        <v>99</v>
      </c>
      <c r="F21" s="26" t="s">
        <v>100</v>
      </c>
      <c r="G21" s="129">
        <f>(G17+G18)/2</f>
        <v>29.411273031844999</v>
      </c>
      <c r="H21" s="28"/>
      <c r="I21" s="26"/>
      <c r="J21" s="26"/>
      <c r="K21" s="107"/>
      <c r="L21" s="106"/>
      <c r="M21" s="107"/>
      <c r="N21" s="107"/>
      <c r="O21" s="107"/>
      <c r="P21" s="107"/>
      <c r="Q21" s="107"/>
      <c r="R21" s="107"/>
    </row>
    <row r="22" spans="2:18" ht="16" x14ac:dyDescent="0.15">
      <c r="B22" s="26" t="s">
        <v>109</v>
      </c>
      <c r="C22" s="26" t="s">
        <v>110</v>
      </c>
      <c r="D22" s="122">
        <v>2.5499999999999998</v>
      </c>
      <c r="E22" s="26" t="s">
        <v>101</v>
      </c>
      <c r="F22" s="26" t="s">
        <v>102</v>
      </c>
      <c r="G22" s="129">
        <f>(G19+G20)/2</f>
        <v>23.598333605000001</v>
      </c>
      <c r="H22" s="28"/>
      <c r="I22" s="26"/>
      <c r="J22" s="26"/>
      <c r="K22" s="107"/>
      <c r="L22" s="106"/>
      <c r="M22" s="153" t="s">
        <v>186</v>
      </c>
      <c r="N22" s="153" t="s">
        <v>175</v>
      </c>
      <c r="O22" s="107"/>
      <c r="P22" s="107"/>
      <c r="Q22" s="107"/>
      <c r="R22" s="107"/>
    </row>
    <row r="23" spans="2:18" ht="16" x14ac:dyDescent="0.15">
      <c r="B23" s="103" t="s">
        <v>115</v>
      </c>
      <c r="C23" s="103" t="s">
        <v>116</v>
      </c>
      <c r="D23" s="122">
        <v>0.28000000000000003</v>
      </c>
      <c r="E23" s="26" t="s">
        <v>105</v>
      </c>
      <c r="F23" s="28" t="s">
        <v>106</v>
      </c>
      <c r="G23" s="123">
        <f>((G9*D22)/G10)</f>
        <v>1.3011730205278591</v>
      </c>
      <c r="H23" s="28" t="s">
        <v>107</v>
      </c>
      <c r="I23" s="26" t="s">
        <v>108</v>
      </c>
      <c r="J23" s="121">
        <f>D10*9.81+J17</f>
        <v>2738.5153453093876</v>
      </c>
      <c r="K23" s="107"/>
      <c r="L23" s="107"/>
      <c r="M23" s="196">
        <v>1033.5</v>
      </c>
      <c r="N23" s="153">
        <v>-188</v>
      </c>
      <c r="O23" s="107"/>
      <c r="P23" s="107"/>
      <c r="Q23" s="107"/>
      <c r="R23" s="107"/>
    </row>
    <row r="24" spans="2:18" ht="16" x14ac:dyDescent="0.15">
      <c r="B24" s="117" t="s">
        <v>120</v>
      </c>
      <c r="C24" s="103" t="s">
        <v>121</v>
      </c>
      <c r="D24" s="122">
        <v>0.28000000000000003</v>
      </c>
      <c r="E24" s="26" t="s">
        <v>111</v>
      </c>
      <c r="F24" s="26" t="s">
        <v>112</v>
      </c>
      <c r="G24" s="123">
        <f>D28-D27</f>
        <v>0.11000000000000001</v>
      </c>
      <c r="H24" s="26" t="s">
        <v>113</v>
      </c>
      <c r="I24" s="26" t="s">
        <v>114</v>
      </c>
      <c r="J24" s="121">
        <f>D11*9.81-J17</f>
        <v>1362.0646546906125</v>
      </c>
      <c r="K24" s="107"/>
      <c r="L24" s="107"/>
      <c r="M24" s="107"/>
      <c r="N24" s="107"/>
      <c r="O24" s="107"/>
      <c r="P24" s="107"/>
      <c r="Q24" s="107"/>
      <c r="R24" s="107"/>
    </row>
    <row r="25" spans="2:18" ht="16" x14ac:dyDescent="0.2">
      <c r="B25" s="28" t="s">
        <v>125</v>
      </c>
      <c r="C25" s="26" t="s">
        <v>126</v>
      </c>
      <c r="D25" s="122">
        <v>0.45</v>
      </c>
      <c r="E25" s="26" t="s">
        <v>117</v>
      </c>
      <c r="F25" s="26" t="s">
        <v>118</v>
      </c>
      <c r="G25" s="123">
        <f>(G24*G23)/D22</f>
        <v>5.6129032258064523E-2</v>
      </c>
      <c r="H25" s="26"/>
      <c r="I25" s="118" t="s">
        <v>119</v>
      </c>
      <c r="J25" s="130">
        <f>J19+J20+J23+J24</f>
        <v>7946.1000000000013</v>
      </c>
      <c r="K25" s="107"/>
      <c r="L25" s="107"/>
      <c r="M25" s="107"/>
      <c r="N25" s="107"/>
      <c r="O25" s="107"/>
      <c r="P25" s="107"/>
      <c r="Q25" s="107"/>
      <c r="R25" s="107"/>
    </row>
    <row r="26" spans="2:18" ht="16" x14ac:dyDescent="0.15">
      <c r="B26" s="26" t="s">
        <v>129</v>
      </c>
      <c r="C26" s="26" t="s">
        <v>130</v>
      </c>
      <c r="D26" s="131">
        <f>((D25*G11)-(SUM(D12:D13)*D23)-(SUM(D14:D15)*D24))/G10</f>
        <v>0.48190615835777123</v>
      </c>
      <c r="E26" s="26" t="s">
        <v>122</v>
      </c>
      <c r="F26" s="26" t="s">
        <v>123</v>
      </c>
      <c r="G26" s="123">
        <v>0.15</v>
      </c>
      <c r="H26" s="26"/>
      <c r="I26" s="28" t="s">
        <v>124</v>
      </c>
      <c r="J26" s="123">
        <f>G11*9.81</f>
        <v>7946.1</v>
      </c>
      <c r="K26" s="107"/>
      <c r="L26" s="107"/>
      <c r="M26" s="107"/>
      <c r="N26" s="107"/>
      <c r="O26" s="107"/>
      <c r="P26" s="107"/>
      <c r="Q26" s="107"/>
      <c r="R26" s="107"/>
    </row>
    <row r="27" spans="2:18" ht="16" x14ac:dyDescent="0.15">
      <c r="B27" s="26" t="s">
        <v>131</v>
      </c>
      <c r="C27" s="28" t="s">
        <v>170</v>
      </c>
      <c r="D27" s="122">
        <v>0.06</v>
      </c>
      <c r="E27" s="26" t="s">
        <v>127</v>
      </c>
      <c r="F27" s="26" t="s">
        <v>128</v>
      </c>
      <c r="G27" s="132">
        <f>D26-G25-D27</f>
        <v>0.3657771260997067</v>
      </c>
      <c r="H27" s="26"/>
      <c r="I27" s="26"/>
      <c r="J27" s="29"/>
      <c r="K27" s="107"/>
      <c r="L27" s="107"/>
      <c r="M27" s="107"/>
      <c r="N27" s="107"/>
      <c r="O27" s="107"/>
      <c r="P27" s="107"/>
      <c r="Q27" s="107"/>
      <c r="R27" s="107"/>
    </row>
    <row r="28" spans="2:18" ht="16" x14ac:dyDescent="0.15">
      <c r="B28" s="26" t="s">
        <v>134</v>
      </c>
      <c r="C28" s="28" t="s">
        <v>135</v>
      </c>
      <c r="D28" s="122">
        <v>0.17</v>
      </c>
      <c r="E28" s="26"/>
      <c r="F28" s="26"/>
      <c r="G28" s="29"/>
      <c r="H28" s="26" t="s">
        <v>132</v>
      </c>
      <c r="I28" s="26" t="s">
        <v>133</v>
      </c>
      <c r="J28" s="120">
        <f>(G11*D1*D25)/((D20+D21)/2)</f>
        <v>1974.8829431438128</v>
      </c>
      <c r="K28" s="107"/>
      <c r="L28" s="107"/>
      <c r="M28" s="107"/>
      <c r="N28" s="107"/>
      <c r="O28" s="107"/>
      <c r="P28" s="107"/>
      <c r="Q28" s="107"/>
      <c r="R28" s="107"/>
    </row>
    <row r="29" spans="2:18" ht="16" x14ac:dyDescent="0.15">
      <c r="E29" s="31"/>
      <c r="F29" s="31"/>
      <c r="G29" s="119"/>
      <c r="H29" s="146" t="s">
        <v>173</v>
      </c>
      <c r="I29" s="146"/>
      <c r="J29" s="121">
        <f>J19-J20</f>
        <v>2169.9314219452126</v>
      </c>
      <c r="K29" s="107"/>
      <c r="L29" s="106"/>
      <c r="M29" s="107"/>
      <c r="N29" s="107"/>
      <c r="O29" s="107"/>
      <c r="P29" s="107"/>
      <c r="Q29" s="107"/>
      <c r="R29" s="107"/>
    </row>
    <row r="30" spans="2:18" ht="17" thickBot="1" x14ac:dyDescent="0.2">
      <c r="E30" s="31"/>
      <c r="F30" s="31"/>
      <c r="G30" s="119"/>
      <c r="H30" s="26" t="s">
        <v>174</v>
      </c>
      <c r="I30" s="26"/>
      <c r="J30" s="121">
        <f>J23-J24</f>
        <v>1376.4506906187751</v>
      </c>
      <c r="K30" s="107"/>
      <c r="L30" s="106"/>
      <c r="M30" s="107"/>
      <c r="N30" s="107"/>
      <c r="O30" s="107"/>
      <c r="P30" s="107"/>
      <c r="Q30" s="107"/>
      <c r="R30" s="107"/>
    </row>
    <row r="31" spans="2:18" ht="16" x14ac:dyDescent="0.2">
      <c r="B31" s="201" t="s">
        <v>187</v>
      </c>
      <c r="C31" s="204" t="s">
        <v>194</v>
      </c>
      <c r="D31" s="204"/>
      <c r="E31" s="204"/>
      <c r="F31" s="204"/>
      <c r="G31" s="205"/>
      <c r="H31" s="160" t="s">
        <v>175</v>
      </c>
      <c r="I31" s="26"/>
      <c r="J31" s="130">
        <f>J29-J30</f>
        <v>793.48073132643754</v>
      </c>
      <c r="K31" s="107"/>
      <c r="L31" s="111"/>
      <c r="M31" s="111"/>
      <c r="N31" s="111"/>
      <c r="O31" s="111"/>
      <c r="P31" s="107"/>
      <c r="Q31" s="107"/>
      <c r="R31" s="107"/>
    </row>
    <row r="32" spans="2:18" ht="16" x14ac:dyDescent="0.2">
      <c r="B32" s="201"/>
      <c r="C32" s="159" t="s">
        <v>195</v>
      </c>
      <c r="D32" s="159"/>
      <c r="E32" s="159"/>
      <c r="F32" s="159"/>
      <c r="G32" s="167"/>
      <c r="H32" s="161" t="s">
        <v>176</v>
      </c>
      <c r="I32" s="147"/>
      <c r="J32" s="126">
        <f>J17/J28*100</f>
        <v>52.334106631358154</v>
      </c>
      <c r="K32" s="107"/>
      <c r="L32" s="111"/>
      <c r="M32" s="111"/>
      <c r="N32" s="111"/>
      <c r="O32" s="111"/>
      <c r="P32" s="107"/>
      <c r="Q32" s="107"/>
      <c r="R32" s="107"/>
    </row>
    <row r="33" spans="2:18" ht="15" x14ac:dyDescent="0.2">
      <c r="B33" s="201"/>
      <c r="C33" s="159" t="s">
        <v>196</v>
      </c>
      <c r="D33" s="159"/>
      <c r="E33" s="159"/>
      <c r="F33" s="159"/>
      <c r="G33" s="167"/>
      <c r="H33" s="33"/>
      <c r="I33" s="32"/>
      <c r="K33" s="107"/>
      <c r="L33" s="107"/>
      <c r="M33" s="107"/>
      <c r="N33" s="107"/>
      <c r="O33" s="107"/>
      <c r="P33" s="107"/>
      <c r="Q33" s="107"/>
      <c r="R33" s="107"/>
    </row>
    <row r="34" spans="2:18" ht="15" x14ac:dyDescent="0.2">
      <c r="B34" s="162"/>
      <c r="C34" s="163"/>
      <c r="D34" s="163"/>
      <c r="E34" s="163"/>
      <c r="F34" s="163"/>
      <c r="G34" s="206"/>
      <c r="H34" s="33"/>
      <c r="I34" s="32"/>
      <c r="K34" s="107"/>
      <c r="L34" s="107"/>
      <c r="M34" s="107"/>
      <c r="N34" s="107"/>
      <c r="O34" s="107"/>
      <c r="P34" s="107"/>
      <c r="Q34" s="107"/>
      <c r="R34" s="107"/>
    </row>
    <row r="35" spans="2:18" x14ac:dyDescent="0.15">
      <c r="B35" s="201" t="s">
        <v>188</v>
      </c>
      <c r="C35" s="197" t="s">
        <v>197</v>
      </c>
      <c r="D35" s="197"/>
      <c r="E35" s="197"/>
      <c r="F35" s="197"/>
      <c r="G35" s="198"/>
    </row>
    <row r="36" spans="2:18" ht="14" customHeight="1" x14ac:dyDescent="0.15">
      <c r="B36" s="201"/>
      <c r="C36" s="159" t="s">
        <v>200</v>
      </c>
      <c r="D36" s="159"/>
      <c r="E36" s="159"/>
      <c r="F36" s="159"/>
      <c r="G36" s="167"/>
    </row>
    <row r="37" spans="2:18" x14ac:dyDescent="0.15">
      <c r="B37" s="201"/>
      <c r="C37" s="159" t="s">
        <v>198</v>
      </c>
      <c r="D37" s="159"/>
      <c r="E37" s="159"/>
      <c r="F37" s="159"/>
      <c r="G37" s="167"/>
    </row>
    <row r="38" spans="2:18" x14ac:dyDescent="0.15">
      <c r="B38" s="201"/>
      <c r="C38" s="159" t="s">
        <v>199</v>
      </c>
      <c r="D38" s="159"/>
      <c r="E38" s="159"/>
      <c r="F38" s="159"/>
      <c r="G38" s="167"/>
    </row>
    <row r="39" spans="2:18" x14ac:dyDescent="0.15">
      <c r="B39" s="162"/>
      <c r="C39" s="215" t="s">
        <v>203</v>
      </c>
      <c r="D39" s="156"/>
      <c r="E39" s="156"/>
      <c r="F39" s="156"/>
      <c r="G39" s="168"/>
    </row>
    <row r="40" spans="2:18" ht="14" thickBot="1" x14ac:dyDescent="0.2">
      <c r="B40" s="162"/>
      <c r="C40" s="214"/>
      <c r="D40" s="169"/>
      <c r="E40" s="169"/>
      <c r="F40" s="169"/>
      <c r="G40" s="170"/>
    </row>
    <row r="41" spans="2:18" x14ac:dyDescent="0.15">
      <c r="B41" s="37"/>
      <c r="C41" s="106"/>
      <c r="D41" s="107"/>
      <c r="E41" s="107"/>
      <c r="F41" s="107"/>
    </row>
    <row r="42" spans="2:18" x14ac:dyDescent="0.15">
      <c r="C42" s="107"/>
      <c r="D42" s="107"/>
      <c r="E42" s="107"/>
      <c r="F42" s="107"/>
    </row>
    <row r="43" spans="2:18" x14ac:dyDescent="0.15">
      <c r="C43" s="107"/>
      <c r="D43" s="107"/>
      <c r="E43" s="107"/>
      <c r="F43" s="107"/>
    </row>
    <row r="44" spans="2:18" x14ac:dyDescent="0.15">
      <c r="D44" s="107"/>
      <c r="E44" s="107"/>
      <c r="F44" s="107"/>
    </row>
  </sheetData>
  <mergeCells count="9">
    <mergeCell ref="C37:G37"/>
    <mergeCell ref="C38:G38"/>
    <mergeCell ref="B35:B38"/>
    <mergeCell ref="C33:G33"/>
    <mergeCell ref="C31:G31"/>
    <mergeCell ref="C32:G32"/>
    <mergeCell ref="B31:B33"/>
    <mergeCell ref="C35:G35"/>
    <mergeCell ref="C36:G36"/>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CCDFCBBBA200248B32B2A626FE8B273" ma:contentTypeVersion="9" ma:contentTypeDescription="Create a new document." ma:contentTypeScope="" ma:versionID="7ab804052791853f1c711d8678a8a0e0">
  <xsd:schema xmlns:xsd="http://www.w3.org/2001/XMLSchema" xmlns:xs="http://www.w3.org/2001/XMLSchema" xmlns:p="http://schemas.microsoft.com/office/2006/metadata/properties" xmlns:ns3="ada16477-4a9e-4f32-8a2f-23c8ffb0c900" xmlns:ns4="09ebbee8-2921-4cc3-be77-564d5a35cca5" targetNamespace="http://schemas.microsoft.com/office/2006/metadata/properties" ma:root="true" ma:fieldsID="250da418db7d8ec4d2f66c42e77c6f08" ns3:_="" ns4:_="">
    <xsd:import namespace="ada16477-4a9e-4f32-8a2f-23c8ffb0c900"/>
    <xsd:import namespace="09ebbee8-2921-4cc3-be77-564d5a35cca5"/>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a16477-4a9e-4f32-8a2f-23c8ffb0c9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9ebbee8-2921-4cc3-be77-564d5a35cca5"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D952793-357F-48EA-AC49-9CB62756E35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a16477-4a9e-4f32-8a2f-23c8ffb0c900"/>
    <ds:schemaRef ds:uri="09ebbee8-2921-4cc3-be77-564d5a35cca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A43B0BC-5BC7-4524-BC7D-8A3E979CBA2B}">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ada16477-4a9e-4f32-8a2f-23c8ffb0c900"/>
    <ds:schemaRef ds:uri="http://purl.org/dc/elements/1.1/"/>
    <ds:schemaRef ds:uri="http://schemas.microsoft.com/office/2006/metadata/properties"/>
    <ds:schemaRef ds:uri="09ebbee8-2921-4cc3-be77-564d5a35cca5"/>
    <ds:schemaRef ds:uri="http://www.w3.org/XML/1998/namespace"/>
  </ds:schemaRefs>
</ds:datastoreItem>
</file>

<file path=customXml/itemProps3.xml><?xml version="1.0" encoding="utf-8"?>
<ds:datastoreItem xmlns:ds="http://schemas.openxmlformats.org/officeDocument/2006/customXml" ds:itemID="{7D98334E-260A-409B-BD5D-373436ED993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8</vt:i4>
      </vt:variant>
    </vt:vector>
  </HeadingPairs>
  <TitlesOfParts>
    <vt:vector size="8" baseType="lpstr">
      <vt:lpstr>Spring Rate Conversion</vt:lpstr>
      <vt:lpstr>Load Spliits</vt:lpstr>
      <vt:lpstr>Exam Q1</vt:lpstr>
      <vt:lpstr>Exam Q2</vt:lpstr>
      <vt:lpstr>Exam Q3</vt:lpstr>
      <vt:lpstr>Exam Q4</vt:lpstr>
      <vt:lpstr>Exam Q5</vt:lpstr>
      <vt:lpstr>Exam Q6</vt:lpstr>
    </vt:vector>
  </TitlesOfParts>
  <Manager/>
  <Company>Swansea Institute of Higher Education</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Roger Dowden</dc:creator>
  <cp:keywords/>
  <dc:description/>
  <cp:lastModifiedBy>Microsoft Office User</cp:lastModifiedBy>
  <cp:revision/>
  <dcterms:created xsi:type="dcterms:W3CDTF">2008-02-09T17:39:24Z</dcterms:created>
  <dcterms:modified xsi:type="dcterms:W3CDTF">2020-05-04T14:20:07Z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0x0101000CCDFCBBBA200248B32B2A626FE8B273</vt:lpwstr>
  </property>
</Properties>
</file>