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filterPrivacy="1" defaultThemeVersion="124226"/>
  <xr:revisionPtr revIDLastSave="0" documentId="8_{43DB5B7E-13BE-FE44-8D1F-338AE4EC7299}" xr6:coauthVersionLast="47" xr6:coauthVersionMax="47" xr10:uidLastSave="{00000000-0000-0000-0000-000000000000}"/>
  <bookViews>
    <workbookView xWindow="0" yWindow="0" windowWidth="28800" windowHeight="18000" tabRatio="840" activeTab="1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definedNames>
    <definedName name="_xlchart.v1.0" hidden="1">'Private Sector Value'!$A$4</definedName>
    <definedName name="_xlchart.v1.1" hidden="1">'Private Sector Value'!$A$5:$A$30</definedName>
    <definedName name="_xlchart.v1.10" hidden="1">'Private Sector Value'!$F$4</definedName>
    <definedName name="_xlchart.v1.11" hidden="1">'Private Sector Value'!$F$5:$F$30</definedName>
    <definedName name="_xlchart.v1.12" hidden="1">'Private Sector Value'!$G$4</definedName>
    <definedName name="_xlchart.v1.13" hidden="1">'Private Sector Value'!$G$5:$G$30</definedName>
    <definedName name="_xlchart.v1.14" hidden="1">'Private Sector Value'!$H$4</definedName>
    <definedName name="_xlchart.v1.15" hidden="1">'Private Sector Value'!$H$5:$H$30</definedName>
    <definedName name="_xlchart.v1.16" hidden="1">'Private Sector Value'!$I$4</definedName>
    <definedName name="_xlchart.v1.17" hidden="1">'Private Sector Value'!$I$5:$I$30</definedName>
    <definedName name="_xlchart.v1.18" hidden="1">'Private Sector Value'!$J$4</definedName>
    <definedName name="_xlchart.v1.19" hidden="1">'Private Sector Value'!$J$5:$J$30</definedName>
    <definedName name="_xlchart.v1.2" hidden="1">'Private Sector Value'!$B$4</definedName>
    <definedName name="_xlchart.v1.20" hidden="1">'Private Sector Value'!$K$4</definedName>
    <definedName name="_xlchart.v1.21" hidden="1">'Private Sector Value'!$K$5:$K$30</definedName>
    <definedName name="_xlchart.v1.22" hidden="1">'Private Sector Value'!$L$4</definedName>
    <definedName name="_xlchart.v1.23" hidden="1">'Private Sector Value'!$L$5:$L$30</definedName>
    <definedName name="_xlchart.v1.24" hidden="1">'Private Sector Value'!$M$4</definedName>
    <definedName name="_xlchart.v1.25" hidden="1">'Private Sector Value'!$M$5:$M$30</definedName>
    <definedName name="_xlchart.v1.26" hidden="1">'Private Sector Value'!$N$4</definedName>
    <definedName name="_xlchart.v1.27" hidden="1">'Private Sector Value'!$N$5:$N$30</definedName>
    <definedName name="_xlchart.v1.28" hidden="1">'Private Sector Value'!$O$4</definedName>
    <definedName name="_xlchart.v1.29" hidden="1">'Private Sector Value'!$O$5:$O$30</definedName>
    <definedName name="_xlchart.v1.3" hidden="1">'Private Sector Value'!$B$5:$B$30</definedName>
    <definedName name="_xlchart.v1.30" hidden="1">'Private Sector Value'!$P$4</definedName>
    <definedName name="_xlchart.v1.31" hidden="1">'Private Sector Value'!$P$5:$P$30</definedName>
    <definedName name="_xlchart.v1.32" hidden="1">'Private Sector Value'!$A$4</definedName>
    <definedName name="_xlchart.v1.33" hidden="1">'Private Sector Value'!$A$5:$A$30</definedName>
    <definedName name="_xlchart.v1.34" hidden="1">'Private Sector Value'!$B$4</definedName>
    <definedName name="_xlchart.v1.35" hidden="1">'Private Sector Value'!$B$5:$B$30</definedName>
    <definedName name="_xlchart.v1.36" hidden="1">'Private Sector Value'!$C$4</definedName>
    <definedName name="_xlchart.v1.37" hidden="1">'Private Sector Value'!$C$5:$C$30</definedName>
    <definedName name="_xlchart.v1.38" hidden="1">'Private Sector Value'!$D$4</definedName>
    <definedName name="_xlchart.v1.39" hidden="1">'Private Sector Value'!$D$5:$D$30</definedName>
    <definedName name="_xlchart.v1.4" hidden="1">'Private Sector Value'!$C$4</definedName>
    <definedName name="_xlchart.v1.40" hidden="1">'Private Sector Value'!$E$4</definedName>
    <definedName name="_xlchart.v1.41" hidden="1">'Private Sector Value'!$E$5:$E$30</definedName>
    <definedName name="_xlchart.v1.42" hidden="1">'Private Sector Value'!$F$4</definedName>
    <definedName name="_xlchart.v1.43" hidden="1">'Private Sector Value'!$F$5:$F$30</definedName>
    <definedName name="_xlchart.v1.44" hidden="1">'Private Sector Value'!$G$4</definedName>
    <definedName name="_xlchart.v1.45" hidden="1">'Private Sector Value'!$G$5:$G$30</definedName>
    <definedName name="_xlchart.v1.46" hidden="1">'Private Sector Value'!$H$4</definedName>
    <definedName name="_xlchart.v1.47" hidden="1">'Private Sector Value'!$H$5:$H$30</definedName>
    <definedName name="_xlchart.v1.48" hidden="1">'Private Sector Value'!$I$4</definedName>
    <definedName name="_xlchart.v1.49" hidden="1">'Private Sector Value'!$I$5:$I$30</definedName>
    <definedName name="_xlchart.v1.5" hidden="1">'Private Sector Value'!$C$5:$C$30</definedName>
    <definedName name="_xlchart.v1.50" hidden="1">'Private Sector Value'!$J$4</definedName>
    <definedName name="_xlchart.v1.51" hidden="1">'Private Sector Value'!$J$5:$J$30</definedName>
    <definedName name="_xlchart.v1.52" hidden="1">'Private Sector Value'!$K$4</definedName>
    <definedName name="_xlchart.v1.53" hidden="1">'Private Sector Value'!$K$5:$K$30</definedName>
    <definedName name="_xlchart.v1.54" hidden="1">'Private Sector Value'!$L$4</definedName>
    <definedName name="_xlchart.v1.55" hidden="1">'Private Sector Value'!$L$5:$L$30</definedName>
    <definedName name="_xlchart.v1.56" hidden="1">'Private Sector Value'!$M$4</definedName>
    <definedName name="_xlchart.v1.57" hidden="1">'Private Sector Value'!$M$5:$M$30</definedName>
    <definedName name="_xlchart.v1.58" hidden="1">'Private Sector Value'!$N$4</definedName>
    <definedName name="_xlchart.v1.59" hidden="1">'Private Sector Value'!$N$5:$N$30</definedName>
    <definedName name="_xlchart.v1.6" hidden="1">'Private Sector Value'!$D$4</definedName>
    <definedName name="_xlchart.v1.60" hidden="1">'Private Sector Value'!$O$4</definedName>
    <definedName name="_xlchart.v1.61" hidden="1">'Private Sector Value'!$O$5:$O$30</definedName>
    <definedName name="_xlchart.v1.62" hidden="1">'Private Sector Value'!$P$4</definedName>
    <definedName name="_xlchart.v1.63" hidden="1">'Private Sector Value'!$P$5:$P$30</definedName>
    <definedName name="_xlchart.v1.64" hidden="1">'Private Sector Value'!$A$4</definedName>
    <definedName name="_xlchart.v1.65" hidden="1">'Private Sector Value'!$A$5:$A$30</definedName>
    <definedName name="_xlchart.v1.66" hidden="1">'Private Sector Value'!$B$4</definedName>
    <definedName name="_xlchart.v1.67" hidden="1">'Private Sector Value'!$B$5:$B$30</definedName>
    <definedName name="_xlchart.v1.68" hidden="1">'Private Sector Value'!$C$4</definedName>
    <definedName name="_xlchart.v1.69" hidden="1">'Private Sector Value'!$C$5:$C$30</definedName>
    <definedName name="_xlchart.v1.7" hidden="1">'Private Sector Value'!$D$5:$D$30</definedName>
    <definedName name="_xlchart.v1.70" hidden="1">'Private Sector Value'!$D$4</definedName>
    <definedName name="_xlchart.v1.71" hidden="1">'Private Sector Value'!$D$5:$D$30</definedName>
    <definedName name="_xlchart.v1.72" hidden="1">'Private Sector Value'!$E$4</definedName>
    <definedName name="_xlchart.v1.73" hidden="1">'Private Sector Value'!$E$5:$E$30</definedName>
    <definedName name="_xlchart.v1.74" hidden="1">'Private Sector Value'!$F$4</definedName>
    <definedName name="_xlchart.v1.75" hidden="1">'Private Sector Value'!$F$5:$F$30</definedName>
    <definedName name="_xlchart.v1.76" hidden="1">'Private Sector Value'!$G$4</definedName>
    <definedName name="_xlchart.v1.77" hidden="1">'Private Sector Value'!$G$5:$G$30</definedName>
    <definedName name="_xlchart.v1.78" hidden="1">'Private Sector Value'!$H$4</definedName>
    <definedName name="_xlchart.v1.79" hidden="1">'Private Sector Value'!$H$5:$H$30</definedName>
    <definedName name="_xlchart.v1.8" hidden="1">'Private Sector Value'!$E$4</definedName>
    <definedName name="_xlchart.v1.80" hidden="1">'Private Sector Value'!$I$4</definedName>
    <definedName name="_xlchart.v1.81" hidden="1">'Private Sector Value'!$I$5:$I$30</definedName>
    <definedName name="_xlchart.v1.82" hidden="1">'Private Sector Value'!$J$4</definedName>
    <definedName name="_xlchart.v1.83" hidden="1">'Private Sector Value'!$J$5:$J$30</definedName>
    <definedName name="_xlchart.v1.84" hidden="1">'Private Sector Value'!$K$4</definedName>
    <definedName name="_xlchart.v1.85" hidden="1">'Private Sector Value'!$K$5:$K$30</definedName>
    <definedName name="_xlchart.v1.86" hidden="1">'Private Sector Value'!$L$4</definedName>
    <definedName name="_xlchart.v1.87" hidden="1">'Private Sector Value'!$L$5:$L$30</definedName>
    <definedName name="_xlchart.v1.88" hidden="1">'Private Sector Value'!$M$4</definedName>
    <definedName name="_xlchart.v1.89" hidden="1">'Private Sector Value'!$M$5:$M$30</definedName>
    <definedName name="_xlchart.v1.9" hidden="1">'Private Sector Value'!$E$5:$E$30</definedName>
    <definedName name="_xlchart.v1.90" hidden="1">'Private Sector Value'!$N$4</definedName>
    <definedName name="_xlchart.v1.91" hidden="1">'Private Sector Value'!$N$5:$N$30</definedName>
    <definedName name="_xlchart.v1.92" hidden="1">'Private Sector Value'!$O$4</definedName>
    <definedName name="_xlchart.v1.93" hidden="1">'Private Sector Value'!$O$5:$O$30</definedName>
    <definedName name="_xlchart.v1.94" hidden="1">'Private Sector Value'!$P$4</definedName>
    <definedName name="_xlchart.v1.95" hidden="1">'Private Sector Value'!$P$5:$P$30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5" i="61" l="1"/>
  <c r="W6" i="61"/>
  <c r="W7" i="61"/>
  <c r="W8" i="61"/>
  <c r="W9" i="61"/>
  <c r="W10" i="61"/>
  <c r="W11" i="61"/>
  <c r="W12" i="61"/>
  <c r="W13" i="61"/>
  <c r="W14" i="61"/>
  <c r="W15" i="61"/>
  <c r="W16" i="61"/>
  <c r="W4" i="61"/>
  <c r="V5" i="61"/>
  <c r="V6" i="61"/>
  <c r="V7" i="61"/>
  <c r="V8" i="61"/>
  <c r="V9" i="61"/>
  <c r="V10" i="61"/>
  <c r="V11" i="61"/>
  <c r="V12" i="61"/>
  <c r="V13" i="61"/>
  <c r="V14" i="61"/>
  <c r="V15" i="61"/>
  <c r="V16" i="61"/>
  <c r="V4" i="61"/>
  <c r="U5" i="61"/>
  <c r="U6" i="61"/>
  <c r="U7" i="61"/>
  <c r="U8" i="61"/>
  <c r="U9" i="61"/>
  <c r="U10" i="61"/>
  <c r="U11" i="61"/>
  <c r="U12" i="61"/>
  <c r="U13" i="61"/>
  <c r="U14" i="61"/>
  <c r="U15" i="61"/>
  <c r="U16" i="61"/>
  <c r="U4" i="61"/>
  <c r="T5" i="61"/>
  <c r="T6" i="61"/>
  <c r="T7" i="61"/>
  <c r="T8" i="61"/>
  <c r="T9" i="61"/>
  <c r="T10" i="61"/>
  <c r="T11" i="61"/>
  <c r="T12" i="61"/>
  <c r="T13" i="61"/>
  <c r="T14" i="61"/>
  <c r="T15" i="61"/>
  <c r="T16" i="61"/>
  <c r="T4" i="61"/>
  <c r="S5" i="61"/>
  <c r="S6" i="61"/>
  <c r="S7" i="61"/>
  <c r="S8" i="61"/>
  <c r="S9" i="61"/>
  <c r="S10" i="61"/>
  <c r="S11" i="61"/>
  <c r="S12" i="61"/>
  <c r="S13" i="61"/>
  <c r="S14" i="61"/>
  <c r="S15" i="61"/>
  <c r="S16" i="61"/>
  <c r="S4" i="61"/>
  <c r="C35" i="46"/>
  <c r="D35" i="46"/>
  <c r="E35" i="46"/>
  <c r="F35" i="46"/>
  <c r="G35" i="46"/>
  <c r="H35" i="46"/>
  <c r="I35" i="46"/>
  <c r="J35" i="46"/>
  <c r="K35" i="46"/>
  <c r="L35" i="46"/>
  <c r="M35" i="46"/>
  <c r="N35" i="46"/>
  <c r="O35" i="46"/>
  <c r="P35" i="46"/>
  <c r="B35" i="46"/>
  <c r="B35" i="44"/>
  <c r="B34" i="44"/>
  <c r="P34" i="46"/>
  <c r="C34" i="46"/>
  <c r="D34" i="46"/>
  <c r="E34" i="46"/>
  <c r="F34" i="46"/>
  <c r="G34" i="46"/>
  <c r="H34" i="46"/>
  <c r="I34" i="46"/>
  <c r="J34" i="46"/>
  <c r="K34" i="46"/>
  <c r="L34" i="46"/>
  <c r="M34" i="46"/>
  <c r="N34" i="46"/>
  <c r="O34" i="46"/>
  <c r="B34" i="46"/>
  <c r="C33" i="46"/>
  <c r="D33" i="46"/>
  <c r="E33" i="46"/>
  <c r="F33" i="46"/>
  <c r="G33" i="46"/>
  <c r="H33" i="46"/>
  <c r="I33" i="46"/>
  <c r="J33" i="46"/>
  <c r="K33" i="46"/>
  <c r="L33" i="46"/>
  <c r="M33" i="46"/>
  <c r="N33" i="46"/>
  <c r="O33" i="46"/>
  <c r="P33" i="46"/>
  <c r="C32" i="46"/>
  <c r="D32" i="46"/>
  <c r="E32" i="46"/>
  <c r="F32" i="46"/>
  <c r="G32" i="46"/>
  <c r="H32" i="46"/>
  <c r="I32" i="46"/>
  <c r="J32" i="46"/>
  <c r="K32" i="46"/>
  <c r="L32" i="46"/>
  <c r="M32" i="46"/>
  <c r="N32" i="46"/>
  <c r="O32" i="46"/>
  <c r="P32" i="46"/>
  <c r="C31" i="46"/>
  <c r="D31" i="46"/>
  <c r="E31" i="46"/>
  <c r="F31" i="46"/>
  <c r="G31" i="46"/>
  <c r="H31" i="46"/>
  <c r="I31" i="46"/>
  <c r="J31" i="46"/>
  <c r="K31" i="46"/>
  <c r="L31" i="46"/>
  <c r="M31" i="46"/>
  <c r="N31" i="46"/>
  <c r="O31" i="46"/>
  <c r="P31" i="46"/>
  <c r="B33" i="46"/>
  <c r="B32" i="46"/>
  <c r="F33" i="44"/>
  <c r="M33" i="44"/>
  <c r="D33" i="44"/>
  <c r="E33" i="44"/>
  <c r="B31" i="46"/>
  <c r="C35" i="44"/>
  <c r="D35" i="44"/>
  <c r="E35" i="44"/>
  <c r="F35" i="44"/>
  <c r="G35" i="44"/>
  <c r="H35" i="44"/>
  <c r="I35" i="44"/>
  <c r="J35" i="44"/>
  <c r="K35" i="44"/>
  <c r="L35" i="44"/>
  <c r="M35" i="44"/>
  <c r="N35" i="44"/>
  <c r="O35" i="44"/>
  <c r="C34" i="44"/>
  <c r="D34" i="44"/>
  <c r="E34" i="44"/>
  <c r="F34" i="44"/>
  <c r="G34" i="44"/>
  <c r="H34" i="44"/>
  <c r="I34" i="44"/>
  <c r="J34" i="44"/>
  <c r="K34" i="44"/>
  <c r="L34" i="44"/>
  <c r="M34" i="44"/>
  <c r="N34" i="44"/>
  <c r="O34" i="44"/>
  <c r="D32" i="44"/>
  <c r="E32" i="44"/>
  <c r="F32" i="44"/>
  <c r="G32" i="44"/>
  <c r="H32" i="44"/>
  <c r="I32" i="44"/>
  <c r="J32" i="44"/>
  <c r="K32" i="44"/>
  <c r="L32" i="44"/>
  <c r="M32" i="44"/>
  <c r="N32" i="44"/>
  <c r="O32" i="44"/>
  <c r="D31" i="44"/>
  <c r="E31" i="44"/>
  <c r="F31" i="44"/>
  <c r="G31" i="44"/>
  <c r="H31" i="44"/>
  <c r="I31" i="44"/>
  <c r="J31" i="44"/>
  <c r="K31" i="44"/>
  <c r="L31" i="44"/>
  <c r="M31" i="44"/>
  <c r="N31" i="44"/>
  <c r="O31" i="44"/>
  <c r="C32" i="44"/>
  <c r="C31" i="44"/>
  <c r="B32" i="44"/>
  <c r="B31" i="44"/>
</calcChain>
</file>

<file path=xl/sharedStrings.xml><?xml version="1.0" encoding="utf-8"?>
<sst xmlns="http://schemas.openxmlformats.org/spreadsheetml/2006/main" count="136" uniqueCount="111">
  <si>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</si>
  <si>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</si>
  <si>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</si>
  <si>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</si>
  <si>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</si>
  <si>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</si>
  <si>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</si>
  <si>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</si>
  <si>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</si>
  <si>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</si>
  <si>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</si>
  <si>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</si>
  <si>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</si>
  <si>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</si>
  <si>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</si>
  <si>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</si>
  <si>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</si>
  <si>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</si>
  <si>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</si>
  <si>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</si>
  <si>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</si>
  <si>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</si>
  <si>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</si>
  <si>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</si>
  <si>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</si>
  <si>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</si>
  <si>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</si>
  <si>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</si>
  <si>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</si>
  <si>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</si>
  <si>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</si>
  <si>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</si>
  <si>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</si>
  <si>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</si>
  <si>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</si>
  <si>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</si>
  <si>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</si>
  <si>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</si>
  <si>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</si>
  <si>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</si>
  <si>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</si>
  <si>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</si>
  <si>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</si>
  <si>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</si>
  <si>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</si>
  <si>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</si>
  <si>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</si>
  <si>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</si>
  <si>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</si>
  <si>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</si>
  <si>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</si>
  <si>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</si>
  <si>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</si>
  <si>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</si>
  <si>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</si>
  <si>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</si>
  <si>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</si>
  <si>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</si>
  <si>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</si>
  <si>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</si>
  <si>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</si>
  <si>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</si>
  <si>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</si>
  <si>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</si>
  <si>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</si>
  <si>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</si>
  <si>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</si>
  <si>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</si>
  <si>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</si>
  <si>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</si>
  <si>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</si>
  <si>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</si>
  <si>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</si>
  <si>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</si>
  <si>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</si>
  <si>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</si>
  <si>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</si>
  <si>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</si>
  <si>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</si>
  <si>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</si>
  <si>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</si>
  <si>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</si>
  <si>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</si>
  <si>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</si>
  <si>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</si>
  <si>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</si>
  <si>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</si>
  <si>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</si>
  <si>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</si>
  <si>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</si>
  <si>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</si>
  <si>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</si>
  <si>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</si>
  <si>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</si>
  <si>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</si>
  <si>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</si>
  <si>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</si>
  <si>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</si>
  <si>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</si>
  <si>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</si>
  <si>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</si>
  <si>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</si>
  <si>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</si>
  <si>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</si>
  <si>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</si>
  <si>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Mean</t>
  </si>
  <si>
    <t>Mode</t>
  </si>
  <si>
    <t>Median</t>
  </si>
  <si>
    <t>No Duplicates</t>
  </si>
  <si>
    <t>Standard Dev</t>
  </si>
  <si>
    <t>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</si>
</sst>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5" fontId="5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164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164" fontId="29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5">
    <xf numFmtId="0" fontId="0" fillId="0" borderId="0" xfId="0"/>
    <xf numFmtId="165" fontId="1" fillId="0" borderId="0" xfId="0" applyNumberFormat="1" applyFont="1" applyAlignment="1">
      <alignment horizontal="left" vertical="center" wrapText="1"/>
    </xf>
    <xf numFmtId="165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5" fontId="8" fillId="0" borderId="6" xfId="11" applyFont="1" applyBorder="1" applyAlignment="1">
      <alignment horizontal="left" wrapText="1"/>
    </xf>
    <xf numFmtId="165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0" fontId="15" fillId="0" borderId="0" xfId="0" applyFont="1"/>
    <xf numFmtId="3" fontId="0" fillId="0" borderId="0" xfId="0" applyNumberFormat="1"/>
    <xf numFmtId="0" fontId="15" fillId="0" borderId="0" xfId="0" applyFont="1" applyAlignment="1">
      <alignment wrapText="1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6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6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ln>
                  <a:solidFill>
                    <a:schemeClr val="tx1"/>
                  </a:solidFill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The Yearly Change in Value of Total Public New Housing from 1998-2023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ln>
                <a:solidFill>
                  <a:schemeClr val="tx1"/>
                </a:solidFill>
              </a:ln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D4-4B57-A89D-BF0D8B9F9B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1883856"/>
        <c:axId val="1561884336"/>
      </c:lineChart>
      <c:catAx>
        <c:axId val="15618838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ln>
                      <a:solidFill>
                        <a:schemeClr val="tx1"/>
                      </a:solidFill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Period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8316793417900561"/>
              <c:y val="0.908480017446966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ln>
                    <a:solidFill>
                      <a:schemeClr val="tx1"/>
                    </a:solidFill>
                  </a:ln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solidFill>
                    <a:schemeClr val="tx1"/>
                  </a:solidFill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1884336"/>
        <c:crosses val="autoZero"/>
        <c:auto val="1"/>
        <c:lblAlgn val="ctr"/>
        <c:lblOffset val="100"/>
        <c:noMultiLvlLbl val="0"/>
      </c:catAx>
      <c:valAx>
        <c:axId val="156188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ln>
                      <a:solidFill>
                        <a:schemeClr val="tx1"/>
                      </a:solidFill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Public New Housing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5180265654648957E-2"/>
              <c:y val="0.275624420300531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ln>
                    <a:solidFill>
                      <a:schemeClr val="tx1"/>
                    </a:solidFill>
                  </a:ln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solidFill>
                    <a:schemeClr val="tx1"/>
                  </a:solidFill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1883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n>
            <a:solidFill>
              <a:schemeClr val="tx1"/>
            </a:solidFill>
          </a:ln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The</a:t>
            </a:r>
            <a:r>
              <a:rPr lang="en-GB" b="1" baseline="0"/>
              <a:t> Value of Construction Output by type of Work in 2001</a:t>
            </a:r>
            <a:endParaRPr lang="en-GB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'Private Sector Value'!$B$4:$O$4</c:f>
              <c:strCache>
                <c:ptCount val="1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</c:strCache>
            </c:strRef>
          </c:cat>
          <c:val>
            <c:numRef>
              <c:f>'Private Sector Value'!$B$8:$O$8</c:f>
              <c:numCache>
                <c:formatCode>#,##0</c:formatCode>
                <c:ptCount val="14"/>
                <c:pt idx="0">
                  <c:v>9639</c:v>
                </c:pt>
                <c:pt idx="1">
                  <c:v>5782</c:v>
                </c:pt>
                <c:pt idx="2">
                  <c:v>2884</c:v>
                </c:pt>
                <c:pt idx="3">
                  <c:v>1761</c:v>
                </c:pt>
                <c:pt idx="4">
                  <c:v>63</c:v>
                </c:pt>
                <c:pt idx="5">
                  <c:v>4709</c:v>
                </c:pt>
                <c:pt idx="6">
                  <c:v>1355</c:v>
                </c:pt>
                <c:pt idx="7">
                  <c:v>803</c:v>
                </c:pt>
                <c:pt idx="8">
                  <c:v>8946</c:v>
                </c:pt>
                <c:pt idx="9">
                  <c:v>3580</c:v>
                </c:pt>
                <c:pt idx="10">
                  <c:v>363</c:v>
                </c:pt>
                <c:pt idx="11">
                  <c:v>4182</c:v>
                </c:pt>
                <c:pt idx="12">
                  <c:v>760</c:v>
                </c:pt>
                <c:pt idx="13">
                  <c:v>19988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B5-774B-B132-0896BF707636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'Private Sector Value'!$B$4:$O$4</c:f>
              <c:strCache>
                <c:ptCount val="1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</c:strCache>
            </c:strRef>
          </c:cat>
          <c:val>
            <c:numRef>
              <c:f>'Private Sector Value'!$C$8</c:f>
              <c:numCache>
                <c:formatCode>#,##0</c:formatCode>
                <c:ptCount val="1"/>
                <c:pt idx="0">
                  <c:v>5782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B5-774B-B132-0896BF707636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'Private Sector Value'!$B$4:$O$4</c:f>
              <c:strCache>
                <c:ptCount val="1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</c:strCache>
            </c:strRef>
          </c:cat>
          <c:val>
            <c:numRef>
              <c:f>'Private Sector Value'!$D$8</c:f>
              <c:numCache>
                <c:formatCode>#,##0</c:formatCode>
                <c:ptCount val="1"/>
                <c:pt idx="0">
                  <c:v>2884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B5-774B-B132-0896BF707636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'Private Sector Value'!$B$4:$O$4</c:f>
              <c:strCache>
                <c:ptCount val="1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</c:strCache>
            </c:strRef>
          </c:cat>
          <c:val>
            <c:numRef>
              <c:f>'Private Sector Value'!$E$8</c:f>
              <c:numCache>
                <c:formatCode>#,##0</c:formatCode>
                <c:ptCount val="1"/>
                <c:pt idx="0">
                  <c:v>1761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B5-774B-B132-0896BF707636}"/>
            </c:ext>
          </c:extLst>
        </c:ser>
        <c:ser>
          <c:idx val="4"/>
          <c:order val="4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'Private Sector Value'!$B$4:$O$4</c:f>
              <c:strCache>
                <c:ptCount val="1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</c:strCache>
            </c:strRef>
          </c:cat>
          <c:val>
            <c:numRef>
              <c:f>'Private Sector Value'!$F$8</c:f>
              <c:numCache>
                <c:formatCode>#,##0</c:formatCode>
                <c:ptCount val="1"/>
                <c:pt idx="0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6B5-774B-B132-0896BF707636}"/>
            </c:ext>
          </c:extLst>
        </c:ser>
        <c:ser>
          <c:idx val="5"/>
          <c:order val="5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'Private Sector Value'!$B$4:$O$4</c:f>
              <c:strCache>
                <c:ptCount val="1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</c:strCache>
            </c:strRef>
          </c:cat>
          <c:val>
            <c:numRef>
              <c:f>'Private Sector Value'!$G$8</c:f>
              <c:numCache>
                <c:formatCode>#,##0</c:formatCode>
                <c:ptCount val="1"/>
                <c:pt idx="0">
                  <c:v>4709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6B5-774B-B132-0896BF707636}"/>
            </c:ext>
          </c:extLst>
        </c:ser>
        <c:ser>
          <c:idx val="6"/>
          <c:order val="6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'Private Sector Value'!$B$4:$O$4</c:f>
              <c:strCache>
                <c:ptCount val="1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</c:strCache>
            </c:strRef>
          </c:cat>
          <c:val>
            <c:numRef>
              <c:f>'Private Sector Value'!$H$8</c:f>
              <c:numCache>
                <c:formatCode>#,##0</c:formatCode>
                <c:ptCount val="1"/>
                <c:pt idx="0">
                  <c:v>1355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6B5-774B-B132-0896BF707636}"/>
            </c:ext>
          </c:extLst>
        </c:ser>
        <c:ser>
          <c:idx val="7"/>
          <c:order val="7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'Private Sector Value'!$B$4:$O$4</c:f>
              <c:strCache>
                <c:ptCount val="1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</c:strCache>
            </c:strRef>
          </c:cat>
          <c:val>
            <c:numRef>
              <c:f>'Private Sector Value'!$I$8</c:f>
              <c:numCache>
                <c:formatCode>#,##0</c:formatCode>
                <c:ptCount val="1"/>
                <c:pt idx="0">
                  <c:v>803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6B5-774B-B132-0896BF707636}"/>
            </c:ext>
          </c:extLst>
        </c:ser>
        <c:ser>
          <c:idx val="8"/>
          <c:order val="8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'Private Sector Value'!$B$4:$O$4</c:f>
              <c:strCache>
                <c:ptCount val="1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</c:strCache>
            </c:strRef>
          </c:cat>
          <c:val>
            <c:numRef>
              <c:f>'Private Sector Value'!$J$8</c:f>
              <c:numCache>
                <c:formatCode>#,##0</c:formatCode>
                <c:ptCount val="1"/>
                <c:pt idx="0">
                  <c:v>8946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6B5-774B-B132-0896BF707636}"/>
            </c:ext>
          </c:extLst>
        </c:ser>
        <c:ser>
          <c:idx val="9"/>
          <c:order val="9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'Private Sector Value'!$B$4:$O$4</c:f>
              <c:strCache>
                <c:ptCount val="1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</c:strCache>
            </c:strRef>
          </c:cat>
          <c:val>
            <c:numRef>
              <c:f>'Private Sector Value'!$K$8</c:f>
              <c:numCache>
                <c:formatCode>#,##0</c:formatCode>
                <c:ptCount val="1"/>
                <c:pt idx="0">
                  <c:v>3580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6B5-774B-B132-0896BF707636}"/>
            </c:ext>
          </c:extLst>
        </c:ser>
        <c:ser>
          <c:idx val="10"/>
          <c:order val="1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'Private Sector Value'!$B$4:$O$4</c:f>
              <c:strCache>
                <c:ptCount val="1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</c:strCache>
            </c:strRef>
          </c:cat>
          <c:val>
            <c:numRef>
              <c:f>'Private Sector Value'!$L$8</c:f>
              <c:numCache>
                <c:formatCode>#,##0</c:formatCode>
                <c:ptCount val="1"/>
                <c:pt idx="0">
                  <c:v>363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B5-774B-B132-0896BF707636}"/>
            </c:ext>
          </c:extLst>
        </c:ser>
        <c:ser>
          <c:idx val="11"/>
          <c:order val="1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'Private Sector Value'!$B$4:$O$4</c:f>
              <c:strCache>
                <c:ptCount val="1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</c:strCache>
            </c:strRef>
          </c:cat>
          <c:val>
            <c:numRef>
              <c:f>'Private Sector Value'!$M$8</c:f>
              <c:numCache>
                <c:formatCode>#,##0</c:formatCode>
                <c:ptCount val="1"/>
                <c:pt idx="0">
                  <c:v>4182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6B5-774B-B132-0896BF707636}"/>
            </c:ext>
          </c:extLst>
        </c:ser>
        <c:ser>
          <c:idx val="12"/>
          <c:order val="12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'Private Sector Value'!$B$4:$O$4</c:f>
              <c:strCache>
                <c:ptCount val="1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</c:strCache>
            </c:strRef>
          </c:cat>
          <c:val>
            <c:numRef>
              <c:f>'Private Sector Value'!$N$8</c:f>
              <c:numCache>
                <c:formatCode>#,##0</c:formatCode>
                <c:ptCount val="1"/>
                <c:pt idx="0">
                  <c:v>760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6B5-774B-B132-0896BF707636}"/>
            </c:ext>
          </c:extLst>
        </c:ser>
        <c:ser>
          <c:idx val="13"/>
          <c:order val="13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'Private Sector Value'!$B$4:$O$4</c:f>
              <c:strCache>
                <c:ptCount val="1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</c:strCache>
            </c:strRef>
          </c:cat>
          <c:val>
            <c:numRef>
              <c:f>'Private Sector Value'!$O$8</c:f>
              <c:numCache>
                <c:formatCode>#,##0</c:formatCode>
                <c:ptCount val="1"/>
                <c:pt idx="0">
                  <c:v>19988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E6B5-774B-B132-0896BF7076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381910531718576"/>
          <c:y val="0.76099154272382619"/>
          <c:w val="0.64305573521471082"/>
          <c:h val="0.211230679498396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The Value of Construction Output by</a:t>
            </a:r>
            <a:r>
              <a:rPr lang="en-GB" b="1" baseline="0"/>
              <a:t> type of work from 1998 to 2023</a:t>
            </a:r>
            <a:r>
              <a:rPr lang="en-GB" b="1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730941704035871E-2"/>
          <c:y val="5.6716313135449441E-2"/>
          <c:w val="0.90312879931459344"/>
          <c:h val="0.5606225451326780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'Private Sector Value'!$B$4</c:f>
              <c:strCache>
                <c:ptCount val="1"/>
                <c:pt idx="0">
                  <c:v>Total private new housing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Value'!$B$5:$B$30</c:f>
              <c:numCache>
                <c:formatCode>#,##0</c:formatCode>
                <c:ptCount val="26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B7-AE4A-914A-4732DFD68122}"/>
            </c:ext>
          </c:extLst>
        </c:ser>
        <c:ser>
          <c:idx val="1"/>
          <c:order val="1"/>
          <c:tx>
            <c:strRef>
              <c:f>'Private Sector Value'!$C$4</c:f>
              <c:strCache>
                <c:ptCount val="1"/>
                <c:pt idx="0">
                  <c:v>Total private Infrastructure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Value'!$C$5:$C$30</c:f>
              <c:numCache>
                <c:formatCode>#,##0</c:formatCode>
                <c:ptCount val="26"/>
                <c:pt idx="0">
                  <c:v>4924</c:v>
                </c:pt>
                <c:pt idx="1">
                  <c:v>4807</c:v>
                </c:pt>
                <c:pt idx="2">
                  <c:v>5305</c:v>
                </c:pt>
                <c:pt idx="3">
                  <c:v>5782</c:v>
                </c:pt>
                <c:pt idx="4">
                  <c:v>6034</c:v>
                </c:pt>
                <c:pt idx="5">
                  <c:v>5395</c:v>
                </c:pt>
                <c:pt idx="6">
                  <c:v>5099</c:v>
                </c:pt>
                <c:pt idx="7">
                  <c:v>5160</c:v>
                </c:pt>
                <c:pt idx="8">
                  <c:v>5305</c:v>
                </c:pt>
                <c:pt idx="9">
                  <c:v>5582</c:v>
                </c:pt>
                <c:pt idx="10">
                  <c:v>6322</c:v>
                </c:pt>
                <c:pt idx="11">
                  <c:v>6448</c:v>
                </c:pt>
                <c:pt idx="12">
                  <c:v>8535</c:v>
                </c:pt>
                <c:pt idx="13">
                  <c:v>9710</c:v>
                </c:pt>
                <c:pt idx="14">
                  <c:v>9567</c:v>
                </c:pt>
                <c:pt idx="15">
                  <c:v>8896</c:v>
                </c:pt>
                <c:pt idx="16">
                  <c:v>9377</c:v>
                </c:pt>
                <c:pt idx="17">
                  <c:v>10979</c:v>
                </c:pt>
                <c:pt idx="18">
                  <c:v>10517</c:v>
                </c:pt>
                <c:pt idx="19">
                  <c:v>12331</c:v>
                </c:pt>
                <c:pt idx="20">
                  <c:v>11139</c:v>
                </c:pt>
                <c:pt idx="21">
                  <c:v>11937</c:v>
                </c:pt>
                <c:pt idx="22">
                  <c:v>10839</c:v>
                </c:pt>
                <c:pt idx="23">
                  <c:v>13836</c:v>
                </c:pt>
                <c:pt idx="24">
                  <c:v>14072</c:v>
                </c:pt>
                <c:pt idx="25">
                  <c:v>16643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B7-AE4A-914A-4732DFD68122}"/>
            </c:ext>
          </c:extLst>
        </c:ser>
        <c:ser>
          <c:idx val="2"/>
          <c:order val="2"/>
          <c:tx>
            <c:strRef>
              <c:f>'Private Sector Value'!$D$4</c:f>
              <c:strCache>
                <c:ptCount val="1"/>
                <c:pt idx="0">
                  <c:v>Private industrial: factories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Value'!$D$5:$D$30</c:f>
              <c:numCache>
                <c:formatCode>#,##0</c:formatCode>
                <c:ptCount val="26"/>
                <c:pt idx="0">
                  <c:v>3271</c:v>
                </c:pt>
                <c:pt idx="1">
                  <c:v>3296</c:v>
                </c:pt>
                <c:pt idx="2">
                  <c:v>2819</c:v>
                </c:pt>
                <c:pt idx="3">
                  <c:v>2884</c:v>
                </c:pt>
                <c:pt idx="4">
                  <c:v>2636</c:v>
                </c:pt>
                <c:pt idx="5">
                  <c:v>2870</c:v>
                </c:pt>
                <c:pt idx="6">
                  <c:v>2936</c:v>
                </c:pt>
                <c:pt idx="7">
                  <c:v>2728</c:v>
                </c:pt>
                <c:pt idx="8">
                  <c:v>3078</c:v>
                </c:pt>
                <c:pt idx="9">
                  <c:v>3176</c:v>
                </c:pt>
                <c:pt idx="10">
                  <c:v>2923</c:v>
                </c:pt>
                <c:pt idx="11">
                  <c:v>1947</c:v>
                </c:pt>
                <c:pt idx="12">
                  <c:v>1998</c:v>
                </c:pt>
                <c:pt idx="13">
                  <c:v>1658</c:v>
                </c:pt>
                <c:pt idx="14">
                  <c:v>2045</c:v>
                </c:pt>
                <c:pt idx="15">
                  <c:v>2027</c:v>
                </c:pt>
                <c:pt idx="16">
                  <c:v>2238</c:v>
                </c:pt>
                <c:pt idx="17">
                  <c:v>2645</c:v>
                </c:pt>
                <c:pt idx="18">
                  <c:v>2416</c:v>
                </c:pt>
                <c:pt idx="19">
                  <c:v>2711</c:v>
                </c:pt>
                <c:pt idx="20">
                  <c:v>2614</c:v>
                </c:pt>
                <c:pt idx="21">
                  <c:v>2136</c:v>
                </c:pt>
                <c:pt idx="22">
                  <c:v>1926</c:v>
                </c:pt>
                <c:pt idx="23">
                  <c:v>2296</c:v>
                </c:pt>
                <c:pt idx="24">
                  <c:v>3296</c:v>
                </c:pt>
                <c:pt idx="25">
                  <c:v>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5B7-AE4A-914A-4732DFD68122}"/>
            </c:ext>
          </c:extLst>
        </c:ser>
        <c:ser>
          <c:idx val="3"/>
          <c:order val="3"/>
          <c:tx>
            <c:strRef>
              <c:f>'Private Sector Value'!$E$4</c:f>
              <c:strCache>
                <c:ptCount val="1"/>
                <c:pt idx="0">
                  <c:v>Private industrial: warehouses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Value'!$E$5:$E$30</c:f>
              <c:numCache>
                <c:formatCode>#,##0</c:formatCode>
                <c:ptCount val="26"/>
                <c:pt idx="0">
                  <c:v>1492</c:v>
                </c:pt>
                <c:pt idx="1">
                  <c:v>1600</c:v>
                </c:pt>
                <c:pt idx="2">
                  <c:v>1828</c:v>
                </c:pt>
                <c:pt idx="3">
                  <c:v>1761</c:v>
                </c:pt>
                <c:pt idx="4">
                  <c:v>1616</c:v>
                </c:pt>
                <c:pt idx="5">
                  <c:v>1765</c:v>
                </c:pt>
                <c:pt idx="6">
                  <c:v>2096</c:v>
                </c:pt>
                <c:pt idx="7">
                  <c:v>2666</c:v>
                </c:pt>
                <c:pt idx="8">
                  <c:v>2987</c:v>
                </c:pt>
                <c:pt idx="9">
                  <c:v>3082</c:v>
                </c:pt>
                <c:pt idx="10">
                  <c:v>2174</c:v>
                </c:pt>
                <c:pt idx="11">
                  <c:v>1392</c:v>
                </c:pt>
                <c:pt idx="12">
                  <c:v>1384</c:v>
                </c:pt>
                <c:pt idx="13">
                  <c:v>1417</c:v>
                </c:pt>
                <c:pt idx="14">
                  <c:v>1295</c:v>
                </c:pt>
                <c:pt idx="15">
                  <c:v>1157</c:v>
                </c:pt>
                <c:pt idx="16">
                  <c:v>1749</c:v>
                </c:pt>
                <c:pt idx="17">
                  <c:v>2010</c:v>
                </c:pt>
                <c:pt idx="18">
                  <c:v>2120</c:v>
                </c:pt>
                <c:pt idx="19">
                  <c:v>2041</c:v>
                </c:pt>
                <c:pt idx="20">
                  <c:v>2850</c:v>
                </c:pt>
                <c:pt idx="21">
                  <c:v>3812</c:v>
                </c:pt>
                <c:pt idx="22">
                  <c:v>2942</c:v>
                </c:pt>
                <c:pt idx="23">
                  <c:v>2789</c:v>
                </c:pt>
                <c:pt idx="24">
                  <c:v>4614</c:v>
                </c:pt>
                <c:pt idx="25">
                  <c:v>4686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5B7-AE4A-914A-4732DFD68122}"/>
            </c:ext>
          </c:extLst>
        </c:ser>
        <c:ser>
          <c:idx val="4"/>
          <c:order val="4"/>
          <c:tx>
            <c:strRef>
              <c:f>'Private Sector Value'!$F$4</c:f>
              <c:strCache>
                <c:ptCount val="1"/>
                <c:pt idx="0">
                  <c:v>Private industrial: oil, steel &amp; coal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Value'!$F$5:$F$30</c:f>
              <c:numCache>
                <c:formatCode>#,##0</c:formatCode>
                <c:ptCount val="26"/>
                <c:pt idx="0">
                  <c:v>130</c:v>
                </c:pt>
                <c:pt idx="1">
                  <c:v>133</c:v>
                </c:pt>
                <c:pt idx="2">
                  <c:v>69</c:v>
                </c:pt>
                <c:pt idx="3">
                  <c:v>63</c:v>
                </c:pt>
                <c:pt idx="4">
                  <c:v>73</c:v>
                </c:pt>
                <c:pt idx="5">
                  <c:v>131</c:v>
                </c:pt>
                <c:pt idx="6">
                  <c:v>178</c:v>
                </c:pt>
                <c:pt idx="7">
                  <c:v>216</c:v>
                </c:pt>
                <c:pt idx="8">
                  <c:v>243</c:v>
                </c:pt>
                <c:pt idx="9">
                  <c:v>179</c:v>
                </c:pt>
                <c:pt idx="10">
                  <c:v>244</c:v>
                </c:pt>
                <c:pt idx="11">
                  <c:v>175</c:v>
                </c:pt>
                <c:pt idx="12">
                  <c:v>169</c:v>
                </c:pt>
                <c:pt idx="13">
                  <c:v>274</c:v>
                </c:pt>
                <c:pt idx="14">
                  <c:v>348</c:v>
                </c:pt>
                <c:pt idx="15">
                  <c:v>305</c:v>
                </c:pt>
                <c:pt idx="16">
                  <c:v>198</c:v>
                </c:pt>
                <c:pt idx="17">
                  <c:v>73</c:v>
                </c:pt>
                <c:pt idx="18">
                  <c:v>52</c:v>
                </c:pt>
                <c:pt idx="19">
                  <c:v>74</c:v>
                </c:pt>
                <c:pt idx="20">
                  <c:v>57</c:v>
                </c:pt>
                <c:pt idx="21">
                  <c:v>14</c:v>
                </c:pt>
                <c:pt idx="22">
                  <c:v>34</c:v>
                </c:pt>
                <c:pt idx="23">
                  <c:v>116</c:v>
                </c:pt>
                <c:pt idx="24">
                  <c:v>260</c:v>
                </c:pt>
                <c:pt idx="25">
                  <c:v>438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5B7-AE4A-914A-4732DFD68122}"/>
            </c:ext>
          </c:extLst>
        </c:ser>
        <c:ser>
          <c:idx val="5"/>
          <c:order val="5"/>
          <c:tx>
            <c:strRef>
              <c:f>'Private Sector Value'!$G$4</c:f>
              <c:strCache>
                <c:ptCount val="1"/>
                <c:pt idx="0">
                  <c:v>All private industrial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Value'!$G$5:$G$30</c:f>
              <c:numCache>
                <c:formatCode>#,##0</c:formatCode>
                <c:ptCount val="26"/>
                <c:pt idx="0">
                  <c:v>4893</c:v>
                </c:pt>
                <c:pt idx="1">
                  <c:v>5030</c:v>
                </c:pt>
                <c:pt idx="2">
                  <c:v>4717</c:v>
                </c:pt>
                <c:pt idx="3">
                  <c:v>4709</c:v>
                </c:pt>
                <c:pt idx="4">
                  <c:v>4323</c:v>
                </c:pt>
                <c:pt idx="5">
                  <c:v>4765</c:v>
                </c:pt>
                <c:pt idx="6">
                  <c:v>5210</c:v>
                </c:pt>
                <c:pt idx="7">
                  <c:v>5610</c:v>
                </c:pt>
                <c:pt idx="8">
                  <c:v>6308</c:v>
                </c:pt>
                <c:pt idx="9">
                  <c:v>6438</c:v>
                </c:pt>
                <c:pt idx="10">
                  <c:v>5339</c:v>
                </c:pt>
                <c:pt idx="11">
                  <c:v>3515</c:v>
                </c:pt>
                <c:pt idx="12">
                  <c:v>3551</c:v>
                </c:pt>
                <c:pt idx="13">
                  <c:v>3349</c:v>
                </c:pt>
                <c:pt idx="14">
                  <c:v>3688</c:v>
                </c:pt>
                <c:pt idx="15">
                  <c:v>3489</c:v>
                </c:pt>
                <c:pt idx="16">
                  <c:v>4186</c:v>
                </c:pt>
                <c:pt idx="17">
                  <c:v>4728</c:v>
                </c:pt>
                <c:pt idx="18">
                  <c:v>4588</c:v>
                </c:pt>
                <c:pt idx="19">
                  <c:v>4826</c:v>
                </c:pt>
                <c:pt idx="20">
                  <c:v>5521</c:v>
                </c:pt>
                <c:pt idx="21">
                  <c:v>5962</c:v>
                </c:pt>
                <c:pt idx="22">
                  <c:v>4901</c:v>
                </c:pt>
                <c:pt idx="23">
                  <c:v>5201</c:v>
                </c:pt>
                <c:pt idx="24">
                  <c:v>8170</c:v>
                </c:pt>
                <c:pt idx="25">
                  <c:v>8509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5B7-AE4A-914A-4732DFD68122}"/>
            </c:ext>
          </c:extLst>
        </c:ser>
        <c:ser>
          <c:idx val="6"/>
          <c:order val="6"/>
          <c:tx>
            <c:strRef>
              <c:f>'Private Sector Value'!$H$4</c:f>
              <c:strCache>
                <c:ptCount val="1"/>
                <c:pt idx="0">
                  <c:v>Private commercial: schools &amp; universities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Value'!$H$5:$H$30</c:f>
              <c:numCache>
                <c:formatCode>#,##0</c:formatCode>
                <c:ptCount val="26"/>
                <c:pt idx="0">
                  <c:v>396</c:v>
                </c:pt>
                <c:pt idx="1">
                  <c:v>503</c:v>
                </c:pt>
                <c:pt idx="2">
                  <c:v>979</c:v>
                </c:pt>
                <c:pt idx="3">
                  <c:v>1355</c:v>
                </c:pt>
                <c:pt idx="4">
                  <c:v>1611</c:v>
                </c:pt>
                <c:pt idx="5">
                  <c:v>2182</c:v>
                </c:pt>
                <c:pt idx="6">
                  <c:v>2003</c:v>
                </c:pt>
                <c:pt idx="7">
                  <c:v>2541</c:v>
                </c:pt>
                <c:pt idx="8">
                  <c:v>3834</c:v>
                </c:pt>
                <c:pt idx="9">
                  <c:v>3818</c:v>
                </c:pt>
                <c:pt idx="10">
                  <c:v>3338</c:v>
                </c:pt>
                <c:pt idx="11">
                  <c:v>2656</c:v>
                </c:pt>
                <c:pt idx="12">
                  <c:v>3039</c:v>
                </c:pt>
                <c:pt idx="13">
                  <c:v>2093</c:v>
                </c:pt>
                <c:pt idx="14">
                  <c:v>2294</c:v>
                </c:pt>
                <c:pt idx="15">
                  <c:v>2724</c:v>
                </c:pt>
                <c:pt idx="16">
                  <c:v>4052</c:v>
                </c:pt>
                <c:pt idx="17">
                  <c:v>4548</c:v>
                </c:pt>
                <c:pt idx="18">
                  <c:v>5208</c:v>
                </c:pt>
                <c:pt idx="19">
                  <c:v>5796</c:v>
                </c:pt>
                <c:pt idx="20">
                  <c:v>4883</c:v>
                </c:pt>
                <c:pt idx="21">
                  <c:v>5033</c:v>
                </c:pt>
                <c:pt idx="22">
                  <c:v>3693</c:v>
                </c:pt>
                <c:pt idx="23">
                  <c:v>3606</c:v>
                </c:pt>
                <c:pt idx="24">
                  <c:v>3929</c:v>
                </c:pt>
                <c:pt idx="25">
                  <c:v>3870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5B7-AE4A-914A-4732DFD68122}"/>
            </c:ext>
          </c:extLst>
        </c:ser>
        <c:ser>
          <c:idx val="7"/>
          <c:order val="7"/>
          <c:tx>
            <c:strRef>
              <c:f>'Private Sector Value'!$I$4</c:f>
              <c:strCache>
                <c:ptCount val="1"/>
                <c:pt idx="0">
                  <c:v>Private commercial: health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Value'!$I$5:$I$30</c:f>
              <c:numCache>
                <c:formatCode>#,##0</c:formatCode>
                <c:ptCount val="26"/>
                <c:pt idx="0">
                  <c:v>578</c:v>
                </c:pt>
                <c:pt idx="1">
                  <c:v>694</c:v>
                </c:pt>
                <c:pt idx="2">
                  <c:v>914</c:v>
                </c:pt>
                <c:pt idx="3">
                  <c:v>803</c:v>
                </c:pt>
                <c:pt idx="4">
                  <c:v>895</c:v>
                </c:pt>
                <c:pt idx="5">
                  <c:v>999</c:v>
                </c:pt>
                <c:pt idx="6">
                  <c:v>2091</c:v>
                </c:pt>
                <c:pt idx="7">
                  <c:v>1982</c:v>
                </c:pt>
                <c:pt idx="8">
                  <c:v>2272</c:v>
                </c:pt>
                <c:pt idx="9">
                  <c:v>2622</c:v>
                </c:pt>
                <c:pt idx="10">
                  <c:v>4218</c:v>
                </c:pt>
                <c:pt idx="11">
                  <c:v>2923</c:v>
                </c:pt>
                <c:pt idx="12">
                  <c:v>2054</c:v>
                </c:pt>
                <c:pt idx="13">
                  <c:v>1976</c:v>
                </c:pt>
                <c:pt idx="14">
                  <c:v>1623</c:v>
                </c:pt>
                <c:pt idx="15">
                  <c:v>1431</c:v>
                </c:pt>
                <c:pt idx="16">
                  <c:v>1144</c:v>
                </c:pt>
                <c:pt idx="17">
                  <c:v>1099</c:v>
                </c:pt>
                <c:pt idx="18">
                  <c:v>1204</c:v>
                </c:pt>
                <c:pt idx="19">
                  <c:v>1198</c:v>
                </c:pt>
                <c:pt idx="20">
                  <c:v>966</c:v>
                </c:pt>
                <c:pt idx="21">
                  <c:v>1173</c:v>
                </c:pt>
                <c:pt idx="22">
                  <c:v>727</c:v>
                </c:pt>
                <c:pt idx="23">
                  <c:v>794</c:v>
                </c:pt>
                <c:pt idx="24">
                  <c:v>1195</c:v>
                </c:pt>
                <c:pt idx="25">
                  <c:v>1505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5B7-AE4A-914A-4732DFD68122}"/>
            </c:ext>
          </c:extLst>
        </c:ser>
        <c:ser>
          <c:idx val="8"/>
          <c:order val="8"/>
          <c:tx>
            <c:strRef>
              <c:f>'Private Sector Value'!$J$4</c:f>
              <c:strCache>
                <c:ptCount val="1"/>
                <c:pt idx="0">
                  <c:v>Private commercial: offices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Value'!$J$5:$J$30</c:f>
              <c:numCache>
                <c:formatCode>#,##0</c:formatCode>
                <c:ptCount val="26"/>
                <c:pt idx="0">
                  <c:v>5186</c:v>
                </c:pt>
                <c:pt idx="1">
                  <c:v>6037</c:v>
                </c:pt>
                <c:pt idx="2">
                  <c:v>7397</c:v>
                </c:pt>
                <c:pt idx="3">
                  <c:v>8946</c:v>
                </c:pt>
                <c:pt idx="4">
                  <c:v>8881</c:v>
                </c:pt>
                <c:pt idx="5">
                  <c:v>7815</c:v>
                </c:pt>
                <c:pt idx="6">
                  <c:v>7973</c:v>
                </c:pt>
                <c:pt idx="7">
                  <c:v>8886</c:v>
                </c:pt>
                <c:pt idx="8">
                  <c:v>10390</c:v>
                </c:pt>
                <c:pt idx="9">
                  <c:v>12981</c:v>
                </c:pt>
                <c:pt idx="10">
                  <c:v>12634</c:v>
                </c:pt>
                <c:pt idx="11">
                  <c:v>7802</c:v>
                </c:pt>
                <c:pt idx="12">
                  <c:v>6235</c:v>
                </c:pt>
                <c:pt idx="13">
                  <c:v>6344</c:v>
                </c:pt>
                <c:pt idx="14">
                  <c:v>5811</c:v>
                </c:pt>
                <c:pt idx="15">
                  <c:v>6454</c:v>
                </c:pt>
                <c:pt idx="16">
                  <c:v>7633</c:v>
                </c:pt>
                <c:pt idx="17">
                  <c:v>8974</c:v>
                </c:pt>
                <c:pt idx="18">
                  <c:v>10613</c:v>
                </c:pt>
                <c:pt idx="19">
                  <c:v>11227</c:v>
                </c:pt>
                <c:pt idx="20">
                  <c:v>10553</c:v>
                </c:pt>
                <c:pt idx="21">
                  <c:v>10307</c:v>
                </c:pt>
                <c:pt idx="22">
                  <c:v>8404</c:v>
                </c:pt>
                <c:pt idx="23">
                  <c:v>9125</c:v>
                </c:pt>
                <c:pt idx="24">
                  <c:v>9605</c:v>
                </c:pt>
                <c:pt idx="25">
                  <c:v>10879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5B7-AE4A-914A-4732DFD68122}"/>
            </c:ext>
          </c:extLst>
        </c:ser>
        <c:ser>
          <c:idx val="9"/>
          <c:order val="9"/>
          <c:tx>
            <c:strRef>
              <c:f>'Private Sector Value'!$K$4</c:f>
              <c:strCache>
                <c:ptCount val="1"/>
                <c:pt idx="0">
                  <c:v>Private commercial: entertainment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Value'!$K$5:$K$30</c:f>
              <c:numCache>
                <c:formatCode>#,##0</c:formatCode>
                <c:ptCount val="26"/>
                <c:pt idx="0">
                  <c:v>3561</c:v>
                </c:pt>
                <c:pt idx="1">
                  <c:v>4195</c:v>
                </c:pt>
                <c:pt idx="2">
                  <c:v>4134</c:v>
                </c:pt>
                <c:pt idx="3">
                  <c:v>3580</c:v>
                </c:pt>
                <c:pt idx="4">
                  <c:v>4176</c:v>
                </c:pt>
                <c:pt idx="5">
                  <c:v>3906</c:v>
                </c:pt>
                <c:pt idx="6">
                  <c:v>4652</c:v>
                </c:pt>
                <c:pt idx="7">
                  <c:v>4387</c:v>
                </c:pt>
                <c:pt idx="8">
                  <c:v>4552</c:v>
                </c:pt>
                <c:pt idx="9">
                  <c:v>4962</c:v>
                </c:pt>
                <c:pt idx="10">
                  <c:v>5377</c:v>
                </c:pt>
                <c:pt idx="11">
                  <c:v>4463</c:v>
                </c:pt>
                <c:pt idx="12">
                  <c:v>4036</c:v>
                </c:pt>
                <c:pt idx="13">
                  <c:v>4934</c:v>
                </c:pt>
                <c:pt idx="14">
                  <c:v>4152</c:v>
                </c:pt>
                <c:pt idx="15">
                  <c:v>4424</c:v>
                </c:pt>
                <c:pt idx="16">
                  <c:v>4846</c:v>
                </c:pt>
                <c:pt idx="17">
                  <c:v>5614</c:v>
                </c:pt>
                <c:pt idx="18">
                  <c:v>6000</c:v>
                </c:pt>
                <c:pt idx="19">
                  <c:v>7385</c:v>
                </c:pt>
                <c:pt idx="20">
                  <c:v>8442</c:v>
                </c:pt>
                <c:pt idx="21">
                  <c:v>8773</c:v>
                </c:pt>
                <c:pt idx="22">
                  <c:v>7477</c:v>
                </c:pt>
                <c:pt idx="23">
                  <c:v>6584</c:v>
                </c:pt>
                <c:pt idx="24">
                  <c:v>6298</c:v>
                </c:pt>
                <c:pt idx="25">
                  <c:v>7631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5B7-AE4A-914A-4732DFD68122}"/>
            </c:ext>
          </c:extLst>
        </c:ser>
        <c:ser>
          <c:idx val="10"/>
          <c:order val="10"/>
          <c:tx>
            <c:strRef>
              <c:f>'Private Sector Value'!$L$4</c:f>
              <c:strCache>
                <c:ptCount val="1"/>
                <c:pt idx="0">
                  <c:v>Private commercial: garages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Value'!$L$5:$L$30</c:f>
              <c:numCache>
                <c:formatCode>#,##0</c:formatCode>
                <c:ptCount val="26"/>
                <c:pt idx="0">
                  <c:v>606</c:v>
                </c:pt>
                <c:pt idx="1">
                  <c:v>703</c:v>
                </c:pt>
                <c:pt idx="2">
                  <c:v>481</c:v>
                </c:pt>
                <c:pt idx="3">
                  <c:v>363</c:v>
                </c:pt>
                <c:pt idx="4">
                  <c:v>418</c:v>
                </c:pt>
                <c:pt idx="5">
                  <c:v>459</c:v>
                </c:pt>
                <c:pt idx="6">
                  <c:v>621</c:v>
                </c:pt>
                <c:pt idx="7">
                  <c:v>625</c:v>
                </c:pt>
                <c:pt idx="8">
                  <c:v>517</c:v>
                </c:pt>
                <c:pt idx="9">
                  <c:v>624</c:v>
                </c:pt>
                <c:pt idx="10">
                  <c:v>740</c:v>
                </c:pt>
                <c:pt idx="11">
                  <c:v>667</c:v>
                </c:pt>
                <c:pt idx="12">
                  <c:v>589</c:v>
                </c:pt>
                <c:pt idx="13">
                  <c:v>377</c:v>
                </c:pt>
                <c:pt idx="14">
                  <c:v>406</c:v>
                </c:pt>
                <c:pt idx="15">
                  <c:v>403</c:v>
                </c:pt>
                <c:pt idx="16">
                  <c:v>356</c:v>
                </c:pt>
                <c:pt idx="17">
                  <c:v>246</c:v>
                </c:pt>
                <c:pt idx="18">
                  <c:v>379</c:v>
                </c:pt>
                <c:pt idx="19">
                  <c:v>578</c:v>
                </c:pt>
                <c:pt idx="20">
                  <c:v>574</c:v>
                </c:pt>
                <c:pt idx="21">
                  <c:v>741</c:v>
                </c:pt>
                <c:pt idx="22">
                  <c:v>541</c:v>
                </c:pt>
                <c:pt idx="23">
                  <c:v>378</c:v>
                </c:pt>
                <c:pt idx="24">
                  <c:v>413</c:v>
                </c:pt>
                <c:pt idx="25">
                  <c:v>477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5B7-AE4A-914A-4732DFD68122}"/>
            </c:ext>
          </c:extLst>
        </c:ser>
        <c:ser>
          <c:idx val="11"/>
          <c:order val="11"/>
          <c:tx>
            <c:strRef>
              <c:f>'Private Sector Value'!$M$4</c:f>
              <c:strCache>
                <c:ptCount val="1"/>
                <c:pt idx="0">
                  <c:v>Private commercial: shops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Value'!$M$5:$M$30</c:f>
              <c:numCache>
                <c:formatCode>#,##0</c:formatCode>
                <c:ptCount val="26"/>
                <c:pt idx="0">
                  <c:v>3800</c:v>
                </c:pt>
                <c:pt idx="1">
                  <c:v>4864</c:v>
                </c:pt>
                <c:pt idx="2">
                  <c:v>3884</c:v>
                </c:pt>
                <c:pt idx="3">
                  <c:v>4182</c:v>
                </c:pt>
                <c:pt idx="4">
                  <c:v>5369</c:v>
                </c:pt>
                <c:pt idx="5">
                  <c:v>6290</c:v>
                </c:pt>
                <c:pt idx="6">
                  <c:v>6888</c:v>
                </c:pt>
                <c:pt idx="7">
                  <c:v>6794</c:v>
                </c:pt>
                <c:pt idx="8">
                  <c:v>6949</c:v>
                </c:pt>
                <c:pt idx="9">
                  <c:v>7549</c:v>
                </c:pt>
                <c:pt idx="10">
                  <c:v>7384</c:v>
                </c:pt>
                <c:pt idx="11">
                  <c:v>5508</c:v>
                </c:pt>
                <c:pt idx="12">
                  <c:v>5962</c:v>
                </c:pt>
                <c:pt idx="13">
                  <c:v>5044</c:v>
                </c:pt>
                <c:pt idx="14">
                  <c:v>4642</c:v>
                </c:pt>
                <c:pt idx="15">
                  <c:v>4708</c:v>
                </c:pt>
                <c:pt idx="16">
                  <c:v>5701</c:v>
                </c:pt>
                <c:pt idx="17">
                  <c:v>5285</c:v>
                </c:pt>
                <c:pt idx="18">
                  <c:v>5269</c:v>
                </c:pt>
                <c:pt idx="19">
                  <c:v>4935</c:v>
                </c:pt>
                <c:pt idx="20">
                  <c:v>4590</c:v>
                </c:pt>
                <c:pt idx="21">
                  <c:v>3981</c:v>
                </c:pt>
                <c:pt idx="22">
                  <c:v>2840</c:v>
                </c:pt>
                <c:pt idx="23">
                  <c:v>2209</c:v>
                </c:pt>
                <c:pt idx="24">
                  <c:v>2546</c:v>
                </c:pt>
                <c:pt idx="25">
                  <c:v>2462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5B7-AE4A-914A-4732DFD68122}"/>
            </c:ext>
          </c:extLst>
        </c:ser>
        <c:ser>
          <c:idx val="12"/>
          <c:order val="12"/>
          <c:tx>
            <c:strRef>
              <c:f>'Private Sector Value'!$N$4</c:f>
              <c:strCache>
                <c:ptCount val="1"/>
                <c:pt idx="0">
                  <c:v>Private commercial: agriculture &amp; miscellaneous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Value'!$N$5:$N$30</c:f>
              <c:numCache>
                <c:formatCode>#,##0</c:formatCode>
                <c:ptCount val="26"/>
                <c:pt idx="0">
                  <c:v>621</c:v>
                </c:pt>
                <c:pt idx="1">
                  <c:v>717</c:v>
                </c:pt>
                <c:pt idx="2">
                  <c:v>819</c:v>
                </c:pt>
                <c:pt idx="3">
                  <c:v>760</c:v>
                </c:pt>
                <c:pt idx="4">
                  <c:v>872</c:v>
                </c:pt>
                <c:pt idx="5">
                  <c:v>1240</c:v>
                </c:pt>
                <c:pt idx="6">
                  <c:v>1282</c:v>
                </c:pt>
                <c:pt idx="7">
                  <c:v>1111</c:v>
                </c:pt>
                <c:pt idx="8">
                  <c:v>1604</c:v>
                </c:pt>
                <c:pt idx="9">
                  <c:v>1849</c:v>
                </c:pt>
                <c:pt idx="10">
                  <c:v>1500</c:v>
                </c:pt>
                <c:pt idx="11">
                  <c:v>1539</c:v>
                </c:pt>
                <c:pt idx="12">
                  <c:v>1795</c:v>
                </c:pt>
                <c:pt idx="13">
                  <c:v>3263</c:v>
                </c:pt>
                <c:pt idx="14">
                  <c:v>3404</c:v>
                </c:pt>
                <c:pt idx="15">
                  <c:v>3358</c:v>
                </c:pt>
                <c:pt idx="16">
                  <c:v>2137</c:v>
                </c:pt>
                <c:pt idx="17">
                  <c:v>1081</c:v>
                </c:pt>
                <c:pt idx="18">
                  <c:v>1078</c:v>
                </c:pt>
                <c:pt idx="19">
                  <c:v>1251</c:v>
                </c:pt>
                <c:pt idx="20">
                  <c:v>1106</c:v>
                </c:pt>
                <c:pt idx="21">
                  <c:v>1565</c:v>
                </c:pt>
                <c:pt idx="22">
                  <c:v>1190</c:v>
                </c:pt>
                <c:pt idx="23">
                  <c:v>1054</c:v>
                </c:pt>
                <c:pt idx="24">
                  <c:v>1661</c:v>
                </c:pt>
                <c:pt idx="25">
                  <c:v>2187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75B7-AE4A-914A-4732DFD68122}"/>
            </c:ext>
          </c:extLst>
        </c:ser>
        <c:ser>
          <c:idx val="13"/>
          <c:order val="13"/>
          <c:tx>
            <c:strRef>
              <c:f>'Private Sector Value'!$O$4</c:f>
              <c:strCache>
                <c:ptCount val="1"/>
                <c:pt idx="0">
                  <c:v>All private commercial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Value'!$O$5:$O$30</c:f>
              <c:numCache>
                <c:formatCode>#,##0</c:formatCode>
                <c:ptCount val="26"/>
                <c:pt idx="0">
                  <c:v>14747</c:v>
                </c:pt>
                <c:pt idx="1">
                  <c:v>17713</c:v>
                </c:pt>
                <c:pt idx="2">
                  <c:v>18608</c:v>
                </c:pt>
                <c:pt idx="3">
                  <c:v>19988</c:v>
                </c:pt>
                <c:pt idx="4">
                  <c:v>22220</c:v>
                </c:pt>
                <c:pt idx="5">
                  <c:v>22893</c:v>
                </c:pt>
                <c:pt idx="6">
                  <c:v>25509</c:v>
                </c:pt>
                <c:pt idx="7">
                  <c:v>26325</c:v>
                </c:pt>
                <c:pt idx="8">
                  <c:v>30121</c:v>
                </c:pt>
                <c:pt idx="9">
                  <c:v>34404</c:v>
                </c:pt>
                <c:pt idx="10">
                  <c:v>35190</c:v>
                </c:pt>
                <c:pt idx="11">
                  <c:v>25558</c:v>
                </c:pt>
                <c:pt idx="12">
                  <c:v>23710</c:v>
                </c:pt>
                <c:pt idx="13">
                  <c:v>24031</c:v>
                </c:pt>
                <c:pt idx="14">
                  <c:v>22332</c:v>
                </c:pt>
                <c:pt idx="15">
                  <c:v>23502</c:v>
                </c:pt>
                <c:pt idx="16">
                  <c:v>25868</c:v>
                </c:pt>
                <c:pt idx="17">
                  <c:v>26846</c:v>
                </c:pt>
                <c:pt idx="18">
                  <c:v>29751</c:v>
                </c:pt>
                <c:pt idx="19">
                  <c:v>32370</c:v>
                </c:pt>
                <c:pt idx="20">
                  <c:v>31114</c:v>
                </c:pt>
                <c:pt idx="21">
                  <c:v>31572</c:v>
                </c:pt>
                <c:pt idx="22">
                  <c:v>24871</c:v>
                </c:pt>
                <c:pt idx="23">
                  <c:v>23750</c:v>
                </c:pt>
                <c:pt idx="24">
                  <c:v>25646</c:v>
                </c:pt>
                <c:pt idx="25">
                  <c:v>29010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75B7-AE4A-914A-4732DFD68122}"/>
            </c:ext>
          </c:extLst>
        </c:ser>
        <c:ser>
          <c:idx val="14"/>
          <c:order val="14"/>
          <c:tx>
            <c:strRef>
              <c:f>'Private Sector Value'!$P$4</c:f>
              <c:strCache>
                <c:ptCount val="1"/>
                <c:pt idx="0">
                  <c:v>All Private Sector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Value'!$P$5:$P$30</c:f>
              <c:numCache>
                <c:formatCode>#,##0</c:formatCode>
                <c:ptCount val="26"/>
                <c:pt idx="0">
                  <c:v>32710</c:v>
                </c:pt>
                <c:pt idx="1">
                  <c:v>35629</c:v>
                </c:pt>
                <c:pt idx="2">
                  <c:v>38105</c:v>
                </c:pt>
                <c:pt idx="3">
                  <c:v>40118</c:v>
                </c:pt>
                <c:pt idx="4">
                  <c:v>44030</c:v>
                </c:pt>
                <c:pt idx="5">
                  <c:v>48070</c:v>
                </c:pt>
                <c:pt idx="6">
                  <c:v>54795</c:v>
                </c:pt>
                <c:pt idx="7">
                  <c:v>57810</c:v>
                </c:pt>
                <c:pt idx="8">
                  <c:v>63499</c:v>
                </c:pt>
                <c:pt idx="9">
                  <c:v>68570</c:v>
                </c:pt>
                <c:pt idx="10">
                  <c:v>64989</c:v>
                </c:pt>
                <c:pt idx="11">
                  <c:v>48113</c:v>
                </c:pt>
                <c:pt idx="12">
                  <c:v>50635</c:v>
                </c:pt>
                <c:pt idx="13">
                  <c:v>53424</c:v>
                </c:pt>
                <c:pt idx="14">
                  <c:v>51653</c:v>
                </c:pt>
                <c:pt idx="15">
                  <c:v>53975</c:v>
                </c:pt>
                <c:pt idx="16">
                  <c:v>63147</c:v>
                </c:pt>
                <c:pt idx="17">
                  <c:v>68814</c:v>
                </c:pt>
                <c:pt idx="18">
                  <c:v>75429</c:v>
                </c:pt>
                <c:pt idx="19">
                  <c:v>83933</c:v>
                </c:pt>
                <c:pt idx="20">
                  <c:v>85443</c:v>
                </c:pt>
                <c:pt idx="21">
                  <c:v>90138</c:v>
                </c:pt>
                <c:pt idx="22">
                  <c:v>73931</c:v>
                </c:pt>
                <c:pt idx="23">
                  <c:v>83818</c:v>
                </c:pt>
                <c:pt idx="24">
                  <c:v>98367</c:v>
                </c:pt>
                <c:pt idx="25">
                  <c:v>100418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5B7-AE4A-914A-4732DFD681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0298879"/>
        <c:axId val="200302463"/>
      </c:barChart>
      <c:catAx>
        <c:axId val="20029887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/>
                  <a:t>Type</a:t>
                </a:r>
                <a:r>
                  <a:rPr lang="en-GB" sz="1200" b="1" baseline="0"/>
                  <a:t> of Work Each Year</a:t>
                </a:r>
                <a:endParaRPr lang="en-GB" sz="1200" b="1"/>
              </a:p>
            </c:rich>
          </c:tx>
          <c:layout>
            <c:manualLayout>
              <c:xMode val="edge"/>
              <c:yMode val="edge"/>
              <c:x val="0.47929725429399045"/>
              <c:y val="0.685699533459956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302463"/>
        <c:crosses val="autoZero"/>
        <c:auto val="1"/>
        <c:lblAlgn val="ctr"/>
        <c:lblOffset val="100"/>
        <c:noMultiLvlLbl val="0"/>
      </c:catAx>
      <c:valAx>
        <c:axId val="200302463"/>
        <c:scaling>
          <c:orientation val="minMax"/>
          <c:max val="25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/>
                  <a:t>Value</a:t>
                </a:r>
                <a:r>
                  <a:rPr lang="en-GB" sz="1200" b="1" baseline="0"/>
                  <a:t> of Construction Output (£million)</a:t>
                </a:r>
                <a:endParaRPr lang="en-GB" sz="12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988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388997796907511"/>
          <c:y val="0.74039536041601361"/>
          <c:w val="0.72479111419362741"/>
          <c:h val="0.1940308690921831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The Number of Firms in the UK in regards to Turnover</a:t>
            </a:r>
            <a:r>
              <a:rPr lang="en-GB" b="1" baseline="0"/>
              <a:t> Size Band in 2023</a:t>
            </a:r>
            <a:endParaRPr lang="en-GB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9C7-DF4D-AA80-4CEEF1B5F0F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9C7-DF4D-AA80-4CEEF1B5F0F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9C7-DF4D-AA80-4CEEF1B5F0F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9C7-DF4D-AA80-4CEEF1B5F0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9C7-DF4D-AA80-4CEEF1B5F0F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9C7-DF4D-AA80-4CEEF1B5F0F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9C7-DF4D-AA80-4CEEF1B5F0F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9C7-DF4D-AA80-4CEEF1B5F0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9C7-DF4D-AA80-4CEEF1B5F0F8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89C7-DF4D-AA80-4CEEF1B5F0F8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9C7-DF4D-AA80-4CEEF1B5F0F8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89C7-DF4D-AA80-4CEEF1B5F0F8}"/>
              </c:ext>
            </c:extLst>
          </c:dPt>
          <c:cat>
            <c:strRef>
              <c:f>'No. of Firms - Turnover'!$A$4:$A$15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'No. of Firms - Turnover'!$R$4:$R$15</c:f>
              <c:numCache>
                <c:formatCode>#,##0</c:formatCode>
                <c:ptCount val="12"/>
                <c:pt idx="0">
                  <c:v>295172</c:v>
                </c:pt>
                <c:pt idx="1">
                  <c:v>33857</c:v>
                </c:pt>
                <c:pt idx="2">
                  <c:v>28512</c:v>
                </c:pt>
                <c:pt idx="3">
                  <c:v>3686</c:v>
                </c:pt>
                <c:pt idx="4">
                  <c:v>1718</c:v>
                </c:pt>
                <c:pt idx="5">
                  <c:v>518</c:v>
                </c:pt>
                <c:pt idx="6">
                  <c:v>254</c:v>
                </c:pt>
                <c:pt idx="7">
                  <c:v>179</c:v>
                </c:pt>
                <c:pt idx="8">
                  <c:v>330</c:v>
                </c:pt>
                <c:pt idx="9">
                  <c:v>235</c:v>
                </c:pt>
                <c:pt idx="10">
                  <c:v>30</c:v>
                </c:pt>
                <c:pt idx="11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54-44BD-9AA8-028C47A24D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161924</xdr:colOff>
      <xdr:row>6</xdr:row>
      <xdr:rowOff>157162</xdr:rowOff>
    </xdr:from>
    <xdr:to>
      <xdr:col>23</xdr:col>
      <xdr:colOff>533399</xdr:colOff>
      <xdr:row>23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A56099A-8658-968A-127C-34980E2636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44450</xdr:colOff>
      <xdr:row>3</xdr:row>
      <xdr:rowOff>260350</xdr:rowOff>
    </xdr:from>
    <xdr:to>
      <xdr:col>30</xdr:col>
      <xdr:colOff>127000</xdr:colOff>
      <xdr:row>29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05B4235-F33C-02F6-168F-841CF14B1F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76200</xdr:colOff>
      <xdr:row>30</xdr:row>
      <xdr:rowOff>101600</xdr:rowOff>
    </xdr:from>
    <xdr:to>
      <xdr:col>30</xdr:col>
      <xdr:colOff>635000</xdr:colOff>
      <xdr:row>59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E050550-6428-7196-597D-11F00F6B4B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685799</xdr:colOff>
      <xdr:row>17</xdr:row>
      <xdr:rowOff>109536</xdr:rowOff>
    </xdr:from>
    <xdr:to>
      <xdr:col>6</xdr:col>
      <xdr:colOff>581025</xdr:colOff>
      <xdr:row>34</xdr:row>
      <xdr:rowOff>190499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1D4DA4F-4A79-14B4-FB89-FC1971281B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opLeftCell="C2" zoomScaleNormal="100" workbookViewId="0">
      <selection activeCell="T4" sqref="T4"/>
    </sheetView>
  </sheetViews>
  <sheetFormatPr baseColWidth="10" defaultColWidth="8.6640625" defaultRowHeight="15"/>
  <cols>
    <col min="1" max="1" width="13" customWidth="1"/>
    <col min="2" max="2" width="12" customWidth="1"/>
    <col min="3" max="3" width="16" customWidth="1"/>
    <col min="4" max="4" width="12.33203125" customWidth="1"/>
    <col min="5" max="5" width="12.5" customWidth="1"/>
    <col min="6" max="6" width="12.33203125" customWidth="1"/>
    <col min="7" max="7" width="12.6640625" customWidth="1"/>
    <col min="8" max="8" width="12.33203125" customWidth="1"/>
    <col min="9" max="9" width="11.6640625" customWidth="1"/>
    <col min="10" max="10" width="11.5" customWidth="1"/>
    <col min="11" max="11" width="13.5" customWidth="1"/>
    <col min="12" max="12" width="12.6640625" customWidth="1"/>
    <col min="13" max="13" width="14.6640625" customWidth="1"/>
    <col min="14" max="14" width="13.6640625" customWidth="1"/>
    <col min="15" max="15" width="16.83203125" customWidth="1"/>
    <col min="16" max="18" width="8.6640625" customWidth="1"/>
  </cols>
  <sheetData>
    <row r="1" spans="1:17" ht="19">
      <c r="A1" s="4" t="s">
        <v>104</v>
      </c>
    </row>
    <row r="2" spans="1:17">
      <c r="A2" s="5" t="s">
        <v>29</v>
      </c>
    </row>
    <row r="3" spans="1:17">
      <c r="A3" s="5"/>
    </row>
    <row r="4" spans="1:17" ht="58.25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1" spans="1:15">
      <c r="A31" s="32" t="s">
        <v>105</v>
      </c>
      <c r="B31" s="33">
        <f>AVERAGE(B5:B30)</f>
        <v>3837.4230769230771</v>
      </c>
      <c r="C31" s="33">
        <f>AVERAGE(C5:C30)</f>
        <v>6697.0384615384619</v>
      </c>
      <c r="D31" s="33">
        <f t="shared" ref="D31:O31" si="0">AVERAGE(D5:D30)</f>
        <v>103</v>
      </c>
      <c r="E31" s="33">
        <f t="shared" si="0"/>
        <v>30.76923076923077</v>
      </c>
      <c r="F31" s="33">
        <f t="shared" si="0"/>
        <v>9.384615384615385</v>
      </c>
      <c r="G31" s="33">
        <f t="shared" si="0"/>
        <v>3618.9615384615386</v>
      </c>
      <c r="H31" s="33">
        <f t="shared" si="0"/>
        <v>986.30769230769226</v>
      </c>
      <c r="I31" s="33">
        <f t="shared" si="0"/>
        <v>1625.7307692307693</v>
      </c>
      <c r="J31" s="33">
        <f t="shared" si="0"/>
        <v>753.03846153846155</v>
      </c>
      <c r="K31" s="33">
        <f t="shared" si="0"/>
        <v>820.65384615384619</v>
      </c>
      <c r="L31" s="33">
        <f t="shared" si="0"/>
        <v>207.26923076923077</v>
      </c>
      <c r="M31" s="33">
        <f t="shared" si="0"/>
        <v>1055.6538461538462</v>
      </c>
      <c r="N31" s="33">
        <f t="shared" si="0"/>
        <v>9211</v>
      </c>
      <c r="O31" s="33">
        <f t="shared" si="0"/>
        <v>19745.423076923078</v>
      </c>
    </row>
    <row r="32" spans="1:15">
      <c r="A32" s="32" t="s">
        <v>107</v>
      </c>
      <c r="B32" s="33">
        <f>MEDIAN(B5:B30)</f>
        <v>4186</v>
      </c>
      <c r="C32" s="33">
        <f>MEDIAN(C5:C30)</f>
        <v>4599</v>
      </c>
      <c r="D32" s="33">
        <f t="shared" ref="D32:O32" si="1">MEDIAN(D5:D30)</f>
        <v>88</v>
      </c>
      <c r="E32" s="33">
        <f t="shared" si="1"/>
        <v>29</v>
      </c>
      <c r="F32" s="33">
        <f t="shared" si="1"/>
        <v>4</v>
      </c>
      <c r="G32" s="33">
        <f t="shared" si="1"/>
        <v>3977</v>
      </c>
      <c r="H32" s="33">
        <f t="shared" si="1"/>
        <v>960.5</v>
      </c>
      <c r="I32" s="33">
        <f t="shared" si="1"/>
        <v>1676.5</v>
      </c>
      <c r="J32" s="33">
        <f t="shared" si="1"/>
        <v>818.5</v>
      </c>
      <c r="K32" s="33">
        <f t="shared" si="1"/>
        <v>829.5</v>
      </c>
      <c r="L32" s="33">
        <f t="shared" si="1"/>
        <v>152.5</v>
      </c>
      <c r="M32" s="33">
        <f t="shared" si="1"/>
        <v>1080</v>
      </c>
      <c r="N32" s="33">
        <f t="shared" si="1"/>
        <v>10049.5</v>
      </c>
      <c r="O32" s="33">
        <f t="shared" si="1"/>
        <v>19814.5</v>
      </c>
    </row>
    <row r="33" spans="1:15">
      <c r="A33" s="32" t="s">
        <v>106</v>
      </c>
      <c r="B33" t="s">
        <v>108</v>
      </c>
      <c r="C33" t="s">
        <v>108</v>
      </c>
      <c r="D33">
        <f>_xlfn.MODE.SNGL(Table1.1[Public other new work: factories])</f>
        <v>77</v>
      </c>
      <c r="E33">
        <f>_xlfn.MODE.SNGL(Table1.1[Public other new work: warehouses])</f>
        <v>29</v>
      </c>
      <c r="F33">
        <f>_xlfn.MODE.SNGL(Table1.1[Public other new work: oil, steel &amp; coal])</f>
        <v>4</v>
      </c>
      <c r="G33" t="s">
        <v>108</v>
      </c>
      <c r="H33" t="s">
        <v>108</v>
      </c>
      <c r="I33" t="s">
        <v>108</v>
      </c>
      <c r="J33" t="s">
        <v>108</v>
      </c>
      <c r="K33" t="s">
        <v>108</v>
      </c>
      <c r="L33" t="s">
        <v>108</v>
      </c>
      <c r="M33">
        <f>_xlfn.MODE.SNGL(Table1.1[Public other new work: agriculture &amp; miscellaneous])</f>
        <v>668</v>
      </c>
      <c r="N33" t="s">
        <v>108</v>
      </c>
      <c r="O33" t="s">
        <v>108</v>
      </c>
    </row>
    <row r="34" spans="1:15">
      <c r="A34" s="32" t="s">
        <v>109</v>
      </c>
      <c r="B34">
        <f>_xlfn.STDEV.S(Table1.1[Total public new housing])</f>
        <v>1933.7118331970134</v>
      </c>
      <c r="C34">
        <f>_xlfn.STDEV.S(Table1.1[Total public infrastructure])</f>
        <v>5042.993805118299</v>
      </c>
      <c r="D34">
        <f>_xlfn.STDEV.S(Table1.1[Public other new work: factories])</f>
        <v>54.568855586314072</v>
      </c>
      <c r="E34">
        <f>_xlfn.STDEV.S(Table1.1[Public other new work: warehouses])</f>
        <v>15.77417558494311</v>
      </c>
      <c r="F34">
        <f>_xlfn.STDEV.S(Table1.1[Public other new work: oil, steel &amp; coal])</f>
        <v>12.079989811508694</v>
      </c>
      <c r="G34">
        <f>_xlfn.STDEV.S(Table1.1[Public other new work: schools &amp; colleges])</f>
        <v>1527.4180693122421</v>
      </c>
      <c r="H34">
        <f>_xlfn.STDEV.S(Table1.1[Public other new work: universities])</f>
        <v>431.73925179263188</v>
      </c>
      <c r="I34">
        <f>_xlfn.STDEV.S(Table1.1[Public other new work: health])</f>
        <v>527.53294173481174</v>
      </c>
      <c r="J34">
        <f>_xlfn.STDEV.S(Table1.1[Public other new work: offices])</f>
        <v>191.38620238026169</v>
      </c>
      <c r="K34">
        <f>_xlfn.STDEV.S(Table1.1[Public other new work: entertainment])</f>
        <v>280.68216078799054</v>
      </c>
      <c r="L34">
        <f>_xlfn.STDEV.S(Table1.1[Public other new work: garages &amp; shops])</f>
        <v>150.02627974919801</v>
      </c>
      <c r="M34">
        <f>_xlfn.STDEV.S(Table1.1[Public other new work: agriculture &amp; miscellaneous])</f>
        <v>357.87907927764564</v>
      </c>
      <c r="N34">
        <f>_xlfn.STDEV.S(Table1.1[Total other new work])</f>
        <v>2952.5899681466099</v>
      </c>
      <c r="O34">
        <f>_xlfn.STDEV.S(Table1.1[All Public Sector])</f>
        <v>8569.7219519565588</v>
      </c>
    </row>
    <row r="35" spans="1:15">
      <c r="A35" s="32" t="s">
        <v>110</v>
      </c>
      <c r="B35" s="33">
        <f>MAX(Table1.1[Total public new housing]) - MIN(Table1.1[Total public new housing])</f>
        <v>6214</v>
      </c>
      <c r="C35" s="33">
        <f>MAX(Table1.1[Total public infrastructure]) - MIN(Table1.1[Total public infrastructure])</f>
        <v>17417</v>
      </c>
      <c r="D35" s="33">
        <f>MAX(Table1.1[Public other new work: factories]) - MIN(Table1.1[Public other new work: factories])</f>
        <v>229</v>
      </c>
      <c r="E35" s="33">
        <f>MAX(Table1.1[Public other new work: warehouses]) - MIN(Table1.1[Public other new work: warehouses])</f>
        <v>65</v>
      </c>
      <c r="F35" s="33">
        <f>MAX(Table1.1[Public other new work: oil, steel &amp; coal]) - MIN(Table1.1[Public other new work: oil, steel &amp; coal])</f>
        <v>44</v>
      </c>
      <c r="G35" s="33">
        <f>MAX(Table1.1[Public other new work: schools &amp; colleges]) - MIN(Table1.1[Public other new work: schools &amp; colleges])</f>
        <v>6138</v>
      </c>
      <c r="H35" s="33">
        <f>MAX(Table1.1[Public other new work: universities]) - MIN(Table1.1[Public other new work: universities])</f>
        <v>1562</v>
      </c>
      <c r="I35" s="33">
        <f>MAX(Table1.1[Public other new work: health]) - MIN(Table1.1[Public other new work: health])</f>
        <v>1902</v>
      </c>
      <c r="J35" s="33">
        <f>MAX(Table1.1[Public other new work: offices]) - MIN(Table1.1[Public other new work: offices])</f>
        <v>645</v>
      </c>
      <c r="K35" s="33">
        <f>MAX(Table1.1[Public other new work: entertainment]) - MIN(Table1.1[Public other new work: entertainment])</f>
        <v>1201</v>
      </c>
      <c r="L35" s="33">
        <f>MAX(Table1.1[Public other new work: garages &amp; shops]) - MIN(Table1.1[Public other new work: garages &amp; shops])</f>
        <v>619</v>
      </c>
      <c r="M35" s="33">
        <f>MAX(Table1.1[Public other new work: agriculture &amp; miscellaneous]) - MIN(Table1.1[Public other new work: agriculture &amp; miscellaneous])</f>
        <v>1742</v>
      </c>
      <c r="N35" s="33">
        <f>MAX(Table1.1[Total other new work]) - MIN(Table1.1[Total other new work])</f>
        <v>11029</v>
      </c>
      <c r="O35" s="33">
        <f>MAX(Table1.1[All Public Sector]) - MIN(Table1.1[All Public Sector])</f>
        <v>31608</v>
      </c>
    </row>
    <row r="36" spans="1:15">
      <c r="F36" s="18"/>
    </row>
    <row r="37" spans="1:15">
      <c r="F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5"/>
  <sheetViews>
    <sheetView tabSelected="1" topLeftCell="G19" workbookViewId="0">
      <selection activeCell="L41" sqref="L41"/>
    </sheetView>
  </sheetViews>
  <sheetFormatPr baseColWidth="10" defaultColWidth="8.6640625" defaultRowHeight="15"/>
  <cols>
    <col min="1" max="1" width="13" customWidth="1"/>
    <col min="2" max="2" width="14.6640625" customWidth="1"/>
    <col min="3" max="3" width="14" customWidth="1"/>
    <col min="4" max="4" width="9.6640625" customWidth="1"/>
    <col min="5" max="5" width="11.33203125" customWidth="1"/>
    <col min="6" max="6" width="10.6640625" customWidth="1"/>
    <col min="7" max="7" width="11.33203125" customWidth="1"/>
    <col min="8" max="8" width="11.5" customWidth="1"/>
    <col min="9" max="9" width="11.6640625" customWidth="1"/>
    <col min="10" max="10" width="12.33203125" customWidth="1"/>
    <col min="11" max="11" width="13.1640625" customWidth="1"/>
    <col min="12" max="12" width="11.33203125" customWidth="1"/>
    <col min="13" max="13" width="11.5" customWidth="1"/>
    <col min="14" max="14" width="13.6640625" customWidth="1"/>
    <col min="15" max="15" width="10.6640625" customWidth="1"/>
    <col min="16" max="16" width="15.5" customWidth="1"/>
  </cols>
  <sheetData>
    <row r="1" spans="1:16" ht="19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1" spans="1:16">
      <c r="A31" s="32" t="s">
        <v>105</v>
      </c>
      <c r="B31">
        <f>AVERAGE(Table1.2[Total private new housing])</f>
        <v>23301.807692307691</v>
      </c>
      <c r="C31">
        <f>AVERAGE(Table1.2[Total private Infrastructure])</f>
        <v>8636.1923076923085</v>
      </c>
      <c r="D31">
        <f>AVERAGE(Table1.2[Private industrial: factories])</f>
        <v>2613.6153846153848</v>
      </c>
      <c r="E31">
        <f>AVERAGE(Table1.2[Private industrial: warehouses])</f>
        <v>2281.7307692307691</v>
      </c>
      <c r="F31">
        <f>AVERAGE(Table1.2[Private industrial: oil, steel &amp; coal])</f>
        <v>163.30769230769232</v>
      </c>
      <c r="G31">
        <f>AVERAGE(Table1.2[All private industrial])</f>
        <v>5058.6923076923076</v>
      </c>
      <c r="H31">
        <f>AVERAGE(Table1.2[Private commercial: schools &amp; universities])</f>
        <v>3076.3076923076924</v>
      </c>
      <c r="I31">
        <f>AVERAGE(Table1.2[Private commercial: health])</f>
        <v>1503.0769230769231</v>
      </c>
      <c r="J31">
        <f>AVERAGE(Table1.2[Private commercial: offices])</f>
        <v>8734.3076923076915</v>
      </c>
      <c r="K31">
        <f>AVERAGE(Table1.2[Private commercial: entertainment])</f>
        <v>5328.5</v>
      </c>
      <c r="L31">
        <f>AVERAGE(Table1.2[Private commercial: garages])</f>
        <v>510.84615384615387</v>
      </c>
      <c r="M31">
        <f>AVERAGE(Table1.2[Private commercial: shops])</f>
        <v>4985.9615384615381</v>
      </c>
      <c r="N31">
        <f>AVERAGE(Table1.2[Private commercial: agriculture &amp; miscellaneous])</f>
        <v>1540.1538461538462</v>
      </c>
      <c r="O31">
        <f>AVERAGE(Table1.2[All private commercial])</f>
        <v>25678.807692307691</v>
      </c>
      <c r="P31">
        <f>AVERAGE(Table1.2[All Private Sector])</f>
        <v>62675.5</v>
      </c>
    </row>
    <row r="32" spans="1:16">
      <c r="A32" s="32" t="s">
        <v>107</v>
      </c>
      <c r="B32">
        <f>MEDIAN(Table1.2[Total private new housing])</f>
        <v>19846</v>
      </c>
      <c r="C32">
        <f>MEDIAN(Table1.2[Total private Infrastructure])</f>
        <v>8715.5</v>
      </c>
      <c r="D32">
        <f>MEDIAN(Table1.2[Private industrial: factories])</f>
        <v>2678</v>
      </c>
      <c r="E32">
        <f>MEDIAN(Table1.2[Private industrial: warehouses])</f>
        <v>2025.5</v>
      </c>
      <c r="F32">
        <f>MEDIAN(Table1.2[Private industrial: oil, steel &amp; coal])</f>
        <v>151</v>
      </c>
      <c r="G32">
        <f>MEDIAN(Table1.2[All private industrial])</f>
        <v>4859.5</v>
      </c>
      <c r="H32">
        <f>MEDIAN(Table1.2[Private commercial: schools &amp; universities])</f>
        <v>3188.5</v>
      </c>
      <c r="I32">
        <f>MEDIAN(Table1.2[Private commercial: health])</f>
        <v>1196.5</v>
      </c>
      <c r="J32">
        <f>MEDIAN(Table1.2[Private commercial: offices])</f>
        <v>8883.5</v>
      </c>
      <c r="K32">
        <f>MEDIAN(Table1.2[Private commercial: entertainment])</f>
        <v>4749</v>
      </c>
      <c r="L32">
        <f>MEDIAN(Table1.2[Private commercial: garages])</f>
        <v>499</v>
      </c>
      <c r="M32">
        <f>MEDIAN(Table1.2[Private commercial: shops])</f>
        <v>4989.5</v>
      </c>
      <c r="N32">
        <f>MEDIAN(Table1.2[Private commercial: agriculture &amp; miscellaneous])</f>
        <v>1266.5</v>
      </c>
      <c r="O32">
        <f>MEDIAN(Table1.2[All private commercial])</f>
        <v>25533.5</v>
      </c>
      <c r="P32">
        <f>MEDIAN(Table1.2[All Private Sector])</f>
        <v>60478.5</v>
      </c>
    </row>
    <row r="33" spans="1:16">
      <c r="A33" s="32" t="s">
        <v>106</v>
      </c>
      <c r="B33" t="e">
        <f>_xlfn.MODE.SNGL(Table1.2[Total private new housing])</f>
        <v>#N/A</v>
      </c>
      <c r="C33">
        <f>_xlfn.MODE.SNGL(Table1.2[Total private Infrastructure])</f>
        <v>5305</v>
      </c>
      <c r="D33">
        <f>_xlfn.MODE.SNGL(Table1.2[Private industrial: factories])</f>
        <v>3296</v>
      </c>
      <c r="E33" t="e">
        <f>_xlfn.MODE.SNGL(Table1.2[Private industrial: warehouses])</f>
        <v>#N/A</v>
      </c>
      <c r="F33">
        <f>_xlfn.MODE.SNGL(Table1.2[Private industrial: oil, steel &amp; coal])</f>
        <v>73</v>
      </c>
      <c r="G33" t="e">
        <f>_xlfn.MODE.SNGL(Table1.2[All private industrial])</f>
        <v>#N/A</v>
      </c>
      <c r="H33" t="e">
        <f>_xlfn.MODE.SNGL(Table1.2[Private commercial: schools &amp; universities])</f>
        <v>#N/A</v>
      </c>
      <c r="I33" t="e">
        <f>_xlfn.MODE.SNGL(Table1.2[Private commercial: health])</f>
        <v>#N/A</v>
      </c>
      <c r="J33" t="e">
        <f>_xlfn.MODE.SNGL(Table1.2[Private commercial: offices])</f>
        <v>#N/A</v>
      </c>
      <c r="K33" t="e">
        <f>_xlfn.MODE.SNGL(Table1.2[Private commercial: entertainment])</f>
        <v>#N/A</v>
      </c>
      <c r="L33" t="e">
        <f>_xlfn.MODE.SNGL(Table1.2[Private commercial: garages])</f>
        <v>#N/A</v>
      </c>
      <c r="M33" t="e">
        <f>_xlfn.MODE.SNGL(Table1.2[Private commercial: shops])</f>
        <v>#N/A</v>
      </c>
      <c r="N33" t="e">
        <f>_xlfn.MODE.SNGL(Table1.2[Private commercial: agriculture &amp; miscellaneous])</f>
        <v>#N/A</v>
      </c>
      <c r="O33" t="e">
        <f>_xlfn.MODE.SNGL(Table1.2[All private commercial])</f>
        <v>#N/A</v>
      </c>
      <c r="P33" t="e">
        <f>_xlfn.MODE.SNGL(Table1.2[All Private Sector])</f>
        <v>#N/A</v>
      </c>
    </row>
    <row r="34" spans="1:16">
      <c r="A34" s="32" t="s">
        <v>109</v>
      </c>
      <c r="B34">
        <f>_xlfn.STDEV.S(Table1.2[Total private new housing])</f>
        <v>12315.36673272617</v>
      </c>
      <c r="C34">
        <f>_xlfn.STDEV.S(Table1.2[Total private Infrastructure])</f>
        <v>3395.0424211692052</v>
      </c>
      <c r="D34">
        <f>_xlfn.STDEV.S(Table1.2[Private industrial: factories])</f>
        <v>501.18069211996368</v>
      </c>
      <c r="E34">
        <f>_xlfn.STDEV.S(Table1.2[Private industrial: warehouses])</f>
        <v>963.5538203003423</v>
      </c>
      <c r="F34">
        <f>_xlfn.STDEV.S(Table1.2[Private industrial: oil, steel &amp; coal])</f>
        <v>105.8254295453675</v>
      </c>
      <c r="G34">
        <f>_xlfn.STDEV.S(Table1.2[All private industrial])</f>
        <v>1272.6617388522618</v>
      </c>
      <c r="H34">
        <f>_xlfn.STDEV.S(Table1.2[Private commercial: schools &amp; universities])</f>
        <v>1453.219398968532</v>
      </c>
      <c r="I34">
        <f>_xlfn.STDEV.S(Table1.2[Private commercial: health])</f>
        <v>834.15753538894194</v>
      </c>
      <c r="J34">
        <f>_xlfn.STDEV.S(Table1.2[Private commercial: offices])</f>
        <v>2079.8119678322983</v>
      </c>
      <c r="K34">
        <f>_xlfn.STDEV.S(Table1.2[Private commercial: entertainment])</f>
        <v>1524.3703815018187</v>
      </c>
      <c r="L34">
        <f>_xlfn.STDEV.S(Table1.2[Private commercial: garages])</f>
        <v>133.24164283216939</v>
      </c>
      <c r="M34">
        <f>_xlfn.STDEV.S(Table1.2[Private commercial: shops])</f>
        <v>1498.0525619822349</v>
      </c>
      <c r="N34">
        <f>_xlfn.STDEV.S(Table1.2[Private commercial: agriculture &amp; miscellaneous])</f>
        <v>779.65359960986223</v>
      </c>
      <c r="O34">
        <f>_xlfn.STDEV.S(Table1.2[All private commercial])</f>
        <v>5047.2798695474048</v>
      </c>
      <c r="P34">
        <f>_xlfn.STDEV.S(Table1.2[Total private Infrastructure])</f>
        <v>3395.0424211692052</v>
      </c>
    </row>
    <row r="35" spans="1:16">
      <c r="A35" s="32" t="s">
        <v>110</v>
      </c>
      <c r="B35" s="33">
        <f>MAX(Table1.2[Total private new housing])-MIN(Table1.2[Total private new housing])</f>
        <v>42400</v>
      </c>
      <c r="C35" s="33">
        <f>MAX(Table1.2[Total private Infrastructure])-MIN(Table1.2[Total private Infrastructure])</f>
        <v>11836</v>
      </c>
      <c r="D35" s="33">
        <f>MAX(Table1.2[Private industrial: factories])-MIN(Table1.2[Private industrial: factories])</f>
        <v>1726</v>
      </c>
      <c r="E35" s="33">
        <f>MAX(Table1.2[Private industrial: warehouses])-MIN(Table1.2[Private industrial: warehouses])</f>
        <v>3529</v>
      </c>
      <c r="F35" s="33">
        <f>MAX(Table1.2[Private industrial: oil, steel &amp; coal])-MIN(Table1.2[Private industrial: oil, steel &amp; coal])</f>
        <v>424</v>
      </c>
      <c r="G35" s="33">
        <f>MAX(Table1.2[All private industrial])-MIN(Table1.2[All private industrial])</f>
        <v>5160</v>
      </c>
      <c r="H35" s="33">
        <f>MAX(Table1.2[Private commercial: schools &amp; universities])-MIN(Table1.2[Private commercial: schools &amp; universities])</f>
        <v>5400</v>
      </c>
      <c r="I35" s="33">
        <f>MAX(Table1.2[Private commercial: health])-MIN(Table1.2[Private commercial: health])</f>
        <v>3640</v>
      </c>
      <c r="J35" s="33">
        <f>MAX(Table1.2[Private commercial: offices])-MIN(Table1.2[Private commercial: offices])</f>
        <v>7795</v>
      </c>
      <c r="K35" s="33">
        <f>MAX(Table1.2[Private commercial: entertainment])-MIN(Table1.2[Private commercial: entertainment])</f>
        <v>5212</v>
      </c>
      <c r="L35" s="33">
        <f>MAX(Table1.2[Private commercial: garages])-MIN(Table1.2[Private commercial: garages])</f>
        <v>495</v>
      </c>
      <c r="M35" s="33">
        <f>MAX(Table1.2[Private commercial: shops])-MIN(Table1.2[Private commercial: shops])</f>
        <v>5340</v>
      </c>
      <c r="N35" s="33">
        <f>MAX(Table1.2[Private commercial: agriculture &amp; miscellaneous])-MIN(Table1.2[Private commercial: agriculture &amp; miscellaneous])</f>
        <v>2783</v>
      </c>
      <c r="O35" s="33">
        <f>MAX(Table1.2[All private commercial])-MIN(Table1.2[All private commercial])</f>
        <v>20443</v>
      </c>
      <c r="P35" s="33">
        <f>MAX(Table1.2[All Private Sector])-MIN(Table1.2[All Private Sector])</f>
        <v>67708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18"/>
  <sheetViews>
    <sheetView topLeftCell="Q1" workbookViewId="0">
      <selection activeCell="C7" sqref="C6:C7"/>
    </sheetView>
  </sheetViews>
  <sheetFormatPr baseColWidth="10" defaultColWidth="8.6640625" defaultRowHeight="15"/>
  <cols>
    <col min="1" max="1" width="17.5" customWidth="1"/>
    <col min="2" max="27" width="8.83203125" customWidth="1"/>
  </cols>
  <sheetData>
    <row r="1" spans="1:28" ht="19">
      <c r="A1" s="3" t="s">
        <v>102</v>
      </c>
    </row>
    <row r="2" spans="1:28" ht="19">
      <c r="A2" s="3"/>
    </row>
    <row r="3" spans="1:28" ht="16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25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W17"/>
  <sheetViews>
    <sheetView topLeftCell="A4" workbookViewId="0">
      <selection activeCell="E42" sqref="E42"/>
    </sheetView>
  </sheetViews>
  <sheetFormatPr baseColWidth="10" defaultColWidth="8.83203125" defaultRowHeight="15"/>
  <cols>
    <col min="1" max="1" width="35.33203125" customWidth="1"/>
  </cols>
  <sheetData>
    <row r="1" spans="1:23" ht="19">
      <c r="A1" s="7" t="s">
        <v>101</v>
      </c>
    </row>
    <row r="2" spans="1:23" ht="19">
      <c r="A2" s="7"/>
    </row>
    <row r="3" spans="1:23" ht="32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  <c r="S3" s="32" t="s">
        <v>105</v>
      </c>
      <c r="T3" s="32" t="s">
        <v>107</v>
      </c>
      <c r="U3" s="32" t="s">
        <v>106</v>
      </c>
      <c r="V3" s="34" t="s">
        <v>109</v>
      </c>
      <c r="W3" s="32" t="s">
        <v>110</v>
      </c>
    </row>
    <row r="4" spans="1:23" ht="16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  <c r="S4">
        <f>AVERAGE(Table15[[#This Row],[2007]:[2023]])</f>
        <v>246081.64705882352</v>
      </c>
      <c r="T4">
        <f>MEDIAN(Table15[[#This Row],[2007]:[2023]])</f>
        <v>228603</v>
      </c>
      <c r="U4" t="e">
        <f>_xlfn.MODE.SNGL(Table15[[#This Row],[2007]:[2023]])</f>
        <v>#N/A</v>
      </c>
      <c r="V4">
        <f>_xlfn.STDEV.S(Table15[[#This Row],[2007]:[2023]])</f>
        <v>35189.859629481973</v>
      </c>
      <c r="W4">
        <f>MAX(Table15[[#This Row],[2007]:[2023]])-MIN(Table15[[#This Row],[2007]:[2023]])</f>
        <v>105358</v>
      </c>
    </row>
    <row r="5" spans="1:23" ht="16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  <c r="S5">
        <f>AVERAGE(Table15[[#This Row],[2007]:[2023]])</f>
        <v>24842.411764705881</v>
      </c>
      <c r="T5">
        <f>MEDIAN(Table15[[#This Row],[2007]:[2023]])</f>
        <v>24657</v>
      </c>
      <c r="U5" t="e">
        <f>_xlfn.MODE.SNGL(Table15[[#This Row],[2007]:[2023]])</f>
        <v>#N/A</v>
      </c>
      <c r="V5">
        <f>_xlfn.STDEV.S(Table15[[#This Row],[2007]:[2023]])</f>
        <v>4410.9895298394158</v>
      </c>
      <c r="W5">
        <f>MAX(Table15[[#This Row],[2007]:[2023]])-MIN(Table15[[#This Row],[2007]:[2023]])</f>
        <v>14719</v>
      </c>
    </row>
    <row r="6" spans="1:23" ht="16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  <c r="S6">
        <f>AVERAGE(Table15[[#This Row],[2007]:[2023]])</f>
        <v>21935.294117647059</v>
      </c>
      <c r="T6">
        <f>MEDIAN(Table15[[#This Row],[2007]:[2023]])</f>
        <v>21478</v>
      </c>
      <c r="U6" t="e">
        <f>_xlfn.MODE.SNGL(Table15[[#This Row],[2007]:[2023]])</f>
        <v>#N/A</v>
      </c>
      <c r="V6">
        <f>_xlfn.STDEV.S(Table15[[#This Row],[2007]:[2023]])</f>
        <v>3575.0819355069621</v>
      </c>
      <c r="W6">
        <f>MAX(Table15[[#This Row],[2007]:[2023]])-MIN(Table15[[#This Row],[2007]:[2023]])</f>
        <v>11192</v>
      </c>
    </row>
    <row r="7" spans="1:23" ht="16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  <c r="S7">
        <f>AVERAGE(Table15[[#This Row],[2007]:[2023]])</f>
        <v>2810.7647058823532</v>
      </c>
      <c r="T7">
        <f>MEDIAN(Table15[[#This Row],[2007]:[2023]])</f>
        <v>2744</v>
      </c>
      <c r="U7" t="e">
        <f>_xlfn.MODE.SNGL(Table15[[#This Row],[2007]:[2023]])</f>
        <v>#N/A</v>
      </c>
      <c r="V7">
        <f>_xlfn.STDEV.S(Table15[[#This Row],[2007]:[2023]])</f>
        <v>570.07878067550485</v>
      </c>
      <c r="W7">
        <f>MAX(Table15[[#This Row],[2007]:[2023]])-MIN(Table15[[#This Row],[2007]:[2023]])</f>
        <v>1679</v>
      </c>
    </row>
    <row r="8" spans="1:23" ht="16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  <c r="S8">
        <f>AVERAGE(Table15[[#This Row],[2007]:[2023]])</f>
        <v>1274.4117647058824</v>
      </c>
      <c r="T8">
        <f>MEDIAN(Table15[[#This Row],[2007]:[2023]])</f>
        <v>1262</v>
      </c>
      <c r="U8">
        <f>_xlfn.MODE.SNGL(Table15[[#This Row],[2007]:[2023]])</f>
        <v>1262</v>
      </c>
      <c r="V8">
        <f>_xlfn.STDEV.S(Table15[[#This Row],[2007]:[2023]])</f>
        <v>284.91842227722168</v>
      </c>
      <c r="W8">
        <f>MAX(Table15[[#This Row],[2007]:[2023]])-MIN(Table15[[#This Row],[2007]:[2023]])</f>
        <v>837</v>
      </c>
    </row>
    <row r="9" spans="1:23" ht="16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  <c r="S9">
        <f>AVERAGE(Table15[[#This Row],[2007]:[2023]])</f>
        <v>395.94117647058823</v>
      </c>
      <c r="T9">
        <f>MEDIAN(Table15[[#This Row],[2007]:[2023]])</f>
        <v>390</v>
      </c>
      <c r="U9" t="e">
        <f>_xlfn.MODE.SNGL(Table15[[#This Row],[2007]:[2023]])</f>
        <v>#N/A</v>
      </c>
      <c r="V9">
        <f>_xlfn.STDEV.S(Table15[[#This Row],[2007]:[2023]])</f>
        <v>76.599992320687591</v>
      </c>
      <c r="W9">
        <f>MAX(Table15[[#This Row],[2007]:[2023]])-MIN(Table15[[#This Row],[2007]:[2023]])</f>
        <v>234</v>
      </c>
    </row>
    <row r="10" spans="1:23" ht="16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  <c r="S10">
        <f>AVERAGE(Table15[[#This Row],[2007]:[2023]])</f>
        <v>196.94117647058823</v>
      </c>
      <c r="T10">
        <f>MEDIAN(Table15[[#This Row],[2007]:[2023]])</f>
        <v>180</v>
      </c>
      <c r="U10">
        <f>_xlfn.MODE.SNGL(Table15[[#This Row],[2007]:[2023]])</f>
        <v>243</v>
      </c>
      <c r="V10">
        <f>_xlfn.STDEV.S(Table15[[#This Row],[2007]:[2023]])</f>
        <v>53.053593879485796</v>
      </c>
      <c r="W10">
        <f>MAX(Table15[[#This Row],[2007]:[2023]])-MIN(Table15[[#This Row],[2007]:[2023]])</f>
        <v>153</v>
      </c>
    </row>
    <row r="11" spans="1:23" ht="16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  <c r="S11">
        <f>AVERAGE(Table15[[#This Row],[2007]:[2023]])</f>
        <v>124.94117647058823</v>
      </c>
      <c r="T11">
        <f>MEDIAN(Table15[[#This Row],[2007]:[2023]])</f>
        <v>117</v>
      </c>
      <c r="U11">
        <f>_xlfn.MODE.SNGL(Table15[[#This Row],[2007]:[2023]])</f>
        <v>98</v>
      </c>
      <c r="V11">
        <f>_xlfn.STDEV.S(Table15[[#This Row],[2007]:[2023]])</f>
        <v>31.746004843592722</v>
      </c>
      <c r="W11">
        <f>MAX(Table15[[#This Row],[2007]:[2023]])-MIN(Table15[[#This Row],[2007]:[2023]])</f>
        <v>101</v>
      </c>
    </row>
    <row r="12" spans="1:23" ht="16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  <c r="S12">
        <f>AVERAGE(Table15[[#This Row],[2007]:[2023]])</f>
        <v>246.52941176470588</v>
      </c>
      <c r="T12">
        <f>MEDIAN(Table15[[#This Row],[2007]:[2023]])</f>
        <v>227</v>
      </c>
      <c r="U12" t="e">
        <f>_xlfn.MODE.SNGL(Table15[[#This Row],[2007]:[2023]])</f>
        <v>#N/A</v>
      </c>
      <c r="V12">
        <f>_xlfn.STDEV.S(Table15[[#This Row],[2007]:[2023]])</f>
        <v>54.051037972293827</v>
      </c>
      <c r="W12">
        <f>MAX(Table15[[#This Row],[2007]:[2023]])-MIN(Table15[[#This Row],[2007]:[2023]])</f>
        <v>167</v>
      </c>
    </row>
    <row r="13" spans="1:23" ht="16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  <c r="S13">
        <f>AVERAGE(Table15[[#This Row],[2007]:[2023]])</f>
        <v>207.52941176470588</v>
      </c>
      <c r="T13">
        <f>MEDIAN(Table15[[#This Row],[2007]:[2023]])</f>
        <v>205</v>
      </c>
      <c r="U13" t="e">
        <f>_xlfn.MODE.SNGL(Table15[[#This Row],[2007]:[2023]])</f>
        <v>#N/A</v>
      </c>
      <c r="V13">
        <f>_xlfn.STDEV.S(Table15[[#This Row],[2007]:[2023]])</f>
        <v>33.571039690220339</v>
      </c>
      <c r="W13">
        <f>MAX(Table15[[#This Row],[2007]:[2023]])-MIN(Table15[[#This Row],[2007]:[2023]])</f>
        <v>102</v>
      </c>
    </row>
    <row r="14" spans="1:23" ht="16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  <c r="S14">
        <f>AVERAGE(Table15[[#This Row],[2007]:[2023]])</f>
        <v>20.823529411764707</v>
      </c>
      <c r="T14">
        <f>MEDIAN(Table15[[#This Row],[2007]:[2023]])</f>
        <v>20</v>
      </c>
      <c r="U14">
        <f>_xlfn.MODE.SNGL(Table15[[#This Row],[2007]:[2023]])</f>
        <v>20</v>
      </c>
      <c r="V14">
        <f>_xlfn.STDEV.S(Table15[[#This Row],[2007]:[2023]])</f>
        <v>4.4192094049395143</v>
      </c>
      <c r="W14">
        <f>MAX(Table15[[#This Row],[2007]:[2023]])-MIN(Table15[[#This Row],[2007]:[2023]])</f>
        <v>16</v>
      </c>
    </row>
    <row r="15" spans="1:23" ht="16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  <c r="S15">
        <f>AVERAGE(Table15[[#This Row],[2007]:[2023]])</f>
        <v>13</v>
      </c>
      <c r="T15">
        <f>MEDIAN(Table15[[#This Row],[2007]:[2023]])</f>
        <v>10</v>
      </c>
      <c r="U15">
        <f>_xlfn.MODE.SNGL(Table15[[#This Row],[2007]:[2023]])</f>
        <v>10</v>
      </c>
      <c r="V15">
        <f>_xlfn.STDEV.S(Table15[[#This Row],[2007]:[2023]])</f>
        <v>5.5677643628300215</v>
      </c>
      <c r="W15">
        <f>MAX(Table15[[#This Row],[2007]:[2023]])-MIN(Table15[[#This Row],[2007]:[2023]])</f>
        <v>17</v>
      </c>
    </row>
    <row r="16" spans="1:23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  <c r="S16">
        <f>AVERAGE(Table15[[#This Row],[2007]:[2023]])</f>
        <v>298150.23529411765</v>
      </c>
      <c r="T16">
        <f>MEDIAN(Table15[[#This Row],[2007]:[2023]])</f>
        <v>279356</v>
      </c>
      <c r="U16" t="e">
        <f>_xlfn.MODE.SNGL(Table15[[#This Row],[2007]:[2023]])</f>
        <v>#N/A</v>
      </c>
      <c r="V16">
        <f>_xlfn.STDEV.S(Table15[[#This Row],[2007]:[2023]])</f>
        <v>43522.476433920638</v>
      </c>
      <c r="W16">
        <f>MAX(Table15[[#This Row],[2007]:[2023]])-MIN(Table15[[#This Row],[2007]:[2023]])</f>
        <v>127227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3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2025-11-13T09:43:52Z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