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7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8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9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Year 3\Powertrain\"/>
    </mc:Choice>
  </mc:AlternateContent>
  <bookViews>
    <workbookView xWindow="0" yWindow="0" windowWidth="28800" windowHeight="12300" firstSheet="9" activeTab="15"/>
  </bookViews>
  <sheets>
    <sheet name="Fuel Tables" sheetId="18" r:id="rId1"/>
    <sheet name="Heats of Formation at 298k" sheetId="22" r:id="rId2"/>
    <sheet name="Simulation of Task1" sheetId="23" r:id="rId3"/>
    <sheet name="Task 1" sheetId="1" r:id="rId4"/>
    <sheet name="Goal Seek 2nd order" sheetId="5" r:id="rId5"/>
    <sheet name="Goal Seek 6th order" sheetId="11" r:id="rId6"/>
    <sheet name="Nox" sheetId="12" r:id="rId7"/>
    <sheet name="EGR" sheetId="14" r:id="rId8"/>
    <sheet name="O2N2 @ EGR" sheetId="16" r:id="rId9"/>
    <sheet name="Nox Graphs" sheetId="17" r:id="rId10"/>
    <sheet name="CO2" sheetId="8" r:id="rId11"/>
    <sheet name="CO" sheetId="6" state="hidden" r:id="rId12"/>
    <sheet name="H2O" sheetId="10" r:id="rId13"/>
    <sheet name="N2" sheetId="9" r:id="rId14"/>
    <sheet name="O2" sheetId="7" r:id="rId15"/>
    <sheet name="Simulation for each fuel" sheetId="19" r:id="rId16"/>
    <sheet name="Temp vs Poly @ SUM{all gases}" sheetId="20" r:id="rId1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4" l="1"/>
  <c r="P6" i="12"/>
  <c r="P7" i="12" s="1"/>
  <c r="P8" i="12" s="1"/>
  <c r="P9" i="12" s="1"/>
  <c r="P10" i="12" s="1"/>
  <c r="P11" i="12" s="1"/>
  <c r="P12" i="12" s="1"/>
  <c r="P13" i="12" s="1"/>
  <c r="P14" i="12" s="1"/>
  <c r="P15" i="12" s="1"/>
  <c r="P16" i="12" s="1"/>
  <c r="P17" i="12" s="1"/>
  <c r="P18" i="12" s="1"/>
  <c r="P19" i="12" s="1"/>
  <c r="P20" i="12" s="1"/>
  <c r="P21" i="12" s="1"/>
  <c r="P28" i="12"/>
  <c r="P29" i="12" s="1"/>
  <c r="P30" i="12" s="1"/>
  <c r="P31" i="12" s="1"/>
  <c r="P32" i="12" s="1"/>
  <c r="P33" i="12" s="1"/>
  <c r="P34" i="12" s="1"/>
  <c r="P35" i="12" s="1"/>
  <c r="P36" i="12" s="1"/>
  <c r="P37" i="12" s="1"/>
  <c r="P38" i="12" s="1"/>
  <c r="P39" i="12" s="1"/>
  <c r="P40" i="12" s="1"/>
  <c r="P41" i="12" s="1"/>
  <c r="P42" i="12" s="1"/>
  <c r="P43" i="12" s="1"/>
  <c r="P49" i="12"/>
  <c r="P50" i="12" s="1"/>
  <c r="P51" i="12" s="1"/>
  <c r="P52" i="12" s="1"/>
  <c r="P53" i="12" s="1"/>
  <c r="P54" i="12" s="1"/>
  <c r="P55" i="12" s="1"/>
  <c r="P56" i="12" s="1"/>
  <c r="P57" i="12" s="1"/>
  <c r="P58" i="12" s="1"/>
  <c r="P59" i="12" s="1"/>
  <c r="P60" i="12" s="1"/>
  <c r="P61" i="12" s="1"/>
  <c r="P62" i="12" s="1"/>
  <c r="P63" i="12" s="1"/>
  <c r="P64" i="12" s="1"/>
  <c r="P70" i="12"/>
  <c r="P71" i="12"/>
  <c r="P72" i="12" s="1"/>
  <c r="P73" i="12" s="1"/>
  <c r="P74" i="12" s="1"/>
  <c r="P75" i="12" s="1"/>
  <c r="P76" i="12" s="1"/>
  <c r="P77" i="12" s="1"/>
  <c r="P78" i="12" s="1"/>
  <c r="P79" i="12" s="1"/>
  <c r="P80" i="12" s="1"/>
  <c r="P81" i="12" s="1"/>
  <c r="P82" i="12" s="1"/>
  <c r="P83" i="12" s="1"/>
  <c r="P84" i="12" s="1"/>
  <c r="P85" i="12" s="1"/>
  <c r="P91" i="12"/>
  <c r="P92" i="12"/>
  <c r="P93" i="12" s="1"/>
  <c r="P94" i="12" s="1"/>
  <c r="P95" i="12" s="1"/>
  <c r="P96" i="12" s="1"/>
  <c r="P97" i="12" s="1"/>
  <c r="P98" i="12" s="1"/>
  <c r="P99" i="12" s="1"/>
  <c r="P100" i="12" s="1"/>
  <c r="P101" i="12" s="1"/>
  <c r="P102" i="12" s="1"/>
  <c r="P103" i="12" s="1"/>
  <c r="P104" i="12" s="1"/>
  <c r="P105" i="12" s="1"/>
  <c r="P106" i="12" s="1"/>
  <c r="R8" i="19"/>
  <c r="K6" i="19"/>
  <c r="C12" i="14"/>
  <c r="C13" i="14" l="1"/>
  <c r="C14" i="14"/>
  <c r="C15" i="14"/>
  <c r="C16" i="14"/>
  <c r="C17" i="14"/>
  <c r="C18" i="14"/>
  <c r="C19" i="14"/>
  <c r="C20" i="14"/>
  <c r="C21" i="14"/>
  <c r="C22" i="14"/>
  <c r="C23" i="14"/>
  <c r="C24" i="14"/>
  <c r="N24" i="14"/>
  <c r="I4" i="16"/>
  <c r="P23" i="11"/>
  <c r="Q70" i="12"/>
  <c r="Q91" i="12"/>
  <c r="Q50" i="12" l="1"/>
  <c r="Q49" i="12"/>
  <c r="Q28" i="12"/>
  <c r="Q6" i="12"/>
  <c r="Q92" i="12"/>
  <c r="Q71" i="12"/>
  <c r="Q51" i="12"/>
  <c r="N18" i="5"/>
  <c r="Q29" i="12" l="1"/>
  <c r="Q7" i="12"/>
  <c r="Q52" i="12"/>
  <c r="Q72" i="12"/>
  <c r="Q93" i="12"/>
  <c r="J6" i="23"/>
  <c r="K7" i="23" s="1"/>
  <c r="J4" i="23"/>
  <c r="K5" i="23" s="1"/>
  <c r="O12" i="23"/>
  <c r="O20" i="23"/>
  <c r="Q30" i="12" l="1"/>
  <c r="Q8" i="12"/>
  <c r="Q94" i="12"/>
  <c r="Q73" i="12"/>
  <c r="Q53" i="12"/>
  <c r="K12" i="23"/>
  <c r="M15" i="23" s="1"/>
  <c r="K20" i="23"/>
  <c r="M23" i="23" s="1"/>
  <c r="F26" i="23"/>
  <c r="B31" i="23" s="1"/>
  <c r="F25" i="23"/>
  <c r="B30" i="23" s="1"/>
  <c r="C11" i="23"/>
  <c r="C10" i="23"/>
  <c r="C7" i="23"/>
  <c r="C9" i="23"/>
  <c r="C6" i="23"/>
  <c r="C5" i="23"/>
  <c r="Q9" i="12" l="1"/>
  <c r="Q31" i="12"/>
  <c r="Q54" i="12"/>
  <c r="Q74" i="12"/>
  <c r="Q95" i="12"/>
  <c r="G25" i="23"/>
  <c r="G26" i="23"/>
  <c r="C16" i="23"/>
  <c r="C17" i="23" s="1"/>
  <c r="C15" i="23"/>
  <c r="G20" i="17"/>
  <c r="F20" i="17"/>
  <c r="E20" i="17"/>
  <c r="D20" i="17"/>
  <c r="D28" i="12"/>
  <c r="E28" i="12" s="1"/>
  <c r="K11" i="11"/>
  <c r="C24" i="18"/>
  <c r="J23" i="18"/>
  <c r="O16" i="1"/>
  <c r="D29" i="18"/>
  <c r="D37" i="18" s="1"/>
  <c r="C29" i="18"/>
  <c r="J4" i="18"/>
  <c r="J5" i="18"/>
  <c r="J6" i="18"/>
  <c r="J7" i="18"/>
  <c r="K7" i="18" s="1"/>
  <c r="J8" i="18"/>
  <c r="J9" i="18"/>
  <c r="J10" i="18"/>
  <c r="J11" i="18"/>
  <c r="J12" i="18"/>
  <c r="J13" i="18"/>
  <c r="J14" i="18"/>
  <c r="J15" i="18"/>
  <c r="K15" i="18" s="1"/>
  <c r="J16" i="18"/>
  <c r="J17" i="18"/>
  <c r="J18" i="18"/>
  <c r="J19" i="18"/>
  <c r="J20" i="18"/>
  <c r="J21" i="18"/>
  <c r="J22" i="18"/>
  <c r="K23" i="18"/>
  <c r="J3" i="18"/>
  <c r="I4" i="18"/>
  <c r="I5" i="18"/>
  <c r="I6" i="18"/>
  <c r="I7" i="18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3" i="18"/>
  <c r="G25" i="1"/>
  <c r="Q32" i="12" l="1"/>
  <c r="Q10" i="12"/>
  <c r="Q96" i="12"/>
  <c r="Q75" i="12"/>
  <c r="Q55" i="12"/>
  <c r="K17" i="18"/>
  <c r="K9" i="18"/>
  <c r="K3" i="18"/>
  <c r="K16" i="18"/>
  <c r="K8" i="18"/>
  <c r="G27" i="23"/>
  <c r="C31" i="23" s="1"/>
  <c r="Z7" i="23"/>
  <c r="Z6" i="23"/>
  <c r="Z3" i="23"/>
  <c r="Z2" i="23"/>
  <c r="Z4" i="23"/>
  <c r="C19" i="23"/>
  <c r="C20" i="23" s="1"/>
  <c r="K19" i="18"/>
  <c r="K11" i="18"/>
  <c r="K18" i="18"/>
  <c r="K10" i="18"/>
  <c r="D24" i="18"/>
  <c r="F3" i="19" s="1"/>
  <c r="C37" i="18"/>
  <c r="H24" i="18" s="1"/>
  <c r="C39" i="18"/>
  <c r="C35" i="18"/>
  <c r="C33" i="18"/>
  <c r="D33" i="18"/>
  <c r="D39" i="18"/>
  <c r="D35" i="18"/>
  <c r="C31" i="18"/>
  <c r="D31" i="18"/>
  <c r="K21" i="18"/>
  <c r="K13" i="18"/>
  <c r="K5" i="18"/>
  <c r="K22" i="18"/>
  <c r="K14" i="18"/>
  <c r="K6" i="18"/>
  <c r="K20" i="18"/>
  <c r="K12" i="18"/>
  <c r="K4" i="18"/>
  <c r="E6" i="19"/>
  <c r="Q11" i="12" l="1"/>
  <c r="Q33" i="12"/>
  <c r="Q56" i="12"/>
  <c r="Q76" i="12"/>
  <c r="Q97" i="12"/>
  <c r="M17" i="23"/>
  <c r="K26" i="23" s="1"/>
  <c r="M26" i="23"/>
  <c r="C21" i="23"/>
  <c r="C34" i="23"/>
  <c r="C36" i="23" s="1"/>
  <c r="K25" i="23"/>
  <c r="M25" i="23" s="1"/>
  <c r="C30" i="23"/>
  <c r="Z9" i="23"/>
  <c r="E24" i="18"/>
  <c r="J24" i="18" s="1"/>
  <c r="G24" i="18"/>
  <c r="O5" i="19" s="1"/>
  <c r="I24" i="18"/>
  <c r="H15" i="19" s="1"/>
  <c r="F24" i="18"/>
  <c r="O4" i="19" s="1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7" i="7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7" i="9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145" i="10"/>
  <c r="F146" i="10"/>
  <c r="F147" i="10"/>
  <c r="F7" i="10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7" i="8"/>
  <c r="E7" i="8"/>
  <c r="C11" i="11"/>
  <c r="S13" i="11"/>
  <c r="C16" i="1"/>
  <c r="C15" i="1"/>
  <c r="AZ91" i="12"/>
  <c r="BA91" i="12" s="1"/>
  <c r="AV91" i="12"/>
  <c r="AW91" i="12" s="1"/>
  <c r="AR91" i="12"/>
  <c r="AS91" i="12" s="1"/>
  <c r="AN91" i="12"/>
  <c r="AO91" i="12" s="1"/>
  <c r="AJ91" i="12"/>
  <c r="AK91" i="12" s="1"/>
  <c r="AF91" i="12"/>
  <c r="AG91" i="12" s="1"/>
  <c r="AB91" i="12"/>
  <c r="AC91" i="12" s="1"/>
  <c r="X91" i="12"/>
  <c r="Y91" i="12" s="1"/>
  <c r="T91" i="12"/>
  <c r="U91" i="12" s="1"/>
  <c r="L91" i="12"/>
  <c r="M91" i="12" s="1"/>
  <c r="H91" i="12"/>
  <c r="I91" i="12" s="1"/>
  <c r="D91" i="12"/>
  <c r="E91" i="12" s="1"/>
  <c r="AZ70" i="12"/>
  <c r="BA70" i="12" s="1"/>
  <c r="AV70" i="12"/>
  <c r="AW70" i="12" s="1"/>
  <c r="AR70" i="12"/>
  <c r="AS70" i="12" s="1"/>
  <c r="AN70" i="12"/>
  <c r="AO70" i="12" s="1"/>
  <c r="AJ70" i="12"/>
  <c r="AK70" i="12" s="1"/>
  <c r="AF70" i="12"/>
  <c r="AG70" i="12" s="1"/>
  <c r="AB70" i="12"/>
  <c r="AC70" i="12" s="1"/>
  <c r="X70" i="12"/>
  <c r="Y70" i="12" s="1"/>
  <c r="T70" i="12"/>
  <c r="U70" i="12" s="1"/>
  <c r="L70" i="12"/>
  <c r="M70" i="12" s="1"/>
  <c r="H70" i="12"/>
  <c r="I70" i="12" s="1"/>
  <c r="D70" i="12"/>
  <c r="E70" i="12" s="1"/>
  <c r="AZ49" i="12"/>
  <c r="BA49" i="12" s="1"/>
  <c r="AV49" i="12"/>
  <c r="AW49" i="12" s="1"/>
  <c r="AR49" i="12"/>
  <c r="AS49" i="12" s="1"/>
  <c r="AN49" i="12"/>
  <c r="AO49" i="12" s="1"/>
  <c r="AJ49" i="12"/>
  <c r="AK49" i="12" s="1"/>
  <c r="AF49" i="12"/>
  <c r="AG49" i="12" s="1"/>
  <c r="AB49" i="12"/>
  <c r="AC49" i="12" s="1"/>
  <c r="X49" i="12"/>
  <c r="Y49" i="12" s="1"/>
  <c r="T49" i="12"/>
  <c r="U49" i="12" s="1"/>
  <c r="L49" i="12"/>
  <c r="M49" i="12" s="1"/>
  <c r="H49" i="12"/>
  <c r="I49" i="12" s="1"/>
  <c r="D49" i="12"/>
  <c r="E49" i="12" s="1"/>
  <c r="AZ28" i="12"/>
  <c r="BA28" i="12" s="1"/>
  <c r="AV28" i="12"/>
  <c r="AW28" i="12" s="1"/>
  <c r="AR28" i="12"/>
  <c r="AS28" i="12" s="1"/>
  <c r="AN28" i="12"/>
  <c r="AO28" i="12" s="1"/>
  <c r="AJ28" i="12"/>
  <c r="AK28" i="12" s="1"/>
  <c r="AF28" i="12"/>
  <c r="AG28" i="12" s="1"/>
  <c r="AB28" i="12"/>
  <c r="AC28" i="12" s="1"/>
  <c r="X28" i="12"/>
  <c r="Y28" i="12" s="1"/>
  <c r="T28" i="12"/>
  <c r="U28" i="12" s="1"/>
  <c r="L28" i="12"/>
  <c r="M28" i="12" s="1"/>
  <c r="H28" i="12"/>
  <c r="I28" i="12" s="1"/>
  <c r="N68" i="16"/>
  <c r="M68" i="16"/>
  <c r="N52" i="16"/>
  <c r="M52" i="16"/>
  <c r="N36" i="16"/>
  <c r="M36" i="16"/>
  <c r="N20" i="16"/>
  <c r="M20" i="16"/>
  <c r="N4" i="16"/>
  <c r="M4" i="16"/>
  <c r="D68" i="16"/>
  <c r="C68" i="16"/>
  <c r="D52" i="16"/>
  <c r="C52" i="16"/>
  <c r="D36" i="16"/>
  <c r="C36" i="16"/>
  <c r="D20" i="16"/>
  <c r="C20" i="16"/>
  <c r="D9" i="16"/>
  <c r="D4" i="16"/>
  <c r="N24" i="16" s="1"/>
  <c r="C4" i="16"/>
  <c r="M41" i="16" s="1"/>
  <c r="P69" i="16"/>
  <c r="P70" i="16"/>
  <c r="P71" i="16"/>
  <c r="P72" i="16"/>
  <c r="P73" i="16"/>
  <c r="P74" i="16"/>
  <c r="P75" i="16"/>
  <c r="P76" i="16"/>
  <c r="P77" i="16"/>
  <c r="P78" i="16"/>
  <c r="P79" i="16"/>
  <c r="P80" i="16"/>
  <c r="P68" i="16"/>
  <c r="F69" i="16"/>
  <c r="F70" i="16"/>
  <c r="F71" i="16"/>
  <c r="F72" i="16"/>
  <c r="F73" i="16"/>
  <c r="F74" i="16"/>
  <c r="F75" i="16"/>
  <c r="F76" i="16"/>
  <c r="F77" i="16"/>
  <c r="F78" i="16"/>
  <c r="F79" i="16"/>
  <c r="F80" i="16"/>
  <c r="F68" i="16"/>
  <c r="P53" i="16"/>
  <c r="P54" i="16"/>
  <c r="P55" i="16"/>
  <c r="P56" i="16"/>
  <c r="P57" i="16"/>
  <c r="P58" i="16"/>
  <c r="P59" i="16"/>
  <c r="P60" i="16"/>
  <c r="P61" i="16"/>
  <c r="P62" i="16"/>
  <c r="P63" i="16"/>
  <c r="P64" i="16"/>
  <c r="P52" i="16"/>
  <c r="F53" i="16"/>
  <c r="F54" i="16"/>
  <c r="F55" i="16"/>
  <c r="F56" i="16"/>
  <c r="F57" i="16"/>
  <c r="F58" i="16"/>
  <c r="F59" i="16"/>
  <c r="F60" i="16"/>
  <c r="F61" i="16"/>
  <c r="F62" i="16"/>
  <c r="F63" i="16"/>
  <c r="F64" i="16"/>
  <c r="F52" i="16"/>
  <c r="P37" i="16"/>
  <c r="P38" i="16"/>
  <c r="P39" i="16"/>
  <c r="P40" i="16"/>
  <c r="P41" i="16"/>
  <c r="P42" i="16"/>
  <c r="P43" i="16"/>
  <c r="P44" i="16"/>
  <c r="P45" i="16"/>
  <c r="P46" i="16"/>
  <c r="P47" i="16"/>
  <c r="P48" i="16"/>
  <c r="P36" i="16"/>
  <c r="F37" i="16"/>
  <c r="F38" i="16"/>
  <c r="F39" i="16"/>
  <c r="F40" i="16"/>
  <c r="F41" i="16"/>
  <c r="F42" i="16"/>
  <c r="F43" i="16"/>
  <c r="F44" i="16"/>
  <c r="F45" i="16"/>
  <c r="F46" i="16"/>
  <c r="F47" i="16"/>
  <c r="F48" i="16"/>
  <c r="F36" i="16"/>
  <c r="P21" i="16"/>
  <c r="P22" i="16"/>
  <c r="P23" i="16"/>
  <c r="P24" i="16"/>
  <c r="P25" i="16"/>
  <c r="P26" i="16"/>
  <c r="P27" i="16"/>
  <c r="P28" i="16"/>
  <c r="P29" i="16"/>
  <c r="P30" i="16"/>
  <c r="P31" i="16"/>
  <c r="P32" i="16"/>
  <c r="P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20" i="16"/>
  <c r="P5" i="16"/>
  <c r="P6" i="16"/>
  <c r="P7" i="16"/>
  <c r="P8" i="16"/>
  <c r="P9" i="16"/>
  <c r="P10" i="16"/>
  <c r="P11" i="16"/>
  <c r="P12" i="16"/>
  <c r="P13" i="16"/>
  <c r="P14" i="16"/>
  <c r="P15" i="16"/>
  <c r="P16" i="16"/>
  <c r="P4" i="16"/>
  <c r="F5" i="16"/>
  <c r="F6" i="16"/>
  <c r="F7" i="16"/>
  <c r="F8" i="16"/>
  <c r="F9" i="16"/>
  <c r="F10" i="16"/>
  <c r="F11" i="16"/>
  <c r="F12" i="16"/>
  <c r="F13" i="16"/>
  <c r="F14" i="16"/>
  <c r="F15" i="16"/>
  <c r="F16" i="16"/>
  <c r="F4" i="16"/>
  <c r="H13" i="14"/>
  <c r="H14" i="14"/>
  <c r="H15" i="14"/>
  <c r="H16" i="14"/>
  <c r="H17" i="14"/>
  <c r="H18" i="14"/>
  <c r="H19" i="14"/>
  <c r="H20" i="14"/>
  <c r="H21" i="14"/>
  <c r="H22" i="14"/>
  <c r="H23" i="14"/>
  <c r="H24" i="14"/>
  <c r="H12" i="14"/>
  <c r="F12" i="14"/>
  <c r="E12" i="14"/>
  <c r="D12" i="14"/>
  <c r="Q34" i="12" l="1"/>
  <c r="Q12" i="12"/>
  <c r="Q98" i="12"/>
  <c r="Q77" i="12"/>
  <c r="Q57" i="12"/>
  <c r="D14" i="14"/>
  <c r="N41" i="16"/>
  <c r="M10" i="16"/>
  <c r="C14" i="16"/>
  <c r="C6" i="16"/>
  <c r="C43" i="16"/>
  <c r="N6" i="16"/>
  <c r="N60" i="16"/>
  <c r="M25" i="16"/>
  <c r="C23" i="16"/>
  <c r="AZ29" i="12"/>
  <c r="BA29" i="12" s="1"/>
  <c r="AV29" i="12"/>
  <c r="AW29" i="12" s="1"/>
  <c r="AB29" i="12"/>
  <c r="AC29" i="12" s="1"/>
  <c r="AF29" i="12"/>
  <c r="AG29" i="12" s="1"/>
  <c r="AJ29" i="12"/>
  <c r="AK29" i="12" s="1"/>
  <c r="AN29" i="12"/>
  <c r="AO29" i="12" s="1"/>
  <c r="AR29" i="12"/>
  <c r="AS29" i="12" s="1"/>
  <c r="T50" i="12"/>
  <c r="U50" i="12" s="1"/>
  <c r="AZ50" i="12"/>
  <c r="BA50" i="12" s="1"/>
  <c r="AF71" i="12"/>
  <c r="AG71" i="12" s="1"/>
  <c r="L92" i="12"/>
  <c r="M92" i="12" s="1"/>
  <c r="AR92" i="12"/>
  <c r="AS92" i="12" s="1"/>
  <c r="AB50" i="12"/>
  <c r="AC50" i="12" s="1"/>
  <c r="H71" i="12"/>
  <c r="I71" i="12" s="1"/>
  <c r="AN71" i="12"/>
  <c r="AO71" i="12" s="1"/>
  <c r="T92" i="12"/>
  <c r="U92" i="12" s="1"/>
  <c r="AZ92" i="12"/>
  <c r="BA92" i="12" s="1"/>
  <c r="X50" i="12"/>
  <c r="Y50" i="12" s="1"/>
  <c r="AF50" i="12"/>
  <c r="AG50" i="12" s="1"/>
  <c r="L71" i="12"/>
  <c r="M71" i="12" s="1"/>
  <c r="AR71" i="12"/>
  <c r="AS71" i="12" s="1"/>
  <c r="X92" i="12"/>
  <c r="Y92" i="12" s="1"/>
  <c r="D50" i="12"/>
  <c r="E50" i="12" s="1"/>
  <c r="AJ50" i="12"/>
  <c r="AK50" i="12" s="1"/>
  <c r="AV71" i="12"/>
  <c r="AW71" i="12" s="1"/>
  <c r="AB92" i="12"/>
  <c r="AC92" i="12" s="1"/>
  <c r="AV92" i="12"/>
  <c r="AW92" i="12" s="1"/>
  <c r="H50" i="12"/>
  <c r="I50" i="12" s="1"/>
  <c r="AN50" i="12"/>
  <c r="AO50" i="12" s="1"/>
  <c r="T71" i="12"/>
  <c r="U71" i="12" s="1"/>
  <c r="AZ71" i="12"/>
  <c r="BA71" i="12" s="1"/>
  <c r="AF92" i="12"/>
  <c r="AG92" i="12" s="1"/>
  <c r="AJ71" i="12"/>
  <c r="AK71" i="12" s="1"/>
  <c r="L50" i="12"/>
  <c r="M50" i="12" s="1"/>
  <c r="AR50" i="12"/>
  <c r="AS50" i="12" s="1"/>
  <c r="X71" i="12"/>
  <c r="Y71" i="12" s="1"/>
  <c r="D92" i="12"/>
  <c r="E92" i="12" s="1"/>
  <c r="AJ92" i="12"/>
  <c r="AK92" i="12" s="1"/>
  <c r="D71" i="12"/>
  <c r="E71" i="12" s="1"/>
  <c r="AV50" i="12"/>
  <c r="AW50" i="12" s="1"/>
  <c r="AB71" i="12"/>
  <c r="AC71" i="12" s="1"/>
  <c r="H92" i="12"/>
  <c r="I92" i="12" s="1"/>
  <c r="AN92" i="12"/>
  <c r="AO92" i="12" s="1"/>
  <c r="D29" i="12"/>
  <c r="E29" i="12" s="1"/>
  <c r="H29" i="12"/>
  <c r="I29" i="12" s="1"/>
  <c r="T29" i="12"/>
  <c r="U29" i="12" s="1"/>
  <c r="X29" i="12"/>
  <c r="Y29" i="12" s="1"/>
  <c r="L29" i="12"/>
  <c r="M29" i="12" s="1"/>
  <c r="K24" i="18"/>
  <c r="K15" i="19" s="1"/>
  <c r="O3" i="19"/>
  <c r="R3" i="19" s="1"/>
  <c r="C15" i="16"/>
  <c r="C7" i="16"/>
  <c r="C22" i="16"/>
  <c r="C42" i="16"/>
  <c r="M9" i="16"/>
  <c r="N14" i="16"/>
  <c r="M60" i="16"/>
  <c r="C13" i="16"/>
  <c r="D80" i="16"/>
  <c r="N63" i="16"/>
  <c r="N59" i="16"/>
  <c r="N55" i="16"/>
  <c r="N48" i="16"/>
  <c r="N44" i="16"/>
  <c r="N40" i="16"/>
  <c r="N80" i="16"/>
  <c r="N76" i="16"/>
  <c r="N72" i="16"/>
  <c r="N31" i="16"/>
  <c r="N27" i="16"/>
  <c r="N23" i="16"/>
  <c r="N11" i="16"/>
  <c r="N62" i="16"/>
  <c r="N58" i="16"/>
  <c r="N54" i="16"/>
  <c r="N47" i="16"/>
  <c r="N43" i="16"/>
  <c r="N39" i="16"/>
  <c r="N10" i="16"/>
  <c r="N79" i="16"/>
  <c r="N75" i="16"/>
  <c r="N71" i="16"/>
  <c r="N30" i="16"/>
  <c r="N26" i="16"/>
  <c r="N22" i="16"/>
  <c r="N9" i="16"/>
  <c r="N61" i="16"/>
  <c r="N57" i="16"/>
  <c r="N53" i="16"/>
  <c r="N46" i="16"/>
  <c r="N42" i="16"/>
  <c r="N38" i="16"/>
  <c r="N16" i="16"/>
  <c r="N8" i="16"/>
  <c r="N78" i="16"/>
  <c r="N74" i="16"/>
  <c r="N70" i="16"/>
  <c r="N29" i="16"/>
  <c r="N25" i="16"/>
  <c r="N21" i="16"/>
  <c r="N15" i="16"/>
  <c r="N7" i="16"/>
  <c r="C28" i="16"/>
  <c r="C69" i="16"/>
  <c r="M11" i="16"/>
  <c r="N28" i="16"/>
  <c r="M37" i="16"/>
  <c r="M64" i="16"/>
  <c r="N69" i="16"/>
  <c r="C12" i="16"/>
  <c r="C29" i="16"/>
  <c r="C70" i="16"/>
  <c r="M29" i="16"/>
  <c r="N37" i="16"/>
  <c r="N64" i="16"/>
  <c r="M70" i="16"/>
  <c r="C11" i="16"/>
  <c r="C30" i="16"/>
  <c r="C53" i="16"/>
  <c r="C71" i="16"/>
  <c r="N5" i="16"/>
  <c r="N32" i="16"/>
  <c r="N73" i="16"/>
  <c r="M77" i="16"/>
  <c r="M73" i="16"/>
  <c r="M69" i="16"/>
  <c r="M32" i="16"/>
  <c r="M28" i="16"/>
  <c r="M24" i="16"/>
  <c r="M63" i="16"/>
  <c r="M59" i="16"/>
  <c r="M55" i="16"/>
  <c r="M48" i="16"/>
  <c r="M44" i="16"/>
  <c r="M40" i="16"/>
  <c r="M16" i="16"/>
  <c r="M8" i="16"/>
  <c r="C76" i="16"/>
  <c r="C58" i="16"/>
  <c r="C48" i="16"/>
  <c r="C40" i="16"/>
  <c r="M80" i="16"/>
  <c r="M76" i="16"/>
  <c r="M72" i="16"/>
  <c r="M31" i="16"/>
  <c r="M27" i="16"/>
  <c r="M23" i="16"/>
  <c r="M15" i="16"/>
  <c r="M7" i="16"/>
  <c r="C75" i="16"/>
  <c r="C57" i="16"/>
  <c r="C47" i="16"/>
  <c r="C39" i="16"/>
  <c r="C27" i="16"/>
  <c r="M62" i="16"/>
  <c r="M58" i="16"/>
  <c r="M54" i="16"/>
  <c r="M47" i="16"/>
  <c r="M43" i="16"/>
  <c r="M39" i="16"/>
  <c r="M14" i="16"/>
  <c r="M6" i="16"/>
  <c r="C74" i="16"/>
  <c r="C64" i="16"/>
  <c r="C56" i="16"/>
  <c r="C46" i="16"/>
  <c r="C38" i="16"/>
  <c r="C26" i="16"/>
  <c r="M79" i="16"/>
  <c r="M75" i="16"/>
  <c r="M71" i="16"/>
  <c r="M30" i="16"/>
  <c r="M26" i="16"/>
  <c r="M22" i="16"/>
  <c r="M13" i="16"/>
  <c r="M5" i="16"/>
  <c r="C73" i="16"/>
  <c r="C63" i="16"/>
  <c r="C55" i="16"/>
  <c r="C45" i="16"/>
  <c r="C37" i="16"/>
  <c r="C25" i="16"/>
  <c r="M61" i="16"/>
  <c r="M57" i="16"/>
  <c r="M53" i="16"/>
  <c r="M46" i="16"/>
  <c r="M42" i="16"/>
  <c r="M38" i="16"/>
  <c r="M12" i="16"/>
  <c r="C80" i="16"/>
  <c r="C72" i="16"/>
  <c r="C62" i="16"/>
  <c r="C54" i="16"/>
  <c r="C44" i="16"/>
  <c r="C32" i="16"/>
  <c r="C24" i="16"/>
  <c r="C10" i="16"/>
  <c r="C31" i="16"/>
  <c r="C59" i="16"/>
  <c r="C77" i="16"/>
  <c r="M74" i="16"/>
  <c r="C5" i="16"/>
  <c r="C9" i="16"/>
  <c r="C60" i="16"/>
  <c r="C78" i="16"/>
  <c r="N12" i="16"/>
  <c r="M45" i="16"/>
  <c r="M56" i="16"/>
  <c r="N77" i="16"/>
  <c r="C16" i="16"/>
  <c r="C8" i="16"/>
  <c r="C21" i="16"/>
  <c r="C41" i="16"/>
  <c r="C61" i="16"/>
  <c r="C79" i="16"/>
  <c r="N13" i="16"/>
  <c r="M21" i="16"/>
  <c r="N45" i="16"/>
  <c r="N56" i="16"/>
  <c r="M78" i="16"/>
  <c r="R4" i="19"/>
  <c r="D16" i="16"/>
  <c r="D43" i="16"/>
  <c r="D58" i="16"/>
  <c r="D73" i="16"/>
  <c r="D8" i="16"/>
  <c r="D39" i="16"/>
  <c r="D54" i="16"/>
  <c r="D69" i="16"/>
  <c r="D47" i="16"/>
  <c r="D62" i="16"/>
  <c r="D77" i="16"/>
  <c r="D25" i="16"/>
  <c r="D5" i="16"/>
  <c r="D26" i="16"/>
  <c r="D10" i="16"/>
  <c r="D24" i="16"/>
  <c r="D32" i="16"/>
  <c r="D15" i="16"/>
  <c r="D7" i="16"/>
  <c r="D27" i="16"/>
  <c r="D40" i="16"/>
  <c r="D44" i="16"/>
  <c r="D48" i="16"/>
  <c r="D55" i="16"/>
  <c r="D59" i="16"/>
  <c r="D63" i="16"/>
  <c r="D70" i="16"/>
  <c r="D74" i="16"/>
  <c r="D78" i="16"/>
  <c r="D14" i="16"/>
  <c r="D6" i="16"/>
  <c r="D28" i="16"/>
  <c r="D13" i="16"/>
  <c r="D21" i="16"/>
  <c r="D29" i="16"/>
  <c r="D37" i="16"/>
  <c r="D41" i="16"/>
  <c r="D45" i="16"/>
  <c r="D56" i="16"/>
  <c r="D60" i="16"/>
  <c r="D64" i="16"/>
  <c r="D71" i="16"/>
  <c r="D75" i="16"/>
  <c r="D79" i="16"/>
  <c r="D12" i="16"/>
  <c r="D22" i="16"/>
  <c r="D30" i="16"/>
  <c r="D11" i="16"/>
  <c r="D23" i="16"/>
  <c r="D31" i="16"/>
  <c r="D38" i="16"/>
  <c r="D42" i="16"/>
  <c r="D46" i="16"/>
  <c r="D53" i="16"/>
  <c r="D57" i="16"/>
  <c r="D61" i="16"/>
  <c r="D72" i="16"/>
  <c r="D76" i="16"/>
  <c r="D13" i="14"/>
  <c r="D16" i="14"/>
  <c r="D21" i="14"/>
  <c r="D20" i="14"/>
  <c r="D19" i="14"/>
  <c r="D18" i="14"/>
  <c r="D17" i="14"/>
  <c r="D24" i="14"/>
  <c r="D23" i="14"/>
  <c r="D15" i="14"/>
  <c r="D22" i="14"/>
  <c r="F15" i="14"/>
  <c r="E15" i="14"/>
  <c r="N26" i="14"/>
  <c r="K23" i="14"/>
  <c r="N17" i="14"/>
  <c r="Q14" i="14"/>
  <c r="Q13" i="14"/>
  <c r="AZ6" i="12"/>
  <c r="BA6" i="12" s="1"/>
  <c r="AV6" i="12"/>
  <c r="AW6" i="12" s="1"/>
  <c r="AR6" i="12"/>
  <c r="AS6" i="12" s="1"/>
  <c r="AN6" i="12"/>
  <c r="AO6" i="12" s="1"/>
  <c r="AJ6" i="12"/>
  <c r="AK6" i="12" s="1"/>
  <c r="AF6" i="12"/>
  <c r="AG6" i="12" s="1"/>
  <c r="AB6" i="12"/>
  <c r="AC6" i="12" s="1"/>
  <c r="X6" i="12"/>
  <c r="Y6" i="12" s="1"/>
  <c r="T6" i="12"/>
  <c r="U6" i="12" s="1"/>
  <c r="L6" i="12"/>
  <c r="M6" i="12" s="1"/>
  <c r="H6" i="12"/>
  <c r="I6" i="12" s="1"/>
  <c r="D6" i="12"/>
  <c r="E6" i="12" s="1"/>
  <c r="E9" i="19" l="1"/>
  <c r="Q13" i="12"/>
  <c r="Q35" i="12"/>
  <c r="AV72" i="12"/>
  <c r="AW72" i="12" s="1"/>
  <c r="Q58" i="12"/>
  <c r="Q78" i="12"/>
  <c r="Q99" i="12"/>
  <c r="R5" i="19"/>
  <c r="G6" i="19" s="1"/>
  <c r="I6" i="19" s="1"/>
  <c r="D6" i="19"/>
  <c r="AJ30" i="12"/>
  <c r="AK30" i="12" s="1"/>
  <c r="AF30" i="12"/>
  <c r="AG30" i="12" s="1"/>
  <c r="AB30" i="12"/>
  <c r="AC30" i="12" s="1"/>
  <c r="AR30" i="12"/>
  <c r="AS30" i="12" s="1"/>
  <c r="AN30" i="12"/>
  <c r="AO30" i="12" s="1"/>
  <c r="AV30" i="12"/>
  <c r="AW30" i="12" s="1"/>
  <c r="X30" i="12"/>
  <c r="Y30" i="12" s="1"/>
  <c r="AZ30" i="12"/>
  <c r="BA30" i="12" s="1"/>
  <c r="AJ72" i="12"/>
  <c r="AK72" i="12" s="1"/>
  <c r="AV51" i="12"/>
  <c r="AW51" i="12" s="1"/>
  <c r="D93" i="12"/>
  <c r="E93" i="12" s="1"/>
  <c r="X93" i="12"/>
  <c r="Y93" i="12" s="1"/>
  <c r="X51" i="12"/>
  <c r="Y51" i="12" s="1"/>
  <c r="AF72" i="12"/>
  <c r="AG72" i="12" s="1"/>
  <c r="AN93" i="12"/>
  <c r="AO93" i="12" s="1"/>
  <c r="H51" i="12"/>
  <c r="I51" i="12" s="1"/>
  <c r="AR72" i="12"/>
  <c r="AS72" i="12" s="1"/>
  <c r="AZ93" i="12"/>
  <c r="BA93" i="12" s="1"/>
  <c r="AN51" i="12"/>
  <c r="AO51" i="12" s="1"/>
  <c r="X72" i="12"/>
  <c r="Y72" i="12" s="1"/>
  <c r="AF93" i="12"/>
  <c r="AG93" i="12" s="1"/>
  <c r="AB51" i="12"/>
  <c r="AC51" i="12" s="1"/>
  <c r="AZ51" i="12"/>
  <c r="BA51" i="12" s="1"/>
  <c r="D72" i="12"/>
  <c r="E72" i="12" s="1"/>
  <c r="AR51" i="12"/>
  <c r="AS51" i="12" s="1"/>
  <c r="AZ72" i="12"/>
  <c r="BA72" i="12" s="1"/>
  <c r="AV93" i="12"/>
  <c r="AW93" i="12" s="1"/>
  <c r="AJ51" i="12"/>
  <c r="AK51" i="12" s="1"/>
  <c r="L72" i="12"/>
  <c r="M72" i="12" s="1"/>
  <c r="AV73" i="12"/>
  <c r="AW73" i="12" s="1"/>
  <c r="H93" i="12"/>
  <c r="I93" i="12" s="1"/>
  <c r="T93" i="12"/>
  <c r="U93" i="12" s="1"/>
  <c r="AR93" i="12"/>
  <c r="AS93" i="12" s="1"/>
  <c r="T51" i="12"/>
  <c r="U51" i="12" s="1"/>
  <c r="H72" i="12"/>
  <c r="I72" i="12" s="1"/>
  <c r="AB72" i="12"/>
  <c r="AC72" i="12" s="1"/>
  <c r="AJ93" i="12"/>
  <c r="AK93" i="12" s="1"/>
  <c r="L51" i="12"/>
  <c r="M51" i="12" s="1"/>
  <c r="T72" i="12"/>
  <c r="U72" i="12" s="1"/>
  <c r="AB93" i="12"/>
  <c r="AC93" i="12" s="1"/>
  <c r="D51" i="12"/>
  <c r="E51" i="12" s="1"/>
  <c r="AF51" i="12"/>
  <c r="AG51" i="12" s="1"/>
  <c r="AN72" i="12"/>
  <c r="AO72" i="12" s="1"/>
  <c r="L93" i="12"/>
  <c r="M93" i="12" s="1"/>
  <c r="H7" i="12"/>
  <c r="I7" i="12" s="1"/>
  <c r="L7" i="12"/>
  <c r="M7" i="12" s="1"/>
  <c r="AR7" i="12"/>
  <c r="AS7" i="12" s="1"/>
  <c r="T30" i="12"/>
  <c r="U30" i="12" s="1"/>
  <c r="AZ7" i="12"/>
  <c r="BA7" i="12" s="1"/>
  <c r="X7" i="12"/>
  <c r="Y7" i="12" s="1"/>
  <c r="L30" i="12"/>
  <c r="M30" i="12" s="1"/>
  <c r="AV7" i="12"/>
  <c r="AW7" i="12" s="1"/>
  <c r="T7" i="12"/>
  <c r="U7" i="12" s="1"/>
  <c r="AB7" i="12"/>
  <c r="AC7" i="12" s="1"/>
  <c r="AF7" i="12"/>
  <c r="AG7" i="12" s="1"/>
  <c r="H30" i="12"/>
  <c r="I30" i="12" s="1"/>
  <c r="D7" i="12"/>
  <c r="E7" i="12" s="1"/>
  <c r="AJ7" i="12"/>
  <c r="AK7" i="12" s="1"/>
  <c r="D30" i="12"/>
  <c r="E30" i="12" s="1"/>
  <c r="AN7" i="12"/>
  <c r="AO7" i="12" s="1"/>
  <c r="K13" i="14"/>
  <c r="K20" i="14"/>
  <c r="J20" i="14" s="1"/>
  <c r="K12" i="14"/>
  <c r="J12" i="14" s="1"/>
  <c r="S73" i="16"/>
  <c r="S68" i="16"/>
  <c r="S61" i="16"/>
  <c r="S48" i="16"/>
  <c r="S26" i="16"/>
  <c r="S6" i="16"/>
  <c r="S78" i="16"/>
  <c r="S60" i="16"/>
  <c r="S55" i="16"/>
  <c r="S47" i="16"/>
  <c r="S41" i="16"/>
  <c r="S25" i="16"/>
  <c r="S16" i="16"/>
  <c r="S11" i="16"/>
  <c r="I77" i="16"/>
  <c r="I69" i="16"/>
  <c r="I58" i="16"/>
  <c r="I47" i="16"/>
  <c r="I39" i="16"/>
  <c r="I31" i="16"/>
  <c r="S77" i="16"/>
  <c r="S72" i="16"/>
  <c r="S54" i="16"/>
  <c r="S46" i="16"/>
  <c r="S40" i="16"/>
  <c r="S32" i="16"/>
  <c r="S24" i="16"/>
  <c r="S10" i="16"/>
  <c r="S5" i="16"/>
  <c r="I76" i="16"/>
  <c r="I68" i="16"/>
  <c r="I57" i="16"/>
  <c r="I46" i="16"/>
  <c r="I38" i="16"/>
  <c r="I30" i="16"/>
  <c r="I22" i="16"/>
  <c r="I5" i="16"/>
  <c r="S71" i="16"/>
  <c r="S64" i="16"/>
  <c r="S59" i="16"/>
  <c r="S39" i="16"/>
  <c r="S31" i="16"/>
  <c r="S23" i="16"/>
  <c r="S15" i="16"/>
  <c r="S4" i="16"/>
  <c r="I75" i="16"/>
  <c r="I64" i="16"/>
  <c r="I56" i="16"/>
  <c r="I45" i="16"/>
  <c r="I37" i="16"/>
  <c r="I29" i="16"/>
  <c r="I21" i="16"/>
  <c r="I6" i="16"/>
  <c r="S76" i="16"/>
  <c r="S58" i="16"/>
  <c r="S53" i="16"/>
  <c r="S45" i="16"/>
  <c r="S38" i="16"/>
  <c r="S30" i="16"/>
  <c r="S22" i="16"/>
  <c r="S14" i="16"/>
  <c r="S9" i="16"/>
  <c r="I74" i="16"/>
  <c r="I63" i="16"/>
  <c r="I55" i="16"/>
  <c r="I44" i="16"/>
  <c r="I36" i="16"/>
  <c r="I28" i="16"/>
  <c r="S75" i="16"/>
  <c r="S70" i="16"/>
  <c r="S63" i="16"/>
  <c r="S52" i="16"/>
  <c r="S44" i="16"/>
  <c r="S29" i="16"/>
  <c r="S21" i="16"/>
  <c r="S8" i="16"/>
  <c r="I73" i="16"/>
  <c r="I62" i="16"/>
  <c r="I54" i="16"/>
  <c r="I43" i="16"/>
  <c r="I27" i="16"/>
  <c r="I8" i="16"/>
  <c r="S62" i="16"/>
  <c r="S28" i="16"/>
  <c r="I60" i="16"/>
  <c r="I23" i="16"/>
  <c r="I14" i="16"/>
  <c r="I70" i="16"/>
  <c r="S27" i="16"/>
  <c r="I80" i="16"/>
  <c r="I59" i="16"/>
  <c r="I15" i="16"/>
  <c r="S69" i="16"/>
  <c r="I41" i="16"/>
  <c r="S80" i="16"/>
  <c r="S57" i="16"/>
  <c r="S20" i="16"/>
  <c r="I79" i="16"/>
  <c r="I53" i="16"/>
  <c r="I7" i="16"/>
  <c r="I16" i="16"/>
  <c r="S37" i="16"/>
  <c r="I12" i="16"/>
  <c r="S79" i="16"/>
  <c r="S56" i="16"/>
  <c r="S13" i="16"/>
  <c r="I78" i="16"/>
  <c r="I52" i="16"/>
  <c r="I20" i="16"/>
  <c r="I9" i="16"/>
  <c r="S43" i="16"/>
  <c r="S12" i="16"/>
  <c r="I72" i="16"/>
  <c r="I48" i="16"/>
  <c r="I32" i="16"/>
  <c r="I10" i="16"/>
  <c r="I25" i="16"/>
  <c r="S74" i="16"/>
  <c r="S42" i="16"/>
  <c r="I71" i="16"/>
  <c r="I42" i="16"/>
  <c r="I26" i="16"/>
  <c r="I11" i="16"/>
  <c r="S7" i="16"/>
  <c r="S36" i="16"/>
  <c r="I61" i="16"/>
  <c r="I40" i="16"/>
  <c r="I24" i="16"/>
  <c r="I13" i="16"/>
  <c r="F6" i="19"/>
  <c r="E19" i="14"/>
  <c r="E20" i="14"/>
  <c r="E14" i="14"/>
  <c r="F20" i="14"/>
  <c r="F21" i="14"/>
  <c r="F23" i="14"/>
  <c r="F14" i="14"/>
  <c r="F24" i="14"/>
  <c r="F22" i="14"/>
  <c r="F17" i="14"/>
  <c r="K24" i="14"/>
  <c r="J24" i="14" s="1"/>
  <c r="K21" i="14"/>
  <c r="J21" i="14" s="1"/>
  <c r="K22" i="14"/>
  <c r="J22" i="14" s="1"/>
  <c r="E22" i="14"/>
  <c r="K18" i="14"/>
  <c r="J18" i="14" s="1"/>
  <c r="K19" i="14"/>
  <c r="J19" i="14" s="1"/>
  <c r="K14" i="14"/>
  <c r="J14" i="14" s="1"/>
  <c r="K15" i="14"/>
  <c r="K17" i="14"/>
  <c r="J17" i="14" s="1"/>
  <c r="E21" i="14"/>
  <c r="J23" i="14"/>
  <c r="K16" i="14"/>
  <c r="J16" i="14" s="1"/>
  <c r="F18" i="14"/>
  <c r="F13" i="14"/>
  <c r="F16" i="14"/>
  <c r="F19" i="14"/>
  <c r="E13" i="14"/>
  <c r="E17" i="14"/>
  <c r="E16" i="14"/>
  <c r="E18" i="14"/>
  <c r="E24" i="14"/>
  <c r="E23" i="14"/>
  <c r="J13" i="14"/>
  <c r="Q12" i="14"/>
  <c r="J15" i="14"/>
  <c r="E12" i="5"/>
  <c r="D24" i="20" l="1"/>
  <c r="D104" i="20"/>
  <c r="D9" i="20"/>
  <c r="D17" i="20"/>
  <c r="D25" i="20"/>
  <c r="D33" i="20"/>
  <c r="D41" i="20"/>
  <c r="D49" i="20"/>
  <c r="D57" i="20"/>
  <c r="D65" i="20"/>
  <c r="D73" i="20"/>
  <c r="D81" i="20"/>
  <c r="D89" i="20"/>
  <c r="D97" i="20"/>
  <c r="D105" i="20"/>
  <c r="D113" i="20"/>
  <c r="D121" i="20"/>
  <c r="D129" i="20"/>
  <c r="D137" i="20"/>
  <c r="D4" i="20"/>
  <c r="D14" i="20"/>
  <c r="D46" i="20"/>
  <c r="D62" i="20"/>
  <c r="D86" i="20"/>
  <c r="D110" i="20"/>
  <c r="D126" i="20"/>
  <c r="D142" i="20"/>
  <c r="D23" i="20"/>
  <c r="D47" i="20"/>
  <c r="D79" i="20"/>
  <c r="D111" i="20"/>
  <c r="D32" i="20"/>
  <c r="D72" i="20"/>
  <c r="D112" i="20"/>
  <c r="D136" i="20"/>
  <c r="D10" i="20"/>
  <c r="D18" i="20"/>
  <c r="D26" i="20"/>
  <c r="D34" i="20"/>
  <c r="D42" i="20"/>
  <c r="D50" i="20"/>
  <c r="D58" i="20"/>
  <c r="D66" i="20"/>
  <c r="D74" i="20"/>
  <c r="D82" i="20"/>
  <c r="D90" i="20"/>
  <c r="D98" i="20"/>
  <c r="D106" i="20"/>
  <c r="D114" i="20"/>
  <c r="D122" i="20"/>
  <c r="D130" i="20"/>
  <c r="D138" i="20"/>
  <c r="D6" i="20"/>
  <c r="D11" i="20"/>
  <c r="D19" i="20"/>
  <c r="D27" i="20"/>
  <c r="D35" i="20"/>
  <c r="D43" i="20"/>
  <c r="D51" i="20"/>
  <c r="D59" i="20"/>
  <c r="D67" i="20"/>
  <c r="D75" i="20"/>
  <c r="D83" i="20"/>
  <c r="D91" i="20"/>
  <c r="D99" i="20"/>
  <c r="D107" i="20"/>
  <c r="D115" i="20"/>
  <c r="D123" i="20"/>
  <c r="D131" i="20"/>
  <c r="D139" i="20"/>
  <c r="D38" i="20"/>
  <c r="D78" i="20"/>
  <c r="D15" i="20"/>
  <c r="D39" i="20"/>
  <c r="D71" i="20"/>
  <c r="D103" i="20"/>
  <c r="D135" i="20"/>
  <c r="D8" i="20"/>
  <c r="D40" i="20"/>
  <c r="D80" i="20"/>
  <c r="D128" i="20"/>
  <c r="D12" i="20"/>
  <c r="D20" i="20"/>
  <c r="D28" i="20"/>
  <c r="D36" i="20"/>
  <c r="D44" i="20"/>
  <c r="D52" i="20"/>
  <c r="D60" i="20"/>
  <c r="D68" i="20"/>
  <c r="D76" i="20"/>
  <c r="D84" i="20"/>
  <c r="D92" i="20"/>
  <c r="D100" i="20"/>
  <c r="D108" i="20"/>
  <c r="D116" i="20"/>
  <c r="D124" i="20"/>
  <c r="D132" i="20"/>
  <c r="D140" i="20"/>
  <c r="D22" i="20"/>
  <c r="D102" i="20"/>
  <c r="D31" i="20"/>
  <c r="D63" i="20"/>
  <c r="D95" i="20"/>
  <c r="D127" i="20"/>
  <c r="D48" i="20"/>
  <c r="D88" i="20"/>
  <c r="D120" i="20"/>
  <c r="D5" i="20"/>
  <c r="D13" i="20"/>
  <c r="D21" i="20"/>
  <c r="D29" i="20"/>
  <c r="D37" i="20"/>
  <c r="D45" i="20"/>
  <c r="D53" i="20"/>
  <c r="D61" i="20"/>
  <c r="D69" i="20"/>
  <c r="D77" i="20"/>
  <c r="D85" i="20"/>
  <c r="D93" i="20"/>
  <c r="D101" i="20"/>
  <c r="D109" i="20"/>
  <c r="D117" i="20"/>
  <c r="D125" i="20"/>
  <c r="D133" i="20"/>
  <c r="D141" i="20"/>
  <c r="D30" i="20"/>
  <c r="D54" i="20"/>
  <c r="D70" i="20"/>
  <c r="D94" i="20"/>
  <c r="D118" i="20"/>
  <c r="D134" i="20"/>
  <c r="D7" i="20"/>
  <c r="D55" i="20"/>
  <c r="D87" i="20"/>
  <c r="D119" i="20"/>
  <c r="D143" i="20"/>
  <c r="D16" i="20"/>
  <c r="D56" i="20"/>
  <c r="D64" i="20"/>
  <c r="D96" i="20"/>
  <c r="D144" i="20"/>
  <c r="C5" i="20"/>
  <c r="C13" i="20"/>
  <c r="C21" i="20"/>
  <c r="C29" i="20"/>
  <c r="C37" i="20"/>
  <c r="C45" i="20"/>
  <c r="C53" i="20"/>
  <c r="C61" i="20"/>
  <c r="C69" i="20"/>
  <c r="C77" i="20"/>
  <c r="C85" i="20"/>
  <c r="C93" i="20"/>
  <c r="C101" i="20"/>
  <c r="C109" i="20"/>
  <c r="C117" i="20"/>
  <c r="C125" i="20"/>
  <c r="C133" i="20"/>
  <c r="C6" i="20"/>
  <c r="C14" i="20"/>
  <c r="C22" i="20"/>
  <c r="C30" i="20"/>
  <c r="C38" i="20"/>
  <c r="C46" i="20"/>
  <c r="C54" i="20"/>
  <c r="C62" i="20"/>
  <c r="C70" i="20"/>
  <c r="C78" i="20"/>
  <c r="C86" i="20"/>
  <c r="C94" i="20"/>
  <c r="C102" i="20"/>
  <c r="C110" i="20"/>
  <c r="C118" i="20"/>
  <c r="C126" i="20"/>
  <c r="C134" i="20"/>
  <c r="C142" i="20"/>
  <c r="C19" i="20"/>
  <c r="C43" i="20"/>
  <c r="C67" i="20"/>
  <c r="C91" i="20"/>
  <c r="C123" i="20"/>
  <c r="C28" i="20"/>
  <c r="C52" i="20"/>
  <c r="C68" i="20"/>
  <c r="C100" i="20"/>
  <c r="C124" i="20"/>
  <c r="C7" i="20"/>
  <c r="C15" i="20"/>
  <c r="C23" i="20"/>
  <c r="C31" i="20"/>
  <c r="C39" i="20"/>
  <c r="C47" i="20"/>
  <c r="C55" i="20"/>
  <c r="C63" i="20"/>
  <c r="C71" i="20"/>
  <c r="C79" i="20"/>
  <c r="C87" i="20"/>
  <c r="C95" i="20"/>
  <c r="C103" i="20"/>
  <c r="C111" i="20"/>
  <c r="C119" i="20"/>
  <c r="C127" i="20"/>
  <c r="C135" i="20"/>
  <c r="C143" i="20"/>
  <c r="C83" i="20"/>
  <c r="C8" i="20"/>
  <c r="C16" i="20"/>
  <c r="C24" i="20"/>
  <c r="C32" i="20"/>
  <c r="C40" i="20"/>
  <c r="C48" i="20"/>
  <c r="C56" i="20"/>
  <c r="C64" i="20"/>
  <c r="C72" i="20"/>
  <c r="C80" i="20"/>
  <c r="C88" i="20"/>
  <c r="C96" i="20"/>
  <c r="C104" i="20"/>
  <c r="C112" i="20"/>
  <c r="C120" i="20"/>
  <c r="C128" i="20"/>
  <c r="C136" i="20"/>
  <c r="C144" i="20"/>
  <c r="C27" i="20"/>
  <c r="C59" i="20"/>
  <c r="C107" i="20"/>
  <c r="C139" i="20"/>
  <c r="C36" i="20"/>
  <c r="C92" i="20"/>
  <c r="C132" i="20"/>
  <c r="C9" i="20"/>
  <c r="C17" i="20"/>
  <c r="C25" i="20"/>
  <c r="C33" i="20"/>
  <c r="C41" i="20"/>
  <c r="C49" i="20"/>
  <c r="C57" i="20"/>
  <c r="C65" i="20"/>
  <c r="C73" i="20"/>
  <c r="C81" i="20"/>
  <c r="C89" i="20"/>
  <c r="C97" i="20"/>
  <c r="C105" i="20"/>
  <c r="C113" i="20"/>
  <c r="C121" i="20"/>
  <c r="C129" i="20"/>
  <c r="C137" i="20"/>
  <c r="C4" i="20"/>
  <c r="C35" i="20"/>
  <c r="C20" i="20"/>
  <c r="C76" i="20"/>
  <c r="C116" i="20"/>
  <c r="C140" i="20"/>
  <c r="C141" i="20"/>
  <c r="C10" i="20"/>
  <c r="C18" i="20"/>
  <c r="C26" i="20"/>
  <c r="C34" i="20"/>
  <c r="C42" i="20"/>
  <c r="C50" i="20"/>
  <c r="C58" i="20"/>
  <c r="C66" i="20"/>
  <c r="C74" i="20"/>
  <c r="C82" i="20"/>
  <c r="C90" i="20"/>
  <c r="C98" i="20"/>
  <c r="C106" i="20"/>
  <c r="C114" i="20"/>
  <c r="C122" i="20"/>
  <c r="C130" i="20"/>
  <c r="C138" i="20"/>
  <c r="C11" i="20"/>
  <c r="C51" i="20"/>
  <c r="C75" i="20"/>
  <c r="C99" i="20"/>
  <c r="C115" i="20"/>
  <c r="C131" i="20"/>
  <c r="C12" i="20"/>
  <c r="C44" i="20"/>
  <c r="C60" i="20"/>
  <c r="C84" i="20"/>
  <c r="C108" i="20"/>
  <c r="Q36" i="12"/>
  <c r="Q14" i="12"/>
  <c r="Q100" i="12"/>
  <c r="Q79" i="12"/>
  <c r="Q59" i="12"/>
  <c r="L15" i="19"/>
  <c r="AZ31" i="12"/>
  <c r="BA31" i="12" s="1"/>
  <c r="AR31" i="12"/>
  <c r="AS31" i="12" s="1"/>
  <c r="AB31" i="12"/>
  <c r="AC31" i="12" s="1"/>
  <c r="X31" i="12"/>
  <c r="Y31" i="12" s="1"/>
  <c r="AV31" i="12"/>
  <c r="AW31" i="12" s="1"/>
  <c r="AF31" i="12"/>
  <c r="AG31" i="12" s="1"/>
  <c r="AN31" i="12"/>
  <c r="AO31" i="12" s="1"/>
  <c r="AJ31" i="12"/>
  <c r="AK31" i="12" s="1"/>
  <c r="AF52" i="12"/>
  <c r="AG52" i="12" s="1"/>
  <c r="L52" i="12"/>
  <c r="M52" i="12" s="1"/>
  <c r="T52" i="12"/>
  <c r="U52" i="12" s="1"/>
  <c r="AV74" i="12"/>
  <c r="AW74" i="12" s="1"/>
  <c r="AZ73" i="12"/>
  <c r="BA73" i="12" s="1"/>
  <c r="AN52" i="12"/>
  <c r="AO52" i="12" s="1"/>
  <c r="X94" i="12"/>
  <c r="Y94" i="12" s="1"/>
  <c r="D52" i="12"/>
  <c r="E52" i="12" s="1"/>
  <c r="AJ94" i="12"/>
  <c r="AK94" i="12" s="1"/>
  <c r="AR94" i="12"/>
  <c r="AS94" i="12" s="1"/>
  <c r="L73" i="12"/>
  <c r="M73" i="12" s="1"/>
  <c r="AR52" i="12"/>
  <c r="AS52" i="12" s="1"/>
  <c r="AZ94" i="12"/>
  <c r="BA94" i="12" s="1"/>
  <c r="AN94" i="12"/>
  <c r="AO94" i="12" s="1"/>
  <c r="D94" i="12"/>
  <c r="E94" i="12" s="1"/>
  <c r="L94" i="12"/>
  <c r="M94" i="12" s="1"/>
  <c r="AB94" i="12"/>
  <c r="AC94" i="12" s="1"/>
  <c r="AB73" i="12"/>
  <c r="AC73" i="12" s="1"/>
  <c r="T94" i="12"/>
  <c r="U94" i="12" s="1"/>
  <c r="AJ52" i="12"/>
  <c r="AK52" i="12" s="1"/>
  <c r="D73" i="12"/>
  <c r="E73" i="12" s="1"/>
  <c r="AF94" i="12"/>
  <c r="AG94" i="12" s="1"/>
  <c r="AR73" i="12"/>
  <c r="AS73" i="12" s="1"/>
  <c r="AF73" i="12"/>
  <c r="AG73" i="12" s="1"/>
  <c r="AV52" i="12"/>
  <c r="AW52" i="12" s="1"/>
  <c r="AN73" i="12"/>
  <c r="AO73" i="12" s="1"/>
  <c r="T73" i="12"/>
  <c r="U73" i="12" s="1"/>
  <c r="H73" i="12"/>
  <c r="I73" i="12" s="1"/>
  <c r="H94" i="12"/>
  <c r="I94" i="12" s="1"/>
  <c r="AV94" i="12"/>
  <c r="AW94" i="12" s="1"/>
  <c r="AZ52" i="12"/>
  <c r="BA52" i="12" s="1"/>
  <c r="X73" i="12"/>
  <c r="Y73" i="12" s="1"/>
  <c r="X52" i="12"/>
  <c r="Y52" i="12" s="1"/>
  <c r="AB52" i="12"/>
  <c r="AC52" i="12" s="1"/>
  <c r="H52" i="12"/>
  <c r="I52" i="12" s="1"/>
  <c r="AJ73" i="12"/>
  <c r="AK73" i="12" s="1"/>
  <c r="AB8" i="12"/>
  <c r="AC8" i="12" s="1"/>
  <c r="AR8" i="12"/>
  <c r="AS8" i="12" s="1"/>
  <c r="D8" i="12"/>
  <c r="E8" i="12" s="1"/>
  <c r="T8" i="12"/>
  <c r="U8" i="12" s="1"/>
  <c r="X8" i="12"/>
  <c r="Y8" i="12" s="1"/>
  <c r="L8" i="12"/>
  <c r="M8" i="12" s="1"/>
  <c r="AN8" i="12"/>
  <c r="AO8" i="12" s="1"/>
  <c r="H31" i="12"/>
  <c r="I31" i="12" s="1"/>
  <c r="AZ8" i="12"/>
  <c r="BA8" i="12" s="1"/>
  <c r="H8" i="12"/>
  <c r="I8" i="12" s="1"/>
  <c r="AV8" i="12"/>
  <c r="AW8" i="12" s="1"/>
  <c r="AJ8" i="12"/>
  <c r="AK8" i="12" s="1"/>
  <c r="D31" i="12"/>
  <c r="E31" i="12" s="1"/>
  <c r="AF8" i="12"/>
  <c r="AG8" i="12" s="1"/>
  <c r="L31" i="12"/>
  <c r="M31" i="12" s="1"/>
  <c r="T31" i="12"/>
  <c r="U31" i="12" s="1"/>
  <c r="E18" i="20"/>
  <c r="I15" i="19"/>
  <c r="J15" i="19" s="1"/>
  <c r="J11" i="11"/>
  <c r="H68" i="16"/>
  <c r="R52" i="16"/>
  <c r="H52" i="16"/>
  <c r="H36" i="16"/>
  <c r="H20" i="16"/>
  <c r="R4" i="16"/>
  <c r="R20" i="16"/>
  <c r="R36" i="16"/>
  <c r="R68" i="16"/>
  <c r="H4" i="16"/>
  <c r="R6" i="19"/>
  <c r="H6" i="19" s="1"/>
  <c r="J6" i="19" s="1"/>
  <c r="Q15" i="14"/>
  <c r="N16" i="14"/>
  <c r="N19" i="14" s="1"/>
  <c r="S12" i="11"/>
  <c r="P25" i="11"/>
  <c r="K21" i="11"/>
  <c r="F23" i="11"/>
  <c r="D23" i="11"/>
  <c r="K22" i="11"/>
  <c r="F22" i="11"/>
  <c r="D22" i="11"/>
  <c r="F21" i="11"/>
  <c r="D21" i="11"/>
  <c r="K20" i="11"/>
  <c r="F20" i="11"/>
  <c r="D20" i="11"/>
  <c r="K19" i="11"/>
  <c r="F19" i="11"/>
  <c r="D19" i="11"/>
  <c r="K18" i="11"/>
  <c r="F18" i="11"/>
  <c r="D18" i="11"/>
  <c r="K17" i="11"/>
  <c r="F17" i="11"/>
  <c r="D17" i="11"/>
  <c r="P16" i="11"/>
  <c r="K16" i="11"/>
  <c r="F16" i="11"/>
  <c r="D16" i="11"/>
  <c r="K15" i="11"/>
  <c r="F15" i="11"/>
  <c r="D15" i="11"/>
  <c r="K14" i="11"/>
  <c r="F14" i="11"/>
  <c r="D14" i="11"/>
  <c r="K13" i="11"/>
  <c r="F13" i="11"/>
  <c r="D13" i="11"/>
  <c r="K12" i="11"/>
  <c r="F12" i="11"/>
  <c r="D12" i="11"/>
  <c r="C11" i="5"/>
  <c r="Q12" i="5"/>
  <c r="Q11" i="5" s="1"/>
  <c r="Q13" i="5"/>
  <c r="Q15" i="12" l="1"/>
  <c r="Q37" i="12"/>
  <c r="Q60" i="12"/>
  <c r="AB9" i="12"/>
  <c r="AC9" i="12" s="1"/>
  <c r="Q80" i="12"/>
  <c r="Q101" i="12"/>
  <c r="AJ32" i="12"/>
  <c r="AK32" i="12" s="1"/>
  <c r="X32" i="12"/>
  <c r="Y32" i="12" s="1"/>
  <c r="AN32" i="12"/>
  <c r="AO32" i="12" s="1"/>
  <c r="AB32" i="12"/>
  <c r="AC32" i="12" s="1"/>
  <c r="AR32" i="12"/>
  <c r="AS32" i="12" s="1"/>
  <c r="AF32" i="12"/>
  <c r="AG32" i="12" s="1"/>
  <c r="AZ32" i="12"/>
  <c r="BA32" i="12" s="1"/>
  <c r="AV32" i="12"/>
  <c r="AW32" i="12" s="1"/>
  <c r="AN95" i="12"/>
  <c r="AO95" i="12" s="1"/>
  <c r="AF53" i="12"/>
  <c r="AG53" i="12" s="1"/>
  <c r="X53" i="12"/>
  <c r="Y53" i="12" s="1"/>
  <c r="H95" i="12"/>
  <c r="I95" i="12" s="1"/>
  <c r="AV53" i="12"/>
  <c r="AW53" i="12" s="1"/>
  <c r="D74" i="12"/>
  <c r="E74" i="12" s="1"/>
  <c r="AB95" i="12"/>
  <c r="AC95" i="12" s="1"/>
  <c r="AZ95" i="12"/>
  <c r="BA95" i="12" s="1"/>
  <c r="AR95" i="12"/>
  <c r="AS95" i="12" s="1"/>
  <c r="X95" i="12"/>
  <c r="Y95" i="12" s="1"/>
  <c r="AV75" i="12"/>
  <c r="AW75" i="12" s="1"/>
  <c r="AJ74" i="12"/>
  <c r="AK74" i="12" s="1"/>
  <c r="X74" i="12"/>
  <c r="Y74" i="12" s="1"/>
  <c r="AF74" i="12"/>
  <c r="AG74" i="12" s="1"/>
  <c r="AJ53" i="12"/>
  <c r="AK53" i="12" s="1"/>
  <c r="AJ95" i="12"/>
  <c r="AK95" i="12" s="1"/>
  <c r="H74" i="12"/>
  <c r="I74" i="12" s="1"/>
  <c r="T53" i="12"/>
  <c r="U53" i="12" s="1"/>
  <c r="T74" i="12"/>
  <c r="U74" i="12" s="1"/>
  <c r="D95" i="12"/>
  <c r="E95" i="12" s="1"/>
  <c r="D53" i="12"/>
  <c r="E53" i="12" s="1"/>
  <c r="L53" i="12"/>
  <c r="M53" i="12" s="1"/>
  <c r="L95" i="12"/>
  <c r="M95" i="12" s="1"/>
  <c r="T95" i="12"/>
  <c r="U95" i="12" s="1"/>
  <c r="AR53" i="12"/>
  <c r="AS53" i="12" s="1"/>
  <c r="AN53" i="12"/>
  <c r="AO53" i="12" s="1"/>
  <c r="H53" i="12"/>
  <c r="I53" i="12" s="1"/>
  <c r="AZ53" i="12"/>
  <c r="BA53" i="12" s="1"/>
  <c r="AR74" i="12"/>
  <c r="AS74" i="12" s="1"/>
  <c r="AB53" i="12"/>
  <c r="AC53" i="12" s="1"/>
  <c r="AV95" i="12"/>
  <c r="AW95" i="12" s="1"/>
  <c r="AN74" i="12"/>
  <c r="AO74" i="12" s="1"/>
  <c r="AF95" i="12"/>
  <c r="AG95" i="12" s="1"/>
  <c r="AB74" i="12"/>
  <c r="AC74" i="12" s="1"/>
  <c r="L74" i="12"/>
  <c r="M74" i="12" s="1"/>
  <c r="AZ74" i="12"/>
  <c r="BA74" i="12" s="1"/>
  <c r="AV9" i="12"/>
  <c r="AW9" i="12" s="1"/>
  <c r="D9" i="12"/>
  <c r="E9" i="12" s="1"/>
  <c r="AF9" i="12"/>
  <c r="AG9" i="12" s="1"/>
  <c r="AR9" i="12"/>
  <c r="AS9" i="12" s="1"/>
  <c r="AN9" i="12"/>
  <c r="AO9" i="12" s="1"/>
  <c r="H9" i="12"/>
  <c r="I9" i="12" s="1"/>
  <c r="L9" i="12"/>
  <c r="M9" i="12" s="1"/>
  <c r="D32" i="12"/>
  <c r="E32" i="12" s="1"/>
  <c r="AZ9" i="12"/>
  <c r="BA9" i="12" s="1"/>
  <c r="X9" i="12"/>
  <c r="Y9" i="12" s="1"/>
  <c r="T32" i="12"/>
  <c r="U32" i="12" s="1"/>
  <c r="AJ9" i="12"/>
  <c r="AK9" i="12" s="1"/>
  <c r="T9" i="12"/>
  <c r="U9" i="12" s="1"/>
  <c r="L32" i="12"/>
  <c r="M32" i="12" s="1"/>
  <c r="H32" i="12"/>
  <c r="I32" i="12" s="1"/>
  <c r="L6" i="19"/>
  <c r="E38" i="20"/>
  <c r="E25" i="20"/>
  <c r="E45" i="20"/>
  <c r="E63" i="20"/>
  <c r="E74" i="20"/>
  <c r="E135" i="20"/>
  <c r="E107" i="20"/>
  <c r="E62" i="20"/>
  <c r="E52" i="20"/>
  <c r="E87" i="20"/>
  <c r="E109" i="20"/>
  <c r="E105" i="20"/>
  <c r="E71" i="20"/>
  <c r="E131" i="20"/>
  <c r="E126" i="20"/>
  <c r="E85" i="20"/>
  <c r="E115" i="20"/>
  <c r="E122" i="20"/>
  <c r="E65" i="20"/>
  <c r="E127" i="20"/>
  <c r="E90" i="20"/>
  <c r="E84" i="20"/>
  <c r="E79" i="20"/>
  <c r="E138" i="20"/>
  <c r="E57" i="20"/>
  <c r="E69" i="20"/>
  <c r="E16" i="20"/>
  <c r="E59" i="20"/>
  <c r="E106" i="20"/>
  <c r="E141" i="20"/>
  <c r="E136" i="20"/>
  <c r="E4" i="20"/>
  <c r="E15" i="20"/>
  <c r="E27" i="20"/>
  <c r="E94" i="20"/>
  <c r="E125" i="20"/>
  <c r="E124" i="20"/>
  <c r="E104" i="20"/>
  <c r="E80" i="20"/>
  <c r="E48" i="20"/>
  <c r="E14" i="20"/>
  <c r="E67" i="20"/>
  <c r="E99" i="20"/>
  <c r="E118" i="20"/>
  <c r="E49" i="20"/>
  <c r="E101" i="20"/>
  <c r="E120" i="20"/>
  <c r="E72" i="20"/>
  <c r="E36" i="20"/>
  <c r="E11" i="20"/>
  <c r="E139" i="20"/>
  <c r="E83" i="20"/>
  <c r="E19" i="20"/>
  <c r="E114" i="20"/>
  <c r="E82" i="20"/>
  <c r="E41" i="20"/>
  <c r="E133" i="20"/>
  <c r="E97" i="20"/>
  <c r="E47" i="20"/>
  <c r="E116" i="20"/>
  <c r="E60" i="20"/>
  <c r="E24" i="20"/>
  <c r="E6" i="20"/>
  <c r="E35" i="20"/>
  <c r="E51" i="20"/>
  <c r="E86" i="20"/>
  <c r="E137" i="20"/>
  <c r="E61" i="20"/>
  <c r="E10" i="20"/>
  <c r="E143" i="20"/>
  <c r="E123" i="20"/>
  <c r="E43" i="20"/>
  <c r="E142" i="20"/>
  <c r="E110" i="20"/>
  <c r="E78" i="20"/>
  <c r="E33" i="20"/>
  <c r="E129" i="20"/>
  <c r="E93" i="20"/>
  <c r="E23" i="20"/>
  <c r="E112" i="20"/>
  <c r="E53" i="20"/>
  <c r="E20" i="20"/>
  <c r="E111" i="20"/>
  <c r="E91" i="20"/>
  <c r="E119" i="20"/>
  <c r="E134" i="20"/>
  <c r="E102" i="20"/>
  <c r="E70" i="20"/>
  <c r="E17" i="20"/>
  <c r="E121" i="20"/>
  <c r="E77" i="20"/>
  <c r="E7" i="20"/>
  <c r="E92" i="20"/>
  <c r="E21" i="20"/>
  <c r="E58" i="20"/>
  <c r="E95" i="20"/>
  <c r="E75" i="20"/>
  <c r="E103" i="20"/>
  <c r="E130" i="20"/>
  <c r="E98" i="20"/>
  <c r="E66" i="20"/>
  <c r="E9" i="20"/>
  <c r="E117" i="20"/>
  <c r="E73" i="20"/>
  <c r="E144" i="20"/>
  <c r="E88" i="20"/>
  <c r="E56" i="20"/>
  <c r="E46" i="20"/>
  <c r="E42" i="20"/>
  <c r="E37" i="20"/>
  <c r="E44" i="20"/>
  <c r="E12" i="20"/>
  <c r="E34" i="20"/>
  <c r="E89" i="20"/>
  <c r="E55" i="20"/>
  <c r="E140" i="20"/>
  <c r="E108" i="20"/>
  <c r="E76" i="20"/>
  <c r="E29" i="20"/>
  <c r="E40" i="20"/>
  <c r="E8" i="20"/>
  <c r="E30" i="20"/>
  <c r="E26" i="20"/>
  <c r="E113" i="20"/>
  <c r="E81" i="20"/>
  <c r="E39" i="20"/>
  <c r="E132" i="20"/>
  <c r="E100" i="20"/>
  <c r="E68" i="20"/>
  <c r="E13" i="20"/>
  <c r="E32" i="20"/>
  <c r="E54" i="20"/>
  <c r="E22" i="20"/>
  <c r="E31" i="20"/>
  <c r="E128" i="20"/>
  <c r="E96" i="20"/>
  <c r="E64" i="20"/>
  <c r="E5" i="20"/>
  <c r="E28" i="20"/>
  <c r="E50" i="20"/>
  <c r="Q14" i="5"/>
  <c r="F12" i="5"/>
  <c r="R22" i="16"/>
  <c r="R38" i="16"/>
  <c r="R6" i="16"/>
  <c r="R70" i="16"/>
  <c r="R54" i="16"/>
  <c r="H70" i="16"/>
  <c r="H22" i="16"/>
  <c r="H6" i="16"/>
  <c r="H54" i="16"/>
  <c r="H38" i="16"/>
  <c r="C16" i="11"/>
  <c r="C14" i="11"/>
  <c r="H9" i="16"/>
  <c r="H73" i="16"/>
  <c r="H57" i="16"/>
  <c r="H41" i="16"/>
  <c r="R57" i="16"/>
  <c r="R41" i="16"/>
  <c r="H25" i="16"/>
  <c r="R9" i="16"/>
  <c r="R73" i="16"/>
  <c r="R25" i="16"/>
  <c r="C19" i="11"/>
  <c r="C22" i="11"/>
  <c r="C4" i="5"/>
  <c r="S11" i="11"/>
  <c r="C12" i="11"/>
  <c r="H12" i="16"/>
  <c r="H28" i="16"/>
  <c r="H60" i="16"/>
  <c r="R60" i="16"/>
  <c r="R44" i="16"/>
  <c r="R12" i="16"/>
  <c r="R28" i="16"/>
  <c r="R76" i="16"/>
  <c r="H76" i="16"/>
  <c r="H44" i="16"/>
  <c r="H11" i="16"/>
  <c r="R59" i="16"/>
  <c r="H75" i="16"/>
  <c r="R43" i="16"/>
  <c r="R27" i="16"/>
  <c r="H59" i="16"/>
  <c r="R11" i="16"/>
  <c r="H43" i="16"/>
  <c r="H27" i="16"/>
  <c r="R75" i="16"/>
  <c r="R23" i="16"/>
  <c r="R71" i="16"/>
  <c r="H55" i="16"/>
  <c r="H71" i="16"/>
  <c r="R7" i="16"/>
  <c r="H23" i="16"/>
  <c r="R55" i="16"/>
  <c r="H39" i="16"/>
  <c r="H7" i="16"/>
  <c r="R39" i="16"/>
  <c r="C17" i="11"/>
  <c r="R31" i="16"/>
  <c r="R15" i="16"/>
  <c r="R79" i="16"/>
  <c r="H31" i="16"/>
  <c r="H63" i="16"/>
  <c r="H47" i="16"/>
  <c r="R47" i="16"/>
  <c r="H79" i="16"/>
  <c r="R63" i="16"/>
  <c r="H15" i="16"/>
  <c r="C15" i="11"/>
  <c r="C20" i="11"/>
  <c r="C23" i="11"/>
  <c r="J12" i="11"/>
  <c r="R37" i="16"/>
  <c r="R69" i="16"/>
  <c r="H21" i="16"/>
  <c r="H5" i="16"/>
  <c r="R53" i="16"/>
  <c r="H69" i="16"/>
  <c r="H53" i="16"/>
  <c r="R5" i="16"/>
  <c r="R21" i="16"/>
  <c r="H37" i="16"/>
  <c r="C21" i="11"/>
  <c r="R26" i="16"/>
  <c r="H74" i="16"/>
  <c r="R42" i="16"/>
  <c r="R10" i="16"/>
  <c r="H58" i="16"/>
  <c r="H42" i="16"/>
  <c r="R58" i="16"/>
  <c r="H26" i="16"/>
  <c r="R74" i="16"/>
  <c r="H10" i="16"/>
  <c r="C13" i="11"/>
  <c r="H8" i="16"/>
  <c r="R24" i="16"/>
  <c r="R40" i="16"/>
  <c r="R8" i="16"/>
  <c r="H40" i="16"/>
  <c r="H24" i="16"/>
  <c r="H56" i="16"/>
  <c r="H72" i="16"/>
  <c r="R72" i="16"/>
  <c r="R56" i="16"/>
  <c r="C18" i="11"/>
  <c r="R13" i="16"/>
  <c r="R45" i="16"/>
  <c r="R77" i="16"/>
  <c r="H29" i="16"/>
  <c r="H13" i="16"/>
  <c r="R61" i="16"/>
  <c r="H77" i="16"/>
  <c r="H61" i="16"/>
  <c r="R29" i="16"/>
  <c r="H45" i="16"/>
  <c r="R46" i="16"/>
  <c r="R14" i="16"/>
  <c r="R78" i="16"/>
  <c r="R62" i="16"/>
  <c r="H78" i="16"/>
  <c r="H30" i="16"/>
  <c r="H46" i="16"/>
  <c r="H14" i="16"/>
  <c r="H62" i="16"/>
  <c r="R30" i="16"/>
  <c r="J17" i="11"/>
  <c r="J15" i="11"/>
  <c r="J22" i="11"/>
  <c r="J18" i="11"/>
  <c r="J13" i="11"/>
  <c r="J16" i="11"/>
  <c r="J19" i="11"/>
  <c r="J20" i="11"/>
  <c r="J14" i="11"/>
  <c r="J21" i="11"/>
  <c r="K23" i="11"/>
  <c r="Z9" i="1"/>
  <c r="Q38" i="12" l="1"/>
  <c r="Q16" i="12"/>
  <c r="Q81" i="12"/>
  <c r="AB10" i="12"/>
  <c r="AC10" i="12" s="1"/>
  <c r="Q102" i="12"/>
  <c r="Q61" i="12"/>
  <c r="AV33" i="12"/>
  <c r="AW33" i="12" s="1"/>
  <c r="AB33" i="12"/>
  <c r="AC33" i="12" s="1"/>
  <c r="AZ33" i="12"/>
  <c r="BA33" i="12" s="1"/>
  <c r="AN33" i="12"/>
  <c r="AO33" i="12" s="1"/>
  <c r="AF33" i="12"/>
  <c r="AG33" i="12" s="1"/>
  <c r="X33" i="12"/>
  <c r="Y33" i="12" s="1"/>
  <c r="AR33" i="12"/>
  <c r="AS33" i="12" s="1"/>
  <c r="AJ33" i="12"/>
  <c r="AK33" i="12" s="1"/>
  <c r="AB54" i="12"/>
  <c r="AC54" i="12" s="1"/>
  <c r="L54" i="12"/>
  <c r="M54" i="12" s="1"/>
  <c r="AB75" i="12"/>
  <c r="AC75" i="12" s="1"/>
  <c r="AN54" i="12"/>
  <c r="AO54" i="12" s="1"/>
  <c r="T54" i="12"/>
  <c r="U54" i="12" s="1"/>
  <c r="AJ75" i="12"/>
  <c r="AK75" i="12" s="1"/>
  <c r="AZ96" i="12"/>
  <c r="BA96" i="12" s="1"/>
  <c r="H96" i="12"/>
  <c r="I96" i="12" s="1"/>
  <c r="AF96" i="12"/>
  <c r="AG96" i="12" s="1"/>
  <c r="AR75" i="12"/>
  <c r="AS75" i="12" s="1"/>
  <c r="AR54" i="12"/>
  <c r="AS54" i="12" s="1"/>
  <c r="D54" i="12"/>
  <c r="E54" i="12" s="1"/>
  <c r="H75" i="12"/>
  <c r="I75" i="12" s="1"/>
  <c r="AJ54" i="12"/>
  <c r="AK54" i="12" s="1"/>
  <c r="AV76" i="12"/>
  <c r="AW76" i="12" s="1"/>
  <c r="AB96" i="12"/>
  <c r="AC96" i="12" s="1"/>
  <c r="X54" i="12"/>
  <c r="Y54" i="12" s="1"/>
  <c r="AZ75" i="12"/>
  <c r="BA75" i="12" s="1"/>
  <c r="AN75" i="12"/>
  <c r="AO75" i="12" s="1"/>
  <c r="AZ54" i="12"/>
  <c r="BA54" i="12" s="1"/>
  <c r="T96" i="12"/>
  <c r="U96" i="12" s="1"/>
  <c r="D96" i="12"/>
  <c r="E96" i="12" s="1"/>
  <c r="AF75" i="12"/>
  <c r="AG75" i="12" s="1"/>
  <c r="X96" i="12"/>
  <c r="Y96" i="12" s="1"/>
  <c r="D75" i="12"/>
  <c r="E75" i="12" s="1"/>
  <c r="AF54" i="12"/>
  <c r="AG54" i="12" s="1"/>
  <c r="L75" i="12"/>
  <c r="M75" i="12" s="1"/>
  <c r="AV96" i="12"/>
  <c r="AW96" i="12" s="1"/>
  <c r="H54" i="12"/>
  <c r="I54" i="12" s="1"/>
  <c r="L96" i="12"/>
  <c r="M96" i="12" s="1"/>
  <c r="T75" i="12"/>
  <c r="U75" i="12" s="1"/>
  <c r="AJ96" i="12"/>
  <c r="AK96" i="12" s="1"/>
  <c r="X75" i="12"/>
  <c r="Y75" i="12" s="1"/>
  <c r="AR96" i="12"/>
  <c r="AS96" i="12" s="1"/>
  <c r="AV54" i="12"/>
  <c r="AW54" i="12" s="1"/>
  <c r="AN96" i="12"/>
  <c r="AO96" i="12" s="1"/>
  <c r="AR10" i="12"/>
  <c r="AS10" i="12" s="1"/>
  <c r="D33" i="12"/>
  <c r="E33" i="12" s="1"/>
  <c r="T10" i="12"/>
  <c r="U10" i="12" s="1"/>
  <c r="L10" i="12"/>
  <c r="M10" i="12" s="1"/>
  <c r="AF10" i="12"/>
  <c r="AG10" i="12" s="1"/>
  <c r="AJ10" i="12"/>
  <c r="AK10" i="12" s="1"/>
  <c r="L33" i="12"/>
  <c r="M33" i="12" s="1"/>
  <c r="H10" i="12"/>
  <c r="I10" i="12" s="1"/>
  <c r="D10" i="12"/>
  <c r="E10" i="12" s="1"/>
  <c r="X10" i="12"/>
  <c r="Y10" i="12" s="1"/>
  <c r="H33" i="12"/>
  <c r="I33" i="12" s="1"/>
  <c r="AZ10" i="12"/>
  <c r="BA10" i="12" s="1"/>
  <c r="AV10" i="12"/>
  <c r="AW10" i="12" s="1"/>
  <c r="T33" i="12"/>
  <c r="U33" i="12" s="1"/>
  <c r="AN10" i="12"/>
  <c r="AO10" i="12" s="1"/>
  <c r="R16" i="16"/>
  <c r="R80" i="16"/>
  <c r="R32" i="16"/>
  <c r="H48" i="16"/>
  <c r="H64" i="16"/>
  <c r="R64" i="16"/>
  <c r="H80" i="16"/>
  <c r="H32" i="16"/>
  <c r="H16" i="16"/>
  <c r="R48" i="16"/>
  <c r="O77" i="16"/>
  <c r="E73" i="16"/>
  <c r="E69" i="16"/>
  <c r="O55" i="16"/>
  <c r="O63" i="16"/>
  <c r="E61" i="16"/>
  <c r="O43" i="16"/>
  <c r="O36" i="16"/>
  <c r="E40" i="16"/>
  <c r="E48" i="16"/>
  <c r="O22" i="16"/>
  <c r="O30" i="16"/>
  <c r="E26" i="16"/>
  <c r="E20" i="16"/>
  <c r="O13" i="16"/>
  <c r="E13" i="16"/>
  <c r="G21" i="14"/>
  <c r="O57" i="16"/>
  <c r="O45" i="16"/>
  <c r="O24" i="16"/>
  <c r="G15" i="14"/>
  <c r="E79" i="16"/>
  <c r="E32" i="16"/>
  <c r="O70" i="16"/>
  <c r="O78" i="16"/>
  <c r="E74" i="16"/>
  <c r="E68" i="16"/>
  <c r="O56" i="16"/>
  <c r="O64" i="16"/>
  <c r="E54" i="16"/>
  <c r="E62" i="16"/>
  <c r="O44" i="16"/>
  <c r="E41" i="16"/>
  <c r="E37" i="16"/>
  <c r="O23" i="16"/>
  <c r="O31" i="16"/>
  <c r="E27" i="16"/>
  <c r="O6" i="16"/>
  <c r="O14" i="16"/>
  <c r="E6" i="16"/>
  <c r="E14" i="16"/>
  <c r="G14" i="14"/>
  <c r="I14" i="14" s="1"/>
  <c r="G22" i="14"/>
  <c r="O53" i="16"/>
  <c r="E63" i="16"/>
  <c r="E36" i="16"/>
  <c r="O7" i="16"/>
  <c r="E71" i="16"/>
  <c r="O61" i="16"/>
  <c r="O71" i="16"/>
  <c r="O79" i="16"/>
  <c r="E75" i="16"/>
  <c r="E55" i="16"/>
  <c r="E42" i="16"/>
  <c r="O32" i="16"/>
  <c r="E28" i="16"/>
  <c r="G23" i="14"/>
  <c r="O37" i="16"/>
  <c r="O28" i="16"/>
  <c r="O72" i="16"/>
  <c r="O80" i="16"/>
  <c r="E76" i="16"/>
  <c r="O58" i="16"/>
  <c r="O52" i="16"/>
  <c r="E56" i="16"/>
  <c r="E64" i="16"/>
  <c r="O38" i="16"/>
  <c r="O46" i="16"/>
  <c r="E43" i="16"/>
  <c r="O25" i="16"/>
  <c r="O21" i="16"/>
  <c r="E29" i="16"/>
  <c r="O8" i="16"/>
  <c r="O16" i="16"/>
  <c r="E8" i="16"/>
  <c r="E16" i="16"/>
  <c r="G16" i="14"/>
  <c r="G24" i="14"/>
  <c r="E46" i="16"/>
  <c r="E24" i="16"/>
  <c r="G19" i="14"/>
  <c r="O73" i="16"/>
  <c r="O69" i="16"/>
  <c r="E77" i="16"/>
  <c r="O59" i="16"/>
  <c r="E57" i="16"/>
  <c r="E53" i="16"/>
  <c r="O39" i="16"/>
  <c r="O47" i="16"/>
  <c r="E44" i="16"/>
  <c r="O26" i="16"/>
  <c r="E22" i="16"/>
  <c r="E30" i="16"/>
  <c r="O9" i="16"/>
  <c r="O5" i="16"/>
  <c r="E9" i="16"/>
  <c r="E5" i="16"/>
  <c r="G17" i="14"/>
  <c r="G13" i="14"/>
  <c r="I13" i="14" s="1"/>
  <c r="O75" i="16"/>
  <c r="O41" i="16"/>
  <c r="O74" i="16"/>
  <c r="E70" i="16"/>
  <c r="E78" i="16"/>
  <c r="O60" i="16"/>
  <c r="E58" i="16"/>
  <c r="E52" i="16"/>
  <c r="O40" i="16"/>
  <c r="O48" i="16"/>
  <c r="E45" i="16"/>
  <c r="O27" i="16"/>
  <c r="E23" i="16"/>
  <c r="E31" i="16"/>
  <c r="O10" i="16"/>
  <c r="O4" i="16"/>
  <c r="E10" i="16"/>
  <c r="E4" i="16"/>
  <c r="G18" i="14"/>
  <c r="G12" i="14"/>
  <c r="I12" i="14" s="1"/>
  <c r="O20" i="16"/>
  <c r="O11" i="16"/>
  <c r="E11" i="16"/>
  <c r="O76" i="16"/>
  <c r="O68" i="16"/>
  <c r="E72" i="16"/>
  <c r="E80" i="16"/>
  <c r="O54" i="16"/>
  <c r="O62" i="16"/>
  <c r="E60" i="16"/>
  <c r="O42" i="16"/>
  <c r="E39" i="16"/>
  <c r="E47" i="16"/>
  <c r="O29" i="16"/>
  <c r="E25" i="16"/>
  <c r="E21" i="16"/>
  <c r="O12" i="16"/>
  <c r="E12" i="16"/>
  <c r="G20" i="14"/>
  <c r="O15" i="16"/>
  <c r="E7" i="16"/>
  <c r="E15" i="16"/>
  <c r="E59" i="16"/>
  <c r="E38" i="16"/>
  <c r="G18" i="11"/>
  <c r="G23" i="11"/>
  <c r="G19" i="11"/>
  <c r="G12" i="11"/>
  <c r="G20" i="11"/>
  <c r="G11" i="11"/>
  <c r="G13" i="11"/>
  <c r="G21" i="11"/>
  <c r="M21" i="11" s="1"/>
  <c r="G14" i="11"/>
  <c r="G22" i="11"/>
  <c r="G16" i="11"/>
  <c r="G17" i="11"/>
  <c r="G15" i="11"/>
  <c r="F10" i="20"/>
  <c r="B10" i="20" s="1"/>
  <c r="F26" i="20"/>
  <c r="B26" i="20" s="1"/>
  <c r="F42" i="20"/>
  <c r="B42" i="20" s="1"/>
  <c r="F58" i="20"/>
  <c r="B58" i="20" s="1"/>
  <c r="F74" i="20"/>
  <c r="B74" i="20" s="1"/>
  <c r="F90" i="20"/>
  <c r="B90" i="20" s="1"/>
  <c r="F106" i="20"/>
  <c r="B106" i="20" s="1"/>
  <c r="F122" i="20"/>
  <c r="B122" i="20" s="1"/>
  <c r="F138" i="20"/>
  <c r="B138" i="20" s="1"/>
  <c r="F19" i="20"/>
  <c r="B19" i="20" s="1"/>
  <c r="F35" i="20"/>
  <c r="B35" i="20" s="1"/>
  <c r="F51" i="20"/>
  <c r="B51" i="20" s="1"/>
  <c r="F67" i="20"/>
  <c r="B67" i="20" s="1"/>
  <c r="F83" i="20"/>
  <c r="B83" i="20" s="1"/>
  <c r="F99" i="20"/>
  <c r="B99" i="20" s="1"/>
  <c r="F115" i="20"/>
  <c r="B115" i="20" s="1"/>
  <c r="F131" i="20"/>
  <c r="B131" i="20" s="1"/>
  <c r="F5" i="20"/>
  <c r="B5" i="20" s="1"/>
  <c r="F21" i="20"/>
  <c r="B21" i="20" s="1"/>
  <c r="F37" i="20"/>
  <c r="B37" i="20" s="1"/>
  <c r="F53" i="20"/>
  <c r="B53" i="20" s="1"/>
  <c r="F69" i="20"/>
  <c r="B69" i="20" s="1"/>
  <c r="F85" i="20"/>
  <c r="B85" i="20" s="1"/>
  <c r="F101" i="20"/>
  <c r="B101" i="20" s="1"/>
  <c r="F117" i="20"/>
  <c r="B117" i="20" s="1"/>
  <c r="F133" i="20"/>
  <c r="B133" i="20" s="1"/>
  <c r="F8" i="20"/>
  <c r="B8" i="20" s="1"/>
  <c r="F72" i="20"/>
  <c r="B72" i="20" s="1"/>
  <c r="F136" i="20"/>
  <c r="B136" i="20" s="1"/>
  <c r="F60" i="20"/>
  <c r="B60" i="20" s="1"/>
  <c r="F124" i="20"/>
  <c r="B124" i="20" s="1"/>
  <c r="F48" i="20"/>
  <c r="B48" i="20" s="1"/>
  <c r="F112" i="20"/>
  <c r="B112" i="20" s="1"/>
  <c r="F116" i="20"/>
  <c r="B116" i="20" s="1"/>
  <c r="F100" i="20"/>
  <c r="B100" i="20" s="1"/>
  <c r="F18" i="20"/>
  <c r="B18" i="20" s="1"/>
  <c r="F50" i="20"/>
  <c r="B50" i="20" s="1"/>
  <c r="F130" i="20"/>
  <c r="B130" i="20" s="1"/>
  <c r="F27" i="20"/>
  <c r="B27" i="20" s="1"/>
  <c r="F59" i="20"/>
  <c r="B59" i="20" s="1"/>
  <c r="F91" i="20"/>
  <c r="B91" i="20" s="1"/>
  <c r="F139" i="20"/>
  <c r="B139" i="20" s="1"/>
  <c r="F29" i="20"/>
  <c r="B29" i="20" s="1"/>
  <c r="F61" i="20"/>
  <c r="B61" i="20" s="1"/>
  <c r="F93" i="20"/>
  <c r="B93" i="20" s="1"/>
  <c r="F125" i="20"/>
  <c r="B125" i="20" s="1"/>
  <c r="F40" i="20"/>
  <c r="B40" i="20" s="1"/>
  <c r="F28" i="20"/>
  <c r="B28" i="20" s="1"/>
  <c r="F80" i="20"/>
  <c r="B80" i="20" s="1"/>
  <c r="F68" i="20"/>
  <c r="B68" i="20" s="1"/>
  <c r="F22" i="20"/>
  <c r="B22" i="20" s="1"/>
  <c r="F54" i="20"/>
  <c r="B54" i="20" s="1"/>
  <c r="F86" i="20"/>
  <c r="B86" i="20" s="1"/>
  <c r="F118" i="20"/>
  <c r="B118" i="20" s="1"/>
  <c r="F15" i="20"/>
  <c r="B15" i="20" s="1"/>
  <c r="F47" i="20"/>
  <c r="B47" i="20" s="1"/>
  <c r="F79" i="20"/>
  <c r="B79" i="20" s="1"/>
  <c r="F111" i="20"/>
  <c r="B111" i="20" s="1"/>
  <c r="F143" i="20"/>
  <c r="B143" i="20" s="1"/>
  <c r="F33" i="20"/>
  <c r="B33" i="20" s="1"/>
  <c r="F65" i="20"/>
  <c r="B65" i="20" s="1"/>
  <c r="F97" i="20"/>
  <c r="B97" i="20" s="1"/>
  <c r="F129" i="20"/>
  <c r="B129" i="20" s="1"/>
  <c r="F56" i="20"/>
  <c r="B56" i="20" s="1"/>
  <c r="F120" i="20"/>
  <c r="B120" i="20" s="1"/>
  <c r="F108" i="20"/>
  <c r="B108" i="20" s="1"/>
  <c r="F32" i="20"/>
  <c r="B32" i="20" s="1"/>
  <c r="F52" i="20"/>
  <c r="B52" i="20" s="1"/>
  <c r="F144" i="20"/>
  <c r="B144" i="20" s="1"/>
  <c r="F14" i="20"/>
  <c r="B14" i="20" s="1"/>
  <c r="F30" i="20"/>
  <c r="B30" i="20" s="1"/>
  <c r="F46" i="20"/>
  <c r="B46" i="20" s="1"/>
  <c r="F62" i="20"/>
  <c r="B62" i="20" s="1"/>
  <c r="F78" i="20"/>
  <c r="B78" i="20" s="1"/>
  <c r="F94" i="20"/>
  <c r="B94" i="20" s="1"/>
  <c r="F110" i="20"/>
  <c r="B110" i="20" s="1"/>
  <c r="F126" i="20"/>
  <c r="B126" i="20" s="1"/>
  <c r="F7" i="20"/>
  <c r="B7" i="20" s="1"/>
  <c r="F23" i="20"/>
  <c r="B23" i="20" s="1"/>
  <c r="F39" i="20"/>
  <c r="B39" i="20" s="1"/>
  <c r="F55" i="20"/>
  <c r="B55" i="20" s="1"/>
  <c r="F71" i="20"/>
  <c r="B71" i="20" s="1"/>
  <c r="F87" i="20"/>
  <c r="B87" i="20" s="1"/>
  <c r="F103" i="20"/>
  <c r="B103" i="20" s="1"/>
  <c r="F119" i="20"/>
  <c r="B119" i="20" s="1"/>
  <c r="F135" i="20"/>
  <c r="B135" i="20" s="1"/>
  <c r="F9" i="20"/>
  <c r="B9" i="20" s="1"/>
  <c r="F25" i="20"/>
  <c r="B25" i="20" s="1"/>
  <c r="F41" i="20"/>
  <c r="B41" i="20" s="1"/>
  <c r="F57" i="20"/>
  <c r="B57" i="20" s="1"/>
  <c r="F73" i="20"/>
  <c r="B73" i="20" s="1"/>
  <c r="F89" i="20"/>
  <c r="B89" i="20" s="1"/>
  <c r="F105" i="20"/>
  <c r="B105" i="20" s="1"/>
  <c r="F121" i="20"/>
  <c r="B121" i="20" s="1"/>
  <c r="F137" i="20"/>
  <c r="B137" i="20" s="1"/>
  <c r="F24" i="20"/>
  <c r="B24" i="20" s="1"/>
  <c r="F88" i="20"/>
  <c r="B88" i="20" s="1"/>
  <c r="F12" i="20"/>
  <c r="B12" i="20" s="1"/>
  <c r="F76" i="20"/>
  <c r="B76" i="20" s="1"/>
  <c r="F140" i="20"/>
  <c r="B140" i="20" s="1"/>
  <c r="F64" i="20"/>
  <c r="B64" i="20" s="1"/>
  <c r="F128" i="20"/>
  <c r="B128" i="20" s="1"/>
  <c r="F36" i="20"/>
  <c r="B36" i="20" s="1"/>
  <c r="F20" i="20"/>
  <c r="B20" i="20" s="1"/>
  <c r="F34" i="20"/>
  <c r="B34" i="20" s="1"/>
  <c r="F66" i="20"/>
  <c r="B66" i="20" s="1"/>
  <c r="F82" i="20"/>
  <c r="B82" i="20" s="1"/>
  <c r="F98" i="20"/>
  <c r="B98" i="20" s="1"/>
  <c r="F114" i="20"/>
  <c r="B114" i="20" s="1"/>
  <c r="F11" i="20"/>
  <c r="B11" i="20" s="1"/>
  <c r="F43" i="20"/>
  <c r="B43" i="20" s="1"/>
  <c r="F75" i="20"/>
  <c r="B75" i="20" s="1"/>
  <c r="F107" i="20"/>
  <c r="B107" i="20" s="1"/>
  <c r="F123" i="20"/>
  <c r="B123" i="20" s="1"/>
  <c r="F13" i="20"/>
  <c r="B13" i="20" s="1"/>
  <c r="F45" i="20"/>
  <c r="B45" i="20" s="1"/>
  <c r="F77" i="20"/>
  <c r="B77" i="20" s="1"/>
  <c r="F109" i="20"/>
  <c r="B109" i="20" s="1"/>
  <c r="F141" i="20"/>
  <c r="B141" i="20" s="1"/>
  <c r="F104" i="20"/>
  <c r="B104" i="20" s="1"/>
  <c r="F92" i="20"/>
  <c r="B92" i="20" s="1"/>
  <c r="F16" i="20"/>
  <c r="B16" i="20" s="1"/>
  <c r="F142" i="20"/>
  <c r="B142" i="20" s="1"/>
  <c r="F84" i="20"/>
  <c r="B84" i="20" s="1"/>
  <c r="F6" i="20"/>
  <c r="B6" i="20" s="1"/>
  <c r="F38" i="20"/>
  <c r="B38" i="20" s="1"/>
  <c r="F70" i="20"/>
  <c r="B70" i="20" s="1"/>
  <c r="F102" i="20"/>
  <c r="B102" i="20" s="1"/>
  <c r="F134" i="20"/>
  <c r="B134" i="20" s="1"/>
  <c r="F31" i="20"/>
  <c r="B31" i="20" s="1"/>
  <c r="F63" i="20"/>
  <c r="B63" i="20" s="1"/>
  <c r="F95" i="20"/>
  <c r="B95" i="20" s="1"/>
  <c r="F127" i="20"/>
  <c r="B127" i="20" s="1"/>
  <c r="F17" i="20"/>
  <c r="B17" i="20" s="1"/>
  <c r="F49" i="20"/>
  <c r="B49" i="20" s="1"/>
  <c r="F81" i="20"/>
  <c r="B81" i="20" s="1"/>
  <c r="F113" i="20"/>
  <c r="B113" i="20" s="1"/>
  <c r="F4" i="20"/>
  <c r="B4" i="20" s="1"/>
  <c r="F44" i="20"/>
  <c r="B44" i="20" s="1"/>
  <c r="F96" i="20"/>
  <c r="B96" i="20" s="1"/>
  <c r="F132" i="20"/>
  <c r="B132" i="20" s="1"/>
  <c r="J23" i="11"/>
  <c r="M12" i="11"/>
  <c r="P15" i="11"/>
  <c r="P18" i="11" s="1"/>
  <c r="S14" i="11"/>
  <c r="C4" i="11" s="1"/>
  <c r="O24" i="1"/>
  <c r="N23" i="5"/>
  <c r="J15" i="5" s="1"/>
  <c r="Q17" i="12" l="1"/>
  <c r="Q39" i="12"/>
  <c r="Q62" i="12"/>
  <c r="Q103" i="12"/>
  <c r="AB11" i="12"/>
  <c r="AC11" i="12" s="1"/>
  <c r="Q82" i="12"/>
  <c r="G9" i="19" a="1"/>
  <c r="G9" i="19" s="1"/>
  <c r="G11" i="19" s="1"/>
  <c r="F9" i="19"/>
  <c r="F11" i="19" s="1"/>
  <c r="J21" i="5"/>
  <c r="J13" i="5"/>
  <c r="AJ34" i="12"/>
  <c r="AK34" i="12" s="1"/>
  <c r="AN34" i="12"/>
  <c r="AO34" i="12" s="1"/>
  <c r="AR34" i="12"/>
  <c r="AS34" i="12" s="1"/>
  <c r="AZ34" i="12"/>
  <c r="BA34" i="12" s="1"/>
  <c r="X34" i="12"/>
  <c r="Y34" i="12" s="1"/>
  <c r="AB34" i="12"/>
  <c r="AC34" i="12" s="1"/>
  <c r="AF34" i="12"/>
  <c r="AG34" i="12" s="1"/>
  <c r="AV34" i="12"/>
  <c r="AW34" i="12" s="1"/>
  <c r="D76" i="12"/>
  <c r="E76" i="12" s="1"/>
  <c r="X76" i="12"/>
  <c r="Y76" i="12" s="1"/>
  <c r="H55" i="12"/>
  <c r="I55" i="12" s="1"/>
  <c r="D97" i="12"/>
  <c r="E97" i="12" s="1"/>
  <c r="AZ76" i="12"/>
  <c r="BA76" i="12" s="1"/>
  <c r="AJ55" i="12"/>
  <c r="AK55" i="12" s="1"/>
  <c r="AR76" i="12"/>
  <c r="AS76" i="12" s="1"/>
  <c r="AZ97" i="12"/>
  <c r="BA97" i="12" s="1"/>
  <c r="AN55" i="12"/>
  <c r="AO55" i="12" s="1"/>
  <c r="AN97" i="12"/>
  <c r="AO97" i="12" s="1"/>
  <c r="AJ97" i="12"/>
  <c r="AK97" i="12" s="1"/>
  <c r="AV97" i="12"/>
  <c r="AW97" i="12" s="1"/>
  <c r="X97" i="12"/>
  <c r="Y97" i="12" s="1"/>
  <c r="T97" i="12"/>
  <c r="U97" i="12" s="1"/>
  <c r="X55" i="12"/>
  <c r="Y55" i="12" s="1"/>
  <c r="H76" i="12"/>
  <c r="I76" i="12" s="1"/>
  <c r="AF97" i="12"/>
  <c r="AG97" i="12" s="1"/>
  <c r="AJ76" i="12"/>
  <c r="AK76" i="12" s="1"/>
  <c r="AB76" i="12"/>
  <c r="AC76" i="12" s="1"/>
  <c r="L55" i="12"/>
  <c r="M55" i="12" s="1"/>
  <c r="AV55" i="12"/>
  <c r="AW55" i="12" s="1"/>
  <c r="T76" i="12"/>
  <c r="U76" i="12" s="1"/>
  <c r="L76" i="12"/>
  <c r="M76" i="12" s="1"/>
  <c r="AF76" i="12"/>
  <c r="AG76" i="12" s="1"/>
  <c r="AZ55" i="12"/>
  <c r="BA55" i="12" s="1"/>
  <c r="AB97" i="12"/>
  <c r="AC97" i="12" s="1"/>
  <c r="D55" i="12"/>
  <c r="E55" i="12" s="1"/>
  <c r="AR97" i="12"/>
  <c r="AS97" i="12" s="1"/>
  <c r="L97" i="12"/>
  <c r="M97" i="12" s="1"/>
  <c r="AF55" i="12"/>
  <c r="AG55" i="12" s="1"/>
  <c r="AN76" i="12"/>
  <c r="AO76" i="12" s="1"/>
  <c r="AV77" i="12"/>
  <c r="AW77" i="12" s="1"/>
  <c r="AR55" i="12"/>
  <c r="AS55" i="12" s="1"/>
  <c r="H97" i="12"/>
  <c r="I97" i="12" s="1"/>
  <c r="T55" i="12"/>
  <c r="U55" i="12" s="1"/>
  <c r="AB55" i="12"/>
  <c r="AC55" i="12" s="1"/>
  <c r="L34" i="12"/>
  <c r="M34" i="12" s="1"/>
  <c r="X11" i="12"/>
  <c r="Y11" i="12" s="1"/>
  <c r="AV11" i="12"/>
  <c r="AW11" i="12" s="1"/>
  <c r="D11" i="12"/>
  <c r="E11" i="12" s="1"/>
  <c r="AJ11" i="12"/>
  <c r="AK11" i="12" s="1"/>
  <c r="T11" i="12"/>
  <c r="U11" i="12" s="1"/>
  <c r="T34" i="12"/>
  <c r="U34" i="12" s="1"/>
  <c r="AZ11" i="12"/>
  <c r="BA11" i="12" s="1"/>
  <c r="H11" i="12"/>
  <c r="I11" i="12" s="1"/>
  <c r="AF11" i="12"/>
  <c r="AG11" i="12" s="1"/>
  <c r="D34" i="12"/>
  <c r="E34" i="12" s="1"/>
  <c r="AN11" i="12"/>
  <c r="AO11" i="12" s="1"/>
  <c r="H34" i="12"/>
  <c r="I34" i="12" s="1"/>
  <c r="L11" i="12"/>
  <c r="M11" i="12" s="1"/>
  <c r="AR11" i="12"/>
  <c r="AS11" i="12" s="1"/>
  <c r="Q10" i="16"/>
  <c r="T10" i="16"/>
  <c r="G64" i="16"/>
  <c r="J64" i="16"/>
  <c r="Q57" i="16"/>
  <c r="T57" i="16"/>
  <c r="J22" i="5"/>
  <c r="J14" i="5"/>
  <c r="Q15" i="16"/>
  <c r="T15" i="16"/>
  <c r="G39" i="16"/>
  <c r="J39" i="16"/>
  <c r="Q76" i="16"/>
  <c r="T76" i="16"/>
  <c r="Q4" i="16"/>
  <c r="T4" i="16"/>
  <c r="G52" i="16"/>
  <c r="J52" i="16"/>
  <c r="Q26" i="16"/>
  <c r="T26" i="16"/>
  <c r="Q69" i="16"/>
  <c r="T69" i="16"/>
  <c r="G8" i="16"/>
  <c r="J8" i="16"/>
  <c r="Q38" i="16"/>
  <c r="T38" i="16"/>
  <c r="Q28" i="16"/>
  <c r="T28" i="16"/>
  <c r="Q79" i="16"/>
  <c r="T79" i="16"/>
  <c r="Q23" i="16"/>
  <c r="T23" i="16"/>
  <c r="G68" i="16"/>
  <c r="J68" i="16"/>
  <c r="Q45" i="16"/>
  <c r="T45" i="16"/>
  <c r="Q22" i="16"/>
  <c r="T22" i="16"/>
  <c r="G69" i="16"/>
  <c r="J69" i="16"/>
  <c r="G58" i="16"/>
  <c r="J58" i="16"/>
  <c r="Q37" i="16"/>
  <c r="T37" i="16"/>
  <c r="J20" i="5"/>
  <c r="J12" i="5"/>
  <c r="H12" i="5" s="1"/>
  <c r="G12" i="16"/>
  <c r="J12" i="16"/>
  <c r="G60" i="16"/>
  <c r="J60" i="16"/>
  <c r="Q11" i="16"/>
  <c r="T11" i="16"/>
  <c r="G31" i="16"/>
  <c r="J31" i="16"/>
  <c r="Q60" i="16"/>
  <c r="T60" i="16"/>
  <c r="G5" i="16"/>
  <c r="J5" i="16"/>
  <c r="Q47" i="16"/>
  <c r="T47" i="16"/>
  <c r="Q8" i="16"/>
  <c r="T8" i="16"/>
  <c r="G56" i="16"/>
  <c r="J56" i="16"/>
  <c r="Q61" i="16"/>
  <c r="T61" i="16"/>
  <c r="G14" i="16"/>
  <c r="J14" i="16"/>
  <c r="G41" i="16"/>
  <c r="J41" i="16"/>
  <c r="Q78" i="16"/>
  <c r="T78" i="16"/>
  <c r="G40" i="16"/>
  <c r="J40" i="16"/>
  <c r="Q77" i="16"/>
  <c r="T77" i="16"/>
  <c r="G37" i="16"/>
  <c r="J37" i="16"/>
  <c r="J19" i="5"/>
  <c r="Q12" i="16"/>
  <c r="T12" i="16"/>
  <c r="Q62" i="16"/>
  <c r="T62" i="16"/>
  <c r="Q20" i="16"/>
  <c r="T20" i="16"/>
  <c r="G23" i="16"/>
  <c r="J23" i="16"/>
  <c r="G78" i="16"/>
  <c r="J78" i="16"/>
  <c r="G9" i="16"/>
  <c r="J9" i="16"/>
  <c r="Q39" i="16"/>
  <c r="T39" i="16"/>
  <c r="G24" i="16"/>
  <c r="J24" i="16"/>
  <c r="G29" i="16"/>
  <c r="J29" i="16"/>
  <c r="Q52" i="16"/>
  <c r="T52" i="16"/>
  <c r="G28" i="16"/>
  <c r="J28" i="16"/>
  <c r="G71" i="16"/>
  <c r="J71" i="16"/>
  <c r="G6" i="16"/>
  <c r="J6" i="16"/>
  <c r="Q44" i="16"/>
  <c r="T44" i="16"/>
  <c r="Q70" i="16"/>
  <c r="T70" i="16"/>
  <c r="G13" i="16"/>
  <c r="J13" i="16"/>
  <c r="Q36" i="16"/>
  <c r="T36" i="16"/>
  <c r="G44" i="16"/>
  <c r="J44" i="16"/>
  <c r="J18" i="5"/>
  <c r="G38" i="16"/>
  <c r="J38" i="16"/>
  <c r="G21" i="16"/>
  <c r="J21" i="16"/>
  <c r="Q54" i="16"/>
  <c r="T54" i="16"/>
  <c r="Q27" i="16"/>
  <c r="T27" i="16"/>
  <c r="G70" i="16"/>
  <c r="J70" i="16"/>
  <c r="Q5" i="16"/>
  <c r="T5" i="16"/>
  <c r="G53" i="16"/>
  <c r="J53" i="16"/>
  <c r="G46" i="16"/>
  <c r="J46" i="16"/>
  <c r="Q21" i="16"/>
  <c r="T21" i="16"/>
  <c r="Q58" i="16"/>
  <c r="T58" i="16"/>
  <c r="Q32" i="16"/>
  <c r="T32" i="16"/>
  <c r="Q7" i="16"/>
  <c r="T7" i="16"/>
  <c r="Q14" i="16"/>
  <c r="T14" i="16"/>
  <c r="G62" i="16"/>
  <c r="J62" i="16"/>
  <c r="G32" i="16"/>
  <c r="J32" i="16"/>
  <c r="Q13" i="16"/>
  <c r="T13" i="16"/>
  <c r="Q43" i="16"/>
  <c r="T43" i="16"/>
  <c r="G59" i="16"/>
  <c r="J59" i="16"/>
  <c r="G25" i="16"/>
  <c r="J25" i="16"/>
  <c r="G80" i="16"/>
  <c r="J80" i="16"/>
  <c r="G45" i="16"/>
  <c r="J45" i="16"/>
  <c r="Q74" i="16"/>
  <c r="T74" i="16"/>
  <c r="Q9" i="16"/>
  <c r="T9" i="16"/>
  <c r="G57" i="16"/>
  <c r="J57" i="16"/>
  <c r="Q25" i="16"/>
  <c r="T25" i="16"/>
  <c r="G76" i="16"/>
  <c r="J76" i="16"/>
  <c r="G42" i="16"/>
  <c r="J42" i="16"/>
  <c r="G36" i="16"/>
  <c r="J36" i="16"/>
  <c r="Q6" i="16"/>
  <c r="T6" i="16"/>
  <c r="G54" i="16"/>
  <c r="J54" i="16"/>
  <c r="G79" i="16"/>
  <c r="J79" i="16"/>
  <c r="G20" i="16"/>
  <c r="J20" i="16"/>
  <c r="G61" i="16"/>
  <c r="J61" i="16"/>
  <c r="Q42" i="16"/>
  <c r="T42" i="16"/>
  <c r="Q73" i="16"/>
  <c r="T73" i="16"/>
  <c r="Q71" i="16"/>
  <c r="T71" i="16"/>
  <c r="G48" i="16"/>
  <c r="J48" i="16"/>
  <c r="J16" i="5"/>
  <c r="I11" i="11"/>
  <c r="M11" i="11"/>
  <c r="G15" i="16"/>
  <c r="J15" i="16"/>
  <c r="Q29" i="16"/>
  <c r="T29" i="16"/>
  <c r="G72" i="16"/>
  <c r="J72" i="16"/>
  <c r="G4" i="16"/>
  <c r="J4" i="16"/>
  <c r="Q48" i="16"/>
  <c r="T48" i="16"/>
  <c r="Q41" i="16"/>
  <c r="T41" i="16"/>
  <c r="G30" i="16"/>
  <c r="J30" i="16"/>
  <c r="Q59" i="16"/>
  <c r="T59" i="16"/>
  <c r="G43" i="16"/>
  <c r="J43" i="16"/>
  <c r="Q80" i="16"/>
  <c r="T80" i="16"/>
  <c r="G55" i="16"/>
  <c r="J55" i="16"/>
  <c r="G63" i="16"/>
  <c r="J63" i="16"/>
  <c r="G27" i="16"/>
  <c r="J27" i="16"/>
  <c r="Q64" i="16"/>
  <c r="T64" i="16"/>
  <c r="G26" i="16"/>
  <c r="J26" i="16"/>
  <c r="Q63" i="16"/>
  <c r="T63" i="16"/>
  <c r="G11" i="16"/>
  <c r="J11" i="16"/>
  <c r="Q16" i="16"/>
  <c r="T16" i="16"/>
  <c r="G74" i="16"/>
  <c r="J74" i="16"/>
  <c r="G73" i="16"/>
  <c r="J73" i="16"/>
  <c r="J17" i="5"/>
  <c r="J23" i="5"/>
  <c r="G7" i="16"/>
  <c r="J7" i="16"/>
  <c r="G47" i="16"/>
  <c r="J47" i="16"/>
  <c r="Q68" i="16"/>
  <c r="T68" i="16"/>
  <c r="G10" i="16"/>
  <c r="J10" i="16"/>
  <c r="Q40" i="16"/>
  <c r="T40" i="16"/>
  <c r="Q75" i="16"/>
  <c r="T75" i="16"/>
  <c r="G22" i="16"/>
  <c r="J22" i="16"/>
  <c r="G77" i="16"/>
  <c r="J77" i="16"/>
  <c r="G16" i="16"/>
  <c r="J16" i="16"/>
  <c r="Q46" i="16"/>
  <c r="T46" i="16"/>
  <c r="Q72" i="16"/>
  <c r="T72" i="16"/>
  <c r="G75" i="16"/>
  <c r="J75" i="16"/>
  <c r="Q53" i="16"/>
  <c r="T53" i="16"/>
  <c r="Q31" i="16"/>
  <c r="T31" i="16"/>
  <c r="Q56" i="16"/>
  <c r="T56" i="16"/>
  <c r="Q24" i="16"/>
  <c r="T24" i="16"/>
  <c r="Q30" i="16"/>
  <c r="T30" i="16"/>
  <c r="Q55" i="16"/>
  <c r="T55" i="16"/>
  <c r="I15" i="14"/>
  <c r="M13" i="11"/>
  <c r="I12" i="11"/>
  <c r="J11" i="5"/>
  <c r="H11" i="5" s="1"/>
  <c r="N25" i="5"/>
  <c r="E7" i="9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7" i="7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F13" i="5"/>
  <c r="E13" i="5"/>
  <c r="E14" i="5"/>
  <c r="E15" i="5"/>
  <c r="E16" i="5"/>
  <c r="E17" i="5"/>
  <c r="E18" i="5"/>
  <c r="E19" i="5"/>
  <c r="E20" i="5"/>
  <c r="E21" i="5"/>
  <c r="E22" i="5"/>
  <c r="E23" i="5"/>
  <c r="D14" i="5"/>
  <c r="D15" i="5"/>
  <c r="D16" i="5"/>
  <c r="C16" i="5" s="1"/>
  <c r="D17" i="5"/>
  <c r="D18" i="5"/>
  <c r="D19" i="5"/>
  <c r="D20" i="5"/>
  <c r="C20" i="5" s="1"/>
  <c r="D21" i="5"/>
  <c r="D22" i="5"/>
  <c r="D23" i="5"/>
  <c r="D13" i="5"/>
  <c r="D12" i="5"/>
  <c r="C12" i="5" s="1"/>
  <c r="Q40" i="12" l="1"/>
  <c r="Q18" i="12"/>
  <c r="AB12" i="12"/>
  <c r="AC12" i="12" s="1"/>
  <c r="Q104" i="12"/>
  <c r="Q83" i="12"/>
  <c r="Q63" i="12"/>
  <c r="I9" i="19"/>
  <c r="C17" i="5"/>
  <c r="C13" i="5"/>
  <c r="C22" i="5"/>
  <c r="C14" i="5"/>
  <c r="C23" i="5"/>
  <c r="C15" i="5"/>
  <c r="AV35" i="12"/>
  <c r="AW35" i="12" s="1"/>
  <c r="AZ35" i="12"/>
  <c r="BA35" i="12" s="1"/>
  <c r="AF35" i="12"/>
  <c r="AG35" i="12" s="1"/>
  <c r="AR35" i="12"/>
  <c r="AS35" i="12" s="1"/>
  <c r="AB35" i="12"/>
  <c r="AC35" i="12" s="1"/>
  <c r="AN35" i="12"/>
  <c r="AO35" i="12" s="1"/>
  <c r="X35" i="12"/>
  <c r="Y35" i="12" s="1"/>
  <c r="AJ35" i="12"/>
  <c r="AK35" i="12" s="1"/>
  <c r="L56" i="12"/>
  <c r="M56" i="12" s="1"/>
  <c r="AR56" i="12"/>
  <c r="AS56" i="12" s="1"/>
  <c r="AF56" i="12"/>
  <c r="AG56" i="12" s="1"/>
  <c r="AF77" i="12"/>
  <c r="AG77" i="12" s="1"/>
  <c r="H77" i="12"/>
  <c r="I77" i="12" s="1"/>
  <c r="AV98" i="12"/>
  <c r="AW98" i="12" s="1"/>
  <c r="AZ98" i="12"/>
  <c r="BA98" i="12" s="1"/>
  <c r="D98" i="12"/>
  <c r="E98" i="12" s="1"/>
  <c r="H56" i="12"/>
  <c r="I56" i="12" s="1"/>
  <c r="AB56" i="12"/>
  <c r="AC56" i="12" s="1"/>
  <c r="AV78" i="12"/>
  <c r="AW78" i="12" s="1"/>
  <c r="L98" i="12"/>
  <c r="M98" i="12" s="1"/>
  <c r="D56" i="12"/>
  <c r="E56" i="12" s="1"/>
  <c r="L77" i="12"/>
  <c r="M77" i="12" s="1"/>
  <c r="AB77" i="12"/>
  <c r="AC77" i="12" s="1"/>
  <c r="X56" i="12"/>
  <c r="Y56" i="12" s="1"/>
  <c r="AJ98" i="12"/>
  <c r="AK98" i="12" s="1"/>
  <c r="AR77" i="12"/>
  <c r="AS77" i="12" s="1"/>
  <c r="T56" i="12"/>
  <c r="U56" i="12" s="1"/>
  <c r="AN77" i="12"/>
  <c r="AO77" i="12" s="1"/>
  <c r="AR98" i="12"/>
  <c r="AS98" i="12" s="1"/>
  <c r="AB98" i="12"/>
  <c r="AC98" i="12" s="1"/>
  <c r="T77" i="12"/>
  <c r="U77" i="12" s="1"/>
  <c r="AJ77" i="12"/>
  <c r="AK77" i="12" s="1"/>
  <c r="T98" i="12"/>
  <c r="U98" i="12" s="1"/>
  <c r="AN98" i="12"/>
  <c r="AO98" i="12" s="1"/>
  <c r="AJ56" i="12"/>
  <c r="AK56" i="12" s="1"/>
  <c r="X77" i="12"/>
  <c r="Y77" i="12" s="1"/>
  <c r="H98" i="12"/>
  <c r="I98" i="12" s="1"/>
  <c r="AZ56" i="12"/>
  <c r="BA56" i="12" s="1"/>
  <c r="AV56" i="12"/>
  <c r="AW56" i="12" s="1"/>
  <c r="AF98" i="12"/>
  <c r="AG98" i="12" s="1"/>
  <c r="X98" i="12"/>
  <c r="Y98" i="12" s="1"/>
  <c r="AN56" i="12"/>
  <c r="AO56" i="12" s="1"/>
  <c r="AZ77" i="12"/>
  <c r="BA77" i="12" s="1"/>
  <c r="D77" i="12"/>
  <c r="E77" i="12" s="1"/>
  <c r="L12" i="12"/>
  <c r="M12" i="12" s="1"/>
  <c r="AZ12" i="12"/>
  <c r="BA12" i="12" s="1"/>
  <c r="D12" i="12"/>
  <c r="E12" i="12" s="1"/>
  <c r="D35" i="12"/>
  <c r="E35" i="12" s="1"/>
  <c r="T35" i="12"/>
  <c r="U35" i="12" s="1"/>
  <c r="AV12" i="12"/>
  <c r="AW12" i="12" s="1"/>
  <c r="H35" i="12"/>
  <c r="I35" i="12" s="1"/>
  <c r="AF12" i="12"/>
  <c r="AG12" i="12" s="1"/>
  <c r="T12" i="12"/>
  <c r="U12" i="12" s="1"/>
  <c r="X12" i="12"/>
  <c r="Y12" i="12" s="1"/>
  <c r="AR12" i="12"/>
  <c r="AS12" i="12" s="1"/>
  <c r="AN12" i="12"/>
  <c r="AO12" i="12" s="1"/>
  <c r="H12" i="12"/>
  <c r="I12" i="12" s="1"/>
  <c r="AJ12" i="12"/>
  <c r="AK12" i="12" s="1"/>
  <c r="L35" i="12"/>
  <c r="M35" i="12" s="1"/>
  <c r="C21" i="5"/>
  <c r="C19" i="5"/>
  <c r="C18" i="5"/>
  <c r="F14" i="5"/>
  <c r="H13" i="5"/>
  <c r="I16" i="14"/>
  <c r="M14" i="11"/>
  <c r="I13" i="11"/>
  <c r="E7" i="6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D31" i="11" s="1"/>
  <c r="E139" i="10"/>
  <c r="E140" i="10"/>
  <c r="E141" i="10"/>
  <c r="E142" i="10"/>
  <c r="E143" i="10"/>
  <c r="E144" i="10"/>
  <c r="E145" i="10"/>
  <c r="E146" i="10"/>
  <c r="E147" i="10"/>
  <c r="E7" i="10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Q19" i="12" l="1"/>
  <c r="Q41" i="12"/>
  <c r="Q84" i="12"/>
  <c r="Q64" i="12"/>
  <c r="Q105" i="12"/>
  <c r="AB13" i="12"/>
  <c r="AC13" i="12" s="1"/>
  <c r="D30" i="11"/>
  <c r="D29" i="11"/>
  <c r="AJ36" i="12"/>
  <c r="AK36" i="12" s="1"/>
  <c r="AR36" i="12"/>
  <c r="AS36" i="12" s="1"/>
  <c r="X36" i="12"/>
  <c r="Y36" i="12" s="1"/>
  <c r="AF36" i="12"/>
  <c r="AG36" i="12" s="1"/>
  <c r="AN36" i="12"/>
  <c r="AO36" i="12" s="1"/>
  <c r="AZ36" i="12"/>
  <c r="BA36" i="12" s="1"/>
  <c r="AB36" i="12"/>
  <c r="AC36" i="12" s="1"/>
  <c r="AV36" i="12"/>
  <c r="AW36" i="12" s="1"/>
  <c r="X99" i="12"/>
  <c r="Y99" i="12" s="1"/>
  <c r="AJ57" i="12"/>
  <c r="AK57" i="12" s="1"/>
  <c r="T78" i="12"/>
  <c r="U78" i="12" s="1"/>
  <c r="T57" i="12"/>
  <c r="U57" i="12" s="1"/>
  <c r="AB78" i="12"/>
  <c r="AC78" i="12" s="1"/>
  <c r="AV79" i="12"/>
  <c r="AW79" i="12" s="1"/>
  <c r="AZ99" i="12"/>
  <c r="BA99" i="12" s="1"/>
  <c r="D78" i="12"/>
  <c r="E78" i="12" s="1"/>
  <c r="AF99" i="12"/>
  <c r="AG99" i="12" s="1"/>
  <c r="AN99" i="12"/>
  <c r="AO99" i="12" s="1"/>
  <c r="AB99" i="12"/>
  <c r="AC99" i="12" s="1"/>
  <c r="AR78" i="12"/>
  <c r="AS78" i="12" s="1"/>
  <c r="L78" i="12"/>
  <c r="M78" i="12" s="1"/>
  <c r="AB57" i="12"/>
  <c r="AC57" i="12" s="1"/>
  <c r="AV99" i="12"/>
  <c r="AW99" i="12" s="1"/>
  <c r="AF57" i="12"/>
  <c r="AG57" i="12" s="1"/>
  <c r="H57" i="12"/>
  <c r="I57" i="12" s="1"/>
  <c r="AZ78" i="12"/>
  <c r="BA78" i="12" s="1"/>
  <c r="AV57" i="12"/>
  <c r="AW57" i="12" s="1"/>
  <c r="H99" i="12"/>
  <c r="I99" i="12" s="1"/>
  <c r="T99" i="12"/>
  <c r="U99" i="12" s="1"/>
  <c r="AR99" i="12"/>
  <c r="AS99" i="12" s="1"/>
  <c r="AJ99" i="12"/>
  <c r="AK99" i="12" s="1"/>
  <c r="D57" i="12"/>
  <c r="E57" i="12" s="1"/>
  <c r="H78" i="12"/>
  <c r="I78" i="12" s="1"/>
  <c r="AR57" i="12"/>
  <c r="AS57" i="12" s="1"/>
  <c r="L57" i="12"/>
  <c r="M57" i="12" s="1"/>
  <c r="AN57" i="12"/>
  <c r="AO57" i="12" s="1"/>
  <c r="AZ57" i="12"/>
  <c r="BA57" i="12" s="1"/>
  <c r="X78" i="12"/>
  <c r="Y78" i="12" s="1"/>
  <c r="AJ78" i="12"/>
  <c r="AK78" i="12" s="1"/>
  <c r="AN78" i="12"/>
  <c r="AO78" i="12" s="1"/>
  <c r="X57" i="12"/>
  <c r="Y57" i="12" s="1"/>
  <c r="L99" i="12"/>
  <c r="M99" i="12" s="1"/>
  <c r="D99" i="12"/>
  <c r="E99" i="12" s="1"/>
  <c r="AF78" i="12"/>
  <c r="AG78" i="12" s="1"/>
  <c r="AV13" i="12"/>
  <c r="AW13" i="12" s="1"/>
  <c r="H13" i="12"/>
  <c r="I13" i="12" s="1"/>
  <c r="T13" i="12"/>
  <c r="U13" i="12" s="1"/>
  <c r="T36" i="12"/>
  <c r="U36" i="12" s="1"/>
  <c r="D13" i="12"/>
  <c r="E13" i="12" s="1"/>
  <c r="AN13" i="12"/>
  <c r="AO13" i="12" s="1"/>
  <c r="AF13" i="12"/>
  <c r="AG13" i="12" s="1"/>
  <c r="D36" i="12"/>
  <c r="E36" i="12" s="1"/>
  <c r="AZ13" i="12"/>
  <c r="BA13" i="12" s="1"/>
  <c r="AJ13" i="12"/>
  <c r="AK13" i="12" s="1"/>
  <c r="X13" i="12"/>
  <c r="Y13" i="12" s="1"/>
  <c r="L36" i="12"/>
  <c r="M36" i="12" s="1"/>
  <c r="AR13" i="12"/>
  <c r="AS13" i="12" s="1"/>
  <c r="H36" i="12"/>
  <c r="I36" i="12" s="1"/>
  <c r="L13" i="12"/>
  <c r="M13" i="12" s="1"/>
  <c r="D15" i="19"/>
  <c r="F15" i="5"/>
  <c r="H14" i="5"/>
  <c r="I17" i="14"/>
  <c r="M15" i="11"/>
  <c r="I14" i="11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7" i="6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7" i="9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7" i="7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8" i="10"/>
  <c r="D99" i="10"/>
  <c r="D100" i="10"/>
  <c r="D101" i="10"/>
  <c r="D102" i="10"/>
  <c r="D103" i="10"/>
  <c r="D104" i="10"/>
  <c r="D105" i="10"/>
  <c r="D106" i="10"/>
  <c r="D107" i="10"/>
  <c r="D108" i="10"/>
  <c r="D109" i="10"/>
  <c r="D110" i="10"/>
  <c r="D111" i="10"/>
  <c r="D112" i="10"/>
  <c r="D113" i="10"/>
  <c r="D114" i="10"/>
  <c r="D115" i="10"/>
  <c r="D116" i="10"/>
  <c r="D117" i="10"/>
  <c r="D118" i="10"/>
  <c r="D119" i="10"/>
  <c r="D120" i="10"/>
  <c r="D121" i="10"/>
  <c r="D122" i="10"/>
  <c r="D123" i="10"/>
  <c r="D124" i="10"/>
  <c r="D125" i="10"/>
  <c r="D126" i="10"/>
  <c r="D127" i="10"/>
  <c r="D128" i="10"/>
  <c r="D129" i="10"/>
  <c r="D130" i="10"/>
  <c r="D131" i="10"/>
  <c r="D132" i="10"/>
  <c r="D133" i="10"/>
  <c r="D134" i="10"/>
  <c r="D135" i="10"/>
  <c r="D136" i="10"/>
  <c r="D137" i="10"/>
  <c r="D138" i="10"/>
  <c r="D139" i="10"/>
  <c r="D140" i="10"/>
  <c r="D141" i="10"/>
  <c r="D142" i="10"/>
  <c r="D143" i="10"/>
  <c r="D144" i="10"/>
  <c r="D145" i="10"/>
  <c r="D146" i="10"/>
  <c r="D147" i="10"/>
  <c r="D7" i="10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8" i="8"/>
  <c r="D7" i="8"/>
  <c r="N16" i="5"/>
  <c r="N15" i="5"/>
  <c r="E15" i="19" l="1"/>
  <c r="E34" i="19"/>
  <c r="E53" i="19"/>
  <c r="Q43" i="12"/>
  <c r="Q42" i="12"/>
  <c r="Q21" i="12"/>
  <c r="Q20" i="12"/>
  <c r="AB14" i="12"/>
  <c r="AC14" i="12" s="1"/>
  <c r="Q106" i="12"/>
  <c r="Q85" i="12"/>
  <c r="AV37" i="12"/>
  <c r="AW37" i="12" s="1"/>
  <c r="AF37" i="12"/>
  <c r="AG37" i="12" s="1"/>
  <c r="AB37" i="12"/>
  <c r="AC37" i="12" s="1"/>
  <c r="X37" i="12"/>
  <c r="Y37" i="12" s="1"/>
  <c r="AZ37" i="12"/>
  <c r="BA37" i="12" s="1"/>
  <c r="AR37" i="12"/>
  <c r="AS37" i="12" s="1"/>
  <c r="AN37" i="12"/>
  <c r="AO37" i="12" s="1"/>
  <c r="AJ37" i="12"/>
  <c r="AK37" i="12" s="1"/>
  <c r="H58" i="12"/>
  <c r="I58" i="12" s="1"/>
  <c r="X58" i="12"/>
  <c r="Y58" i="12" s="1"/>
  <c r="AZ58" i="12"/>
  <c r="BA58" i="12" s="1"/>
  <c r="H79" i="12"/>
  <c r="I79" i="12" s="1"/>
  <c r="T100" i="12"/>
  <c r="U100" i="12" s="1"/>
  <c r="L79" i="12"/>
  <c r="M79" i="12" s="1"/>
  <c r="AZ100" i="12"/>
  <c r="BA100" i="12" s="1"/>
  <c r="T79" i="12"/>
  <c r="U79" i="12" s="1"/>
  <c r="AF79" i="12"/>
  <c r="AG79" i="12" s="1"/>
  <c r="AN79" i="12"/>
  <c r="AO79" i="12" s="1"/>
  <c r="AN58" i="12"/>
  <c r="AO58" i="12" s="1"/>
  <c r="D58" i="12"/>
  <c r="E58" i="12" s="1"/>
  <c r="H100" i="12"/>
  <c r="I100" i="12" s="1"/>
  <c r="AF58" i="12"/>
  <c r="AG58" i="12" s="1"/>
  <c r="AR79" i="12"/>
  <c r="AS79" i="12" s="1"/>
  <c r="AF100" i="12"/>
  <c r="AG100" i="12" s="1"/>
  <c r="AV80" i="12"/>
  <c r="AW80" i="12" s="1"/>
  <c r="AJ58" i="12"/>
  <c r="AK58" i="12" s="1"/>
  <c r="L58" i="12"/>
  <c r="M58" i="12" s="1"/>
  <c r="D100" i="12"/>
  <c r="E100" i="12" s="1"/>
  <c r="AJ79" i="12"/>
  <c r="AK79" i="12" s="1"/>
  <c r="AJ100" i="12"/>
  <c r="AK100" i="12" s="1"/>
  <c r="AV58" i="12"/>
  <c r="AW58" i="12" s="1"/>
  <c r="AV100" i="12"/>
  <c r="AW100" i="12" s="1"/>
  <c r="AB100" i="12"/>
  <c r="AC100" i="12" s="1"/>
  <c r="D79" i="12"/>
  <c r="E79" i="12" s="1"/>
  <c r="AB79" i="12"/>
  <c r="AC79" i="12" s="1"/>
  <c r="L100" i="12"/>
  <c r="M100" i="12" s="1"/>
  <c r="X79" i="12"/>
  <c r="Y79" i="12" s="1"/>
  <c r="AR58" i="12"/>
  <c r="AS58" i="12" s="1"/>
  <c r="AR100" i="12"/>
  <c r="AS100" i="12" s="1"/>
  <c r="AZ79" i="12"/>
  <c r="BA79" i="12" s="1"/>
  <c r="AB58" i="12"/>
  <c r="AC58" i="12" s="1"/>
  <c r="AN100" i="12"/>
  <c r="AO100" i="12" s="1"/>
  <c r="T58" i="12"/>
  <c r="U58" i="12" s="1"/>
  <c r="X100" i="12"/>
  <c r="Y100" i="12" s="1"/>
  <c r="AF14" i="12"/>
  <c r="AG14" i="12" s="1"/>
  <c r="X14" i="12"/>
  <c r="Y14" i="12" s="1"/>
  <c r="T37" i="12"/>
  <c r="U37" i="12" s="1"/>
  <c r="H37" i="12"/>
  <c r="I37" i="12" s="1"/>
  <c r="AJ14" i="12"/>
  <c r="AK14" i="12" s="1"/>
  <c r="AN14" i="12"/>
  <c r="AO14" i="12" s="1"/>
  <c r="T14" i="12"/>
  <c r="U14" i="12" s="1"/>
  <c r="AR14" i="12"/>
  <c r="AS14" i="12" s="1"/>
  <c r="AZ14" i="12"/>
  <c r="BA14" i="12" s="1"/>
  <c r="D14" i="12"/>
  <c r="E14" i="12" s="1"/>
  <c r="H14" i="12"/>
  <c r="I14" i="12" s="1"/>
  <c r="L14" i="12"/>
  <c r="M14" i="12" s="1"/>
  <c r="L37" i="12"/>
  <c r="M37" i="12" s="1"/>
  <c r="D37" i="12"/>
  <c r="E37" i="12" s="1"/>
  <c r="AV14" i="12"/>
  <c r="AW14" i="12" s="1"/>
  <c r="D16" i="19"/>
  <c r="F16" i="5"/>
  <c r="H15" i="5"/>
  <c r="I18" i="14"/>
  <c r="M16" i="11"/>
  <c r="I15" i="11"/>
  <c r="I16" i="5"/>
  <c r="I11" i="5"/>
  <c r="I18" i="5"/>
  <c r="I20" i="5"/>
  <c r="I17" i="5"/>
  <c r="I19" i="5"/>
  <c r="I12" i="5"/>
  <c r="I13" i="5"/>
  <c r="I21" i="5"/>
  <c r="I14" i="5"/>
  <c r="I15" i="5"/>
  <c r="I22" i="5"/>
  <c r="I23" i="5"/>
  <c r="K24" i="1"/>
  <c r="M27" i="1" s="1"/>
  <c r="K16" i="1"/>
  <c r="M19" i="1" s="1"/>
  <c r="G26" i="1"/>
  <c r="C17" i="1"/>
  <c r="C19" i="1" s="1"/>
  <c r="C20" i="1" s="1"/>
  <c r="C34" i="1" s="1"/>
  <c r="E16" i="19" l="1"/>
  <c r="E54" i="19"/>
  <c r="E35" i="19"/>
  <c r="AB15" i="12"/>
  <c r="AC15" i="12" s="1"/>
  <c r="AJ38" i="12"/>
  <c r="AK38" i="12" s="1"/>
  <c r="X38" i="12"/>
  <c r="Y38" i="12" s="1"/>
  <c r="AN38" i="12"/>
  <c r="AO38" i="12" s="1"/>
  <c r="AB38" i="12"/>
  <c r="AC38" i="12" s="1"/>
  <c r="AR38" i="12"/>
  <c r="AS38" i="12" s="1"/>
  <c r="AF38" i="12"/>
  <c r="AG38" i="12" s="1"/>
  <c r="AZ38" i="12"/>
  <c r="BA38" i="12" s="1"/>
  <c r="AV38" i="12"/>
  <c r="AW38" i="12" s="1"/>
  <c r="L59" i="12"/>
  <c r="M59" i="12" s="1"/>
  <c r="AN101" i="12"/>
  <c r="AO101" i="12" s="1"/>
  <c r="AR59" i="12"/>
  <c r="AS59" i="12" s="1"/>
  <c r="AB80" i="12"/>
  <c r="AC80" i="12" s="1"/>
  <c r="AV59" i="12"/>
  <c r="AW59" i="12" s="1"/>
  <c r="AR80" i="12"/>
  <c r="AS80" i="12" s="1"/>
  <c r="AN59" i="12"/>
  <c r="AO59" i="12" s="1"/>
  <c r="AZ101" i="12"/>
  <c r="BA101" i="12" s="1"/>
  <c r="H80" i="12"/>
  <c r="I80" i="12" s="1"/>
  <c r="D80" i="12"/>
  <c r="E80" i="12" s="1"/>
  <c r="X101" i="12"/>
  <c r="Y101" i="12" s="1"/>
  <c r="AB59" i="12"/>
  <c r="AC59" i="12" s="1"/>
  <c r="X80" i="12"/>
  <c r="Y80" i="12" s="1"/>
  <c r="AJ101" i="12"/>
  <c r="AK101" i="12" s="1"/>
  <c r="AJ59" i="12"/>
  <c r="AK59" i="12" s="1"/>
  <c r="AF59" i="12"/>
  <c r="AG59" i="12" s="1"/>
  <c r="AN80" i="12"/>
  <c r="AO80" i="12" s="1"/>
  <c r="AZ59" i="12"/>
  <c r="BA59" i="12" s="1"/>
  <c r="T59" i="12"/>
  <c r="U59" i="12" s="1"/>
  <c r="AZ80" i="12"/>
  <c r="BA80" i="12" s="1"/>
  <c r="L101" i="12"/>
  <c r="M101" i="12" s="1"/>
  <c r="AB101" i="12"/>
  <c r="AC101" i="12" s="1"/>
  <c r="AJ80" i="12"/>
  <c r="AK80" i="12" s="1"/>
  <c r="AV81" i="12"/>
  <c r="AW81" i="12" s="1"/>
  <c r="H101" i="12"/>
  <c r="I101" i="12" s="1"/>
  <c r="AF80" i="12"/>
  <c r="AG80" i="12" s="1"/>
  <c r="L80" i="12"/>
  <c r="M80" i="12" s="1"/>
  <c r="X59" i="12"/>
  <c r="Y59" i="12" s="1"/>
  <c r="H59" i="12"/>
  <c r="I59" i="12" s="1"/>
  <c r="AR101" i="12"/>
  <c r="AS101" i="12" s="1"/>
  <c r="AV101" i="12"/>
  <c r="AW101" i="12" s="1"/>
  <c r="D101" i="12"/>
  <c r="E101" i="12" s="1"/>
  <c r="AF101" i="12"/>
  <c r="AG101" i="12" s="1"/>
  <c r="D59" i="12"/>
  <c r="E59" i="12" s="1"/>
  <c r="T80" i="12"/>
  <c r="U80" i="12" s="1"/>
  <c r="T101" i="12"/>
  <c r="U101" i="12" s="1"/>
  <c r="D17" i="19"/>
  <c r="H15" i="12"/>
  <c r="I15" i="12" s="1"/>
  <c r="T15" i="12"/>
  <c r="U15" i="12" s="1"/>
  <c r="T38" i="12"/>
  <c r="U38" i="12" s="1"/>
  <c r="D38" i="12"/>
  <c r="E38" i="12" s="1"/>
  <c r="D15" i="12"/>
  <c r="E15" i="12" s="1"/>
  <c r="AN15" i="12"/>
  <c r="AO15" i="12" s="1"/>
  <c r="X15" i="12"/>
  <c r="Y15" i="12" s="1"/>
  <c r="L38" i="12"/>
  <c r="M38" i="12" s="1"/>
  <c r="AZ15" i="12"/>
  <c r="BA15" i="12" s="1"/>
  <c r="AJ15" i="12"/>
  <c r="AK15" i="12" s="1"/>
  <c r="AV15" i="12"/>
  <c r="AW15" i="12" s="1"/>
  <c r="L15" i="12"/>
  <c r="M15" i="12" s="1"/>
  <c r="AR15" i="12"/>
  <c r="AS15" i="12" s="1"/>
  <c r="H38" i="12"/>
  <c r="I38" i="12" s="1"/>
  <c r="AF15" i="12"/>
  <c r="AG15" i="12" s="1"/>
  <c r="C21" i="1"/>
  <c r="F17" i="5"/>
  <c r="H16" i="5"/>
  <c r="I19" i="14"/>
  <c r="M17" i="11"/>
  <c r="I16" i="11"/>
  <c r="G27" i="1"/>
  <c r="M21" i="1" s="1"/>
  <c r="E17" i="19" l="1"/>
  <c r="E55" i="19"/>
  <c r="E36" i="19"/>
  <c r="AB16" i="12"/>
  <c r="AC16" i="12" s="1"/>
  <c r="M30" i="1"/>
  <c r="C30" i="1"/>
  <c r="C36" i="1"/>
  <c r="AV39" i="12"/>
  <c r="AW39" i="12" s="1"/>
  <c r="AB39" i="12"/>
  <c r="AC39" i="12" s="1"/>
  <c r="AZ39" i="12"/>
  <c r="BA39" i="12" s="1"/>
  <c r="AN39" i="12"/>
  <c r="AO39" i="12" s="1"/>
  <c r="AF39" i="12"/>
  <c r="AG39" i="12" s="1"/>
  <c r="X39" i="12"/>
  <c r="Y39" i="12" s="1"/>
  <c r="AR39" i="12"/>
  <c r="AS39" i="12" s="1"/>
  <c r="AJ39" i="12"/>
  <c r="AK39" i="12" s="1"/>
  <c r="AF102" i="12"/>
  <c r="AG102" i="12" s="1"/>
  <c r="AR102" i="12"/>
  <c r="AS102" i="12" s="1"/>
  <c r="L81" i="12"/>
  <c r="M81" i="12" s="1"/>
  <c r="AJ81" i="12"/>
  <c r="AK81" i="12" s="1"/>
  <c r="T60" i="12"/>
  <c r="U60" i="12" s="1"/>
  <c r="AF60" i="12"/>
  <c r="AG60" i="12" s="1"/>
  <c r="AB60" i="12"/>
  <c r="AC60" i="12" s="1"/>
  <c r="AZ102" i="12"/>
  <c r="BA102" i="12" s="1"/>
  <c r="AB81" i="12"/>
  <c r="AC81" i="12" s="1"/>
  <c r="T102" i="12"/>
  <c r="U102" i="12" s="1"/>
  <c r="D102" i="12"/>
  <c r="E102" i="12" s="1"/>
  <c r="AF81" i="12"/>
  <c r="AG81" i="12" s="1"/>
  <c r="AB102" i="12"/>
  <c r="AC102" i="12" s="1"/>
  <c r="AZ60" i="12"/>
  <c r="BA60" i="12" s="1"/>
  <c r="AJ60" i="12"/>
  <c r="AK60" i="12" s="1"/>
  <c r="X102" i="12"/>
  <c r="Y102" i="12" s="1"/>
  <c r="AN60" i="12"/>
  <c r="AO60" i="12" s="1"/>
  <c r="AR60" i="12"/>
  <c r="AS60" i="12" s="1"/>
  <c r="T81" i="12"/>
  <c r="U81" i="12" s="1"/>
  <c r="AV102" i="12"/>
  <c r="AW102" i="12" s="1"/>
  <c r="H60" i="12"/>
  <c r="I60" i="12" s="1"/>
  <c r="H102" i="12"/>
  <c r="I102" i="12" s="1"/>
  <c r="L102" i="12"/>
  <c r="M102" i="12" s="1"/>
  <c r="AJ102" i="12"/>
  <c r="AK102" i="12" s="1"/>
  <c r="D81" i="12"/>
  <c r="E81" i="12" s="1"/>
  <c r="AR81" i="12"/>
  <c r="AS81" i="12" s="1"/>
  <c r="AN102" i="12"/>
  <c r="AO102" i="12" s="1"/>
  <c r="D60" i="12"/>
  <c r="E60" i="12" s="1"/>
  <c r="X60" i="12"/>
  <c r="Y60" i="12" s="1"/>
  <c r="AV82" i="12"/>
  <c r="AW82" i="12" s="1"/>
  <c r="AZ81" i="12"/>
  <c r="BA81" i="12" s="1"/>
  <c r="AN81" i="12"/>
  <c r="AO81" i="12" s="1"/>
  <c r="X81" i="12"/>
  <c r="Y81" i="12" s="1"/>
  <c r="H81" i="12"/>
  <c r="I81" i="12" s="1"/>
  <c r="AV60" i="12"/>
  <c r="AW60" i="12" s="1"/>
  <c r="L60" i="12"/>
  <c r="M60" i="12" s="1"/>
  <c r="D18" i="19"/>
  <c r="H39" i="12"/>
  <c r="I39" i="12" s="1"/>
  <c r="X16" i="12"/>
  <c r="Y16" i="12" s="1"/>
  <c r="T39" i="12"/>
  <c r="U39" i="12" s="1"/>
  <c r="AR16" i="12"/>
  <c r="AS16" i="12" s="1"/>
  <c r="AJ16" i="12"/>
  <c r="AK16" i="12" s="1"/>
  <c r="AN16" i="12"/>
  <c r="AO16" i="12" s="1"/>
  <c r="T16" i="12"/>
  <c r="U16" i="12" s="1"/>
  <c r="L16" i="12"/>
  <c r="M16" i="12" s="1"/>
  <c r="AZ16" i="12"/>
  <c r="BA16" i="12" s="1"/>
  <c r="D16" i="12"/>
  <c r="E16" i="12" s="1"/>
  <c r="H16" i="12"/>
  <c r="I16" i="12" s="1"/>
  <c r="AF16" i="12"/>
  <c r="AG16" i="12" s="1"/>
  <c r="AV16" i="12"/>
  <c r="AW16" i="12" s="1"/>
  <c r="L39" i="12"/>
  <c r="M39" i="12" s="1"/>
  <c r="D39" i="12"/>
  <c r="E39" i="12" s="1"/>
  <c r="F18" i="5"/>
  <c r="H17" i="5"/>
  <c r="I20" i="14"/>
  <c r="M18" i="11"/>
  <c r="I17" i="11"/>
  <c r="K30" i="1"/>
  <c r="C31" i="1"/>
  <c r="K29" i="1"/>
  <c r="M29" i="1" s="1"/>
  <c r="E18" i="19" l="1"/>
  <c r="E56" i="19"/>
  <c r="E37" i="19"/>
  <c r="AB17" i="12"/>
  <c r="AC17" i="12" s="1"/>
  <c r="AJ40" i="12"/>
  <c r="AK40" i="12" s="1"/>
  <c r="AN40" i="12"/>
  <c r="AO40" i="12" s="1"/>
  <c r="AR40" i="12"/>
  <c r="AS40" i="12" s="1"/>
  <c r="AZ40" i="12"/>
  <c r="BA40" i="12" s="1"/>
  <c r="X40" i="12"/>
  <c r="Y40" i="12" s="1"/>
  <c r="AB40" i="12"/>
  <c r="AC40" i="12" s="1"/>
  <c r="AF40" i="12"/>
  <c r="AG40" i="12" s="1"/>
  <c r="AV40" i="12"/>
  <c r="AW40" i="12" s="1"/>
  <c r="AV83" i="12"/>
  <c r="AW83" i="12" s="1"/>
  <c r="X103" i="12"/>
  <c r="Y103" i="12" s="1"/>
  <c r="T61" i="12"/>
  <c r="U61" i="12" s="1"/>
  <c r="X82" i="12"/>
  <c r="Y82" i="12" s="1"/>
  <c r="X61" i="12"/>
  <c r="Y61" i="12" s="1"/>
  <c r="AR82" i="12"/>
  <c r="AS82" i="12" s="1"/>
  <c r="L103" i="12"/>
  <c r="M103" i="12" s="1"/>
  <c r="T82" i="12"/>
  <c r="U82" i="12" s="1"/>
  <c r="AJ61" i="12"/>
  <c r="AK61" i="12" s="1"/>
  <c r="AZ103" i="12"/>
  <c r="BA103" i="12" s="1"/>
  <c r="AJ82" i="12"/>
  <c r="AK82" i="12" s="1"/>
  <c r="L61" i="12"/>
  <c r="M61" i="12" s="1"/>
  <c r="H103" i="12"/>
  <c r="I103" i="12" s="1"/>
  <c r="AZ61" i="12"/>
  <c r="BA61" i="12" s="1"/>
  <c r="D103" i="12"/>
  <c r="E103" i="12" s="1"/>
  <c r="L82" i="12"/>
  <c r="M82" i="12" s="1"/>
  <c r="AN82" i="12"/>
  <c r="AO82" i="12" s="1"/>
  <c r="D82" i="12"/>
  <c r="E82" i="12" s="1"/>
  <c r="AR61" i="12"/>
  <c r="AS61" i="12" s="1"/>
  <c r="AB61" i="12"/>
  <c r="AC61" i="12" s="1"/>
  <c r="AV61" i="12"/>
  <c r="AW61" i="12" s="1"/>
  <c r="AZ82" i="12"/>
  <c r="BA82" i="12" s="1"/>
  <c r="D61" i="12"/>
  <c r="E61" i="12" s="1"/>
  <c r="AJ103" i="12"/>
  <c r="AK103" i="12" s="1"/>
  <c r="H61" i="12"/>
  <c r="I61" i="12" s="1"/>
  <c r="AN61" i="12"/>
  <c r="AO61" i="12" s="1"/>
  <c r="AB103" i="12"/>
  <c r="AC103" i="12" s="1"/>
  <c r="T103" i="12"/>
  <c r="U103" i="12" s="1"/>
  <c r="AF61" i="12"/>
  <c r="AG61" i="12" s="1"/>
  <c r="AR103" i="12"/>
  <c r="AS103" i="12" s="1"/>
  <c r="H82" i="12"/>
  <c r="I82" i="12" s="1"/>
  <c r="AN103" i="12"/>
  <c r="AO103" i="12" s="1"/>
  <c r="AV103" i="12"/>
  <c r="AW103" i="12" s="1"/>
  <c r="AF82" i="12"/>
  <c r="AG82" i="12" s="1"/>
  <c r="AB82" i="12"/>
  <c r="AC82" i="12" s="1"/>
  <c r="AF103" i="12"/>
  <c r="AG103" i="12" s="1"/>
  <c r="D19" i="19"/>
  <c r="D40" i="12"/>
  <c r="E40" i="12" s="1"/>
  <c r="H17" i="12"/>
  <c r="I17" i="12" s="1"/>
  <c r="T17" i="12"/>
  <c r="U17" i="12" s="1"/>
  <c r="T40" i="12"/>
  <c r="U40" i="12" s="1"/>
  <c r="L40" i="12"/>
  <c r="M40" i="12" s="1"/>
  <c r="D17" i="12"/>
  <c r="E17" i="12" s="1"/>
  <c r="AN17" i="12"/>
  <c r="AO17" i="12" s="1"/>
  <c r="X17" i="12"/>
  <c r="Y17" i="12" s="1"/>
  <c r="AV17" i="12"/>
  <c r="AW17" i="12" s="1"/>
  <c r="AZ17" i="12"/>
  <c r="BA17" i="12" s="1"/>
  <c r="AJ17" i="12"/>
  <c r="AK17" i="12" s="1"/>
  <c r="AF17" i="12"/>
  <c r="AG17" i="12" s="1"/>
  <c r="L17" i="12"/>
  <c r="M17" i="12" s="1"/>
  <c r="AR17" i="12"/>
  <c r="AS17" i="12" s="1"/>
  <c r="H40" i="12"/>
  <c r="I40" i="12" s="1"/>
  <c r="F19" i="5"/>
  <c r="H18" i="5"/>
  <c r="I21" i="14"/>
  <c r="M19" i="11"/>
  <c r="I18" i="11"/>
  <c r="E19" i="19" l="1"/>
  <c r="E57" i="19"/>
  <c r="E38" i="19"/>
  <c r="AB18" i="12"/>
  <c r="AC18" i="12" s="1"/>
  <c r="AV41" i="12"/>
  <c r="AW41" i="12" s="1"/>
  <c r="AZ41" i="12"/>
  <c r="BA41" i="12" s="1"/>
  <c r="AF41" i="12"/>
  <c r="AG41" i="12" s="1"/>
  <c r="AR41" i="12"/>
  <c r="AS41" i="12" s="1"/>
  <c r="AB41" i="12"/>
  <c r="AC41" i="12" s="1"/>
  <c r="AN41" i="12"/>
  <c r="AO41" i="12" s="1"/>
  <c r="X41" i="12"/>
  <c r="Y41" i="12" s="1"/>
  <c r="AJ41" i="12"/>
  <c r="AK41" i="12" s="1"/>
  <c r="AV104" i="12"/>
  <c r="AW104" i="12" s="1"/>
  <c r="AF62" i="12"/>
  <c r="AG62" i="12" s="1"/>
  <c r="H62" i="12"/>
  <c r="I62" i="12" s="1"/>
  <c r="AV62" i="12"/>
  <c r="AW62" i="12" s="1"/>
  <c r="AN83" i="12"/>
  <c r="AO83" i="12" s="1"/>
  <c r="H104" i="12"/>
  <c r="I104" i="12" s="1"/>
  <c r="AZ104" i="12"/>
  <c r="BA104" i="12" s="1"/>
  <c r="L104" i="12"/>
  <c r="M104" i="12" s="1"/>
  <c r="T62" i="12"/>
  <c r="U62" i="12" s="1"/>
  <c r="AF104" i="12"/>
  <c r="AG104" i="12" s="1"/>
  <c r="AN104" i="12"/>
  <c r="AO104" i="12" s="1"/>
  <c r="T104" i="12"/>
  <c r="U104" i="12" s="1"/>
  <c r="AJ104" i="12"/>
  <c r="AK104" i="12" s="1"/>
  <c r="AB62" i="12"/>
  <c r="AC62" i="12" s="1"/>
  <c r="L83" i="12"/>
  <c r="M83" i="12" s="1"/>
  <c r="AR83" i="12"/>
  <c r="AS83" i="12" s="1"/>
  <c r="X104" i="12"/>
  <c r="Y104" i="12" s="1"/>
  <c r="L62" i="12"/>
  <c r="M62" i="12" s="1"/>
  <c r="AB83" i="12"/>
  <c r="AC83" i="12" s="1"/>
  <c r="H83" i="12"/>
  <c r="I83" i="12" s="1"/>
  <c r="AB104" i="12"/>
  <c r="AC104" i="12" s="1"/>
  <c r="D62" i="12"/>
  <c r="E62" i="12" s="1"/>
  <c r="AR62" i="12"/>
  <c r="AS62" i="12" s="1"/>
  <c r="D104" i="12"/>
  <c r="E104" i="12" s="1"/>
  <c r="AJ62" i="12"/>
  <c r="AK62" i="12" s="1"/>
  <c r="X62" i="12"/>
  <c r="Y62" i="12" s="1"/>
  <c r="AF83" i="12"/>
  <c r="AG83" i="12" s="1"/>
  <c r="AR104" i="12"/>
  <c r="AS104" i="12" s="1"/>
  <c r="AN62" i="12"/>
  <c r="AO62" i="12" s="1"/>
  <c r="AZ83" i="12"/>
  <c r="BA83" i="12" s="1"/>
  <c r="D83" i="12"/>
  <c r="E83" i="12" s="1"/>
  <c r="AZ62" i="12"/>
  <c r="BA62" i="12" s="1"/>
  <c r="AJ83" i="12"/>
  <c r="AK83" i="12" s="1"/>
  <c r="T83" i="12"/>
  <c r="U83" i="12" s="1"/>
  <c r="X83" i="12"/>
  <c r="Y83" i="12" s="1"/>
  <c r="AV84" i="12"/>
  <c r="AW84" i="12" s="1"/>
  <c r="D20" i="19"/>
  <c r="AR18" i="12"/>
  <c r="AS18" i="12" s="1"/>
  <c r="X18" i="12"/>
  <c r="Y18" i="12" s="1"/>
  <c r="T41" i="12"/>
  <c r="U41" i="12" s="1"/>
  <c r="L18" i="12"/>
  <c r="M18" i="12" s="1"/>
  <c r="AJ18" i="12"/>
  <c r="AK18" i="12" s="1"/>
  <c r="AN18" i="12"/>
  <c r="AO18" i="12" s="1"/>
  <c r="T18" i="12"/>
  <c r="U18" i="12" s="1"/>
  <c r="AF18" i="12"/>
  <c r="AG18" i="12" s="1"/>
  <c r="AZ18" i="12"/>
  <c r="BA18" i="12" s="1"/>
  <c r="D18" i="12"/>
  <c r="E18" i="12" s="1"/>
  <c r="H18" i="12"/>
  <c r="I18" i="12" s="1"/>
  <c r="H41" i="12"/>
  <c r="I41" i="12" s="1"/>
  <c r="AV18" i="12"/>
  <c r="AW18" i="12" s="1"/>
  <c r="L41" i="12"/>
  <c r="M41" i="12" s="1"/>
  <c r="D41" i="12"/>
  <c r="E41" i="12" s="1"/>
  <c r="F20" i="5"/>
  <c r="H19" i="5"/>
  <c r="I22" i="14"/>
  <c r="M20" i="11"/>
  <c r="I19" i="11"/>
  <c r="E20" i="19" l="1"/>
  <c r="E58" i="19"/>
  <c r="E39" i="19"/>
  <c r="AB19" i="12"/>
  <c r="AC19" i="12" s="1"/>
  <c r="AJ42" i="12"/>
  <c r="AK42" i="12" s="1"/>
  <c r="AR42" i="12"/>
  <c r="AS42" i="12" s="1"/>
  <c r="X42" i="12"/>
  <c r="Y42" i="12" s="1"/>
  <c r="AF42" i="12"/>
  <c r="AG42" i="12" s="1"/>
  <c r="AN42" i="12"/>
  <c r="AO42" i="12" s="1"/>
  <c r="AZ42" i="12"/>
  <c r="BA42" i="12" s="1"/>
  <c r="AB42" i="12"/>
  <c r="AC42" i="12" s="1"/>
  <c r="AV42" i="12"/>
  <c r="AW42" i="12" s="1"/>
  <c r="L63" i="12"/>
  <c r="M63" i="12" s="1"/>
  <c r="AJ84" i="12"/>
  <c r="AK84" i="12" s="1"/>
  <c r="AN63" i="12"/>
  <c r="AO63" i="12" s="1"/>
  <c r="X63" i="12"/>
  <c r="Y63" i="12" s="1"/>
  <c r="D63" i="12"/>
  <c r="E63" i="12" s="1"/>
  <c r="T105" i="12"/>
  <c r="U105" i="12" s="1"/>
  <c r="L105" i="12"/>
  <c r="M105" i="12" s="1"/>
  <c r="AV63" i="12"/>
  <c r="AW63" i="12" s="1"/>
  <c r="AV85" i="12"/>
  <c r="AW85" i="12" s="1"/>
  <c r="AZ63" i="12"/>
  <c r="BA63" i="12" s="1"/>
  <c r="AR105" i="12"/>
  <c r="AS105" i="12" s="1"/>
  <c r="AJ63" i="12"/>
  <c r="AK63" i="12" s="1"/>
  <c r="AB105" i="12"/>
  <c r="AC105" i="12" s="1"/>
  <c r="X105" i="12"/>
  <c r="Y105" i="12" s="1"/>
  <c r="L84" i="12"/>
  <c r="M84" i="12" s="1"/>
  <c r="AN105" i="12"/>
  <c r="AO105" i="12" s="1"/>
  <c r="AZ105" i="12"/>
  <c r="BA105" i="12" s="1"/>
  <c r="H63" i="12"/>
  <c r="I63" i="12" s="1"/>
  <c r="X84" i="12"/>
  <c r="Y84" i="12" s="1"/>
  <c r="D84" i="12"/>
  <c r="E84" i="12" s="1"/>
  <c r="AF84" i="12"/>
  <c r="AG84" i="12" s="1"/>
  <c r="D105" i="12"/>
  <c r="E105" i="12" s="1"/>
  <c r="H84" i="12"/>
  <c r="I84" i="12" s="1"/>
  <c r="AR84" i="12"/>
  <c r="AS84" i="12" s="1"/>
  <c r="AB63" i="12"/>
  <c r="AC63" i="12" s="1"/>
  <c r="AF105" i="12"/>
  <c r="AG105" i="12" s="1"/>
  <c r="H105" i="12"/>
  <c r="I105" i="12" s="1"/>
  <c r="AF63" i="12"/>
  <c r="AG63" i="12" s="1"/>
  <c r="T84" i="12"/>
  <c r="U84" i="12" s="1"/>
  <c r="AZ84" i="12"/>
  <c r="BA84" i="12" s="1"/>
  <c r="AR63" i="12"/>
  <c r="AS63" i="12" s="1"/>
  <c r="AB84" i="12"/>
  <c r="AC84" i="12" s="1"/>
  <c r="AJ105" i="12"/>
  <c r="AK105" i="12" s="1"/>
  <c r="T63" i="12"/>
  <c r="U63" i="12" s="1"/>
  <c r="AN84" i="12"/>
  <c r="AO84" i="12" s="1"/>
  <c r="AV105" i="12"/>
  <c r="AW105" i="12" s="1"/>
  <c r="D21" i="19"/>
  <c r="L42" i="12"/>
  <c r="M42" i="12" s="1"/>
  <c r="H19" i="12"/>
  <c r="I19" i="12" s="1"/>
  <c r="T19" i="12"/>
  <c r="U19" i="12" s="1"/>
  <c r="T42" i="12"/>
  <c r="U42" i="12" s="1"/>
  <c r="AV19" i="12"/>
  <c r="AW19" i="12" s="1"/>
  <c r="D19" i="12"/>
  <c r="E19" i="12" s="1"/>
  <c r="AN19" i="12"/>
  <c r="AO19" i="12" s="1"/>
  <c r="X19" i="12"/>
  <c r="Y19" i="12" s="1"/>
  <c r="AZ19" i="12"/>
  <c r="BA19" i="12" s="1"/>
  <c r="AJ19" i="12"/>
  <c r="AK19" i="12" s="1"/>
  <c r="D42" i="12"/>
  <c r="E42" i="12" s="1"/>
  <c r="H42" i="12"/>
  <c r="I42" i="12" s="1"/>
  <c r="AF19" i="12"/>
  <c r="AG19" i="12" s="1"/>
  <c r="L19" i="12"/>
  <c r="M19" i="12" s="1"/>
  <c r="AR19" i="12"/>
  <c r="AS19" i="12" s="1"/>
  <c r="F21" i="5"/>
  <c r="H20" i="5"/>
  <c r="I23" i="14"/>
  <c r="I20" i="11"/>
  <c r="E21" i="19" l="1"/>
  <c r="E40" i="19"/>
  <c r="E59" i="19"/>
  <c r="AB20" i="12"/>
  <c r="AC20" i="12" s="1"/>
  <c r="AX70" i="12"/>
  <c r="F15" i="17" s="1"/>
  <c r="AN43" i="12"/>
  <c r="AO43" i="12" s="1"/>
  <c r="AJ43" i="12"/>
  <c r="AK43" i="12" s="1"/>
  <c r="AV43" i="12"/>
  <c r="AW43" i="12" s="1"/>
  <c r="AF43" i="12"/>
  <c r="AG43" i="12" s="1"/>
  <c r="X43" i="12"/>
  <c r="Y43" i="12" s="1"/>
  <c r="AB43" i="12"/>
  <c r="AC43" i="12" s="1"/>
  <c r="AZ43" i="12"/>
  <c r="BA43" i="12" s="1"/>
  <c r="AR43" i="12"/>
  <c r="AS43" i="12" s="1"/>
  <c r="AV106" i="12"/>
  <c r="AW106" i="12" s="1"/>
  <c r="AZ85" i="12"/>
  <c r="BA85" i="12" s="1"/>
  <c r="AF106" i="12"/>
  <c r="AG106" i="12" s="1"/>
  <c r="D106" i="12"/>
  <c r="E106" i="12" s="1"/>
  <c r="X106" i="12"/>
  <c r="Y106" i="12" s="1"/>
  <c r="AZ64" i="12"/>
  <c r="BA64" i="12" s="1"/>
  <c r="T106" i="12"/>
  <c r="U106" i="12" s="1"/>
  <c r="AN64" i="12"/>
  <c r="AO64" i="12" s="1"/>
  <c r="AN85" i="12"/>
  <c r="AO85" i="12" s="1"/>
  <c r="AB85" i="12"/>
  <c r="AC85" i="12" s="1"/>
  <c r="T85" i="12"/>
  <c r="U85" i="12" s="1"/>
  <c r="AB64" i="12"/>
  <c r="AC64" i="12" s="1"/>
  <c r="AF85" i="12"/>
  <c r="AG85" i="12" s="1"/>
  <c r="AZ106" i="12"/>
  <c r="BA106" i="12" s="1"/>
  <c r="AB106" i="12"/>
  <c r="AC106" i="12" s="1"/>
  <c r="AJ85" i="12"/>
  <c r="AK85" i="12" s="1"/>
  <c r="L64" i="12"/>
  <c r="M64" i="12" s="1"/>
  <c r="T64" i="12"/>
  <c r="U64" i="12" s="1"/>
  <c r="AR64" i="12"/>
  <c r="AS64" i="12" s="1"/>
  <c r="AF64" i="12"/>
  <c r="AG64" i="12" s="1"/>
  <c r="AR85" i="12"/>
  <c r="AS85" i="12" s="1"/>
  <c r="D85" i="12"/>
  <c r="E85" i="12" s="1"/>
  <c r="AN106" i="12"/>
  <c r="AO106" i="12" s="1"/>
  <c r="AJ64" i="12"/>
  <c r="AK64" i="12" s="1"/>
  <c r="AV64" i="12"/>
  <c r="AW64" i="12" s="1"/>
  <c r="D64" i="12"/>
  <c r="E64" i="12" s="1"/>
  <c r="AJ106" i="12"/>
  <c r="AK106" i="12" s="1"/>
  <c r="H106" i="12"/>
  <c r="I106" i="12" s="1"/>
  <c r="H85" i="12"/>
  <c r="I85" i="12" s="1"/>
  <c r="X85" i="12"/>
  <c r="Y85" i="12" s="1"/>
  <c r="L85" i="12"/>
  <c r="M85" i="12" s="1"/>
  <c r="AR106" i="12"/>
  <c r="AS106" i="12" s="1"/>
  <c r="L106" i="12"/>
  <c r="M106" i="12" s="1"/>
  <c r="X64" i="12"/>
  <c r="Y64" i="12" s="1"/>
  <c r="H64" i="12"/>
  <c r="I64" i="12" s="1"/>
  <c r="D22" i="19"/>
  <c r="L20" i="12"/>
  <c r="M20" i="12" s="1"/>
  <c r="R28" i="12"/>
  <c r="D7" i="17" s="1"/>
  <c r="X20" i="12"/>
  <c r="Y20" i="12" s="1"/>
  <c r="T43" i="12"/>
  <c r="U43" i="12" s="1"/>
  <c r="AF20" i="12"/>
  <c r="AG20" i="12" s="1"/>
  <c r="AJ20" i="12"/>
  <c r="AK20" i="12" s="1"/>
  <c r="AN20" i="12"/>
  <c r="AO20" i="12" s="1"/>
  <c r="T20" i="12"/>
  <c r="U20" i="12" s="1"/>
  <c r="H43" i="12"/>
  <c r="I43" i="12" s="1"/>
  <c r="AZ20" i="12"/>
  <c r="BA20" i="12" s="1"/>
  <c r="D20" i="12"/>
  <c r="E20" i="12" s="1"/>
  <c r="H20" i="12"/>
  <c r="I20" i="12" s="1"/>
  <c r="AR20" i="12"/>
  <c r="AS20" i="12" s="1"/>
  <c r="D43" i="12"/>
  <c r="E43" i="12" s="1"/>
  <c r="AV20" i="12"/>
  <c r="AW20" i="12" s="1"/>
  <c r="L43" i="12"/>
  <c r="M43" i="12" s="1"/>
  <c r="F22" i="5"/>
  <c r="H21" i="5"/>
  <c r="AL28" i="12"/>
  <c r="D12" i="17" s="1"/>
  <c r="I24" i="14"/>
  <c r="M22" i="11"/>
  <c r="I21" i="11"/>
  <c r="E22" i="19" l="1"/>
  <c r="E60" i="19"/>
  <c r="E41" i="19"/>
  <c r="V28" i="12"/>
  <c r="D8" i="17" s="1"/>
  <c r="J28" i="12"/>
  <c r="D5" i="17" s="1"/>
  <c r="N28" i="12"/>
  <c r="D6" i="17" s="1"/>
  <c r="F28" i="12"/>
  <c r="D4" i="17" s="1"/>
  <c r="AB21" i="12"/>
  <c r="AC21" i="12" s="1"/>
  <c r="J70" i="12"/>
  <c r="F5" i="17" s="1"/>
  <c r="F70" i="12"/>
  <c r="F4" i="17" s="1"/>
  <c r="AL49" i="12"/>
  <c r="E12" i="17" s="1"/>
  <c r="AH91" i="12"/>
  <c r="G11" i="17" s="1"/>
  <c r="Z49" i="12"/>
  <c r="E9" i="17" s="1"/>
  <c r="AT49" i="12"/>
  <c r="E14" i="17" s="1"/>
  <c r="R70" i="12"/>
  <c r="F7" i="17" s="1"/>
  <c r="AD49" i="12"/>
  <c r="E10" i="17" s="1"/>
  <c r="AP49" i="12"/>
  <c r="E13" i="17" s="1"/>
  <c r="F91" i="12"/>
  <c r="G4" i="17" s="1"/>
  <c r="AX91" i="12"/>
  <c r="G15" i="17" s="1"/>
  <c r="AT28" i="12"/>
  <c r="D14" i="17" s="1"/>
  <c r="AT91" i="12"/>
  <c r="G14" i="17" s="1"/>
  <c r="J91" i="12"/>
  <c r="G5" i="17" s="1"/>
  <c r="BB91" i="12"/>
  <c r="G16" i="17" s="1"/>
  <c r="AD70" i="12"/>
  <c r="F10" i="17" s="1"/>
  <c r="BB49" i="12"/>
  <c r="E16" i="17" s="1"/>
  <c r="BB70" i="12"/>
  <c r="F16" i="17" s="1"/>
  <c r="BB28" i="12"/>
  <c r="D16" i="17" s="1"/>
  <c r="AX28" i="12"/>
  <c r="D15" i="17" s="1"/>
  <c r="AP28" i="12"/>
  <c r="D13" i="17" s="1"/>
  <c r="AH28" i="12"/>
  <c r="D11" i="17" s="1"/>
  <c r="AH49" i="12"/>
  <c r="E11" i="17" s="1"/>
  <c r="Z91" i="12"/>
  <c r="G9" i="17" s="1"/>
  <c r="AD28" i="12"/>
  <c r="D10" i="17" s="1"/>
  <c r="Z28" i="12"/>
  <c r="D9" i="17" s="1"/>
  <c r="N70" i="12"/>
  <c r="F6" i="17" s="1"/>
  <c r="R49" i="12"/>
  <c r="E7" i="17" s="1"/>
  <c r="AT70" i="12"/>
  <c r="F14" i="17" s="1"/>
  <c r="N49" i="12"/>
  <c r="E6" i="17" s="1"/>
  <c r="Z70" i="12"/>
  <c r="F9" i="17" s="1"/>
  <c r="AL91" i="12"/>
  <c r="G12" i="17" s="1"/>
  <c r="AL70" i="12"/>
  <c r="F12" i="17" s="1"/>
  <c r="AH70" i="12"/>
  <c r="F11" i="17" s="1"/>
  <c r="AP70" i="12"/>
  <c r="F13" i="17" s="1"/>
  <c r="N91" i="12"/>
  <c r="G6" i="17" s="1"/>
  <c r="AP91" i="12"/>
  <c r="G13" i="17" s="1"/>
  <c r="F49" i="12"/>
  <c r="E4" i="17" s="1"/>
  <c r="V49" i="12"/>
  <c r="E8" i="17" s="1"/>
  <c r="AD91" i="12"/>
  <c r="G10" i="17" s="1"/>
  <c r="V70" i="12"/>
  <c r="F8" i="17" s="1"/>
  <c r="J49" i="12"/>
  <c r="E5" i="17" s="1"/>
  <c r="R91" i="12"/>
  <c r="G7" i="17" s="1"/>
  <c r="AX49" i="12"/>
  <c r="E15" i="17" s="1"/>
  <c r="V91" i="12"/>
  <c r="G8" i="17" s="1"/>
  <c r="D23" i="19"/>
  <c r="AV21" i="12"/>
  <c r="AW21" i="12" s="1"/>
  <c r="H21" i="12"/>
  <c r="I21" i="12" s="1"/>
  <c r="T21" i="12"/>
  <c r="U21" i="12" s="1"/>
  <c r="D21" i="12"/>
  <c r="E21" i="12" s="1"/>
  <c r="AN21" i="12"/>
  <c r="AO21" i="12" s="1"/>
  <c r="X21" i="12"/>
  <c r="Y21" i="12" s="1"/>
  <c r="AZ21" i="12"/>
  <c r="BA21" i="12" s="1"/>
  <c r="AJ21" i="12"/>
  <c r="AK21" i="12" s="1"/>
  <c r="AR21" i="12"/>
  <c r="AS21" i="12" s="1"/>
  <c r="AF21" i="12"/>
  <c r="AG21" i="12" s="1"/>
  <c r="L21" i="12"/>
  <c r="M21" i="12" s="1"/>
  <c r="F23" i="5"/>
  <c r="H23" i="5" s="1"/>
  <c r="H22" i="5"/>
  <c r="I22" i="11"/>
  <c r="E23" i="19" l="1"/>
  <c r="E61" i="19"/>
  <c r="E42" i="19"/>
  <c r="AP6" i="12"/>
  <c r="C13" i="17" s="1"/>
  <c r="AH6" i="12"/>
  <c r="C11" i="17" s="1"/>
  <c r="V6" i="12"/>
  <c r="C8" i="17" s="1"/>
  <c r="R6" i="12"/>
  <c r="C7" i="17" s="1"/>
  <c r="Z6" i="12"/>
  <c r="C9" i="17" s="1"/>
  <c r="D24" i="19"/>
  <c r="AL6" i="12"/>
  <c r="C12" i="17" s="1"/>
  <c r="AD6" i="12"/>
  <c r="C10" i="17" s="1"/>
  <c r="N6" i="12"/>
  <c r="C6" i="17" s="1"/>
  <c r="AT6" i="12"/>
  <c r="C14" i="17" s="1"/>
  <c r="I23" i="11"/>
  <c r="M23" i="11"/>
  <c r="E24" i="19" l="1"/>
  <c r="E62" i="19"/>
  <c r="E43" i="19"/>
  <c r="F6" i="12"/>
  <c r="C4" i="17" s="1"/>
  <c r="D25" i="19"/>
  <c r="AX6" i="12"/>
  <c r="C15" i="17" s="1"/>
  <c r="E25" i="19" l="1"/>
  <c r="E44" i="19"/>
  <c r="E63" i="19"/>
  <c r="C20" i="17"/>
  <c r="D26" i="19"/>
  <c r="BB6" i="12"/>
  <c r="C16" i="17" s="1"/>
  <c r="E26" i="19" l="1"/>
  <c r="E64" i="19"/>
  <c r="E45" i="19"/>
  <c r="D27" i="19"/>
  <c r="E27" i="19" l="1"/>
  <c r="E65" i="19"/>
  <c r="E46" i="19"/>
  <c r="D28" i="19"/>
  <c r="E28" i="19" l="1"/>
  <c r="E47" i="19"/>
  <c r="E66" i="19"/>
  <c r="D29" i="19"/>
  <c r="E29" i="19" l="1"/>
  <c r="E48" i="19"/>
  <c r="E67" i="19"/>
  <c r="D30" i="19"/>
  <c r="E30" i="19" l="1"/>
  <c r="F15" i="19" s="1"/>
  <c r="E68" i="19"/>
  <c r="F53" i="19" s="1"/>
  <c r="E49" i="19"/>
  <c r="F34" i="19" s="1"/>
  <c r="J6" i="12"/>
  <c r="C5" i="17" s="1"/>
</calcChain>
</file>

<file path=xl/sharedStrings.xml><?xml version="1.0" encoding="utf-8"?>
<sst xmlns="http://schemas.openxmlformats.org/spreadsheetml/2006/main" count="928" uniqueCount="271">
  <si>
    <t>Stoichiometry</t>
  </si>
  <si>
    <t>Methanol</t>
  </si>
  <si>
    <t>HC Fuel Balance: C8H18 + CH3OH + x(O2 + 3.76N2) --&gt; n1CO2 + n2H2O + n3N2</t>
  </si>
  <si>
    <t xml:space="preserve">Hydrogen </t>
  </si>
  <si>
    <t xml:space="preserve">Carbon </t>
  </si>
  <si>
    <t>Weights</t>
  </si>
  <si>
    <t>Oxygen</t>
  </si>
  <si>
    <t>Nitrogen</t>
  </si>
  <si>
    <t>kg/mol</t>
  </si>
  <si>
    <t>(n1)</t>
  </si>
  <si>
    <t>Carbon</t>
  </si>
  <si>
    <t>Hydrogen</t>
  </si>
  <si>
    <t>2(n2)</t>
  </si>
  <si>
    <t>(n2)</t>
  </si>
  <si>
    <t>2n1 + n2 - 1</t>
  </si>
  <si>
    <t>2x</t>
  </si>
  <si>
    <t>x</t>
  </si>
  <si>
    <t xml:space="preserve">Nitrogen </t>
  </si>
  <si>
    <t>(n3)</t>
  </si>
  <si>
    <t>Total</t>
  </si>
  <si>
    <t>Meth (mfuel)</t>
  </si>
  <si>
    <t>Iso-Octane (mfuel)</t>
  </si>
  <si>
    <t>Air Mass</t>
  </si>
  <si>
    <t>x(O2 + 3.76N2)</t>
  </si>
  <si>
    <t>Air/Fuel Ratio</t>
  </si>
  <si>
    <t xml:space="preserve">Enthalpies of Combustion </t>
  </si>
  <si>
    <t xml:space="preserve">Methanol </t>
  </si>
  <si>
    <t>CH3OH (l) + 3/2 O2 (g) --&gt; CO2 (g) + 2H2O (l)</t>
  </si>
  <si>
    <t>C8H18 (l) + 25/2 O2 (g) --&gt; 8CO2 (g) + 9H2O (l)</t>
  </si>
  <si>
    <t xml:space="preserve">Combustion Reaction </t>
  </si>
  <si>
    <t>Enthalpy of Combustion</t>
  </si>
  <si>
    <t>Iso-Octane</t>
  </si>
  <si>
    <t>Δℎ"f</t>
  </si>
  <si>
    <t>CO2</t>
  </si>
  <si>
    <t>H20</t>
  </si>
  <si>
    <t>liquid</t>
  </si>
  <si>
    <t>gas</t>
  </si>
  <si>
    <t>C8H18 + CH3OH + x(O2 + 3.76N2) --&gt; 9CO2 + 11H20</t>
  </si>
  <si>
    <t>Enthalphy released from products (MJ)</t>
  </si>
  <si>
    <t>Enthalphy needed for products (MJ)</t>
  </si>
  <si>
    <t>Net Enthalphy (MJ)</t>
  </si>
  <si>
    <t>1kg of iso-octane and methanol</t>
  </si>
  <si>
    <t>MJ/kg</t>
  </si>
  <si>
    <t>HHV</t>
  </si>
  <si>
    <t>LHV</t>
  </si>
  <si>
    <t>J/kg</t>
  </si>
  <si>
    <t>1 molecule of Iso-Octane and Methanol</t>
  </si>
  <si>
    <t>&gt;&gt;&gt;&gt;</t>
  </si>
  <si>
    <t>6x10^26 molecule of Iso-Octane and Methanol</t>
  </si>
  <si>
    <t>9 * 6x10^26 molecule of CO2</t>
  </si>
  <si>
    <t>9 molecules of CO2</t>
  </si>
  <si>
    <t>1kmol of Iso-Octane and Methanol</t>
  </si>
  <si>
    <t>9 * kmol of CO2</t>
  </si>
  <si>
    <t>1kmol of CO2</t>
  </si>
  <si>
    <t xml:space="preserve">So, therefore 1kg of Iso-Octane and Methanol, makes </t>
  </si>
  <si>
    <t>kg of CO2</t>
  </si>
  <si>
    <t>a</t>
  </si>
  <si>
    <t>O2</t>
  </si>
  <si>
    <t>N2</t>
  </si>
  <si>
    <t>H2O</t>
  </si>
  <si>
    <t>n</t>
  </si>
  <si>
    <t>Temp. [K]</t>
  </si>
  <si>
    <t>Enthalpy [kJ/kmol]</t>
  </si>
  <si>
    <t>Ideal Gas Enthalpy of Carbon Dioxide (CO2)</t>
  </si>
  <si>
    <t>missing</t>
  </si>
  <si>
    <t>Ideal Gas Enthalpy of Carbon Monoxide (CO)</t>
  </si>
  <si>
    <t>Enthalphy of Formation = -110,527 (kJ/kmol)</t>
  </si>
  <si>
    <t>Molecular Weight: 28.01 (kg/mol)</t>
  </si>
  <si>
    <t>Ideal Gas Enthalpy of Oxygen (O2)</t>
  </si>
  <si>
    <t>Enthalphy of Formation = 0 (kJ/kmol)</t>
  </si>
  <si>
    <t>Molecular Weight: 32 (kg/mol)</t>
  </si>
  <si>
    <t>Molecular Weight: 44.01 (kg/mol)</t>
  </si>
  <si>
    <t>Ideal Gas Enthalpy of Nitrogen (N2)</t>
  </si>
  <si>
    <t>Molecular Weight: 28.013 (kg/mol)</t>
  </si>
  <si>
    <t>Ideal Gas Enthalpy of Water Vapour (H2O)</t>
  </si>
  <si>
    <t>Molecular Weight: 18.015 (kg/mol)</t>
  </si>
  <si>
    <t>Goal Seek</t>
  </si>
  <si>
    <t>Net enthalpy</t>
  </si>
  <si>
    <t>&lt;-- To be Calculated</t>
  </si>
  <si>
    <t>&lt;-- Set Required Enthalpy in Goal Seek</t>
  </si>
  <si>
    <r>
      <t>HC Fuel Balance: C</t>
    </r>
    <r>
      <rPr>
        <sz val="8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>H</t>
    </r>
    <r>
      <rPr>
        <sz val="8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 xml:space="preserve"> + a(O</t>
    </r>
    <r>
      <rPr>
        <sz val="8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+ 3.76N</t>
    </r>
    <r>
      <rPr>
        <sz val="8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) --&gt; </t>
    </r>
    <r>
      <rPr>
        <sz val="8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>CO</t>
    </r>
    <r>
      <rPr>
        <sz val="8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+ (</t>
    </r>
    <r>
      <rPr>
        <sz val="10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>/2) H</t>
    </r>
    <r>
      <rPr>
        <sz val="8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+ 3.76</t>
    </r>
    <r>
      <rPr>
        <sz val="9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N</t>
    </r>
    <r>
      <rPr>
        <sz val="8"/>
        <color theme="1"/>
        <rFont val="Calibri"/>
        <family val="2"/>
        <scheme val="minor"/>
      </rPr>
      <t>2</t>
    </r>
  </si>
  <si>
    <t xml:space="preserve">    where… a = x + (y/4)</t>
  </si>
  <si>
    <t>Carbon (x)</t>
  </si>
  <si>
    <t>Hydrogen (y)</t>
  </si>
  <si>
    <t>Stoich Ratio</t>
  </si>
  <si>
    <t>Equ Ratio</t>
  </si>
  <si>
    <t>Fuel Ratio</t>
  </si>
  <si>
    <t>Molecular Weight</t>
  </si>
  <si>
    <t>Air</t>
  </si>
  <si>
    <t>Enthalpy [MJ/kmol]</t>
  </si>
  <si>
    <t>&lt;--change</t>
  </si>
  <si>
    <t>[O2]</t>
  </si>
  <si>
    <t>[N2]</t>
  </si>
  <si>
    <t>Alpha</t>
  </si>
  <si>
    <t>λ</t>
  </si>
  <si>
    <t>𝜑</t>
  </si>
  <si>
    <t>polytropic index</t>
  </si>
  <si>
    <t>(9*(12+32) kg --&gt; 396kg</t>
  </si>
  <si>
    <t>(9*12)+(22*1)+(16*1)) kg --&gt; 146kg</t>
  </si>
  <si>
    <t xml:space="preserve">Enthalphy of Formation = </t>
  </si>
  <si>
    <t>(kJ/kmol)</t>
  </si>
  <si>
    <t xml:space="preserve"> (kJ/kmol)</t>
  </si>
  <si>
    <t xml:space="preserve">Enthalphy of Formation =  </t>
  </si>
  <si>
    <t>Temp (K)</t>
  </si>
  <si>
    <t>Nox (kmols/°)</t>
  </si>
  <si>
    <t>P (Bar)</t>
  </si>
  <si>
    <t>Phi (ɸ)</t>
  </si>
  <si>
    <t>θ°</t>
  </si>
  <si>
    <t>PPM</t>
  </si>
  <si>
    <t>Total Exhaust kmols</t>
  </si>
  <si>
    <t>CO</t>
  </si>
  <si>
    <t xml:space="preserve">Lower Heated Value </t>
  </si>
  <si>
    <t>2300K</t>
  </si>
  <si>
    <t>Higher Heated Value</t>
  </si>
  <si>
    <t>2500K</t>
  </si>
  <si>
    <t>Middle Heated Value</t>
  </si>
  <si>
    <t>2400K</t>
  </si>
  <si>
    <t>1 Phi (ɸ)</t>
  </si>
  <si>
    <t>EGR (%)</t>
  </si>
  <si>
    <t>0% EGR</t>
  </si>
  <si>
    <t>5% EGR</t>
  </si>
  <si>
    <t>10% EGR</t>
  </si>
  <si>
    <t>15% EGR</t>
  </si>
  <si>
    <t>20% EGR</t>
  </si>
  <si>
    <t>C3H8</t>
  </si>
  <si>
    <t>C8H18</t>
  </si>
  <si>
    <t>CH4</t>
  </si>
  <si>
    <t>C2H2</t>
  </si>
  <si>
    <t>C2H4</t>
  </si>
  <si>
    <t>C2H6</t>
  </si>
  <si>
    <t>C4H10</t>
  </si>
  <si>
    <t>C5H12</t>
  </si>
  <si>
    <t>C6H14</t>
  </si>
  <si>
    <t>C7H16</t>
  </si>
  <si>
    <t>C9H20</t>
  </si>
  <si>
    <t>C10H22</t>
  </si>
  <si>
    <t>C12H26</t>
  </si>
  <si>
    <t>CH4O</t>
  </si>
  <si>
    <t>C2H6O</t>
  </si>
  <si>
    <t>H2</t>
  </si>
  <si>
    <t>Calculate for:</t>
  </si>
  <si>
    <t>Carbons</t>
  </si>
  <si>
    <t>Hydrogens</t>
  </si>
  <si>
    <t>Oxygens</t>
  </si>
  <si>
    <t>n1</t>
  </si>
  <si>
    <t>n2</t>
  </si>
  <si>
    <t>n4</t>
  </si>
  <si>
    <t xml:space="preserve">Enthalpy of formation </t>
  </si>
  <si>
    <t>N/A</t>
  </si>
  <si>
    <t>Poly 2nd</t>
  </si>
  <si>
    <t>Poly 6th</t>
  </si>
  <si>
    <t>Poly 6th Order</t>
  </si>
  <si>
    <t>Total Poly</t>
  </si>
  <si>
    <t>100% Blends</t>
  </si>
  <si>
    <t>Chemical Compound</t>
  </si>
  <si>
    <t>EGR</t>
  </si>
  <si>
    <t>50/50</t>
  </si>
  <si>
    <t>A/F Ratio</t>
  </si>
  <si>
    <t>kg CO2/kg fuel</t>
  </si>
  <si>
    <t>Fuel Weight 1kmol</t>
  </si>
  <si>
    <t>Net Enthalpy (MJ)</t>
  </si>
  <si>
    <t>Lower Enthalpy (MJ)</t>
  </si>
  <si>
    <t>Lower Temp (K)</t>
  </si>
  <si>
    <t>Upper Enthalpy (MJ)</t>
  </si>
  <si>
    <t>Upper Temp (K)</t>
  </si>
  <si>
    <t>Fuel Weight (kg)</t>
  </si>
  <si>
    <t>Air Mass kg/mol</t>
  </si>
  <si>
    <t>Initial Flame Temp (K)</t>
  </si>
  <si>
    <t>Calorific Value (MJ/kg)</t>
  </si>
  <si>
    <t>Fuel 1</t>
  </si>
  <si>
    <t>Fuel 2</t>
  </si>
  <si>
    <t>Enthalpy of formation (MJ)</t>
  </si>
  <si>
    <t>Merker's equation</t>
  </si>
  <si>
    <t>Heywood's equation</t>
  </si>
  <si>
    <t>RPM</t>
  </si>
  <si>
    <t xml:space="preserve"> iso-Octane</t>
  </si>
  <si>
    <t xml:space="preserve"> Methane</t>
  </si>
  <si>
    <t xml:space="preserve"> Acetylene</t>
  </si>
  <si>
    <t xml:space="preserve"> Ethylene</t>
  </si>
  <si>
    <t xml:space="preserve"> Ethane</t>
  </si>
  <si>
    <t xml:space="preserve"> Propane</t>
  </si>
  <si>
    <t xml:space="preserve"> n-Butane</t>
  </si>
  <si>
    <t xml:space="preserve"> iso-Butane</t>
  </si>
  <si>
    <t xml:space="preserve"> n-Pentane</t>
  </si>
  <si>
    <t xml:space="preserve"> iso-Pentane</t>
  </si>
  <si>
    <t xml:space="preserve"> n-Hexane</t>
  </si>
  <si>
    <t xml:space="preserve"> iso-Hexane</t>
  </si>
  <si>
    <t xml:space="preserve"> n-Heptane</t>
  </si>
  <si>
    <t xml:space="preserve"> n-Octane</t>
  </si>
  <si>
    <t xml:space="preserve"> n-Noname</t>
  </si>
  <si>
    <t xml:space="preserve"> n-Decane</t>
  </si>
  <si>
    <t xml:space="preserve">  iso-Decane</t>
  </si>
  <si>
    <t xml:space="preserve"> n-Dodecane</t>
  </si>
  <si>
    <t xml:space="preserve"> Methanol</t>
  </si>
  <si>
    <t xml:space="preserve"> Ethanol</t>
  </si>
  <si>
    <t xml:space="preserve"> Hydrogen</t>
  </si>
  <si>
    <t>Clearance Volume (cc)</t>
  </si>
  <si>
    <t>((8ϕ x h°co2) + (9ϕ x h°H2O) +  (12.5(1-ϕ )x h°O2) + (47 x h°N2))</t>
  </si>
  <si>
    <t>Mcalister's equation</t>
  </si>
  <si>
    <t>H</t>
  </si>
  <si>
    <t>Heats of Formation at 298K</t>
  </si>
  <si>
    <t>Chemical</t>
  </si>
  <si>
    <t>Name</t>
  </si>
  <si>
    <t>State</t>
  </si>
  <si>
    <r>
      <t>ΔHf</t>
    </r>
    <r>
      <rPr>
        <b/>
        <sz val="11"/>
        <color rgb="FF3F3F3F"/>
        <rFont val="Calibri"/>
        <family val="2"/>
      </rPr>
      <t>° (kj/mol)</t>
    </r>
  </si>
  <si>
    <t>ΔHf° (kj/g mol)</t>
  </si>
  <si>
    <t>C</t>
  </si>
  <si>
    <t>Vapor</t>
  </si>
  <si>
    <t>N</t>
  </si>
  <si>
    <t>Gas</t>
  </si>
  <si>
    <t>O</t>
  </si>
  <si>
    <t>Acetylene</t>
  </si>
  <si>
    <t>O3</t>
  </si>
  <si>
    <t>Ozone</t>
  </si>
  <si>
    <t>NO</t>
  </si>
  <si>
    <t>Nitric oxide</t>
  </si>
  <si>
    <t>C6H6</t>
  </si>
  <si>
    <t>Benzene</t>
  </si>
  <si>
    <t>Liquid</t>
  </si>
  <si>
    <t>Ethene</t>
  </si>
  <si>
    <t>N2H4</t>
  </si>
  <si>
    <t>Hydrazine</t>
  </si>
  <si>
    <t>OH</t>
  </si>
  <si>
    <t>Hydroxyl radical</t>
  </si>
  <si>
    <t>Solid</t>
  </si>
  <si>
    <t>NH3</t>
  </si>
  <si>
    <t>Ammonia</t>
  </si>
  <si>
    <t>C2H4O</t>
  </si>
  <si>
    <t>Ethylene oxide</t>
  </si>
  <si>
    <t>Methane</t>
  </si>
  <si>
    <t>Ethane</t>
  </si>
  <si>
    <t>Carbon monoxide</t>
  </si>
  <si>
    <t>Butane</t>
  </si>
  <si>
    <t>CH3OH</t>
  </si>
  <si>
    <t>Water</t>
  </si>
  <si>
    <t>Octane</t>
  </si>
  <si>
    <t>SO2</t>
  </si>
  <si>
    <t>Sulfur dioxide</t>
  </si>
  <si>
    <t>C12H16</t>
  </si>
  <si>
    <t>Dodecane</t>
  </si>
  <si>
    <t>Carbon dioxide</t>
  </si>
  <si>
    <t>SO3</t>
  </si>
  <si>
    <t>Sulfurtri oxide</t>
  </si>
  <si>
    <t>2n1 + n2 - O2</t>
  </si>
  <si>
    <t>(mfuel)</t>
  </si>
  <si>
    <t>1 molecule</t>
  </si>
  <si>
    <t>6x10^26 molecule</t>
  </si>
  <si>
    <t>1kmol</t>
  </si>
  <si>
    <t xml:space="preserve">So, therefore 1kg, makes </t>
  </si>
  <si>
    <t>molecules of CO2</t>
  </si>
  <si>
    <t>* 6x10^26 molecule of CO2</t>
  </si>
  <si>
    <t>* kmol of CO2</t>
  </si>
  <si>
    <t>kg</t>
  </si>
  <si>
    <t>kj/kmol</t>
  </si>
  <si>
    <t>kj/kmol @25 degrees</t>
  </si>
  <si>
    <t>(Lower)</t>
  </si>
  <si>
    <t>&lt;&lt;---Change</t>
  </si>
  <si>
    <t>Enthalpy (MJ)</t>
  </si>
  <si>
    <t>Temperature (K)</t>
  </si>
  <si>
    <t>Polynomial (MJ)</t>
  </si>
  <si>
    <t>m(air) (kg/mol)</t>
  </si>
  <si>
    <t>m(fuel) (kg/mol)</t>
  </si>
  <si>
    <t xml:space="preserve">Oxygen </t>
  </si>
  <si>
    <t xml:space="preserve">Air </t>
  </si>
  <si>
    <t xml:space="preserve"> Net Enthalpy (MJ)</t>
  </si>
  <si>
    <t>Initial Flame temp (K)</t>
  </si>
  <si>
    <t>Constant initial flame temp (K)</t>
  </si>
  <si>
    <t>PPM with 40% volumetric efficiency @ EGR% Goal Seek</t>
  </si>
  <si>
    <t>PPM with 40% volumetric efficiency @ EGR% Simulation</t>
  </si>
  <si>
    <t>Nox (mol/cm3)</t>
  </si>
  <si>
    <t>Nox (kmols/m3)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</si>
</sst>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00"/>
    <numFmt numFmtId="167" formatCode="0.000000E+00"/>
  </numFmts>
  <fonts count="1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5" tint="0.79998168889431442"/>
        <bgColor indexed="65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indexed="64"/>
      </bottom>
      <diagonal/>
    </border>
    <border>
      <left/>
      <right/>
      <top style="thin">
        <color rgb="FF3F3F3F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indexed="64"/>
      </bottom>
      <diagonal/>
    </border>
    <border>
      <left/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indexed="64"/>
      </left>
      <right style="thin">
        <color rgb="FFB2B2B2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4" fillId="2" borderId="8" applyNumberFormat="0" applyAlignment="0" applyProtection="0"/>
    <xf numFmtId="0" fontId="3" fillId="3" borderId="9" applyNumberFormat="0" applyFont="0" applyAlignment="0" applyProtection="0"/>
    <xf numFmtId="0" fontId="3" fillId="4" borderId="0" applyNumberFormat="0" applyBorder="0" applyAlignment="0" applyProtection="0"/>
    <xf numFmtId="0" fontId="13" fillId="0" borderId="26" applyNumberFormat="0" applyFill="0" applyAlignment="0" applyProtection="0"/>
  </cellStyleXfs>
  <cellXfs count="145">
    <xf numFmtId="0" fontId="0" fillId="0" borderId="0" xfId="0"/>
    <xf numFmtId="0" fontId="0" fillId="0" borderId="0" xfId="0" applyBorder="1"/>
    <xf numFmtId="0" fontId="1" fillId="0" borderId="3" xfId="0" applyFont="1" applyBorder="1"/>
    <xf numFmtId="0" fontId="2" fillId="0" borderId="0" xfId="1"/>
    <xf numFmtId="0" fontId="4" fillId="2" borderId="8" xfId="2"/>
    <xf numFmtId="0" fontId="6" fillId="2" borderId="8" xfId="2" applyFont="1"/>
    <xf numFmtId="0" fontId="5" fillId="0" borderId="0" xfId="0" applyFont="1"/>
    <xf numFmtId="0" fontId="4" fillId="2" borderId="8" xfId="2" applyAlignment="1">
      <alignment horizontal="center" vertical="center"/>
    </xf>
    <xf numFmtId="0" fontId="0" fillId="0" borderId="0" xfId="0" applyFont="1"/>
    <xf numFmtId="0" fontId="2" fillId="0" borderId="0" xfId="1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 applyAlignment="1">
      <alignment horizontal="left"/>
    </xf>
    <xf numFmtId="0" fontId="0" fillId="0" borderId="0" xfId="0" applyFont="1" applyBorder="1"/>
    <xf numFmtId="0" fontId="0" fillId="0" borderId="4" xfId="0" applyFont="1" applyBorder="1"/>
    <xf numFmtId="0" fontId="0" fillId="0" borderId="3" xfId="0" applyFont="1" applyBorder="1"/>
    <xf numFmtId="0" fontId="0" fillId="0" borderId="5" xfId="0" applyFont="1" applyBorder="1"/>
    <xf numFmtId="0" fontId="0" fillId="0" borderId="6" xfId="0" applyFont="1" applyBorder="1"/>
    <xf numFmtId="0" fontId="0" fillId="0" borderId="7" xfId="0" applyFont="1" applyBorder="1"/>
    <xf numFmtId="0" fontId="0" fillId="0" borderId="0" xfId="0" applyFont="1" applyAlignment="1">
      <alignment horizontal="left"/>
    </xf>
    <xf numFmtId="0" fontId="10" fillId="0" borderId="0" xfId="0" applyFont="1"/>
    <xf numFmtId="0" fontId="4" fillId="2" borderId="10" xfId="2" applyBorder="1" applyAlignment="1">
      <alignment horizontal="center" vertical="center" wrapText="1"/>
    </xf>
    <xf numFmtId="0" fontId="6" fillId="2" borderId="11" xfId="2" applyFont="1" applyBorder="1" applyAlignment="1">
      <alignment horizontal="center"/>
    </xf>
    <xf numFmtId="0" fontId="4" fillId="2" borderId="10" xfId="2" applyBorder="1"/>
    <xf numFmtId="16" fontId="0" fillId="0" borderId="0" xfId="0" applyNumberFormat="1" applyFont="1" applyBorder="1"/>
    <xf numFmtId="166" fontId="6" fillId="2" borderId="8" xfId="2" applyNumberFormat="1" applyFont="1"/>
    <xf numFmtId="0" fontId="0" fillId="0" borderId="0" xfId="0" applyAlignment="1">
      <alignment horizontal="center"/>
    </xf>
    <xf numFmtId="0" fontId="4" fillId="2" borderId="10" xfId="2" applyBorder="1" applyAlignment="1">
      <alignment horizontal="center"/>
    </xf>
    <xf numFmtId="0" fontId="4" fillId="2" borderId="8" xfId="2" applyAlignment="1">
      <alignment horizontal="center"/>
    </xf>
    <xf numFmtId="0" fontId="4" fillId="2" borderId="10" xfId="2" applyFont="1" applyBorder="1" applyAlignment="1">
      <alignment horizontal="center"/>
    </xf>
    <xf numFmtId="0" fontId="4" fillId="2" borderId="11" xfId="2" applyBorder="1" applyAlignment="1">
      <alignment horizontal="center"/>
    </xf>
    <xf numFmtId="0" fontId="4" fillId="2" borderId="11" xfId="2" applyBorder="1"/>
    <xf numFmtId="0" fontId="6" fillId="2" borderId="12" xfId="2" applyFont="1" applyBorder="1" applyAlignment="1">
      <alignment horizontal="center"/>
    </xf>
    <xf numFmtId="0" fontId="6" fillId="2" borderId="10" xfId="2" applyFont="1" applyBorder="1" applyAlignment="1">
      <alignment horizontal="center"/>
    </xf>
    <xf numFmtId="10" fontId="0" fillId="0" borderId="0" xfId="0" applyNumberFormat="1"/>
    <xf numFmtId="9" fontId="6" fillId="2" borderId="11" xfId="2" applyNumberFormat="1" applyFont="1" applyBorder="1" applyAlignment="1">
      <alignment horizontal="center"/>
    </xf>
    <xf numFmtId="0" fontId="4" fillId="2" borderId="8" xfId="2" applyAlignment="1">
      <alignment horizontal="center"/>
    </xf>
    <xf numFmtId="0" fontId="3" fillId="4" borderId="10" xfId="4" applyBorder="1"/>
    <xf numFmtId="0" fontId="6" fillId="2" borderId="21" xfId="2" applyFont="1" applyBorder="1" applyAlignment="1">
      <alignment horizontal="center"/>
    </xf>
    <xf numFmtId="0" fontId="6" fillId="2" borderId="22" xfId="2" applyFont="1" applyBorder="1" applyAlignment="1">
      <alignment horizontal="center"/>
    </xf>
    <xf numFmtId="0" fontId="4" fillId="2" borderId="23" xfId="2" applyBorder="1"/>
    <xf numFmtId="10" fontId="4" fillId="2" borderId="11" xfId="2" applyNumberFormat="1" applyBorder="1"/>
    <xf numFmtId="0" fontId="3" fillId="4" borderId="10" xfId="4" applyBorder="1" applyAlignment="1">
      <alignment horizontal="center"/>
    </xf>
    <xf numFmtId="0" fontId="0" fillId="4" borderId="10" xfId="4" applyFont="1" applyBorder="1" applyAlignment="1">
      <alignment horizontal="center"/>
    </xf>
    <xf numFmtId="2" fontId="3" fillId="4" borderId="10" xfId="4" applyNumberFormat="1" applyBorder="1"/>
    <xf numFmtId="0" fontId="4" fillId="2" borderId="12" xfId="2" applyBorder="1" applyAlignment="1">
      <alignment horizontal="center"/>
    </xf>
    <xf numFmtId="0" fontId="4" fillId="2" borderId="21" xfId="2" applyBorder="1" applyAlignment="1">
      <alignment horizontal="center"/>
    </xf>
    <xf numFmtId="0" fontId="3" fillId="4" borderId="10" xfId="4" applyBorder="1" applyAlignment="1">
      <alignment horizontal="center" vertical="center" wrapText="1"/>
    </xf>
    <xf numFmtId="0" fontId="4" fillId="2" borderId="8" xfId="2" applyAlignment="1">
      <alignment horizontal="center"/>
    </xf>
    <xf numFmtId="0" fontId="2" fillId="0" borderId="0" xfId="1"/>
    <xf numFmtId="167" fontId="3" fillId="4" borderId="10" xfId="4" applyNumberFormat="1" applyBorder="1"/>
    <xf numFmtId="0" fontId="4" fillId="2" borderId="10" xfId="2" applyBorder="1" applyAlignment="1">
      <alignment horizontal="left"/>
    </xf>
    <xf numFmtId="0" fontId="4" fillId="2" borderId="8" xfId="2" applyAlignment="1">
      <alignment horizontal="center"/>
    </xf>
    <xf numFmtId="0" fontId="4" fillId="2" borderId="10" xfId="2" applyBorder="1" applyAlignment="1">
      <alignment horizontal="center"/>
    </xf>
    <xf numFmtId="0" fontId="2" fillId="0" borderId="0" xfId="1"/>
    <xf numFmtId="10" fontId="3" fillId="4" borderId="10" xfId="4" applyNumberFormat="1" applyBorder="1"/>
    <xf numFmtId="0" fontId="4" fillId="2" borderId="12" xfId="2" applyBorder="1"/>
    <xf numFmtId="0" fontId="4" fillId="3" borderId="9" xfId="3" applyFont="1" applyAlignment="1">
      <alignment horizontal="center"/>
    </xf>
    <xf numFmtId="0" fontId="4" fillId="2" borderId="8" xfId="2" applyAlignment="1">
      <alignment horizontal="center"/>
    </xf>
    <xf numFmtId="0" fontId="2" fillId="0" borderId="0" xfId="1"/>
    <xf numFmtId="0" fontId="4" fillId="2" borderId="24" xfId="2" applyBorder="1" applyAlignment="1">
      <alignment horizontal="center"/>
    </xf>
    <xf numFmtId="0" fontId="3" fillId="4" borderId="10" xfId="4" applyBorder="1" applyAlignment="1">
      <alignment horizontal="right"/>
    </xf>
    <xf numFmtId="0" fontId="3" fillId="4" borderId="8" xfId="4" applyBorder="1"/>
    <xf numFmtId="0" fontId="3" fillId="4" borderId="11" xfId="4" applyBorder="1"/>
    <xf numFmtId="165" fontId="3" fillId="4" borderId="10" xfId="4" applyNumberFormat="1" applyBorder="1"/>
    <xf numFmtId="164" fontId="3" fillId="4" borderId="13" xfId="4" applyNumberFormat="1" applyBorder="1"/>
    <xf numFmtId="0" fontId="3" fillId="4" borderId="10" xfId="4" applyBorder="1" applyAlignment="1">
      <alignment horizontal="right" vertical="center" wrapText="1"/>
    </xf>
    <xf numFmtId="164" fontId="3" fillId="4" borderId="10" xfId="4" applyNumberFormat="1" applyBorder="1"/>
    <xf numFmtId="0" fontId="12" fillId="4" borderId="10" xfId="4" applyFont="1" applyBorder="1"/>
    <xf numFmtId="0" fontId="4" fillId="2" borderId="8" xfId="2" applyAlignment="1">
      <alignment horizontal="right"/>
    </xf>
    <xf numFmtId="0" fontId="0" fillId="0" borderId="0" xfId="0" applyFont="1" applyBorder="1" applyAlignment="1">
      <alignment horizontal="center"/>
    </xf>
    <xf numFmtId="0" fontId="4" fillId="2" borderId="8" xfId="2" applyAlignment="1">
      <alignment horizontal="center"/>
    </xf>
    <xf numFmtId="0" fontId="2" fillId="0" borderId="0" xfId="1"/>
    <xf numFmtId="0" fontId="4" fillId="2" borderId="23" xfId="2" applyBorder="1" applyAlignment="1">
      <alignment horizontal="center"/>
    </xf>
    <xf numFmtId="0" fontId="3" fillId="4" borderId="10" xfId="4" applyBorder="1" applyAlignment="1">
      <alignment horizontal="center"/>
    </xf>
    <xf numFmtId="0" fontId="4" fillId="2" borderId="10" xfId="2" applyBorder="1" applyAlignment="1">
      <alignment horizontal="center"/>
    </xf>
    <xf numFmtId="0" fontId="2" fillId="0" borderId="0" xfId="1"/>
    <xf numFmtId="0" fontId="4" fillId="2" borderId="8" xfId="2" applyAlignment="1">
      <alignment horizontal="left"/>
    </xf>
    <xf numFmtId="0" fontId="13" fillId="0" borderId="26" xfId="5" applyAlignment="1">
      <alignment horizontal="center"/>
    </xf>
    <xf numFmtId="0" fontId="4" fillId="2" borderId="8" xfId="2" applyFont="1" applyAlignment="1">
      <alignment horizontal="left"/>
    </xf>
    <xf numFmtId="0" fontId="4" fillId="2" borderId="23" xfId="2" applyBorder="1" applyAlignment="1">
      <alignment horizontal="left"/>
    </xf>
    <xf numFmtId="0" fontId="0" fillId="0" borderId="0" xfId="0" applyFont="1" applyBorder="1" applyAlignment="1"/>
    <xf numFmtId="0" fontId="2" fillId="0" borderId="0" xfId="1" applyAlignment="1"/>
    <xf numFmtId="0" fontId="3" fillId="4" borderId="13" xfId="4" applyBorder="1" applyAlignment="1">
      <alignment horizontal="center"/>
    </xf>
    <xf numFmtId="0" fontId="3" fillId="4" borderId="22" xfId="4" applyBorder="1"/>
    <xf numFmtId="0" fontId="4" fillId="2" borderId="29" xfId="2" applyBorder="1" applyAlignment="1">
      <alignment horizontal="left"/>
    </xf>
    <xf numFmtId="0" fontId="4" fillId="2" borderId="8" xfId="2" applyBorder="1"/>
    <xf numFmtId="0" fontId="4" fillId="2" borderId="30" xfId="2" applyBorder="1" applyAlignment="1">
      <alignment horizontal="center"/>
    </xf>
    <xf numFmtId="0" fontId="3" fillId="4" borderId="14" xfId="4" applyBorder="1" applyAlignment="1"/>
    <xf numFmtId="0" fontId="3" fillId="4" borderId="15" xfId="4" applyBorder="1" applyAlignment="1"/>
    <xf numFmtId="0" fontId="0" fillId="4" borderId="14" xfId="4" applyFont="1" applyBorder="1" applyAlignment="1"/>
    <xf numFmtId="0" fontId="3" fillId="4" borderId="14" xfId="4" applyBorder="1"/>
    <xf numFmtId="0" fontId="3" fillId="4" borderId="15" xfId="4" applyBorder="1"/>
    <xf numFmtId="0" fontId="4" fillId="2" borderId="31" xfId="2" applyBorder="1" applyAlignment="1">
      <alignment horizontal="center"/>
    </xf>
    <xf numFmtId="0" fontId="11" fillId="3" borderId="10" xfId="3" applyFont="1" applyBorder="1" applyAlignment="1">
      <alignment horizontal="center"/>
    </xf>
    <xf numFmtId="0" fontId="2" fillId="0" borderId="0" xfId="1"/>
    <xf numFmtId="0" fontId="2" fillId="0" borderId="0" xfId="1"/>
    <xf numFmtId="0" fontId="0" fillId="4" borderId="10" xfId="4" applyFont="1" applyBorder="1"/>
    <xf numFmtId="0" fontId="15" fillId="3" borderId="9" xfId="3" applyFont="1"/>
    <xf numFmtId="0" fontId="0" fillId="3" borderId="9" xfId="3" applyFont="1"/>
    <xf numFmtId="0" fontId="6" fillId="2" borderId="17" xfId="2" applyFont="1" applyBorder="1" applyAlignment="1"/>
    <xf numFmtId="0" fontId="6" fillId="2" borderId="18" xfId="2" applyFont="1" applyBorder="1" applyAlignment="1"/>
    <xf numFmtId="0" fontId="4" fillId="2" borderId="10" xfId="2" applyBorder="1" applyAlignment="1">
      <alignment horizontal="center"/>
    </xf>
    <xf numFmtId="0" fontId="15" fillId="3" borderId="32" xfId="3" applyFont="1" applyBorder="1" applyAlignment="1">
      <alignment horizontal="center"/>
    </xf>
    <xf numFmtId="0" fontId="15" fillId="3" borderId="33" xfId="3" applyFont="1" applyBorder="1" applyAlignment="1">
      <alignment horizontal="center"/>
    </xf>
    <xf numFmtId="0" fontId="4" fillId="2" borderId="8" xfId="2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4" fillId="2" borderId="30" xfId="2" applyBorder="1" applyAlignment="1">
      <alignment horizontal="center"/>
    </xf>
    <xf numFmtId="0" fontId="4" fillId="2" borderId="27" xfId="2" applyBorder="1" applyAlignment="1">
      <alignment horizontal="center"/>
    </xf>
    <xf numFmtId="0" fontId="4" fillId="2" borderId="28" xfId="2" applyBorder="1" applyAlignment="1">
      <alignment horizontal="center"/>
    </xf>
    <xf numFmtId="0" fontId="3" fillId="4" borderId="13" xfId="4" applyBorder="1" applyAlignment="1">
      <alignment horizontal="center"/>
    </xf>
    <xf numFmtId="0" fontId="3" fillId="4" borderId="15" xfId="4" applyBorder="1" applyAlignment="1">
      <alignment horizontal="center"/>
    </xf>
    <xf numFmtId="0" fontId="3" fillId="4" borderId="10" xfId="4" applyBorder="1" applyAlignment="1">
      <alignment horizontal="center"/>
    </xf>
    <xf numFmtId="0" fontId="3" fillId="4" borderId="13" xfId="4" applyBorder="1"/>
    <xf numFmtId="0" fontId="3" fillId="4" borderId="14" xfId="4" applyBorder="1"/>
    <xf numFmtId="0" fontId="3" fillId="4" borderId="13" xfId="4" applyBorder="1" applyAlignment="1">
      <alignment horizontal="right"/>
    </xf>
    <xf numFmtId="0" fontId="3" fillId="4" borderId="14" xfId="4" applyBorder="1" applyAlignment="1">
      <alignment horizontal="right"/>
    </xf>
    <xf numFmtId="0" fontId="4" fillId="2" borderId="13" xfId="2" applyBorder="1" applyAlignment="1">
      <alignment horizontal="center"/>
    </xf>
    <xf numFmtId="0" fontId="4" fillId="2" borderId="14" xfId="2" applyBorder="1" applyAlignment="1">
      <alignment horizontal="center"/>
    </xf>
    <xf numFmtId="0" fontId="4" fillId="2" borderId="15" xfId="2" applyBorder="1" applyAlignment="1">
      <alignment horizontal="center"/>
    </xf>
    <xf numFmtId="0" fontId="4" fillId="2" borderId="23" xfId="2" applyBorder="1" applyAlignment="1">
      <alignment horizontal="center"/>
    </xf>
    <xf numFmtId="0" fontId="4" fillId="2" borderId="25" xfId="2" applyBorder="1" applyAlignment="1">
      <alignment horizontal="center"/>
    </xf>
    <xf numFmtId="0" fontId="3" fillId="4" borderId="15" xfId="4" applyBorder="1"/>
    <xf numFmtId="0" fontId="3" fillId="4" borderId="5" xfId="4" applyBorder="1" applyAlignment="1">
      <alignment horizontal="center"/>
    </xf>
    <xf numFmtId="0" fontId="3" fillId="4" borderId="7" xfId="4" applyBorder="1" applyAlignment="1">
      <alignment horizontal="center"/>
    </xf>
    <xf numFmtId="0" fontId="4" fillId="2" borderId="11" xfId="2" applyBorder="1" applyAlignment="1">
      <alignment horizontal="center"/>
    </xf>
    <xf numFmtId="0" fontId="3" fillId="4" borderId="22" xfId="4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4" borderId="10" xfId="4" applyFont="1" applyBorder="1" applyAlignment="1">
      <alignment horizontal="center"/>
    </xf>
    <xf numFmtId="0" fontId="4" fillId="2" borderId="10" xfId="2" applyBorder="1" applyAlignment="1">
      <alignment horizontal="left"/>
    </xf>
    <xf numFmtId="0" fontId="2" fillId="0" borderId="0" xfId="1"/>
    <xf numFmtId="0" fontId="5" fillId="0" borderId="0" xfId="0" applyFont="1" applyAlignment="1">
      <alignment horizontal="center"/>
    </xf>
    <xf numFmtId="0" fontId="6" fillId="2" borderId="16" xfId="2" applyFont="1" applyBorder="1" applyAlignment="1">
      <alignment horizontal="center"/>
    </xf>
    <xf numFmtId="0" fontId="6" fillId="2" borderId="17" xfId="2" applyFont="1" applyBorder="1" applyAlignment="1">
      <alignment horizontal="center"/>
    </xf>
    <xf numFmtId="0" fontId="0" fillId="3" borderId="10" xfId="3" applyFont="1" applyBorder="1" applyAlignment="1">
      <alignment horizontal="left" vertical="top"/>
    </xf>
    <xf numFmtId="10" fontId="4" fillId="2" borderId="8" xfId="2" applyNumberFormat="1" applyAlignment="1">
      <alignment horizontal="center"/>
    </xf>
    <xf numFmtId="0" fontId="0" fillId="3" borderId="10" xfId="3" applyFont="1" applyBorder="1" applyAlignment="1">
      <alignment horizontal="center" vertical="top"/>
    </xf>
    <xf numFmtId="10" fontId="4" fillId="2" borderId="10" xfId="2" applyNumberFormat="1" applyBorder="1" applyAlignment="1">
      <alignment horizontal="center"/>
    </xf>
    <xf numFmtId="10" fontId="4" fillId="2" borderId="13" xfId="2" applyNumberFormat="1" applyBorder="1" applyAlignment="1">
      <alignment horizontal="center"/>
    </xf>
    <xf numFmtId="10" fontId="4" fillId="2" borderId="14" xfId="2" applyNumberFormat="1" applyBorder="1" applyAlignment="1">
      <alignment horizontal="center"/>
    </xf>
    <xf numFmtId="10" fontId="4" fillId="2" borderId="15" xfId="2" applyNumberFormat="1" applyBorder="1" applyAlignment="1">
      <alignment horizontal="center"/>
    </xf>
    <xf numFmtId="10" fontId="4" fillId="2" borderId="12" xfId="2" applyNumberFormat="1" applyBorder="1" applyAlignment="1">
      <alignment horizontal="center"/>
    </xf>
    <xf numFmtId="10" fontId="4" fillId="2" borderId="19" xfId="2" applyNumberFormat="1" applyBorder="1" applyAlignment="1">
      <alignment horizontal="center"/>
    </xf>
    <xf numFmtId="10" fontId="4" fillId="2" borderId="20" xfId="2" applyNumberFormat="1" applyBorder="1" applyAlignment="1">
      <alignment horizontal="center"/>
    </xf>
  </cellXfs>
  <cellStyles count="6">
    <cellStyle name="20% - Accent2" xfId="4" builtinId="34"/>
    <cellStyle name="Linked Cell" xfId="5" builtinId="24"/>
    <cellStyle name="Normal" xfId="0" builtinId="0"/>
    <cellStyle name="Normal 2" xfId="1"/>
    <cellStyle name="Note" xfId="3" builtinId="10"/>
    <cellStyle name="Output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2nd and 6th Order,</a:t>
            </a:r>
            <a:r>
              <a:rPr lang="en-GB" baseline="0"/>
              <a:t> Enthalphy (MJ) vs Flame temp (K)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2nd order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'Goal Seek 2nd order'!$C$11:$C$23</c:f>
              <c:numCache>
                <c:formatCode>0.000</c:formatCode>
                <c:ptCount val="13"/>
                <c:pt idx="0">
                  <c:v>5065.41</c:v>
                </c:pt>
                <c:pt idx="1">
                  <c:v>5014.7559000000001</c:v>
                </c:pt>
                <c:pt idx="2">
                  <c:v>4964.1018000000004</c:v>
                </c:pt>
                <c:pt idx="3">
                  <c:v>4913.4476999999997</c:v>
                </c:pt>
                <c:pt idx="4">
                  <c:v>4862.7935999999991</c:v>
                </c:pt>
                <c:pt idx="5">
                  <c:v>4812.1394999999993</c:v>
                </c:pt>
                <c:pt idx="6">
                  <c:v>4558.8689999999997</c:v>
                </c:pt>
                <c:pt idx="7">
                  <c:v>4305.5985000000001</c:v>
                </c:pt>
                <c:pt idx="8">
                  <c:v>4052.328</c:v>
                </c:pt>
                <c:pt idx="9">
                  <c:v>3799.0574999999999</c:v>
                </c:pt>
                <c:pt idx="10">
                  <c:v>3545.7869999999998</c:v>
                </c:pt>
                <c:pt idx="11">
                  <c:v>3292.5165000000002</c:v>
                </c:pt>
                <c:pt idx="12">
                  <c:v>3039.2459999999996</c:v>
                </c:pt>
              </c:numCache>
            </c:numRef>
          </c:xVal>
          <c:yVal>
            <c:numRef>
              <c:f>'Goal Seek 2nd order'!$K$11:$K$23</c:f>
              <c:numCache>
                <c:formatCode>0.0</c:formatCode>
                <c:ptCount val="13"/>
                <c:pt idx="0">
                  <c:v>2396.2588740000001</c:v>
                </c:pt>
                <c:pt idx="1">
                  <c:v>2380.7792420000001</c:v>
                </c:pt>
                <c:pt idx="2">
                  <c:v>2349.5691459999998</c:v>
                </c:pt>
                <c:pt idx="3">
                  <c:v>2340.6895100000002</c:v>
                </c:pt>
                <c:pt idx="4">
                  <c:v>2333.837403</c:v>
                </c:pt>
                <c:pt idx="5">
                  <c:v>2318.0203670000001</c:v>
                </c:pt>
                <c:pt idx="6">
                  <c:v>2237.6327339999998</c:v>
                </c:pt>
                <c:pt idx="7">
                  <c:v>2155.0143659999999</c:v>
                </c:pt>
                <c:pt idx="8">
                  <c:v>2070.0783470000001</c:v>
                </c:pt>
                <c:pt idx="9">
                  <c:v>1982.735494</c:v>
                </c:pt>
                <c:pt idx="10">
                  <c:v>1892.8910900000001</c:v>
                </c:pt>
                <c:pt idx="11">
                  <c:v>1800.4479200000001</c:v>
                </c:pt>
                <c:pt idx="12">
                  <c:v>1705.3029160000001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2FB-416C-8A4F-1D3481CCA9EB}"/>
            </c:ext>
          </c:extLst>
        </c:ser>
        <c:ser>
          <c:idx val="1"/>
          <c:order val="1"/>
          <c:tx>
            <c:v>6th order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'Goal Seek 6th order'!$C$11:$C$23</c:f>
              <c:numCache>
                <c:formatCode>0.000</c:formatCode>
                <c:ptCount val="13"/>
                <c:pt idx="0">
                  <c:v>5065.41</c:v>
                </c:pt>
                <c:pt idx="1">
                  <c:v>5014.7559000000001</c:v>
                </c:pt>
                <c:pt idx="2">
                  <c:v>4964.1018000000004</c:v>
                </c:pt>
                <c:pt idx="3">
                  <c:v>4913.4476999999997</c:v>
                </c:pt>
                <c:pt idx="4">
                  <c:v>4862.7935999999991</c:v>
                </c:pt>
                <c:pt idx="5">
                  <c:v>4812.1394999999993</c:v>
                </c:pt>
                <c:pt idx="6">
                  <c:v>4558.8689999999997</c:v>
                </c:pt>
                <c:pt idx="7">
                  <c:v>4305.5985000000001</c:v>
                </c:pt>
                <c:pt idx="8">
                  <c:v>4052.328</c:v>
                </c:pt>
                <c:pt idx="9">
                  <c:v>3799.0574999999999</c:v>
                </c:pt>
                <c:pt idx="10">
                  <c:v>3545.7869999999998</c:v>
                </c:pt>
                <c:pt idx="11">
                  <c:v>3292.5165000000002</c:v>
                </c:pt>
                <c:pt idx="12">
                  <c:v>3039.2459999999996</c:v>
                </c:pt>
              </c:numCache>
            </c:numRef>
          </c:xVal>
          <c:yVal>
            <c:numRef>
              <c:f>'Goal Seek 6th order'!$L$11:$L$23</c:f>
              <c:numCache>
                <c:formatCode>0.0</c:formatCode>
                <c:ptCount val="13"/>
                <c:pt idx="0">
                  <c:v>2385.7566740000002</c:v>
                </c:pt>
                <c:pt idx="1">
                  <c:v>2369.8936779999999</c:v>
                </c:pt>
                <c:pt idx="2">
                  <c:v>2353.976525</c:v>
                </c:pt>
                <c:pt idx="3">
                  <c:v>2338.0392200000001</c:v>
                </c:pt>
                <c:pt idx="4">
                  <c:v>2321.974588</c:v>
                </c:pt>
                <c:pt idx="5">
                  <c:v>2305.8872550000001</c:v>
                </c:pt>
                <c:pt idx="6">
                  <c:v>2224.537323</c:v>
                </c:pt>
                <c:pt idx="7">
                  <c:v>2141.557898</c:v>
                </c:pt>
                <c:pt idx="8">
                  <c:v>2056.806055</c:v>
                </c:pt>
                <c:pt idx="9">
                  <c:v>1970.1445040000001</c:v>
                </c:pt>
                <c:pt idx="10">
                  <c:v>1881.434573</c:v>
                </c:pt>
                <c:pt idx="11">
                  <c:v>1790.534723</c:v>
                </c:pt>
                <c:pt idx="12">
                  <c:v>1687.1130169999999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2FB-416C-8A4F-1D3481CCA9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3030640"/>
        <c:axId val="313028288"/>
      </c:scatterChart>
      <c:valAx>
        <c:axId val="313030640"/>
        <c:scaling>
          <c:orientation val="minMax"/>
          <c:max val="5250"/>
          <c:min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3028288"/>
        <c:crosses val="autoZero"/>
        <c:crossBetween val="midCat"/>
      </c:valAx>
      <c:valAx>
        <c:axId val="313028288"/>
        <c:scaling>
          <c:orientation val="minMax"/>
          <c:min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Flame Temp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30306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6th Order,</a:t>
            </a:r>
            <a:r>
              <a:rPr lang="en-GB" baseline="0"/>
              <a:t> Enthalphy (MJ) vs Flame temp (K)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1"/>
          <c:tx>
            <c:v>6th order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'Goal Seek 6th order'!$C$11:$C$23</c:f>
              <c:numCache>
                <c:formatCode>0.000</c:formatCode>
                <c:ptCount val="13"/>
                <c:pt idx="0">
                  <c:v>5065.41</c:v>
                </c:pt>
                <c:pt idx="1">
                  <c:v>5014.7559000000001</c:v>
                </c:pt>
                <c:pt idx="2">
                  <c:v>4964.1018000000004</c:v>
                </c:pt>
                <c:pt idx="3">
                  <c:v>4913.4476999999997</c:v>
                </c:pt>
                <c:pt idx="4">
                  <c:v>4862.7935999999991</c:v>
                </c:pt>
                <c:pt idx="5">
                  <c:v>4812.1394999999993</c:v>
                </c:pt>
                <c:pt idx="6">
                  <c:v>4558.8689999999997</c:v>
                </c:pt>
                <c:pt idx="7">
                  <c:v>4305.5985000000001</c:v>
                </c:pt>
                <c:pt idx="8">
                  <c:v>4052.328</c:v>
                </c:pt>
                <c:pt idx="9">
                  <c:v>3799.0574999999999</c:v>
                </c:pt>
                <c:pt idx="10">
                  <c:v>3545.7869999999998</c:v>
                </c:pt>
                <c:pt idx="11">
                  <c:v>3292.5165000000002</c:v>
                </c:pt>
                <c:pt idx="12">
                  <c:v>3039.2459999999996</c:v>
                </c:pt>
              </c:numCache>
            </c:numRef>
          </c:xVal>
          <c:yVal>
            <c:numRef>
              <c:f>'Goal Seek 6th order'!$L$11:$L$23</c:f>
              <c:numCache>
                <c:formatCode>0.0</c:formatCode>
                <c:ptCount val="13"/>
                <c:pt idx="0">
                  <c:v>2385.7566740000002</c:v>
                </c:pt>
                <c:pt idx="1">
                  <c:v>2369.8936779999999</c:v>
                </c:pt>
                <c:pt idx="2">
                  <c:v>2353.976525</c:v>
                </c:pt>
                <c:pt idx="3">
                  <c:v>2338.0392200000001</c:v>
                </c:pt>
                <c:pt idx="4">
                  <c:v>2321.974588</c:v>
                </c:pt>
                <c:pt idx="5">
                  <c:v>2305.8872550000001</c:v>
                </c:pt>
                <c:pt idx="6">
                  <c:v>2224.537323</c:v>
                </c:pt>
                <c:pt idx="7">
                  <c:v>2141.557898</c:v>
                </c:pt>
                <c:pt idx="8">
                  <c:v>2056.806055</c:v>
                </c:pt>
                <c:pt idx="9">
                  <c:v>1970.1445040000001</c:v>
                </c:pt>
                <c:pt idx="10">
                  <c:v>1881.434573</c:v>
                </c:pt>
                <c:pt idx="11">
                  <c:v>1790.534723</c:v>
                </c:pt>
                <c:pt idx="12">
                  <c:v>1687.1130169999999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635-41CD-B981-1B32CEE547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3028680"/>
        <c:axId val="313027504"/>
        <c:extLst xmlns:c16r2="http://schemas.microsoft.com/office/drawing/2015/06/chart"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2nd order</c:v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x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'Goal Seek 2nd order'!$C$11:$C$23</c15:sqref>
                        </c15:formulaRef>
                      </c:ext>
                    </c:extLst>
                    <c:numCache>
                      <c:formatCode>0.000</c:formatCode>
                      <c:ptCount val="13"/>
                      <c:pt idx="0">
                        <c:v>5065.41</c:v>
                      </c:pt>
                      <c:pt idx="1">
                        <c:v>5014.7559000000001</c:v>
                      </c:pt>
                      <c:pt idx="2">
                        <c:v>4964.1018000000004</c:v>
                      </c:pt>
                      <c:pt idx="3">
                        <c:v>4913.4476999999997</c:v>
                      </c:pt>
                      <c:pt idx="4">
                        <c:v>4862.7935999999991</c:v>
                      </c:pt>
                      <c:pt idx="5">
                        <c:v>4812.1394999999993</c:v>
                      </c:pt>
                      <c:pt idx="6">
                        <c:v>4558.8689999999997</c:v>
                      </c:pt>
                      <c:pt idx="7">
                        <c:v>4305.5985000000001</c:v>
                      </c:pt>
                      <c:pt idx="8">
                        <c:v>4052.328</c:v>
                      </c:pt>
                      <c:pt idx="9">
                        <c:v>3799.0574999999999</c:v>
                      </c:pt>
                      <c:pt idx="10">
                        <c:v>3545.7869999999998</c:v>
                      </c:pt>
                      <c:pt idx="11">
                        <c:v>3292.5165000000002</c:v>
                      </c:pt>
                      <c:pt idx="12">
                        <c:v>3039.2459999999996</c:v>
                      </c:pt>
                    </c:numCache>
                  </c:numRef>
                </c:xVal>
                <c:y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'Goal Seek 2nd order'!$K$11:$K$23</c15:sqref>
                        </c15:formulaRef>
                      </c:ext>
                    </c:extLst>
                    <c:numCache>
                      <c:formatCode>0.0</c:formatCode>
                      <c:ptCount val="13"/>
                      <c:pt idx="0">
                        <c:v>2396.2588740000001</c:v>
                      </c:pt>
                      <c:pt idx="1">
                        <c:v>2380.7792420000001</c:v>
                      </c:pt>
                      <c:pt idx="2">
                        <c:v>2349.5691459999998</c:v>
                      </c:pt>
                      <c:pt idx="3">
                        <c:v>2340.6895100000002</c:v>
                      </c:pt>
                      <c:pt idx="4">
                        <c:v>2333.837403</c:v>
                      </c:pt>
                      <c:pt idx="5">
                        <c:v>2318.0203670000001</c:v>
                      </c:pt>
                      <c:pt idx="6">
                        <c:v>2237.6327339999998</c:v>
                      </c:pt>
                      <c:pt idx="7">
                        <c:v>2155.0143659999999</c:v>
                      </c:pt>
                      <c:pt idx="8">
                        <c:v>2070.0783470000001</c:v>
                      </c:pt>
                      <c:pt idx="9">
                        <c:v>1982.735494</c:v>
                      </c:pt>
                      <c:pt idx="10">
                        <c:v>1892.8910900000001</c:v>
                      </c:pt>
                      <c:pt idx="11">
                        <c:v>1800.4479200000001</c:v>
                      </c:pt>
                      <c:pt idx="12">
                        <c:v>1705.3029160000001</c:v>
                      </c:pt>
                    </c:numCache>
                  </c:numRef>
                </c:yVal>
                <c:smooth val="0"/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7635-41CD-B981-1B32CEE54775}"/>
                  </c:ext>
                </c:extLst>
              </c15:ser>
            </c15:filteredScatterSeries>
          </c:ext>
        </c:extLst>
      </c:scatterChart>
      <c:valAx>
        <c:axId val="313028680"/>
        <c:scaling>
          <c:orientation val="minMax"/>
          <c:max val="5250"/>
          <c:min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 (MJ)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3027504"/>
        <c:crosses val="autoZero"/>
        <c:crossBetween val="midCat"/>
      </c:valAx>
      <c:valAx>
        <c:axId val="313027504"/>
        <c:scaling>
          <c:orientation val="minMax"/>
          <c:min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Flame Temp (K)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30286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Effect</a:t>
            </a:r>
            <a:r>
              <a:rPr lang="en-GB" baseline="0"/>
              <a:t> of adding EGR on Nox production for isooctane at 40% Volumetric Efficiency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'Nox Graphs'!$C$3</c:f>
              <c:strCache>
                <c:ptCount val="1"/>
                <c:pt idx="0">
                  <c:v>0.00%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'Nox Graphs'!$B$4:$B$16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'Nox Graphs'!$C$4:$C$16</c:f>
              <c:numCache>
                <c:formatCode>General</c:formatCode>
                <c:ptCount val="13"/>
                <c:pt idx="0">
                  <c:v>0</c:v>
                </c:pt>
                <c:pt idx="1">
                  <c:v>19993.740482036883</c:v>
                </c:pt>
                <c:pt idx="2">
                  <c:v>24046.514288941093</c:v>
                </c:pt>
                <c:pt idx="3">
                  <c:v>24986.096891175293</c:v>
                </c:pt>
                <c:pt idx="4">
                  <c:v>24389.927913861513</c:v>
                </c:pt>
                <c:pt idx="5">
                  <c:v>22992.878493989869</c:v>
                </c:pt>
                <c:pt idx="6">
                  <c:v>13220.220166754832</c:v>
                </c:pt>
                <c:pt idx="7">
                  <c:v>6028.2484346555384</c:v>
                </c:pt>
                <c:pt idx="8">
                  <c:v>2338.3243359300282</c:v>
                </c:pt>
                <c:pt idx="9">
                  <c:v>778.17457378531128</c:v>
                </c:pt>
                <c:pt idx="10">
                  <c:v>219.83365695815331</c:v>
                </c:pt>
                <c:pt idx="11">
                  <c:v>51.572248472555742</c:v>
                </c:pt>
                <c:pt idx="12">
                  <c:v>7.9520033138841857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762-480B-B4A4-6F509B932413}"/>
            </c:ext>
          </c:extLst>
        </c:ser>
        <c:ser>
          <c:idx val="1"/>
          <c:order val="1"/>
          <c:tx>
            <c:strRef>
              <c:f>'Nox Graphs'!$D$3</c:f>
              <c:strCache>
                <c:ptCount val="1"/>
                <c:pt idx="0">
                  <c:v>5.00%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'Nox Graphs'!$B$4:$B$16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'Nox Graphs'!$D$4:$D$16</c:f>
              <c:numCache>
                <c:formatCode>General</c:formatCode>
                <c:ptCount val="13"/>
                <c:pt idx="0">
                  <c:v>0</c:v>
                </c:pt>
                <c:pt idx="1">
                  <c:v>8096.9460710466465</c:v>
                </c:pt>
                <c:pt idx="2">
                  <c:v>9702.2222892530735</c:v>
                </c:pt>
                <c:pt idx="3">
                  <c:v>10046.288871288503</c:v>
                </c:pt>
                <c:pt idx="4">
                  <c:v>9775.7102372451391</c:v>
                </c:pt>
                <c:pt idx="5">
                  <c:v>9182.6612105315762</c:v>
                </c:pt>
                <c:pt idx="6">
                  <c:v>5179.569106012148</c:v>
                </c:pt>
                <c:pt idx="7">
                  <c:v>2312.3083761117459</c:v>
                </c:pt>
                <c:pt idx="8">
                  <c:v>876.21595073561684</c:v>
                </c:pt>
                <c:pt idx="9">
                  <c:v>284.17760930440579</c:v>
                </c:pt>
                <c:pt idx="10">
                  <c:v>78.024951386838652</c:v>
                </c:pt>
                <c:pt idx="11">
                  <c:v>17.734640580749538</c:v>
                </c:pt>
                <c:pt idx="12">
                  <c:v>3.2285157744388626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9762-480B-B4A4-6F509B932413}"/>
            </c:ext>
          </c:extLst>
        </c:ser>
        <c:ser>
          <c:idx val="2"/>
          <c:order val="2"/>
          <c:tx>
            <c:strRef>
              <c:f>'Nox Graphs'!$E$3</c:f>
              <c:strCache>
                <c:ptCount val="1"/>
                <c:pt idx="0">
                  <c:v>10.00%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'Nox Graphs'!$B$4:$B$16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'Nox Graphs'!$E$4:$E$16</c:f>
              <c:numCache>
                <c:formatCode>General</c:formatCode>
                <c:ptCount val="13"/>
                <c:pt idx="0">
                  <c:v>0</c:v>
                </c:pt>
                <c:pt idx="1">
                  <c:v>3363.5095197348446</c:v>
                </c:pt>
                <c:pt idx="2">
                  <c:v>4017.9175107862102</c:v>
                </c:pt>
                <c:pt idx="3">
                  <c:v>4144.5274185162834</c:v>
                </c:pt>
                <c:pt idx="4">
                  <c:v>4018.5717126332893</c:v>
                </c:pt>
                <c:pt idx="5">
                  <c:v>3761.106848864988</c:v>
                </c:pt>
                <c:pt idx="6">
                  <c:v>2081.0996331305696</c:v>
                </c:pt>
                <c:pt idx="7">
                  <c:v>909.6405845462217</c:v>
                </c:pt>
                <c:pt idx="8">
                  <c:v>336.79134917413637</c:v>
                </c:pt>
                <c:pt idx="9">
                  <c:v>106.47795067580186</c:v>
                </c:pt>
                <c:pt idx="10">
                  <c:v>28.423618121169046</c:v>
                </c:pt>
                <c:pt idx="11">
                  <c:v>6.2621115703412586</c:v>
                </c:pt>
                <c:pt idx="12">
                  <c:v>1.1010320210327869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9762-480B-B4A4-6F509B932413}"/>
            </c:ext>
          </c:extLst>
        </c:ser>
        <c:ser>
          <c:idx val="3"/>
          <c:order val="3"/>
          <c:tx>
            <c:strRef>
              <c:f>'Nox Graphs'!$F$3</c:f>
              <c:strCache>
                <c:ptCount val="1"/>
                <c:pt idx="0">
                  <c:v>15.00%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'Nox Graphs'!$B$4:$B$16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'Nox Graphs'!$F$4:$F$16</c:f>
              <c:numCache>
                <c:formatCode>General</c:formatCode>
                <c:ptCount val="13"/>
                <c:pt idx="0">
                  <c:v>0</c:v>
                </c:pt>
                <c:pt idx="1">
                  <c:v>1414.4928670716349</c:v>
                </c:pt>
                <c:pt idx="2">
                  <c:v>1684.056161518087</c:v>
                </c:pt>
                <c:pt idx="3">
                  <c:v>1731.2132134887277</c:v>
                </c:pt>
                <c:pt idx="4">
                  <c:v>1672.7822274783548</c:v>
                </c:pt>
                <c:pt idx="5">
                  <c:v>1560.0814166945061</c:v>
                </c:pt>
                <c:pt idx="6">
                  <c:v>847.23707278678819</c:v>
                </c:pt>
                <c:pt idx="7">
                  <c:v>362.81497964706728</c:v>
                </c:pt>
                <c:pt idx="8">
                  <c:v>131.3445468000231</c:v>
                </c:pt>
                <c:pt idx="9">
                  <c:v>40.511438520465148</c:v>
                </c:pt>
                <c:pt idx="10">
                  <c:v>10.523350058323867</c:v>
                </c:pt>
                <c:pt idx="11">
                  <c:v>2.249393628736275</c:v>
                </c:pt>
                <c:pt idx="12">
                  <c:v>0.38238877149160722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9762-480B-B4A4-6F509B932413}"/>
            </c:ext>
          </c:extLst>
        </c:ser>
        <c:ser>
          <c:idx val="4"/>
          <c:order val="4"/>
          <c:tx>
            <c:strRef>
              <c:f>'Nox Graphs'!$G$3</c:f>
              <c:strCache>
                <c:ptCount val="1"/>
                <c:pt idx="0">
                  <c:v>20.00%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'Nox Graphs'!$B$4:$B$16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'Nox Graphs'!$G$4:$G$16</c:f>
              <c:numCache>
                <c:formatCode>General</c:formatCode>
                <c:ptCount val="13"/>
                <c:pt idx="0">
                  <c:v>0</c:v>
                </c:pt>
                <c:pt idx="1">
                  <c:v>602.12776983675712</c:v>
                </c:pt>
                <c:pt idx="2">
                  <c:v>714.53910929662948</c:v>
                </c:pt>
                <c:pt idx="3">
                  <c:v>732.10896823201517</c:v>
                </c:pt>
                <c:pt idx="4">
                  <c:v>705.00808737130467</c:v>
                </c:pt>
                <c:pt idx="5">
                  <c:v>655.24670342182549</c:v>
                </c:pt>
                <c:pt idx="6">
                  <c:v>349.43013881888243</c:v>
                </c:pt>
                <c:pt idx="7">
                  <c:v>146.68747117892076</c:v>
                </c:pt>
                <c:pt idx="8">
                  <c:v>51.95659694071491</c:v>
                </c:pt>
                <c:pt idx="9">
                  <c:v>15.64538131377771</c:v>
                </c:pt>
                <c:pt idx="10">
                  <c:v>3.9578908091374538</c:v>
                </c:pt>
                <c:pt idx="11">
                  <c:v>0.82153517264283471</c:v>
                </c:pt>
                <c:pt idx="12">
                  <c:v>0.13516136647918081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9762-480B-B4A4-6F509B9324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3939832"/>
        <c:axId val="353935912"/>
      </c:scatterChart>
      <c:valAx>
        <c:axId val="353939832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Equivalence Ratio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935912"/>
        <c:crosses val="autoZero"/>
        <c:crossBetween val="midCat"/>
      </c:valAx>
      <c:valAx>
        <c:axId val="353935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9398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Effect</a:t>
            </a:r>
            <a:r>
              <a:rPr lang="en-GB" baseline="0"/>
              <a:t> of adding EGR on Nox production for isooctane at 40% Volumetric Efficiency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'Nox Graphs'!$C$19</c:f>
              <c:strCache>
                <c:ptCount val="1"/>
                <c:pt idx="0">
                  <c:v>0.00%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'Nox Graphs'!$B$20:$B$32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'Nox Graphs'!$C$20:$C$32</c:f>
              <c:numCache>
                <c:formatCode>General</c:formatCode>
                <c:ptCount val="13"/>
                <c:pt idx="0">
                  <c:v>0</c:v>
                </c:pt>
                <c:pt idx="1">
                  <c:v>19989.005865217216</c:v>
                </c:pt>
                <c:pt idx="2">
                  <c:v>24044.706220980759</c:v>
                </c:pt>
                <c:pt idx="3">
                  <c:v>24972.134414682132</c:v>
                </c:pt>
                <c:pt idx="4">
                  <c:v>24383.467811199935</c:v>
                </c:pt>
                <c:pt idx="5">
                  <c:v>22990.207044419934</c:v>
                </c:pt>
                <c:pt idx="6">
                  <c:v>13216.173660750883</c:v>
                </c:pt>
                <c:pt idx="7">
                  <c:v>6027.0929373854797</c:v>
                </c:pt>
                <c:pt idx="8">
                  <c:v>2337.9121515873408</c:v>
                </c:pt>
                <c:pt idx="9">
                  <c:v>778.12089561471316</c:v>
                </c:pt>
                <c:pt idx="10">
                  <c:v>219.82932524416466</c:v>
                </c:pt>
                <c:pt idx="11">
                  <c:v>51.567728255172398</c:v>
                </c:pt>
                <c:pt idx="12">
                  <c:v>9.7253463048714437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47E-4111-AEE3-C570D1C1AF04}"/>
            </c:ext>
          </c:extLst>
        </c:ser>
        <c:ser>
          <c:idx val="1"/>
          <c:order val="1"/>
          <c:tx>
            <c:strRef>
              <c:f>'Nox Graphs'!$D$19</c:f>
              <c:strCache>
                <c:ptCount val="1"/>
                <c:pt idx="0">
                  <c:v>5.00%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'Nox Graphs'!$B$20:$B$32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'Nox Graphs'!$D$20:$D$32</c:f>
              <c:numCache>
                <c:formatCode>General</c:formatCode>
                <c:ptCount val="13"/>
                <c:pt idx="0">
                  <c:v>0</c:v>
                </c:pt>
                <c:pt idx="1">
                  <c:v>8080.9922960130161</c:v>
                </c:pt>
                <c:pt idx="2">
                  <c:v>9669.4068432933964</c:v>
                </c:pt>
                <c:pt idx="3">
                  <c:v>9993.3148017889744</c:v>
                </c:pt>
                <c:pt idx="4">
                  <c:v>9704.7127364527332</c:v>
                </c:pt>
                <c:pt idx="5">
                  <c:v>9098.8847738658187</c:v>
                </c:pt>
                <c:pt idx="6">
                  <c:v>5084.2591187353501</c:v>
                </c:pt>
                <c:pt idx="7">
                  <c:v>2246.3155951108006</c:v>
                </c:pt>
                <c:pt idx="8">
                  <c:v>842.00405556660712</c:v>
                </c:pt>
                <c:pt idx="9">
                  <c:v>269.79117527253732</c:v>
                </c:pt>
                <c:pt idx="10">
                  <c:v>73.09390391663203</c:v>
                </c:pt>
                <c:pt idx="11">
                  <c:v>16.372208328805989</c:v>
                </c:pt>
                <c:pt idx="12">
                  <c:v>2.9326335857079413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847E-4111-AEE3-C570D1C1AF04}"/>
            </c:ext>
          </c:extLst>
        </c:ser>
        <c:ser>
          <c:idx val="2"/>
          <c:order val="2"/>
          <c:tx>
            <c:strRef>
              <c:f>'Nox Graphs'!$E$19</c:f>
              <c:strCache>
                <c:ptCount val="1"/>
                <c:pt idx="0">
                  <c:v>10.00%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'Nox Graphs'!$B$20:$B$32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'Nox Graphs'!$E$20:$E$32</c:f>
              <c:numCache>
                <c:formatCode>General</c:formatCode>
                <c:ptCount val="13"/>
                <c:pt idx="0">
                  <c:v>0</c:v>
                </c:pt>
                <c:pt idx="1">
                  <c:v>3311.9263972037315</c:v>
                </c:pt>
                <c:pt idx="2">
                  <c:v>3942.3576206292323</c:v>
                </c:pt>
                <c:pt idx="3">
                  <c:v>4052.6330202687668</c:v>
                </c:pt>
                <c:pt idx="4">
                  <c:v>3916.5886980921564</c:v>
                </c:pt>
                <c:pt idx="5">
                  <c:v>3652.8974491684503</c:v>
                </c:pt>
                <c:pt idx="6">
                  <c:v>1984.5756840548129</c:v>
                </c:pt>
                <c:pt idx="7">
                  <c:v>850.82186670027636</c:v>
                </c:pt>
                <c:pt idx="8">
                  <c:v>308.37965569522203</c:v>
                </c:pt>
                <c:pt idx="9">
                  <c:v>95.255825975423861</c:v>
                </c:pt>
                <c:pt idx="10">
                  <c:v>24.787771708502834</c:v>
                </c:pt>
                <c:pt idx="11">
                  <c:v>5.3096167530402107</c:v>
                </c:pt>
                <c:pt idx="12">
                  <c:v>0.90493954761559214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47E-4111-AEE3-C570D1C1AF04}"/>
            </c:ext>
          </c:extLst>
        </c:ser>
        <c:ser>
          <c:idx val="3"/>
          <c:order val="3"/>
          <c:tx>
            <c:strRef>
              <c:f>'Nox Graphs'!$F$19</c:f>
              <c:strCache>
                <c:ptCount val="1"/>
                <c:pt idx="0">
                  <c:v>15.00%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'Nox Graphs'!$B$20:$B$32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'Nox Graphs'!$F$20:$F$32</c:f>
              <c:numCache>
                <c:formatCode>General</c:formatCode>
                <c:ptCount val="13"/>
                <c:pt idx="0">
                  <c:v>0</c:v>
                </c:pt>
                <c:pt idx="1">
                  <c:v>1374.8212571218999</c:v>
                </c:pt>
                <c:pt idx="2">
                  <c:v>1628.9930336336024</c:v>
                </c:pt>
                <c:pt idx="3">
                  <c:v>1666.7135853246807</c:v>
                </c:pt>
                <c:pt idx="4">
                  <c:v>1602.0549534032803</c:v>
                </c:pt>
                <c:pt idx="5">
                  <c:v>1486.5012801136629</c:v>
                </c:pt>
                <c:pt idx="6">
                  <c:v>786.3947093237914</c:v>
                </c:pt>
                <c:pt idx="7">
                  <c:v>327.23691511240656</c:v>
                </c:pt>
                <c:pt idx="8">
                  <c:v>114.83324740139567</c:v>
                </c:pt>
                <c:pt idx="9">
                  <c:v>34.235761356460671</c:v>
                </c:pt>
                <c:pt idx="10">
                  <c:v>8.5678964767551129</c:v>
                </c:pt>
                <c:pt idx="11">
                  <c:v>1.7576277877615207</c:v>
                </c:pt>
                <c:pt idx="12">
                  <c:v>0.28546502400518181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47E-4111-AEE3-C570D1C1AF04}"/>
            </c:ext>
          </c:extLst>
        </c:ser>
        <c:ser>
          <c:idx val="4"/>
          <c:order val="4"/>
          <c:tx>
            <c:strRef>
              <c:f>'Nox Graphs'!$G$19</c:f>
              <c:strCache>
                <c:ptCount val="1"/>
                <c:pt idx="0">
                  <c:v>20.00%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'Nox Graphs'!$B$20:$B$32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'Nox Graphs'!$G$20:$G$32</c:f>
              <c:numCache>
                <c:formatCode>General</c:formatCode>
                <c:ptCount val="13"/>
                <c:pt idx="0">
                  <c:v>0</c:v>
                </c:pt>
                <c:pt idx="1">
                  <c:v>578.40645686030132</c:v>
                </c:pt>
                <c:pt idx="2">
                  <c:v>682.09853245764759</c:v>
                </c:pt>
                <c:pt idx="3">
                  <c:v>694.26073922711691</c:v>
                </c:pt>
                <c:pt idx="4">
                  <c:v>664.21346032066526</c:v>
                </c:pt>
                <c:pt idx="5">
                  <c:v>613.3829761679483</c:v>
                </c:pt>
                <c:pt idx="6">
                  <c:v>315.9991044608646</c:v>
                </c:pt>
                <c:pt idx="7">
                  <c:v>127.78104261894396</c:v>
                </c:pt>
                <c:pt idx="8">
                  <c:v>43.456428664782472</c:v>
                </c:pt>
                <c:pt idx="9">
                  <c:v>12.518548130383961</c:v>
                </c:pt>
                <c:pt idx="10">
                  <c:v>3.0164504100102922</c:v>
                </c:pt>
                <c:pt idx="11">
                  <c:v>0.59339687140969655</c:v>
                </c:pt>
                <c:pt idx="12">
                  <c:v>9.1991029268535279E-2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847E-4111-AEE3-C570D1C1AF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3937480"/>
        <c:axId val="353937872"/>
      </c:scatterChart>
      <c:valAx>
        <c:axId val="353937480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Equivalence Ratio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937872"/>
        <c:crosses val="autoZero"/>
        <c:crossBetween val="midCat"/>
      </c:valAx>
      <c:valAx>
        <c:axId val="353937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9374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PPM</a:t>
            </a:r>
            <a:r>
              <a:rPr lang="en-GB" baseline="0"/>
              <a:t> against fuel equivalence ratio 40% volumetric efficiency through the simulation model.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Isooctane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'Nox Graphs'!$B$20:$B$32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'Nox Graphs'!$C$20:$C$32</c:f>
              <c:numCache>
                <c:formatCode>General</c:formatCode>
                <c:ptCount val="13"/>
                <c:pt idx="0">
                  <c:v>0</c:v>
                </c:pt>
                <c:pt idx="1">
                  <c:v>19989.005865217216</c:v>
                </c:pt>
                <c:pt idx="2">
                  <c:v>24044.706220980759</c:v>
                </c:pt>
                <c:pt idx="3">
                  <c:v>24972.134414682132</c:v>
                </c:pt>
                <c:pt idx="4">
                  <c:v>24383.467811199935</c:v>
                </c:pt>
                <c:pt idx="5">
                  <c:v>22990.207044419934</c:v>
                </c:pt>
                <c:pt idx="6">
                  <c:v>13216.173660750883</c:v>
                </c:pt>
                <c:pt idx="7">
                  <c:v>6027.0929373854797</c:v>
                </c:pt>
                <c:pt idx="8">
                  <c:v>2337.9121515873408</c:v>
                </c:pt>
                <c:pt idx="9">
                  <c:v>778.12089561471316</c:v>
                </c:pt>
                <c:pt idx="10">
                  <c:v>219.82932524416466</c:v>
                </c:pt>
                <c:pt idx="11">
                  <c:v>51.567728255172398</c:v>
                </c:pt>
                <c:pt idx="12">
                  <c:v>9.7253463048714437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6CF-4B05-8A9F-68FF208A84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3939048"/>
        <c:axId val="353941400"/>
      </c:scatterChart>
      <c:valAx>
        <c:axId val="353939048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Equivalence Ratio</a:t>
                </a:r>
              </a:p>
            </c:rich>
          </c:tx>
          <c:layout>
            <c:manualLayout>
              <c:xMode val="edge"/>
              <c:yMode val="edge"/>
              <c:x val="0.41436683649837885"/>
              <c:y val="0.855947197776748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941400"/>
        <c:crosses val="autoZero"/>
        <c:crossBetween val="midCat"/>
      </c:valAx>
      <c:valAx>
        <c:axId val="353941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9390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PPM against fuel equivalence ratio 40% volumetric</a:t>
            </a:r>
            <a:r>
              <a:rPr lang="en-GB" baseline="0"/>
              <a:t> efficiency through the Goal Seek function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Isooctane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'Nox Graphs'!$B$4:$B$16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'Nox Graphs'!$C$4:$C$16</c:f>
              <c:numCache>
                <c:formatCode>General</c:formatCode>
                <c:ptCount val="13"/>
                <c:pt idx="0">
                  <c:v>0</c:v>
                </c:pt>
                <c:pt idx="1">
                  <c:v>19993.740482036883</c:v>
                </c:pt>
                <c:pt idx="2">
                  <c:v>24046.514288941093</c:v>
                </c:pt>
                <c:pt idx="3">
                  <c:v>24986.096891175293</c:v>
                </c:pt>
                <c:pt idx="4">
                  <c:v>24389.927913861513</c:v>
                </c:pt>
                <c:pt idx="5">
                  <c:v>22992.878493989869</c:v>
                </c:pt>
                <c:pt idx="6">
                  <c:v>13220.220166754832</c:v>
                </c:pt>
                <c:pt idx="7">
                  <c:v>6028.2484346555384</c:v>
                </c:pt>
                <c:pt idx="8">
                  <c:v>2338.3243359300282</c:v>
                </c:pt>
                <c:pt idx="9">
                  <c:v>778.17457378531128</c:v>
                </c:pt>
                <c:pt idx="10">
                  <c:v>219.83365695815331</c:v>
                </c:pt>
                <c:pt idx="11">
                  <c:v>51.572248472555742</c:v>
                </c:pt>
                <c:pt idx="12">
                  <c:v>7.9520033138841857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C70-457D-BF89-FDD0D45C3D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3933952"/>
        <c:axId val="353934344"/>
      </c:scatterChart>
      <c:valAx>
        <c:axId val="353933952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Equivalnce</a:t>
                </a:r>
                <a:r>
                  <a:rPr lang="en-GB" baseline="0"/>
                  <a:t> Ratio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1612956235501602"/>
              <c:y val="0.8602195964925685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934344"/>
        <c:crosses val="autoZero"/>
        <c:crossBetween val="midCat"/>
      </c:valAx>
      <c:valAx>
        <c:axId val="353934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P</a:t>
                </a:r>
                <a:r>
                  <a:rPr lang="en-GB"/>
                  <a:t>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9339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Curve Fit Polynominal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8.0326552930883643E-2"/>
                  <c:y val="-5.2925415573053365E-2"/>
                </c:manualLayout>
              </c:layout>
              <c:numFmt formatCode="#,##0.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'CO2'!$B$7:$B$147</c:f>
              <c:numCache>
                <c:formatCode>General</c:formatCode>
                <c:ptCount val="141"/>
                <c:pt idx="0">
                  <c:v>298</c:v>
                </c:pt>
                <c:pt idx="1">
                  <c:v>300</c:v>
                </c:pt>
                <c:pt idx="2">
                  <c:v>310</c:v>
                </c:pt>
                <c:pt idx="3">
                  <c:v>320</c:v>
                </c:pt>
                <c:pt idx="4">
                  <c:v>330</c:v>
                </c:pt>
                <c:pt idx="5">
                  <c:v>340</c:v>
                </c:pt>
                <c:pt idx="6">
                  <c:v>350</c:v>
                </c:pt>
                <c:pt idx="7">
                  <c:v>360</c:v>
                </c:pt>
                <c:pt idx="8">
                  <c:v>370</c:v>
                </c:pt>
                <c:pt idx="9">
                  <c:v>380</c:v>
                </c:pt>
                <c:pt idx="10">
                  <c:v>390</c:v>
                </c:pt>
                <c:pt idx="11">
                  <c:v>400</c:v>
                </c:pt>
                <c:pt idx="12">
                  <c:v>410</c:v>
                </c:pt>
                <c:pt idx="13">
                  <c:v>420</c:v>
                </c:pt>
                <c:pt idx="14">
                  <c:v>430</c:v>
                </c:pt>
                <c:pt idx="15">
                  <c:v>440</c:v>
                </c:pt>
                <c:pt idx="16">
                  <c:v>450</c:v>
                </c:pt>
                <c:pt idx="17">
                  <c:v>460</c:v>
                </c:pt>
                <c:pt idx="18">
                  <c:v>470</c:v>
                </c:pt>
                <c:pt idx="19">
                  <c:v>480</c:v>
                </c:pt>
                <c:pt idx="20">
                  <c:v>490</c:v>
                </c:pt>
                <c:pt idx="21">
                  <c:v>500</c:v>
                </c:pt>
                <c:pt idx="22">
                  <c:v>510</c:v>
                </c:pt>
                <c:pt idx="23">
                  <c:v>520</c:v>
                </c:pt>
                <c:pt idx="24">
                  <c:v>530</c:v>
                </c:pt>
                <c:pt idx="25">
                  <c:v>540</c:v>
                </c:pt>
                <c:pt idx="26">
                  <c:v>550</c:v>
                </c:pt>
                <c:pt idx="27">
                  <c:v>560</c:v>
                </c:pt>
                <c:pt idx="28">
                  <c:v>570</c:v>
                </c:pt>
                <c:pt idx="29">
                  <c:v>580</c:v>
                </c:pt>
                <c:pt idx="30">
                  <c:v>590</c:v>
                </c:pt>
                <c:pt idx="31">
                  <c:v>600</c:v>
                </c:pt>
                <c:pt idx="32">
                  <c:v>610</c:v>
                </c:pt>
                <c:pt idx="33">
                  <c:v>620</c:v>
                </c:pt>
                <c:pt idx="34">
                  <c:v>630</c:v>
                </c:pt>
                <c:pt idx="35">
                  <c:v>640</c:v>
                </c:pt>
                <c:pt idx="36">
                  <c:v>650</c:v>
                </c:pt>
                <c:pt idx="37">
                  <c:v>660</c:v>
                </c:pt>
                <c:pt idx="38">
                  <c:v>670</c:v>
                </c:pt>
                <c:pt idx="39">
                  <c:v>680</c:v>
                </c:pt>
                <c:pt idx="40">
                  <c:v>690</c:v>
                </c:pt>
                <c:pt idx="41">
                  <c:v>700</c:v>
                </c:pt>
                <c:pt idx="42">
                  <c:v>710</c:v>
                </c:pt>
                <c:pt idx="43">
                  <c:v>720</c:v>
                </c:pt>
                <c:pt idx="44">
                  <c:v>730</c:v>
                </c:pt>
                <c:pt idx="45">
                  <c:v>740</c:v>
                </c:pt>
                <c:pt idx="46">
                  <c:v>750</c:v>
                </c:pt>
                <c:pt idx="47">
                  <c:v>760</c:v>
                </c:pt>
                <c:pt idx="48">
                  <c:v>770</c:v>
                </c:pt>
                <c:pt idx="49">
                  <c:v>780</c:v>
                </c:pt>
                <c:pt idx="50">
                  <c:v>790</c:v>
                </c:pt>
                <c:pt idx="51">
                  <c:v>800</c:v>
                </c:pt>
                <c:pt idx="52">
                  <c:v>810</c:v>
                </c:pt>
                <c:pt idx="53">
                  <c:v>820</c:v>
                </c:pt>
                <c:pt idx="54">
                  <c:v>830</c:v>
                </c:pt>
                <c:pt idx="55">
                  <c:v>840</c:v>
                </c:pt>
                <c:pt idx="56">
                  <c:v>850</c:v>
                </c:pt>
                <c:pt idx="57">
                  <c:v>860</c:v>
                </c:pt>
                <c:pt idx="58">
                  <c:v>870</c:v>
                </c:pt>
                <c:pt idx="59">
                  <c:v>880</c:v>
                </c:pt>
                <c:pt idx="60">
                  <c:v>890</c:v>
                </c:pt>
                <c:pt idx="61">
                  <c:v>900</c:v>
                </c:pt>
                <c:pt idx="62">
                  <c:v>910</c:v>
                </c:pt>
                <c:pt idx="63">
                  <c:v>920</c:v>
                </c:pt>
                <c:pt idx="64">
                  <c:v>930</c:v>
                </c:pt>
                <c:pt idx="65">
                  <c:v>940</c:v>
                </c:pt>
                <c:pt idx="66">
                  <c:v>950</c:v>
                </c:pt>
                <c:pt idx="67">
                  <c:v>960</c:v>
                </c:pt>
                <c:pt idx="68">
                  <c:v>970</c:v>
                </c:pt>
                <c:pt idx="69">
                  <c:v>980</c:v>
                </c:pt>
                <c:pt idx="70">
                  <c:v>990</c:v>
                </c:pt>
                <c:pt idx="71">
                  <c:v>1000</c:v>
                </c:pt>
                <c:pt idx="72">
                  <c:v>1020</c:v>
                </c:pt>
                <c:pt idx="73">
                  <c:v>1040</c:v>
                </c:pt>
                <c:pt idx="74">
                  <c:v>1060</c:v>
                </c:pt>
                <c:pt idx="75">
                  <c:v>1080</c:v>
                </c:pt>
                <c:pt idx="76">
                  <c:v>1100</c:v>
                </c:pt>
                <c:pt idx="77">
                  <c:v>1120</c:v>
                </c:pt>
                <c:pt idx="78">
                  <c:v>1140</c:v>
                </c:pt>
                <c:pt idx="79">
                  <c:v>1160</c:v>
                </c:pt>
                <c:pt idx="80">
                  <c:v>1180</c:v>
                </c:pt>
                <c:pt idx="81">
                  <c:v>1200</c:v>
                </c:pt>
                <c:pt idx="82">
                  <c:v>1220</c:v>
                </c:pt>
                <c:pt idx="83">
                  <c:v>1240</c:v>
                </c:pt>
                <c:pt idx="84">
                  <c:v>1260</c:v>
                </c:pt>
                <c:pt idx="85">
                  <c:v>1280</c:v>
                </c:pt>
                <c:pt idx="86">
                  <c:v>1300</c:v>
                </c:pt>
                <c:pt idx="87">
                  <c:v>1320</c:v>
                </c:pt>
                <c:pt idx="88">
                  <c:v>1340</c:v>
                </c:pt>
                <c:pt idx="89">
                  <c:v>1360</c:v>
                </c:pt>
                <c:pt idx="90">
                  <c:v>1380</c:v>
                </c:pt>
                <c:pt idx="91">
                  <c:v>1400</c:v>
                </c:pt>
                <c:pt idx="92">
                  <c:v>1420</c:v>
                </c:pt>
                <c:pt idx="93">
                  <c:v>1440</c:v>
                </c:pt>
                <c:pt idx="94">
                  <c:v>1460</c:v>
                </c:pt>
                <c:pt idx="95">
                  <c:v>1480</c:v>
                </c:pt>
                <c:pt idx="96">
                  <c:v>1500</c:v>
                </c:pt>
                <c:pt idx="97">
                  <c:v>1520</c:v>
                </c:pt>
                <c:pt idx="98">
                  <c:v>1540</c:v>
                </c:pt>
                <c:pt idx="99">
                  <c:v>1560</c:v>
                </c:pt>
                <c:pt idx="100">
                  <c:v>1580</c:v>
                </c:pt>
                <c:pt idx="101">
                  <c:v>1600</c:v>
                </c:pt>
                <c:pt idx="102">
                  <c:v>1620</c:v>
                </c:pt>
                <c:pt idx="103">
                  <c:v>1640</c:v>
                </c:pt>
                <c:pt idx="104">
                  <c:v>1660</c:v>
                </c:pt>
                <c:pt idx="105">
                  <c:v>1680</c:v>
                </c:pt>
                <c:pt idx="106">
                  <c:v>1700</c:v>
                </c:pt>
                <c:pt idx="107">
                  <c:v>1720</c:v>
                </c:pt>
                <c:pt idx="108">
                  <c:v>1740</c:v>
                </c:pt>
                <c:pt idx="109">
                  <c:v>1760</c:v>
                </c:pt>
                <c:pt idx="110">
                  <c:v>1780</c:v>
                </c:pt>
                <c:pt idx="111">
                  <c:v>1800</c:v>
                </c:pt>
                <c:pt idx="112">
                  <c:v>1820</c:v>
                </c:pt>
                <c:pt idx="113">
                  <c:v>1840</c:v>
                </c:pt>
                <c:pt idx="114">
                  <c:v>1860</c:v>
                </c:pt>
                <c:pt idx="115">
                  <c:v>1880</c:v>
                </c:pt>
                <c:pt idx="116">
                  <c:v>1900</c:v>
                </c:pt>
                <c:pt idx="117">
                  <c:v>1920</c:v>
                </c:pt>
                <c:pt idx="118">
                  <c:v>1940</c:v>
                </c:pt>
                <c:pt idx="119">
                  <c:v>1960</c:v>
                </c:pt>
                <c:pt idx="120">
                  <c:v>1980</c:v>
                </c:pt>
                <c:pt idx="121">
                  <c:v>2000</c:v>
                </c:pt>
                <c:pt idx="122">
                  <c:v>2050</c:v>
                </c:pt>
                <c:pt idx="123">
                  <c:v>2100</c:v>
                </c:pt>
                <c:pt idx="124">
                  <c:v>2150</c:v>
                </c:pt>
                <c:pt idx="125">
                  <c:v>2200</c:v>
                </c:pt>
                <c:pt idx="126">
                  <c:v>2250</c:v>
                </c:pt>
                <c:pt idx="127">
                  <c:v>2300</c:v>
                </c:pt>
                <c:pt idx="128">
                  <c:v>2350</c:v>
                </c:pt>
                <c:pt idx="129">
                  <c:v>2400</c:v>
                </c:pt>
                <c:pt idx="130">
                  <c:v>2450</c:v>
                </c:pt>
                <c:pt idx="131">
                  <c:v>2500</c:v>
                </c:pt>
                <c:pt idx="132">
                  <c:v>2550</c:v>
                </c:pt>
                <c:pt idx="133">
                  <c:v>2600</c:v>
                </c:pt>
                <c:pt idx="134">
                  <c:v>2650</c:v>
                </c:pt>
                <c:pt idx="135">
                  <c:v>2700</c:v>
                </c:pt>
                <c:pt idx="136">
                  <c:v>2750</c:v>
                </c:pt>
                <c:pt idx="137">
                  <c:v>2800</c:v>
                </c:pt>
                <c:pt idx="138">
                  <c:v>2850</c:v>
                </c:pt>
                <c:pt idx="139">
                  <c:v>2900</c:v>
                </c:pt>
                <c:pt idx="140">
                  <c:v>3000</c:v>
                </c:pt>
              </c:numCache>
            </c:numRef>
          </c:xVal>
          <c:yVal>
            <c:numRef>
              <c:f>'CO2'!$D$7:$D$147</c:f>
              <c:numCache>
                <c:formatCode>General</c:formatCode>
                <c:ptCount val="141"/>
                <c:pt idx="0">
                  <c:v>0</c:v>
                </c:pt>
                <c:pt idx="1">
                  <c:v>6.7000000000000004E-2</c:v>
                </c:pt>
                <c:pt idx="2">
                  <c:v>0.443</c:v>
                </c:pt>
                <c:pt idx="3">
                  <c:v>0.82200000000000006</c:v>
                </c:pt>
                <c:pt idx="4">
                  <c:v>1.206</c:v>
                </c:pt>
                <c:pt idx="5">
                  <c:v>1.595</c:v>
                </c:pt>
                <c:pt idx="6">
                  <c:v>1.9870000000000001</c:v>
                </c:pt>
                <c:pt idx="7">
                  <c:v>2.3839999999999999</c:v>
                </c:pt>
                <c:pt idx="8">
                  <c:v>2.7840000000000003</c:v>
                </c:pt>
                <c:pt idx="9">
                  <c:v>3.1880000000000002</c:v>
                </c:pt>
                <c:pt idx="10">
                  <c:v>3.5960000000000001</c:v>
                </c:pt>
                <c:pt idx="11">
                  <c:v>4.008</c:v>
                </c:pt>
                <c:pt idx="12">
                  <c:v>4.423</c:v>
                </c:pt>
                <c:pt idx="13">
                  <c:v>4.8420000000000005</c:v>
                </c:pt>
                <c:pt idx="14">
                  <c:v>4.9640000000000004</c:v>
                </c:pt>
                <c:pt idx="15">
                  <c:v>5.69</c:v>
                </c:pt>
                <c:pt idx="16">
                  <c:v>6.1189999999999998</c:v>
                </c:pt>
                <c:pt idx="17">
                  <c:v>6.5520000000000005</c:v>
                </c:pt>
                <c:pt idx="18">
                  <c:v>6.9870000000000001</c:v>
                </c:pt>
                <c:pt idx="19">
                  <c:v>7.4270000000000005</c:v>
                </c:pt>
                <c:pt idx="20">
                  <c:v>7.8680000000000003</c:v>
                </c:pt>
                <c:pt idx="21">
                  <c:v>8.3140000000000001</c:v>
                </c:pt>
                <c:pt idx="22">
                  <c:v>8.7620000000000005</c:v>
                </c:pt>
                <c:pt idx="23">
                  <c:v>9.2119999999999997</c:v>
                </c:pt>
                <c:pt idx="24">
                  <c:v>9.6650000000000009</c:v>
                </c:pt>
                <c:pt idx="25">
                  <c:v>10.121</c:v>
                </c:pt>
                <c:pt idx="26">
                  <c:v>10.581</c:v>
                </c:pt>
                <c:pt idx="27">
                  <c:v>11.043000000000001</c:v>
                </c:pt>
                <c:pt idx="28">
                  <c:v>11.506</c:v>
                </c:pt>
                <c:pt idx="29">
                  <c:v>11.973000000000001</c:v>
                </c:pt>
                <c:pt idx="30">
                  <c:v>12.443</c:v>
                </c:pt>
                <c:pt idx="31">
                  <c:v>12.916</c:v>
                </c:pt>
                <c:pt idx="32">
                  <c:v>13.39</c:v>
                </c:pt>
                <c:pt idx="33">
                  <c:v>13.867000000000001</c:v>
                </c:pt>
                <c:pt idx="34">
                  <c:v>14.345000000000001</c:v>
                </c:pt>
                <c:pt idx="35">
                  <c:v>14.826000000000001</c:v>
                </c:pt>
                <c:pt idx="36">
                  <c:v>15.31</c:v>
                </c:pt>
                <c:pt idx="37">
                  <c:v>15.796000000000001</c:v>
                </c:pt>
                <c:pt idx="38">
                  <c:v>16.283999999999999</c:v>
                </c:pt>
                <c:pt idx="39">
                  <c:v>16.774000000000001</c:v>
                </c:pt>
                <c:pt idx="40">
                  <c:v>17.266999999999999</c:v>
                </c:pt>
                <c:pt idx="41">
                  <c:v>17.760999999999999</c:v>
                </c:pt>
                <c:pt idx="42">
                  <c:v>18.257999999999999</c:v>
                </c:pt>
                <c:pt idx="43">
                  <c:v>18.757000000000001</c:v>
                </c:pt>
                <c:pt idx="44">
                  <c:v>19.257999999999999</c:v>
                </c:pt>
                <c:pt idx="45">
                  <c:v>19.760000000000002</c:v>
                </c:pt>
                <c:pt idx="46">
                  <c:v>20.265000000000001</c:v>
                </c:pt>
                <c:pt idx="47">
                  <c:v>19.771000000000001</c:v>
                </c:pt>
                <c:pt idx="48">
                  <c:v>21.28</c:v>
                </c:pt>
                <c:pt idx="49">
                  <c:v>21.79</c:v>
                </c:pt>
                <c:pt idx="50">
                  <c:v>21.801000000000002</c:v>
                </c:pt>
                <c:pt idx="51">
                  <c:v>22.815000000000001</c:v>
                </c:pt>
                <c:pt idx="52">
                  <c:v>23.330000000000002</c:v>
                </c:pt>
                <c:pt idx="53">
                  <c:v>23.847999999999999</c:v>
                </c:pt>
                <c:pt idx="54">
                  <c:v>24.366</c:v>
                </c:pt>
                <c:pt idx="55">
                  <c:v>24.887</c:v>
                </c:pt>
                <c:pt idx="56">
                  <c:v>25.408999999999999</c:v>
                </c:pt>
                <c:pt idx="57">
                  <c:v>25.932000000000002</c:v>
                </c:pt>
                <c:pt idx="58">
                  <c:v>26.457000000000001</c:v>
                </c:pt>
                <c:pt idx="59">
                  <c:v>26.983000000000001</c:v>
                </c:pt>
                <c:pt idx="60">
                  <c:v>27.512</c:v>
                </c:pt>
                <c:pt idx="61">
                  <c:v>28.041</c:v>
                </c:pt>
                <c:pt idx="62">
                  <c:v>28.571000000000002</c:v>
                </c:pt>
                <c:pt idx="63">
                  <c:v>29.103000000000002</c:v>
                </c:pt>
                <c:pt idx="64">
                  <c:v>29.635999999999999</c:v>
                </c:pt>
                <c:pt idx="65">
                  <c:v>30.170999999999999</c:v>
                </c:pt>
                <c:pt idx="66">
                  <c:v>30.706</c:v>
                </c:pt>
                <c:pt idx="67">
                  <c:v>31.243000000000002</c:v>
                </c:pt>
                <c:pt idx="68">
                  <c:v>31.781000000000002</c:v>
                </c:pt>
                <c:pt idx="69">
                  <c:v>32.320999999999998</c:v>
                </c:pt>
                <c:pt idx="70">
                  <c:v>32.862000000000002</c:v>
                </c:pt>
                <c:pt idx="71">
                  <c:v>33.432000000000002</c:v>
                </c:pt>
                <c:pt idx="72">
                  <c:v>34.494999999999997</c:v>
                </c:pt>
                <c:pt idx="73">
                  <c:v>35.588999999999999</c:v>
                </c:pt>
                <c:pt idx="74">
                  <c:v>36.686999999999998</c:v>
                </c:pt>
                <c:pt idx="75">
                  <c:v>37.789000000000001</c:v>
                </c:pt>
                <c:pt idx="76">
                  <c:v>38.893999999999998</c:v>
                </c:pt>
                <c:pt idx="77">
                  <c:v>40.005000000000003</c:v>
                </c:pt>
                <c:pt idx="78">
                  <c:v>41.12</c:v>
                </c:pt>
                <c:pt idx="79">
                  <c:v>42.238</c:v>
                </c:pt>
                <c:pt idx="80">
                  <c:v>43.06</c:v>
                </c:pt>
                <c:pt idx="81">
                  <c:v>44.484000000000002</c:v>
                </c:pt>
                <c:pt idx="82">
                  <c:v>45.613</c:v>
                </c:pt>
                <c:pt idx="83">
                  <c:v>46.744</c:v>
                </c:pt>
                <c:pt idx="84">
                  <c:v>47.88</c:v>
                </c:pt>
                <c:pt idx="85">
                  <c:v>49.017000000000003</c:v>
                </c:pt>
                <c:pt idx="86">
                  <c:v>50.158000000000001</c:v>
                </c:pt>
                <c:pt idx="87">
                  <c:v>51.302</c:v>
                </c:pt>
                <c:pt idx="88">
                  <c:v>52.448999999999998</c:v>
                </c:pt>
                <c:pt idx="89">
                  <c:v>53.599000000000004</c:v>
                </c:pt>
                <c:pt idx="90">
                  <c:v>54.752000000000002</c:v>
                </c:pt>
                <c:pt idx="91">
                  <c:v>55.907000000000004</c:v>
                </c:pt>
                <c:pt idx="92">
                  <c:v>57.063000000000002</c:v>
                </c:pt>
                <c:pt idx="93">
                  <c:v>58.222000000000001</c:v>
                </c:pt>
                <c:pt idx="94">
                  <c:v>59.384</c:v>
                </c:pt>
                <c:pt idx="96">
                  <c:v>61.713999999999999</c:v>
                </c:pt>
                <c:pt idx="97">
                  <c:v>62.881999999999998</c:v>
                </c:pt>
                <c:pt idx="98">
                  <c:v>64.052999999999997</c:v>
                </c:pt>
                <c:pt idx="99">
                  <c:v>65.225999999999999</c:v>
                </c:pt>
                <c:pt idx="100">
                  <c:v>67.403000000000006</c:v>
                </c:pt>
                <c:pt idx="101">
                  <c:v>67.58</c:v>
                </c:pt>
                <c:pt idx="102">
                  <c:v>68.759</c:v>
                </c:pt>
                <c:pt idx="103">
                  <c:v>69.939000000000007</c:v>
                </c:pt>
                <c:pt idx="104">
                  <c:v>71.122</c:v>
                </c:pt>
                <c:pt idx="105">
                  <c:v>72.305999999999997</c:v>
                </c:pt>
                <c:pt idx="106">
                  <c:v>73.492000000000004</c:v>
                </c:pt>
                <c:pt idx="107">
                  <c:v>74.679000000000002</c:v>
                </c:pt>
                <c:pt idx="108">
                  <c:v>75.867000000000004</c:v>
                </c:pt>
                <c:pt idx="109">
                  <c:v>77.055999999999997</c:v>
                </c:pt>
                <c:pt idx="110">
                  <c:v>78.248000000000005</c:v>
                </c:pt>
                <c:pt idx="111">
                  <c:v>79.442000000000007</c:v>
                </c:pt>
                <c:pt idx="112">
                  <c:v>80.635999999999996</c:v>
                </c:pt>
                <c:pt idx="113">
                  <c:v>81.832000000000008</c:v>
                </c:pt>
                <c:pt idx="114">
                  <c:v>83.03</c:v>
                </c:pt>
                <c:pt idx="115">
                  <c:v>84.228999999999999</c:v>
                </c:pt>
                <c:pt idx="116">
                  <c:v>85.429000000000002</c:v>
                </c:pt>
                <c:pt idx="117">
                  <c:v>86.631</c:v>
                </c:pt>
                <c:pt idx="118">
                  <c:v>87.832999999999998</c:v>
                </c:pt>
                <c:pt idx="119">
                  <c:v>89.037000000000006</c:v>
                </c:pt>
                <c:pt idx="120">
                  <c:v>90.242000000000004</c:v>
                </c:pt>
                <c:pt idx="121">
                  <c:v>91.44</c:v>
                </c:pt>
                <c:pt idx="122">
                  <c:v>94.471000000000004</c:v>
                </c:pt>
                <c:pt idx="123">
                  <c:v>97.5</c:v>
                </c:pt>
                <c:pt idx="124">
                  <c:v>100.53400000000001</c:v>
                </c:pt>
                <c:pt idx="125">
                  <c:v>103.575</c:v>
                </c:pt>
                <c:pt idx="126">
                  <c:v>106.62</c:v>
                </c:pt>
                <c:pt idx="127">
                  <c:v>109.67100000000001</c:v>
                </c:pt>
                <c:pt idx="128">
                  <c:v>112.727</c:v>
                </c:pt>
                <c:pt idx="129">
                  <c:v>115.788</c:v>
                </c:pt>
                <c:pt idx="130">
                  <c:v>118.855</c:v>
                </c:pt>
                <c:pt idx="131">
                  <c:v>121.926</c:v>
                </c:pt>
                <c:pt idx="132">
                  <c:v>125.004</c:v>
                </c:pt>
                <c:pt idx="133">
                  <c:v>128.08500000000001</c:v>
                </c:pt>
                <c:pt idx="134">
                  <c:v>131.16900000000001</c:v>
                </c:pt>
                <c:pt idx="135">
                  <c:v>134.256</c:v>
                </c:pt>
                <c:pt idx="136">
                  <c:v>137.34899999999999</c:v>
                </c:pt>
                <c:pt idx="137">
                  <c:v>140.44400000000002</c:v>
                </c:pt>
                <c:pt idx="138">
                  <c:v>143.54400000000001</c:v>
                </c:pt>
                <c:pt idx="139">
                  <c:v>146.64500000000001</c:v>
                </c:pt>
                <c:pt idx="140">
                  <c:v>152.86199999999999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356-49C7-B5AC-B0F0D8EDA0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3937088"/>
        <c:axId val="353934736"/>
      </c:scatterChart>
      <c:valAx>
        <c:axId val="353937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934736"/>
        <c:crosses val="autoZero"/>
        <c:crossBetween val="midCat"/>
      </c:valAx>
      <c:valAx>
        <c:axId val="35393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937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CO2 Curve Fit Polynominal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Curve Fit Polynominal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1"/>
            <c:dispEq val="1"/>
            <c:trendlineLbl>
              <c:layout>
                <c:manualLayout>
                  <c:x val="8.0326552930883643E-2"/>
                  <c:y val="-5.2925415573053365E-2"/>
                </c:manualLayout>
              </c:layout>
              <c:numFmt formatCode="#,##0.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'CO2'!$B$7:$B$147</c:f>
              <c:numCache>
                <c:formatCode>General</c:formatCode>
                <c:ptCount val="141"/>
                <c:pt idx="0">
                  <c:v>298</c:v>
                </c:pt>
                <c:pt idx="1">
                  <c:v>300</c:v>
                </c:pt>
                <c:pt idx="2">
                  <c:v>310</c:v>
                </c:pt>
                <c:pt idx="3">
                  <c:v>320</c:v>
                </c:pt>
                <c:pt idx="4">
                  <c:v>330</c:v>
                </c:pt>
                <c:pt idx="5">
                  <c:v>340</c:v>
                </c:pt>
                <c:pt idx="6">
                  <c:v>350</c:v>
                </c:pt>
                <c:pt idx="7">
                  <c:v>360</c:v>
                </c:pt>
                <c:pt idx="8">
                  <c:v>370</c:v>
                </c:pt>
                <c:pt idx="9">
                  <c:v>380</c:v>
                </c:pt>
                <c:pt idx="10">
                  <c:v>390</c:v>
                </c:pt>
                <c:pt idx="11">
                  <c:v>400</c:v>
                </c:pt>
                <c:pt idx="12">
                  <c:v>410</c:v>
                </c:pt>
                <c:pt idx="13">
                  <c:v>420</c:v>
                </c:pt>
                <c:pt idx="14">
                  <c:v>430</c:v>
                </c:pt>
                <c:pt idx="15">
                  <c:v>440</c:v>
                </c:pt>
                <c:pt idx="16">
                  <c:v>450</c:v>
                </c:pt>
                <c:pt idx="17">
                  <c:v>460</c:v>
                </c:pt>
                <c:pt idx="18">
                  <c:v>470</c:v>
                </c:pt>
                <c:pt idx="19">
                  <c:v>480</c:v>
                </c:pt>
                <c:pt idx="20">
                  <c:v>490</c:v>
                </c:pt>
                <c:pt idx="21">
                  <c:v>500</c:v>
                </c:pt>
                <c:pt idx="22">
                  <c:v>510</c:v>
                </c:pt>
                <c:pt idx="23">
                  <c:v>520</c:v>
                </c:pt>
                <c:pt idx="24">
                  <c:v>530</c:v>
                </c:pt>
                <c:pt idx="25">
                  <c:v>540</c:v>
                </c:pt>
                <c:pt idx="26">
                  <c:v>550</c:v>
                </c:pt>
                <c:pt idx="27">
                  <c:v>560</c:v>
                </c:pt>
                <c:pt idx="28">
                  <c:v>570</c:v>
                </c:pt>
                <c:pt idx="29">
                  <c:v>580</c:v>
                </c:pt>
                <c:pt idx="30">
                  <c:v>590</c:v>
                </c:pt>
                <c:pt idx="31">
                  <c:v>600</c:v>
                </c:pt>
                <c:pt idx="32">
                  <c:v>610</c:v>
                </c:pt>
                <c:pt idx="33">
                  <c:v>620</c:v>
                </c:pt>
                <c:pt idx="34">
                  <c:v>630</c:v>
                </c:pt>
                <c:pt idx="35">
                  <c:v>640</c:v>
                </c:pt>
                <c:pt idx="36">
                  <c:v>650</c:v>
                </c:pt>
                <c:pt idx="37">
                  <c:v>660</c:v>
                </c:pt>
                <c:pt idx="38">
                  <c:v>670</c:v>
                </c:pt>
                <c:pt idx="39">
                  <c:v>680</c:v>
                </c:pt>
                <c:pt idx="40">
                  <c:v>690</c:v>
                </c:pt>
                <c:pt idx="41">
                  <c:v>700</c:v>
                </c:pt>
                <c:pt idx="42">
                  <c:v>710</c:v>
                </c:pt>
                <c:pt idx="43">
                  <c:v>720</c:v>
                </c:pt>
                <c:pt idx="44">
                  <c:v>730</c:v>
                </c:pt>
                <c:pt idx="45">
                  <c:v>740</c:v>
                </c:pt>
                <c:pt idx="46">
                  <c:v>750</c:v>
                </c:pt>
                <c:pt idx="47">
                  <c:v>760</c:v>
                </c:pt>
                <c:pt idx="48">
                  <c:v>770</c:v>
                </c:pt>
                <c:pt idx="49">
                  <c:v>780</c:v>
                </c:pt>
                <c:pt idx="50">
                  <c:v>790</c:v>
                </c:pt>
                <c:pt idx="51">
                  <c:v>800</c:v>
                </c:pt>
                <c:pt idx="52">
                  <c:v>810</c:v>
                </c:pt>
                <c:pt idx="53">
                  <c:v>820</c:v>
                </c:pt>
                <c:pt idx="54">
                  <c:v>830</c:v>
                </c:pt>
                <c:pt idx="55">
                  <c:v>840</c:v>
                </c:pt>
                <c:pt idx="56">
                  <c:v>850</c:v>
                </c:pt>
                <c:pt idx="57">
                  <c:v>860</c:v>
                </c:pt>
                <c:pt idx="58">
                  <c:v>870</c:v>
                </c:pt>
                <c:pt idx="59">
                  <c:v>880</c:v>
                </c:pt>
                <c:pt idx="60">
                  <c:v>890</c:v>
                </c:pt>
                <c:pt idx="61">
                  <c:v>900</c:v>
                </c:pt>
                <c:pt idx="62">
                  <c:v>910</c:v>
                </c:pt>
                <c:pt idx="63">
                  <c:v>920</c:v>
                </c:pt>
                <c:pt idx="64">
                  <c:v>930</c:v>
                </c:pt>
                <c:pt idx="65">
                  <c:v>940</c:v>
                </c:pt>
                <c:pt idx="66">
                  <c:v>950</c:v>
                </c:pt>
                <c:pt idx="67">
                  <c:v>960</c:v>
                </c:pt>
                <c:pt idx="68">
                  <c:v>970</c:v>
                </c:pt>
                <c:pt idx="69">
                  <c:v>980</c:v>
                </c:pt>
                <c:pt idx="70">
                  <c:v>990</c:v>
                </c:pt>
                <c:pt idx="71">
                  <c:v>1000</c:v>
                </c:pt>
                <c:pt idx="72">
                  <c:v>1020</c:v>
                </c:pt>
                <c:pt idx="73">
                  <c:v>1040</c:v>
                </c:pt>
                <c:pt idx="74">
                  <c:v>1060</c:v>
                </c:pt>
                <c:pt idx="75">
                  <c:v>1080</c:v>
                </c:pt>
                <c:pt idx="76">
                  <c:v>1100</c:v>
                </c:pt>
                <c:pt idx="77">
                  <c:v>1120</c:v>
                </c:pt>
                <c:pt idx="78">
                  <c:v>1140</c:v>
                </c:pt>
                <c:pt idx="79">
                  <c:v>1160</c:v>
                </c:pt>
                <c:pt idx="80">
                  <c:v>1180</c:v>
                </c:pt>
                <c:pt idx="81">
                  <c:v>1200</c:v>
                </c:pt>
                <c:pt idx="82">
                  <c:v>1220</c:v>
                </c:pt>
                <c:pt idx="83">
                  <c:v>1240</c:v>
                </c:pt>
                <c:pt idx="84">
                  <c:v>1260</c:v>
                </c:pt>
                <c:pt idx="85">
                  <c:v>1280</c:v>
                </c:pt>
                <c:pt idx="86">
                  <c:v>1300</c:v>
                </c:pt>
                <c:pt idx="87">
                  <c:v>1320</c:v>
                </c:pt>
                <c:pt idx="88">
                  <c:v>1340</c:v>
                </c:pt>
                <c:pt idx="89">
                  <c:v>1360</c:v>
                </c:pt>
                <c:pt idx="90">
                  <c:v>1380</c:v>
                </c:pt>
                <c:pt idx="91">
                  <c:v>1400</c:v>
                </c:pt>
                <c:pt idx="92">
                  <c:v>1420</c:v>
                </c:pt>
                <c:pt idx="93">
                  <c:v>1440</c:v>
                </c:pt>
                <c:pt idx="94">
                  <c:v>1460</c:v>
                </c:pt>
                <c:pt idx="95">
                  <c:v>1480</c:v>
                </c:pt>
                <c:pt idx="96">
                  <c:v>1500</c:v>
                </c:pt>
                <c:pt idx="97">
                  <c:v>1520</c:v>
                </c:pt>
                <c:pt idx="98">
                  <c:v>1540</c:v>
                </c:pt>
                <c:pt idx="99">
                  <c:v>1560</c:v>
                </c:pt>
                <c:pt idx="100">
                  <c:v>1580</c:v>
                </c:pt>
                <c:pt idx="101">
                  <c:v>1600</c:v>
                </c:pt>
                <c:pt idx="102">
                  <c:v>1620</c:v>
                </c:pt>
                <c:pt idx="103">
                  <c:v>1640</c:v>
                </c:pt>
                <c:pt idx="104">
                  <c:v>1660</c:v>
                </c:pt>
                <c:pt idx="105">
                  <c:v>1680</c:v>
                </c:pt>
                <c:pt idx="106">
                  <c:v>1700</c:v>
                </c:pt>
                <c:pt idx="107">
                  <c:v>1720</c:v>
                </c:pt>
                <c:pt idx="108">
                  <c:v>1740</c:v>
                </c:pt>
                <c:pt idx="109">
                  <c:v>1760</c:v>
                </c:pt>
                <c:pt idx="110">
                  <c:v>1780</c:v>
                </c:pt>
                <c:pt idx="111">
                  <c:v>1800</c:v>
                </c:pt>
                <c:pt idx="112">
                  <c:v>1820</c:v>
                </c:pt>
                <c:pt idx="113">
                  <c:v>1840</c:v>
                </c:pt>
                <c:pt idx="114">
                  <c:v>1860</c:v>
                </c:pt>
                <c:pt idx="115">
                  <c:v>1880</c:v>
                </c:pt>
                <c:pt idx="116">
                  <c:v>1900</c:v>
                </c:pt>
                <c:pt idx="117">
                  <c:v>1920</c:v>
                </c:pt>
                <c:pt idx="118">
                  <c:v>1940</c:v>
                </c:pt>
                <c:pt idx="119">
                  <c:v>1960</c:v>
                </c:pt>
                <c:pt idx="120">
                  <c:v>1980</c:v>
                </c:pt>
                <c:pt idx="121">
                  <c:v>2000</c:v>
                </c:pt>
                <c:pt idx="122">
                  <c:v>2050</c:v>
                </c:pt>
                <c:pt idx="123">
                  <c:v>2100</c:v>
                </c:pt>
                <c:pt idx="124">
                  <c:v>2150</c:v>
                </c:pt>
                <c:pt idx="125">
                  <c:v>2200</c:v>
                </c:pt>
                <c:pt idx="126">
                  <c:v>2250</c:v>
                </c:pt>
                <c:pt idx="127">
                  <c:v>2300</c:v>
                </c:pt>
                <c:pt idx="128">
                  <c:v>2350</c:v>
                </c:pt>
                <c:pt idx="129">
                  <c:v>2400</c:v>
                </c:pt>
                <c:pt idx="130">
                  <c:v>2450</c:v>
                </c:pt>
                <c:pt idx="131">
                  <c:v>2500</c:v>
                </c:pt>
                <c:pt idx="132">
                  <c:v>2550</c:v>
                </c:pt>
                <c:pt idx="133">
                  <c:v>2600</c:v>
                </c:pt>
                <c:pt idx="134">
                  <c:v>2650</c:v>
                </c:pt>
                <c:pt idx="135">
                  <c:v>2700</c:v>
                </c:pt>
                <c:pt idx="136">
                  <c:v>2750</c:v>
                </c:pt>
                <c:pt idx="137">
                  <c:v>2800</c:v>
                </c:pt>
                <c:pt idx="138">
                  <c:v>2850</c:v>
                </c:pt>
                <c:pt idx="139">
                  <c:v>2900</c:v>
                </c:pt>
                <c:pt idx="140">
                  <c:v>3000</c:v>
                </c:pt>
              </c:numCache>
            </c:numRef>
          </c:xVal>
          <c:yVal>
            <c:numRef>
              <c:f>'CO2'!$D$7:$D$147</c:f>
              <c:numCache>
                <c:formatCode>General</c:formatCode>
                <c:ptCount val="141"/>
                <c:pt idx="0">
                  <c:v>0</c:v>
                </c:pt>
                <c:pt idx="1">
                  <c:v>6.7000000000000004E-2</c:v>
                </c:pt>
                <c:pt idx="2">
                  <c:v>0.443</c:v>
                </c:pt>
                <c:pt idx="3">
                  <c:v>0.82200000000000006</c:v>
                </c:pt>
                <c:pt idx="4">
                  <c:v>1.206</c:v>
                </c:pt>
                <c:pt idx="5">
                  <c:v>1.595</c:v>
                </c:pt>
                <c:pt idx="6">
                  <c:v>1.9870000000000001</c:v>
                </c:pt>
                <c:pt idx="7">
                  <c:v>2.3839999999999999</c:v>
                </c:pt>
                <c:pt idx="8">
                  <c:v>2.7840000000000003</c:v>
                </c:pt>
                <c:pt idx="9">
                  <c:v>3.1880000000000002</c:v>
                </c:pt>
                <c:pt idx="10">
                  <c:v>3.5960000000000001</c:v>
                </c:pt>
                <c:pt idx="11">
                  <c:v>4.008</c:v>
                </c:pt>
                <c:pt idx="12">
                  <c:v>4.423</c:v>
                </c:pt>
                <c:pt idx="13">
                  <c:v>4.8420000000000005</c:v>
                </c:pt>
                <c:pt idx="14">
                  <c:v>4.9640000000000004</c:v>
                </c:pt>
                <c:pt idx="15">
                  <c:v>5.69</c:v>
                </c:pt>
                <c:pt idx="16">
                  <c:v>6.1189999999999998</c:v>
                </c:pt>
                <c:pt idx="17">
                  <c:v>6.5520000000000005</c:v>
                </c:pt>
                <c:pt idx="18">
                  <c:v>6.9870000000000001</c:v>
                </c:pt>
                <c:pt idx="19">
                  <c:v>7.4270000000000005</c:v>
                </c:pt>
                <c:pt idx="20">
                  <c:v>7.8680000000000003</c:v>
                </c:pt>
                <c:pt idx="21">
                  <c:v>8.3140000000000001</c:v>
                </c:pt>
                <c:pt idx="22">
                  <c:v>8.7620000000000005</c:v>
                </c:pt>
                <c:pt idx="23">
                  <c:v>9.2119999999999997</c:v>
                </c:pt>
                <c:pt idx="24">
                  <c:v>9.6650000000000009</c:v>
                </c:pt>
                <c:pt idx="25">
                  <c:v>10.121</c:v>
                </c:pt>
                <c:pt idx="26">
                  <c:v>10.581</c:v>
                </c:pt>
                <c:pt idx="27">
                  <c:v>11.043000000000001</c:v>
                </c:pt>
                <c:pt idx="28">
                  <c:v>11.506</c:v>
                </c:pt>
                <c:pt idx="29">
                  <c:v>11.973000000000001</c:v>
                </c:pt>
                <c:pt idx="30">
                  <c:v>12.443</c:v>
                </c:pt>
                <c:pt idx="31">
                  <c:v>12.916</c:v>
                </c:pt>
                <c:pt idx="32">
                  <c:v>13.39</c:v>
                </c:pt>
                <c:pt idx="33">
                  <c:v>13.867000000000001</c:v>
                </c:pt>
                <c:pt idx="34">
                  <c:v>14.345000000000001</c:v>
                </c:pt>
                <c:pt idx="35">
                  <c:v>14.826000000000001</c:v>
                </c:pt>
                <c:pt idx="36">
                  <c:v>15.31</c:v>
                </c:pt>
                <c:pt idx="37">
                  <c:v>15.796000000000001</c:v>
                </c:pt>
                <c:pt idx="38">
                  <c:v>16.283999999999999</c:v>
                </c:pt>
                <c:pt idx="39">
                  <c:v>16.774000000000001</c:v>
                </c:pt>
                <c:pt idx="40">
                  <c:v>17.266999999999999</c:v>
                </c:pt>
                <c:pt idx="41">
                  <c:v>17.760999999999999</c:v>
                </c:pt>
                <c:pt idx="42">
                  <c:v>18.257999999999999</c:v>
                </c:pt>
                <c:pt idx="43">
                  <c:v>18.757000000000001</c:v>
                </c:pt>
                <c:pt idx="44">
                  <c:v>19.257999999999999</c:v>
                </c:pt>
                <c:pt idx="45">
                  <c:v>19.760000000000002</c:v>
                </c:pt>
                <c:pt idx="46">
                  <c:v>20.265000000000001</c:v>
                </c:pt>
                <c:pt idx="47">
                  <c:v>19.771000000000001</c:v>
                </c:pt>
                <c:pt idx="48">
                  <c:v>21.28</c:v>
                </c:pt>
                <c:pt idx="49">
                  <c:v>21.79</c:v>
                </c:pt>
                <c:pt idx="50">
                  <c:v>21.801000000000002</c:v>
                </c:pt>
                <c:pt idx="51">
                  <c:v>22.815000000000001</c:v>
                </c:pt>
                <c:pt idx="52">
                  <c:v>23.330000000000002</c:v>
                </c:pt>
                <c:pt idx="53">
                  <c:v>23.847999999999999</c:v>
                </c:pt>
                <c:pt idx="54">
                  <c:v>24.366</c:v>
                </c:pt>
                <c:pt idx="55">
                  <c:v>24.887</c:v>
                </c:pt>
                <c:pt idx="56">
                  <c:v>25.408999999999999</c:v>
                </c:pt>
                <c:pt idx="57">
                  <c:v>25.932000000000002</c:v>
                </c:pt>
                <c:pt idx="58">
                  <c:v>26.457000000000001</c:v>
                </c:pt>
                <c:pt idx="59">
                  <c:v>26.983000000000001</c:v>
                </c:pt>
                <c:pt idx="60">
                  <c:v>27.512</c:v>
                </c:pt>
                <c:pt idx="61">
                  <c:v>28.041</c:v>
                </c:pt>
                <c:pt idx="62">
                  <c:v>28.571000000000002</c:v>
                </c:pt>
                <c:pt idx="63">
                  <c:v>29.103000000000002</c:v>
                </c:pt>
                <c:pt idx="64">
                  <c:v>29.635999999999999</c:v>
                </c:pt>
                <c:pt idx="65">
                  <c:v>30.170999999999999</c:v>
                </c:pt>
                <c:pt idx="66">
                  <c:v>30.706</c:v>
                </c:pt>
                <c:pt idx="67">
                  <c:v>31.243000000000002</c:v>
                </c:pt>
                <c:pt idx="68">
                  <c:v>31.781000000000002</c:v>
                </c:pt>
                <c:pt idx="69">
                  <c:v>32.320999999999998</c:v>
                </c:pt>
                <c:pt idx="70">
                  <c:v>32.862000000000002</c:v>
                </c:pt>
                <c:pt idx="71">
                  <c:v>33.432000000000002</c:v>
                </c:pt>
                <c:pt idx="72">
                  <c:v>34.494999999999997</c:v>
                </c:pt>
                <c:pt idx="73">
                  <c:v>35.588999999999999</c:v>
                </c:pt>
                <c:pt idx="74">
                  <c:v>36.686999999999998</c:v>
                </c:pt>
                <c:pt idx="75">
                  <c:v>37.789000000000001</c:v>
                </c:pt>
                <c:pt idx="76">
                  <c:v>38.893999999999998</c:v>
                </c:pt>
                <c:pt idx="77">
                  <c:v>40.005000000000003</c:v>
                </c:pt>
                <c:pt idx="78">
                  <c:v>41.12</c:v>
                </c:pt>
                <c:pt idx="79">
                  <c:v>42.238</c:v>
                </c:pt>
                <c:pt idx="80">
                  <c:v>43.06</c:v>
                </c:pt>
                <c:pt idx="81">
                  <c:v>44.484000000000002</c:v>
                </c:pt>
                <c:pt idx="82">
                  <c:v>45.613</c:v>
                </c:pt>
                <c:pt idx="83">
                  <c:v>46.744</c:v>
                </c:pt>
                <c:pt idx="84">
                  <c:v>47.88</c:v>
                </c:pt>
                <c:pt idx="85">
                  <c:v>49.017000000000003</c:v>
                </c:pt>
                <c:pt idx="86">
                  <c:v>50.158000000000001</c:v>
                </c:pt>
                <c:pt idx="87">
                  <c:v>51.302</c:v>
                </c:pt>
                <c:pt idx="88">
                  <c:v>52.448999999999998</c:v>
                </c:pt>
                <c:pt idx="89">
                  <c:v>53.599000000000004</c:v>
                </c:pt>
                <c:pt idx="90">
                  <c:v>54.752000000000002</c:v>
                </c:pt>
                <c:pt idx="91">
                  <c:v>55.907000000000004</c:v>
                </c:pt>
                <c:pt idx="92">
                  <c:v>57.063000000000002</c:v>
                </c:pt>
                <c:pt idx="93">
                  <c:v>58.222000000000001</c:v>
                </c:pt>
                <c:pt idx="94">
                  <c:v>59.384</c:v>
                </c:pt>
                <c:pt idx="96">
                  <c:v>61.713999999999999</c:v>
                </c:pt>
                <c:pt idx="97">
                  <c:v>62.881999999999998</c:v>
                </c:pt>
                <c:pt idx="98">
                  <c:v>64.052999999999997</c:v>
                </c:pt>
                <c:pt idx="99">
                  <c:v>65.225999999999999</c:v>
                </c:pt>
                <c:pt idx="100">
                  <c:v>67.403000000000006</c:v>
                </c:pt>
                <c:pt idx="101">
                  <c:v>67.58</c:v>
                </c:pt>
                <c:pt idx="102">
                  <c:v>68.759</c:v>
                </c:pt>
                <c:pt idx="103">
                  <c:v>69.939000000000007</c:v>
                </c:pt>
                <c:pt idx="104">
                  <c:v>71.122</c:v>
                </c:pt>
                <c:pt idx="105">
                  <c:v>72.305999999999997</c:v>
                </c:pt>
                <c:pt idx="106">
                  <c:v>73.492000000000004</c:v>
                </c:pt>
                <c:pt idx="107">
                  <c:v>74.679000000000002</c:v>
                </c:pt>
                <c:pt idx="108">
                  <c:v>75.867000000000004</c:v>
                </c:pt>
                <c:pt idx="109">
                  <c:v>77.055999999999997</c:v>
                </c:pt>
                <c:pt idx="110">
                  <c:v>78.248000000000005</c:v>
                </c:pt>
                <c:pt idx="111">
                  <c:v>79.442000000000007</c:v>
                </c:pt>
                <c:pt idx="112">
                  <c:v>80.635999999999996</c:v>
                </c:pt>
                <c:pt idx="113">
                  <c:v>81.832000000000008</c:v>
                </c:pt>
                <c:pt idx="114">
                  <c:v>83.03</c:v>
                </c:pt>
                <c:pt idx="115">
                  <c:v>84.228999999999999</c:v>
                </c:pt>
                <c:pt idx="116">
                  <c:v>85.429000000000002</c:v>
                </c:pt>
                <c:pt idx="117">
                  <c:v>86.631</c:v>
                </c:pt>
                <c:pt idx="118">
                  <c:v>87.832999999999998</c:v>
                </c:pt>
                <c:pt idx="119">
                  <c:v>89.037000000000006</c:v>
                </c:pt>
                <c:pt idx="120">
                  <c:v>90.242000000000004</c:v>
                </c:pt>
                <c:pt idx="121">
                  <c:v>91.44</c:v>
                </c:pt>
                <c:pt idx="122">
                  <c:v>94.471000000000004</c:v>
                </c:pt>
                <c:pt idx="123">
                  <c:v>97.5</c:v>
                </c:pt>
                <c:pt idx="124">
                  <c:v>100.53400000000001</c:v>
                </c:pt>
                <c:pt idx="125">
                  <c:v>103.575</c:v>
                </c:pt>
                <c:pt idx="126">
                  <c:v>106.62</c:v>
                </c:pt>
                <c:pt idx="127">
                  <c:v>109.67100000000001</c:v>
                </c:pt>
                <c:pt idx="128">
                  <c:v>112.727</c:v>
                </c:pt>
                <c:pt idx="129">
                  <c:v>115.788</c:v>
                </c:pt>
                <c:pt idx="130">
                  <c:v>118.855</c:v>
                </c:pt>
                <c:pt idx="131">
                  <c:v>121.926</c:v>
                </c:pt>
                <c:pt idx="132">
                  <c:v>125.004</c:v>
                </c:pt>
                <c:pt idx="133">
                  <c:v>128.08500000000001</c:v>
                </c:pt>
                <c:pt idx="134">
                  <c:v>131.16900000000001</c:v>
                </c:pt>
                <c:pt idx="135">
                  <c:v>134.256</c:v>
                </c:pt>
                <c:pt idx="136">
                  <c:v>137.34899999999999</c:v>
                </c:pt>
                <c:pt idx="137">
                  <c:v>140.44400000000002</c:v>
                </c:pt>
                <c:pt idx="138">
                  <c:v>143.54400000000001</c:v>
                </c:pt>
                <c:pt idx="139">
                  <c:v>146.64500000000001</c:v>
                </c:pt>
                <c:pt idx="140">
                  <c:v>152.86199999999999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243-422E-B161-BFA88CEF9D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5172304"/>
        <c:axId val="355164856"/>
      </c:scatterChart>
      <c:valAx>
        <c:axId val="3551723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164856"/>
        <c:crosses val="autoZero"/>
        <c:crossBetween val="midCat"/>
      </c:valAx>
      <c:valAx>
        <c:axId val="355164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172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Curve Fit Polynominal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8.0326552930883643E-2"/>
                  <c:y val="-5.2925415573053365E-2"/>
                </c:manualLayout>
              </c:layout>
              <c:numFmt formatCode="#,##0.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CO!$B$7:$B$147</c:f>
              <c:numCache>
                <c:formatCode>General</c:formatCode>
                <c:ptCount val="141"/>
                <c:pt idx="0">
                  <c:v>298</c:v>
                </c:pt>
                <c:pt idx="1">
                  <c:v>300</c:v>
                </c:pt>
                <c:pt idx="2">
                  <c:v>310</c:v>
                </c:pt>
                <c:pt idx="3">
                  <c:v>320</c:v>
                </c:pt>
                <c:pt idx="4">
                  <c:v>330</c:v>
                </c:pt>
                <c:pt idx="5">
                  <c:v>340</c:v>
                </c:pt>
                <c:pt idx="6">
                  <c:v>350</c:v>
                </c:pt>
                <c:pt idx="7">
                  <c:v>360</c:v>
                </c:pt>
                <c:pt idx="8">
                  <c:v>370</c:v>
                </c:pt>
                <c:pt idx="9">
                  <c:v>380</c:v>
                </c:pt>
                <c:pt idx="10">
                  <c:v>390</c:v>
                </c:pt>
                <c:pt idx="11">
                  <c:v>400</c:v>
                </c:pt>
                <c:pt idx="12">
                  <c:v>410</c:v>
                </c:pt>
                <c:pt idx="13">
                  <c:v>420</c:v>
                </c:pt>
                <c:pt idx="14">
                  <c:v>430</c:v>
                </c:pt>
                <c:pt idx="15">
                  <c:v>440</c:v>
                </c:pt>
                <c:pt idx="16">
                  <c:v>450</c:v>
                </c:pt>
                <c:pt idx="17">
                  <c:v>460</c:v>
                </c:pt>
                <c:pt idx="18">
                  <c:v>470</c:v>
                </c:pt>
                <c:pt idx="19">
                  <c:v>480</c:v>
                </c:pt>
                <c:pt idx="20">
                  <c:v>490</c:v>
                </c:pt>
                <c:pt idx="21">
                  <c:v>500</c:v>
                </c:pt>
                <c:pt idx="22">
                  <c:v>510</c:v>
                </c:pt>
                <c:pt idx="23">
                  <c:v>520</c:v>
                </c:pt>
                <c:pt idx="24">
                  <c:v>530</c:v>
                </c:pt>
                <c:pt idx="25">
                  <c:v>540</c:v>
                </c:pt>
                <c:pt idx="26">
                  <c:v>550</c:v>
                </c:pt>
                <c:pt idx="27">
                  <c:v>560</c:v>
                </c:pt>
                <c:pt idx="28">
                  <c:v>570</c:v>
                </c:pt>
                <c:pt idx="29">
                  <c:v>580</c:v>
                </c:pt>
                <c:pt idx="30">
                  <c:v>590</c:v>
                </c:pt>
                <c:pt idx="31">
                  <c:v>600</c:v>
                </c:pt>
                <c:pt idx="32">
                  <c:v>610</c:v>
                </c:pt>
                <c:pt idx="33">
                  <c:v>620</c:v>
                </c:pt>
                <c:pt idx="34">
                  <c:v>630</c:v>
                </c:pt>
                <c:pt idx="35">
                  <c:v>640</c:v>
                </c:pt>
                <c:pt idx="36">
                  <c:v>650</c:v>
                </c:pt>
                <c:pt idx="37">
                  <c:v>660</c:v>
                </c:pt>
                <c:pt idx="38">
                  <c:v>670</c:v>
                </c:pt>
                <c:pt idx="39">
                  <c:v>680</c:v>
                </c:pt>
                <c:pt idx="40">
                  <c:v>690</c:v>
                </c:pt>
                <c:pt idx="41">
                  <c:v>700</c:v>
                </c:pt>
                <c:pt idx="42">
                  <c:v>710</c:v>
                </c:pt>
                <c:pt idx="43">
                  <c:v>720</c:v>
                </c:pt>
                <c:pt idx="44">
                  <c:v>730</c:v>
                </c:pt>
                <c:pt idx="45">
                  <c:v>740</c:v>
                </c:pt>
                <c:pt idx="46">
                  <c:v>750</c:v>
                </c:pt>
                <c:pt idx="47">
                  <c:v>760</c:v>
                </c:pt>
                <c:pt idx="48">
                  <c:v>770</c:v>
                </c:pt>
                <c:pt idx="49">
                  <c:v>780</c:v>
                </c:pt>
                <c:pt idx="50">
                  <c:v>790</c:v>
                </c:pt>
                <c:pt idx="51">
                  <c:v>800</c:v>
                </c:pt>
                <c:pt idx="52">
                  <c:v>810</c:v>
                </c:pt>
                <c:pt idx="53">
                  <c:v>820</c:v>
                </c:pt>
                <c:pt idx="54">
                  <c:v>830</c:v>
                </c:pt>
                <c:pt idx="55">
                  <c:v>840</c:v>
                </c:pt>
                <c:pt idx="56">
                  <c:v>850</c:v>
                </c:pt>
                <c:pt idx="57">
                  <c:v>860</c:v>
                </c:pt>
                <c:pt idx="58">
                  <c:v>870</c:v>
                </c:pt>
                <c:pt idx="59">
                  <c:v>880</c:v>
                </c:pt>
                <c:pt idx="60">
                  <c:v>890</c:v>
                </c:pt>
                <c:pt idx="61">
                  <c:v>900</c:v>
                </c:pt>
                <c:pt idx="62">
                  <c:v>910</c:v>
                </c:pt>
                <c:pt idx="63">
                  <c:v>920</c:v>
                </c:pt>
                <c:pt idx="64">
                  <c:v>930</c:v>
                </c:pt>
                <c:pt idx="65">
                  <c:v>940</c:v>
                </c:pt>
                <c:pt idx="66">
                  <c:v>950</c:v>
                </c:pt>
                <c:pt idx="67">
                  <c:v>960</c:v>
                </c:pt>
                <c:pt idx="68">
                  <c:v>970</c:v>
                </c:pt>
                <c:pt idx="69">
                  <c:v>980</c:v>
                </c:pt>
                <c:pt idx="70">
                  <c:v>990</c:v>
                </c:pt>
                <c:pt idx="71">
                  <c:v>1000</c:v>
                </c:pt>
                <c:pt idx="72">
                  <c:v>1020</c:v>
                </c:pt>
                <c:pt idx="73">
                  <c:v>1040</c:v>
                </c:pt>
                <c:pt idx="74">
                  <c:v>1060</c:v>
                </c:pt>
                <c:pt idx="75">
                  <c:v>1080</c:v>
                </c:pt>
                <c:pt idx="76">
                  <c:v>1100</c:v>
                </c:pt>
                <c:pt idx="77">
                  <c:v>1120</c:v>
                </c:pt>
                <c:pt idx="78">
                  <c:v>1140</c:v>
                </c:pt>
                <c:pt idx="79">
                  <c:v>1160</c:v>
                </c:pt>
                <c:pt idx="80">
                  <c:v>1180</c:v>
                </c:pt>
                <c:pt idx="81">
                  <c:v>1200</c:v>
                </c:pt>
                <c:pt idx="82">
                  <c:v>1220</c:v>
                </c:pt>
                <c:pt idx="83">
                  <c:v>1240</c:v>
                </c:pt>
                <c:pt idx="84">
                  <c:v>1260</c:v>
                </c:pt>
                <c:pt idx="85">
                  <c:v>1280</c:v>
                </c:pt>
                <c:pt idx="86">
                  <c:v>1300</c:v>
                </c:pt>
                <c:pt idx="87">
                  <c:v>1320</c:v>
                </c:pt>
                <c:pt idx="88">
                  <c:v>1340</c:v>
                </c:pt>
                <c:pt idx="89">
                  <c:v>1360</c:v>
                </c:pt>
                <c:pt idx="90">
                  <c:v>1380</c:v>
                </c:pt>
                <c:pt idx="91">
                  <c:v>1400</c:v>
                </c:pt>
                <c:pt idx="92">
                  <c:v>1420</c:v>
                </c:pt>
                <c:pt idx="93">
                  <c:v>1440</c:v>
                </c:pt>
                <c:pt idx="94">
                  <c:v>1460</c:v>
                </c:pt>
                <c:pt idx="95">
                  <c:v>1480</c:v>
                </c:pt>
                <c:pt idx="96">
                  <c:v>1500</c:v>
                </c:pt>
                <c:pt idx="97">
                  <c:v>1520</c:v>
                </c:pt>
                <c:pt idx="98">
                  <c:v>1540</c:v>
                </c:pt>
                <c:pt idx="99">
                  <c:v>1560</c:v>
                </c:pt>
                <c:pt idx="100">
                  <c:v>1580</c:v>
                </c:pt>
                <c:pt idx="101">
                  <c:v>1600</c:v>
                </c:pt>
                <c:pt idx="102">
                  <c:v>1620</c:v>
                </c:pt>
                <c:pt idx="103">
                  <c:v>1640</c:v>
                </c:pt>
                <c:pt idx="104">
                  <c:v>1660</c:v>
                </c:pt>
                <c:pt idx="105">
                  <c:v>1680</c:v>
                </c:pt>
                <c:pt idx="106">
                  <c:v>1700</c:v>
                </c:pt>
                <c:pt idx="107">
                  <c:v>1720</c:v>
                </c:pt>
                <c:pt idx="108">
                  <c:v>1740</c:v>
                </c:pt>
                <c:pt idx="109">
                  <c:v>1760</c:v>
                </c:pt>
                <c:pt idx="110">
                  <c:v>1780</c:v>
                </c:pt>
                <c:pt idx="111">
                  <c:v>1800</c:v>
                </c:pt>
                <c:pt idx="112">
                  <c:v>1820</c:v>
                </c:pt>
                <c:pt idx="113">
                  <c:v>1840</c:v>
                </c:pt>
                <c:pt idx="114">
                  <c:v>1860</c:v>
                </c:pt>
                <c:pt idx="115">
                  <c:v>1880</c:v>
                </c:pt>
                <c:pt idx="116">
                  <c:v>1900</c:v>
                </c:pt>
                <c:pt idx="117">
                  <c:v>1920</c:v>
                </c:pt>
                <c:pt idx="118">
                  <c:v>1940</c:v>
                </c:pt>
                <c:pt idx="119">
                  <c:v>1960</c:v>
                </c:pt>
                <c:pt idx="120">
                  <c:v>1980</c:v>
                </c:pt>
                <c:pt idx="121">
                  <c:v>2000</c:v>
                </c:pt>
                <c:pt idx="122">
                  <c:v>2050</c:v>
                </c:pt>
                <c:pt idx="123">
                  <c:v>2100</c:v>
                </c:pt>
                <c:pt idx="124">
                  <c:v>2150</c:v>
                </c:pt>
                <c:pt idx="125">
                  <c:v>2200</c:v>
                </c:pt>
                <c:pt idx="126">
                  <c:v>2250</c:v>
                </c:pt>
                <c:pt idx="127">
                  <c:v>2300</c:v>
                </c:pt>
                <c:pt idx="128">
                  <c:v>2350</c:v>
                </c:pt>
                <c:pt idx="129">
                  <c:v>2400</c:v>
                </c:pt>
                <c:pt idx="130">
                  <c:v>2450</c:v>
                </c:pt>
                <c:pt idx="131">
                  <c:v>2500</c:v>
                </c:pt>
                <c:pt idx="132">
                  <c:v>2550</c:v>
                </c:pt>
                <c:pt idx="133">
                  <c:v>2600</c:v>
                </c:pt>
                <c:pt idx="134">
                  <c:v>2650</c:v>
                </c:pt>
                <c:pt idx="135">
                  <c:v>2700</c:v>
                </c:pt>
                <c:pt idx="136">
                  <c:v>2750</c:v>
                </c:pt>
                <c:pt idx="137">
                  <c:v>2800</c:v>
                </c:pt>
                <c:pt idx="138">
                  <c:v>2850</c:v>
                </c:pt>
                <c:pt idx="139">
                  <c:v>2900</c:v>
                </c:pt>
                <c:pt idx="140">
                  <c:v>3000</c:v>
                </c:pt>
              </c:numCache>
            </c:numRef>
          </c:xVal>
          <c:yVal>
            <c:numRef>
              <c:f>CO!$D$7:$D$147</c:f>
              <c:numCache>
                <c:formatCode>General</c:formatCode>
                <c:ptCount val="141"/>
                <c:pt idx="0">
                  <c:v>0</c:v>
                </c:pt>
                <c:pt idx="1">
                  <c:v>5.3999999999999999E-2</c:v>
                </c:pt>
                <c:pt idx="2">
                  <c:v>0.34500000000000003</c:v>
                </c:pt>
                <c:pt idx="3">
                  <c:v>0.63700000000000001</c:v>
                </c:pt>
                <c:pt idx="4">
                  <c:v>0.92800000000000005</c:v>
                </c:pt>
                <c:pt idx="5">
                  <c:v>1.22</c:v>
                </c:pt>
                <c:pt idx="6">
                  <c:v>1.512</c:v>
                </c:pt>
                <c:pt idx="7">
                  <c:v>1.804</c:v>
                </c:pt>
                <c:pt idx="8">
                  <c:v>2.0960000000000001</c:v>
                </c:pt>
                <c:pt idx="9">
                  <c:v>2.3890000000000002</c:v>
                </c:pt>
                <c:pt idx="10">
                  <c:v>2.6819999999999999</c:v>
                </c:pt>
                <c:pt idx="11">
                  <c:v>2.9750000000000001</c:v>
                </c:pt>
                <c:pt idx="12">
                  <c:v>3.2690000000000001</c:v>
                </c:pt>
                <c:pt idx="13">
                  <c:v>3.5630000000000002</c:v>
                </c:pt>
                <c:pt idx="14">
                  <c:v>3.8570000000000002</c:v>
                </c:pt>
                <c:pt idx="15">
                  <c:v>4.1520000000000001</c:v>
                </c:pt>
                <c:pt idx="16">
                  <c:v>4.4470000000000001</c:v>
                </c:pt>
                <c:pt idx="17">
                  <c:v>4.7430000000000003</c:v>
                </c:pt>
                <c:pt idx="18">
                  <c:v>5.0389999999999997</c:v>
                </c:pt>
                <c:pt idx="19">
                  <c:v>5.3360000000000003</c:v>
                </c:pt>
                <c:pt idx="20">
                  <c:v>5.633</c:v>
                </c:pt>
                <c:pt idx="21">
                  <c:v>5.931</c:v>
                </c:pt>
                <c:pt idx="22">
                  <c:v>6.2290000000000001</c:v>
                </c:pt>
                <c:pt idx="23">
                  <c:v>6.5280000000000005</c:v>
                </c:pt>
                <c:pt idx="24">
                  <c:v>6.8280000000000003</c:v>
                </c:pt>
                <c:pt idx="25">
                  <c:v>7.1280000000000001</c:v>
                </c:pt>
                <c:pt idx="26">
                  <c:v>7.4279999999999999</c:v>
                </c:pt>
                <c:pt idx="27">
                  <c:v>7.73</c:v>
                </c:pt>
                <c:pt idx="28">
                  <c:v>8.032</c:v>
                </c:pt>
                <c:pt idx="29">
                  <c:v>8.3339999999999996</c:v>
                </c:pt>
                <c:pt idx="30">
                  <c:v>8.6379999999999999</c:v>
                </c:pt>
                <c:pt idx="31">
                  <c:v>8.9420000000000002</c:v>
                </c:pt>
                <c:pt idx="32">
                  <c:v>9.2460000000000004</c:v>
                </c:pt>
                <c:pt idx="33">
                  <c:v>9.5519999999999996</c:v>
                </c:pt>
                <c:pt idx="34">
                  <c:v>9.8580000000000005</c:v>
                </c:pt>
                <c:pt idx="35">
                  <c:v>10.164</c:v>
                </c:pt>
                <c:pt idx="36">
                  <c:v>10.472</c:v>
                </c:pt>
                <c:pt idx="37">
                  <c:v>10.78</c:v>
                </c:pt>
                <c:pt idx="38">
                  <c:v>11.089</c:v>
                </c:pt>
                <c:pt idx="39">
                  <c:v>11.399000000000001</c:v>
                </c:pt>
                <c:pt idx="40">
                  <c:v>11.709</c:v>
                </c:pt>
                <c:pt idx="41">
                  <c:v>12.021000000000001</c:v>
                </c:pt>
                <c:pt idx="42">
                  <c:v>12.333</c:v>
                </c:pt>
                <c:pt idx="43">
                  <c:v>12.646000000000001</c:v>
                </c:pt>
                <c:pt idx="44">
                  <c:v>12.959</c:v>
                </c:pt>
                <c:pt idx="45">
                  <c:v>13.274000000000001</c:v>
                </c:pt>
                <c:pt idx="46">
                  <c:v>13.589</c:v>
                </c:pt>
                <c:pt idx="47">
                  <c:v>13.904</c:v>
                </c:pt>
                <c:pt idx="48">
                  <c:v>14.221</c:v>
                </c:pt>
                <c:pt idx="49">
                  <c:v>14.539</c:v>
                </c:pt>
                <c:pt idx="50">
                  <c:v>14.857000000000001</c:v>
                </c:pt>
                <c:pt idx="51">
                  <c:v>15.175000000000001</c:v>
                </c:pt>
                <c:pt idx="52">
                  <c:v>15.495000000000001</c:v>
                </c:pt>
                <c:pt idx="53">
                  <c:v>15.814</c:v>
                </c:pt>
                <c:pt idx="54">
                  <c:v>16.134</c:v>
                </c:pt>
                <c:pt idx="55">
                  <c:v>16.455000000000002</c:v>
                </c:pt>
                <c:pt idx="56">
                  <c:v>16.777000000000001</c:v>
                </c:pt>
                <c:pt idx="57">
                  <c:v>17.099</c:v>
                </c:pt>
                <c:pt idx="58">
                  <c:v>17.422000000000001</c:v>
                </c:pt>
                <c:pt idx="59">
                  <c:v>17.745999999999999</c:v>
                </c:pt>
                <c:pt idx="60">
                  <c:v>18.071000000000002</c:v>
                </c:pt>
                <c:pt idx="61">
                  <c:v>18.397000000000002</c:v>
                </c:pt>
                <c:pt idx="62">
                  <c:v>18.722999999999999</c:v>
                </c:pt>
                <c:pt idx="63">
                  <c:v>19.05</c:v>
                </c:pt>
                <c:pt idx="64">
                  <c:v>19.376999999999999</c:v>
                </c:pt>
                <c:pt idx="65">
                  <c:v>19.706</c:v>
                </c:pt>
                <c:pt idx="66">
                  <c:v>20.033999999999999</c:v>
                </c:pt>
                <c:pt idx="67">
                  <c:v>20.364000000000001</c:v>
                </c:pt>
                <c:pt idx="68">
                  <c:v>20.693000000000001</c:v>
                </c:pt>
                <c:pt idx="69">
                  <c:v>21.024000000000001</c:v>
                </c:pt>
                <c:pt idx="70">
                  <c:v>21.355</c:v>
                </c:pt>
                <c:pt idx="71">
                  <c:v>21.686</c:v>
                </c:pt>
                <c:pt idx="72">
                  <c:v>22.350999999999999</c:v>
                </c:pt>
                <c:pt idx="73">
                  <c:v>23.019000000000002</c:v>
                </c:pt>
                <c:pt idx="74">
                  <c:v>23.687999999999999</c:v>
                </c:pt>
                <c:pt idx="75">
                  <c:v>24.36</c:v>
                </c:pt>
                <c:pt idx="76">
                  <c:v>25.033000000000001</c:v>
                </c:pt>
                <c:pt idx="77">
                  <c:v>25.708000000000002</c:v>
                </c:pt>
                <c:pt idx="78">
                  <c:v>26.385000000000002</c:v>
                </c:pt>
                <c:pt idx="79">
                  <c:v>27.064</c:v>
                </c:pt>
                <c:pt idx="80">
                  <c:v>27.737000000000002</c:v>
                </c:pt>
                <c:pt idx="81">
                  <c:v>28.426000000000002</c:v>
                </c:pt>
                <c:pt idx="82">
                  <c:v>29.111000000000001</c:v>
                </c:pt>
                <c:pt idx="83">
                  <c:v>29.797000000000001</c:v>
                </c:pt>
                <c:pt idx="84">
                  <c:v>30.484999999999999</c:v>
                </c:pt>
                <c:pt idx="85">
                  <c:v>31.175000000000001</c:v>
                </c:pt>
                <c:pt idx="86">
                  <c:v>31.865000000000002</c:v>
                </c:pt>
                <c:pt idx="87">
                  <c:v>32.557000000000002</c:v>
                </c:pt>
                <c:pt idx="88">
                  <c:v>33.25</c:v>
                </c:pt>
                <c:pt idx="89">
                  <c:v>33.944000000000003</c:v>
                </c:pt>
                <c:pt idx="90">
                  <c:v>34.64</c:v>
                </c:pt>
                <c:pt idx="91">
                  <c:v>35.358000000000004</c:v>
                </c:pt>
                <c:pt idx="92">
                  <c:v>36.038000000000004</c:v>
                </c:pt>
                <c:pt idx="93">
                  <c:v>36.738999999999997</c:v>
                </c:pt>
                <c:pt idx="94">
                  <c:v>37.441000000000003</c:v>
                </c:pt>
                <c:pt idx="95">
                  <c:v>38.143999999999998</c:v>
                </c:pt>
                <c:pt idx="96">
                  <c:v>38.847999999999999</c:v>
                </c:pt>
                <c:pt idx="97">
                  <c:v>39.552999999999997</c:v>
                </c:pt>
                <c:pt idx="98">
                  <c:v>40.259</c:v>
                </c:pt>
                <c:pt idx="99">
                  <c:v>40.966000000000001</c:v>
                </c:pt>
                <c:pt idx="100">
                  <c:v>41.675000000000004</c:v>
                </c:pt>
                <c:pt idx="101">
                  <c:v>42.384</c:v>
                </c:pt>
                <c:pt idx="102">
                  <c:v>43.094000000000001</c:v>
                </c:pt>
                <c:pt idx="103">
                  <c:v>43.803000000000004</c:v>
                </c:pt>
                <c:pt idx="104">
                  <c:v>44.515000000000001</c:v>
                </c:pt>
                <c:pt idx="105">
                  <c:v>45.225999999999999</c:v>
                </c:pt>
                <c:pt idx="106">
                  <c:v>45.94</c:v>
                </c:pt>
                <c:pt idx="107">
                  <c:v>46.654000000000003</c:v>
                </c:pt>
                <c:pt idx="108">
                  <c:v>47.37</c:v>
                </c:pt>
                <c:pt idx="109">
                  <c:v>48.087000000000003</c:v>
                </c:pt>
                <c:pt idx="110">
                  <c:v>48.804000000000002</c:v>
                </c:pt>
                <c:pt idx="111">
                  <c:v>49.521999999999998</c:v>
                </c:pt>
                <c:pt idx="112">
                  <c:v>50.241</c:v>
                </c:pt>
                <c:pt idx="113">
                  <c:v>50.96</c:v>
                </c:pt>
                <c:pt idx="114">
                  <c:v>51.682000000000002</c:v>
                </c:pt>
                <c:pt idx="115">
                  <c:v>52.402999999999999</c:v>
                </c:pt>
                <c:pt idx="116">
                  <c:v>53.125</c:v>
                </c:pt>
                <c:pt idx="117">
                  <c:v>53.847000000000001</c:v>
                </c:pt>
                <c:pt idx="118">
                  <c:v>54.569000000000003</c:v>
                </c:pt>
                <c:pt idx="119">
                  <c:v>55.292000000000002</c:v>
                </c:pt>
                <c:pt idx="120">
                  <c:v>56.015000000000001</c:v>
                </c:pt>
                <c:pt idx="121">
                  <c:v>56.739000000000004</c:v>
                </c:pt>
                <c:pt idx="122">
                  <c:v>58.555</c:v>
                </c:pt>
                <c:pt idx="123">
                  <c:v>60.375</c:v>
                </c:pt>
                <c:pt idx="124">
                  <c:v>62.195</c:v>
                </c:pt>
                <c:pt idx="125">
                  <c:v>64.019000000000005</c:v>
                </c:pt>
                <c:pt idx="126">
                  <c:v>65.847000000000008</c:v>
                </c:pt>
                <c:pt idx="127">
                  <c:v>67.676000000000002</c:v>
                </c:pt>
                <c:pt idx="128">
                  <c:v>69.509</c:v>
                </c:pt>
                <c:pt idx="129">
                  <c:v>71.346000000000004</c:v>
                </c:pt>
                <c:pt idx="130">
                  <c:v>73.183000000000007</c:v>
                </c:pt>
                <c:pt idx="131">
                  <c:v>75.022999999999996</c:v>
                </c:pt>
                <c:pt idx="132">
                  <c:v>76.867999999999995</c:v>
                </c:pt>
                <c:pt idx="133">
                  <c:v>78.713999999999999</c:v>
                </c:pt>
                <c:pt idx="134">
                  <c:v>80.561000000000007</c:v>
                </c:pt>
                <c:pt idx="135">
                  <c:v>82.408000000000001</c:v>
                </c:pt>
                <c:pt idx="136">
                  <c:v>84.260999999999996</c:v>
                </c:pt>
                <c:pt idx="137">
                  <c:v>86.114999999999995</c:v>
                </c:pt>
                <c:pt idx="138">
                  <c:v>87.97</c:v>
                </c:pt>
                <c:pt idx="139">
                  <c:v>89.826000000000008</c:v>
                </c:pt>
                <c:pt idx="140">
                  <c:v>93.540999999999997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9E1-4BC1-B074-88DC85F8DF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5171520"/>
        <c:axId val="355167992"/>
      </c:scatterChart>
      <c:valAx>
        <c:axId val="355171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167992"/>
        <c:crosses val="autoZero"/>
        <c:crossBetween val="midCat"/>
      </c:valAx>
      <c:valAx>
        <c:axId val="355167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171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Curve Fit Polynominal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8.0326552930883643E-2"/>
                  <c:y val="-5.2925415573053365E-2"/>
                </c:manualLayout>
              </c:layout>
              <c:numFmt formatCode="#,##0.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H2O!$B$7:$B$147</c:f>
              <c:numCache>
                <c:formatCode>General</c:formatCode>
                <c:ptCount val="141"/>
                <c:pt idx="0">
                  <c:v>298</c:v>
                </c:pt>
                <c:pt idx="1">
                  <c:v>300</c:v>
                </c:pt>
                <c:pt idx="2">
                  <c:v>310</c:v>
                </c:pt>
                <c:pt idx="3">
                  <c:v>320</c:v>
                </c:pt>
                <c:pt idx="4">
                  <c:v>330</c:v>
                </c:pt>
                <c:pt idx="5">
                  <c:v>340</c:v>
                </c:pt>
                <c:pt idx="6">
                  <c:v>350</c:v>
                </c:pt>
                <c:pt idx="7">
                  <c:v>360</c:v>
                </c:pt>
                <c:pt idx="8">
                  <c:v>370</c:v>
                </c:pt>
                <c:pt idx="9">
                  <c:v>380</c:v>
                </c:pt>
                <c:pt idx="10">
                  <c:v>390</c:v>
                </c:pt>
                <c:pt idx="11">
                  <c:v>400</c:v>
                </c:pt>
                <c:pt idx="12">
                  <c:v>410</c:v>
                </c:pt>
                <c:pt idx="13">
                  <c:v>420</c:v>
                </c:pt>
                <c:pt idx="14">
                  <c:v>430</c:v>
                </c:pt>
                <c:pt idx="15">
                  <c:v>440</c:v>
                </c:pt>
                <c:pt idx="16">
                  <c:v>450</c:v>
                </c:pt>
                <c:pt idx="17">
                  <c:v>460</c:v>
                </c:pt>
                <c:pt idx="18">
                  <c:v>470</c:v>
                </c:pt>
                <c:pt idx="19">
                  <c:v>480</c:v>
                </c:pt>
                <c:pt idx="20">
                  <c:v>490</c:v>
                </c:pt>
                <c:pt idx="21">
                  <c:v>500</c:v>
                </c:pt>
                <c:pt idx="22">
                  <c:v>510</c:v>
                </c:pt>
                <c:pt idx="23">
                  <c:v>520</c:v>
                </c:pt>
                <c:pt idx="24">
                  <c:v>530</c:v>
                </c:pt>
                <c:pt idx="25">
                  <c:v>540</c:v>
                </c:pt>
                <c:pt idx="26">
                  <c:v>550</c:v>
                </c:pt>
                <c:pt idx="27">
                  <c:v>560</c:v>
                </c:pt>
                <c:pt idx="28">
                  <c:v>570</c:v>
                </c:pt>
                <c:pt idx="29">
                  <c:v>580</c:v>
                </c:pt>
                <c:pt idx="30">
                  <c:v>590</c:v>
                </c:pt>
                <c:pt idx="31">
                  <c:v>600</c:v>
                </c:pt>
                <c:pt idx="32">
                  <c:v>610</c:v>
                </c:pt>
                <c:pt idx="33">
                  <c:v>620</c:v>
                </c:pt>
                <c:pt idx="34">
                  <c:v>630</c:v>
                </c:pt>
                <c:pt idx="35">
                  <c:v>640</c:v>
                </c:pt>
                <c:pt idx="36">
                  <c:v>650</c:v>
                </c:pt>
                <c:pt idx="37">
                  <c:v>660</c:v>
                </c:pt>
                <c:pt idx="38">
                  <c:v>670</c:v>
                </c:pt>
                <c:pt idx="39">
                  <c:v>680</c:v>
                </c:pt>
                <c:pt idx="40">
                  <c:v>690</c:v>
                </c:pt>
                <c:pt idx="41">
                  <c:v>700</c:v>
                </c:pt>
                <c:pt idx="42">
                  <c:v>710</c:v>
                </c:pt>
                <c:pt idx="43">
                  <c:v>720</c:v>
                </c:pt>
                <c:pt idx="44">
                  <c:v>730</c:v>
                </c:pt>
                <c:pt idx="45">
                  <c:v>740</c:v>
                </c:pt>
                <c:pt idx="46">
                  <c:v>750</c:v>
                </c:pt>
                <c:pt idx="47">
                  <c:v>760</c:v>
                </c:pt>
                <c:pt idx="48">
                  <c:v>770</c:v>
                </c:pt>
                <c:pt idx="49">
                  <c:v>780</c:v>
                </c:pt>
                <c:pt idx="50">
                  <c:v>790</c:v>
                </c:pt>
                <c:pt idx="51">
                  <c:v>800</c:v>
                </c:pt>
                <c:pt idx="52">
                  <c:v>810</c:v>
                </c:pt>
                <c:pt idx="53">
                  <c:v>820</c:v>
                </c:pt>
                <c:pt idx="54">
                  <c:v>830</c:v>
                </c:pt>
                <c:pt idx="55">
                  <c:v>840</c:v>
                </c:pt>
                <c:pt idx="56">
                  <c:v>850</c:v>
                </c:pt>
                <c:pt idx="57">
                  <c:v>860</c:v>
                </c:pt>
                <c:pt idx="58">
                  <c:v>870</c:v>
                </c:pt>
                <c:pt idx="59">
                  <c:v>880</c:v>
                </c:pt>
                <c:pt idx="60">
                  <c:v>890</c:v>
                </c:pt>
                <c:pt idx="61">
                  <c:v>900</c:v>
                </c:pt>
                <c:pt idx="62">
                  <c:v>910</c:v>
                </c:pt>
                <c:pt idx="63">
                  <c:v>920</c:v>
                </c:pt>
                <c:pt idx="64">
                  <c:v>930</c:v>
                </c:pt>
                <c:pt idx="65">
                  <c:v>940</c:v>
                </c:pt>
                <c:pt idx="66">
                  <c:v>950</c:v>
                </c:pt>
                <c:pt idx="67">
                  <c:v>960</c:v>
                </c:pt>
                <c:pt idx="68">
                  <c:v>970</c:v>
                </c:pt>
                <c:pt idx="69">
                  <c:v>980</c:v>
                </c:pt>
                <c:pt idx="70">
                  <c:v>990</c:v>
                </c:pt>
                <c:pt idx="71">
                  <c:v>1000</c:v>
                </c:pt>
                <c:pt idx="72">
                  <c:v>1020</c:v>
                </c:pt>
                <c:pt idx="73">
                  <c:v>1040</c:v>
                </c:pt>
                <c:pt idx="74">
                  <c:v>1060</c:v>
                </c:pt>
                <c:pt idx="75">
                  <c:v>1080</c:v>
                </c:pt>
                <c:pt idx="76">
                  <c:v>1100</c:v>
                </c:pt>
                <c:pt idx="77">
                  <c:v>1120</c:v>
                </c:pt>
                <c:pt idx="78">
                  <c:v>1140</c:v>
                </c:pt>
                <c:pt idx="79">
                  <c:v>1160</c:v>
                </c:pt>
                <c:pt idx="80">
                  <c:v>1180</c:v>
                </c:pt>
                <c:pt idx="81">
                  <c:v>1200</c:v>
                </c:pt>
                <c:pt idx="82">
                  <c:v>1220</c:v>
                </c:pt>
                <c:pt idx="83">
                  <c:v>1240</c:v>
                </c:pt>
                <c:pt idx="84">
                  <c:v>1260</c:v>
                </c:pt>
                <c:pt idx="85">
                  <c:v>1280</c:v>
                </c:pt>
                <c:pt idx="86">
                  <c:v>1300</c:v>
                </c:pt>
                <c:pt idx="87">
                  <c:v>1320</c:v>
                </c:pt>
                <c:pt idx="88">
                  <c:v>1340</c:v>
                </c:pt>
                <c:pt idx="89">
                  <c:v>1360</c:v>
                </c:pt>
                <c:pt idx="90">
                  <c:v>1380</c:v>
                </c:pt>
                <c:pt idx="91">
                  <c:v>1400</c:v>
                </c:pt>
                <c:pt idx="92">
                  <c:v>1420</c:v>
                </c:pt>
                <c:pt idx="93">
                  <c:v>1440</c:v>
                </c:pt>
                <c:pt idx="94">
                  <c:v>1460</c:v>
                </c:pt>
                <c:pt idx="95">
                  <c:v>1480</c:v>
                </c:pt>
                <c:pt idx="96">
                  <c:v>1500</c:v>
                </c:pt>
                <c:pt idx="97">
                  <c:v>1520</c:v>
                </c:pt>
                <c:pt idx="98">
                  <c:v>1540</c:v>
                </c:pt>
                <c:pt idx="99">
                  <c:v>1560</c:v>
                </c:pt>
                <c:pt idx="100">
                  <c:v>1580</c:v>
                </c:pt>
                <c:pt idx="101">
                  <c:v>1600</c:v>
                </c:pt>
                <c:pt idx="102">
                  <c:v>1620</c:v>
                </c:pt>
                <c:pt idx="103">
                  <c:v>1640</c:v>
                </c:pt>
                <c:pt idx="104">
                  <c:v>1660</c:v>
                </c:pt>
                <c:pt idx="105">
                  <c:v>1680</c:v>
                </c:pt>
                <c:pt idx="106">
                  <c:v>1700</c:v>
                </c:pt>
                <c:pt idx="107">
                  <c:v>1720</c:v>
                </c:pt>
                <c:pt idx="108">
                  <c:v>1740</c:v>
                </c:pt>
                <c:pt idx="109">
                  <c:v>1760</c:v>
                </c:pt>
                <c:pt idx="110">
                  <c:v>1780</c:v>
                </c:pt>
                <c:pt idx="111">
                  <c:v>1800</c:v>
                </c:pt>
                <c:pt idx="112">
                  <c:v>1820</c:v>
                </c:pt>
                <c:pt idx="113">
                  <c:v>1840</c:v>
                </c:pt>
                <c:pt idx="114">
                  <c:v>1860</c:v>
                </c:pt>
                <c:pt idx="115">
                  <c:v>1880</c:v>
                </c:pt>
                <c:pt idx="116">
                  <c:v>1900</c:v>
                </c:pt>
                <c:pt idx="117">
                  <c:v>1920</c:v>
                </c:pt>
                <c:pt idx="118">
                  <c:v>1940</c:v>
                </c:pt>
                <c:pt idx="119">
                  <c:v>1960</c:v>
                </c:pt>
                <c:pt idx="120">
                  <c:v>1980</c:v>
                </c:pt>
                <c:pt idx="121">
                  <c:v>2000</c:v>
                </c:pt>
                <c:pt idx="122">
                  <c:v>2050</c:v>
                </c:pt>
                <c:pt idx="123">
                  <c:v>2100</c:v>
                </c:pt>
                <c:pt idx="124">
                  <c:v>2150</c:v>
                </c:pt>
                <c:pt idx="125">
                  <c:v>2200</c:v>
                </c:pt>
                <c:pt idx="126">
                  <c:v>2250</c:v>
                </c:pt>
                <c:pt idx="127">
                  <c:v>2300</c:v>
                </c:pt>
                <c:pt idx="128">
                  <c:v>2350</c:v>
                </c:pt>
                <c:pt idx="129">
                  <c:v>2400</c:v>
                </c:pt>
                <c:pt idx="130">
                  <c:v>2450</c:v>
                </c:pt>
                <c:pt idx="131">
                  <c:v>2500</c:v>
                </c:pt>
                <c:pt idx="132">
                  <c:v>2550</c:v>
                </c:pt>
                <c:pt idx="133">
                  <c:v>2600</c:v>
                </c:pt>
                <c:pt idx="134">
                  <c:v>2650</c:v>
                </c:pt>
                <c:pt idx="135">
                  <c:v>2700</c:v>
                </c:pt>
                <c:pt idx="136">
                  <c:v>2750</c:v>
                </c:pt>
                <c:pt idx="137">
                  <c:v>2800</c:v>
                </c:pt>
                <c:pt idx="138">
                  <c:v>2850</c:v>
                </c:pt>
                <c:pt idx="139">
                  <c:v>2900</c:v>
                </c:pt>
                <c:pt idx="140">
                  <c:v>3000</c:v>
                </c:pt>
              </c:numCache>
            </c:numRef>
          </c:xVal>
          <c:yVal>
            <c:numRef>
              <c:f>H2O!$D$7:$D$147</c:f>
              <c:numCache>
                <c:formatCode>General</c:formatCode>
                <c:ptCount val="141"/>
                <c:pt idx="0">
                  <c:v>0</c:v>
                </c:pt>
                <c:pt idx="1">
                  <c:v>6.2E-2</c:v>
                </c:pt>
                <c:pt idx="2">
                  <c:v>0.39800000000000002</c:v>
                </c:pt>
                <c:pt idx="3">
                  <c:v>0.73499999999999999</c:v>
                </c:pt>
                <c:pt idx="4">
                  <c:v>1.0720000000000001</c:v>
                </c:pt>
                <c:pt idx="5">
                  <c:v>1.41</c:v>
                </c:pt>
                <c:pt idx="6">
                  <c:v>1.748</c:v>
                </c:pt>
                <c:pt idx="7">
                  <c:v>2.0880000000000001</c:v>
                </c:pt>
                <c:pt idx="8">
                  <c:v>2.427</c:v>
                </c:pt>
                <c:pt idx="9">
                  <c:v>2.7680000000000002</c:v>
                </c:pt>
                <c:pt idx="10">
                  <c:v>3.11</c:v>
                </c:pt>
                <c:pt idx="11">
                  <c:v>3.452</c:v>
                </c:pt>
                <c:pt idx="12">
                  <c:v>3.7949999999999999</c:v>
                </c:pt>
                <c:pt idx="13">
                  <c:v>4.1390000000000002</c:v>
                </c:pt>
                <c:pt idx="14">
                  <c:v>4.484</c:v>
                </c:pt>
                <c:pt idx="15">
                  <c:v>4.83</c:v>
                </c:pt>
                <c:pt idx="16">
                  <c:v>5.1760000000000002</c:v>
                </c:pt>
                <c:pt idx="17">
                  <c:v>5.524</c:v>
                </c:pt>
                <c:pt idx="18">
                  <c:v>5.8730000000000002</c:v>
                </c:pt>
                <c:pt idx="19">
                  <c:v>6.2220000000000004</c:v>
                </c:pt>
                <c:pt idx="20">
                  <c:v>6.5730000000000004</c:v>
                </c:pt>
                <c:pt idx="21">
                  <c:v>6.9240000000000004</c:v>
                </c:pt>
                <c:pt idx="22">
                  <c:v>7.2770000000000001</c:v>
                </c:pt>
                <c:pt idx="23">
                  <c:v>7.63</c:v>
                </c:pt>
                <c:pt idx="24">
                  <c:v>7.9850000000000003</c:v>
                </c:pt>
                <c:pt idx="25">
                  <c:v>8.3409999999999993</c:v>
                </c:pt>
                <c:pt idx="26">
                  <c:v>8.697000000000001</c:v>
                </c:pt>
                <c:pt idx="27">
                  <c:v>9.0549999999999997</c:v>
                </c:pt>
                <c:pt idx="28">
                  <c:v>9.4139999999999997</c:v>
                </c:pt>
                <c:pt idx="29">
                  <c:v>9.7740000000000009</c:v>
                </c:pt>
                <c:pt idx="30">
                  <c:v>10.135</c:v>
                </c:pt>
                <c:pt idx="31">
                  <c:v>10.497999999999999</c:v>
                </c:pt>
                <c:pt idx="32">
                  <c:v>10.861000000000001</c:v>
                </c:pt>
                <c:pt idx="33">
                  <c:v>11.226000000000001</c:v>
                </c:pt>
                <c:pt idx="34">
                  <c:v>11.591000000000001</c:v>
                </c:pt>
                <c:pt idx="35">
                  <c:v>11.958</c:v>
                </c:pt>
                <c:pt idx="36">
                  <c:v>12.326000000000001</c:v>
                </c:pt>
                <c:pt idx="37">
                  <c:v>12.696</c:v>
                </c:pt>
                <c:pt idx="38">
                  <c:v>13.066000000000001</c:v>
                </c:pt>
                <c:pt idx="39">
                  <c:v>13.438000000000001</c:v>
                </c:pt>
                <c:pt idx="40">
                  <c:v>13.81</c:v>
                </c:pt>
                <c:pt idx="41">
                  <c:v>14.184000000000001</c:v>
                </c:pt>
                <c:pt idx="42">
                  <c:v>14.56</c:v>
                </c:pt>
                <c:pt idx="43">
                  <c:v>14.936</c:v>
                </c:pt>
                <c:pt idx="44">
                  <c:v>15.314</c:v>
                </c:pt>
                <c:pt idx="45">
                  <c:v>15.693</c:v>
                </c:pt>
                <c:pt idx="46">
                  <c:v>16.073</c:v>
                </c:pt>
                <c:pt idx="47">
                  <c:v>16.454000000000001</c:v>
                </c:pt>
                <c:pt idx="48">
                  <c:v>16.837</c:v>
                </c:pt>
                <c:pt idx="49">
                  <c:v>17.221</c:v>
                </c:pt>
                <c:pt idx="50">
                  <c:v>17.606000000000002</c:v>
                </c:pt>
                <c:pt idx="51">
                  <c:v>17.992000000000001</c:v>
                </c:pt>
                <c:pt idx="52">
                  <c:v>18.38</c:v>
                </c:pt>
                <c:pt idx="53">
                  <c:v>18.768000000000001</c:v>
                </c:pt>
                <c:pt idx="54">
                  <c:v>19.158000000000001</c:v>
                </c:pt>
                <c:pt idx="55">
                  <c:v>19.55</c:v>
                </c:pt>
                <c:pt idx="56">
                  <c:v>19.942</c:v>
                </c:pt>
                <c:pt idx="57">
                  <c:v>20.336000000000002</c:v>
                </c:pt>
                <c:pt idx="58">
                  <c:v>20.731000000000002</c:v>
                </c:pt>
                <c:pt idx="59">
                  <c:v>21.128</c:v>
                </c:pt>
                <c:pt idx="60">
                  <c:v>21.525000000000002</c:v>
                </c:pt>
                <c:pt idx="61">
                  <c:v>21.923999999999999</c:v>
                </c:pt>
                <c:pt idx="62">
                  <c:v>22.324000000000002</c:v>
                </c:pt>
                <c:pt idx="63">
                  <c:v>22.725000000000001</c:v>
                </c:pt>
                <c:pt idx="64">
                  <c:v>23.128</c:v>
                </c:pt>
                <c:pt idx="65">
                  <c:v>23.532</c:v>
                </c:pt>
                <c:pt idx="66">
                  <c:v>23.937000000000001</c:v>
                </c:pt>
                <c:pt idx="67">
                  <c:v>24.343</c:v>
                </c:pt>
                <c:pt idx="68">
                  <c:v>24.748999999999999</c:v>
                </c:pt>
                <c:pt idx="69">
                  <c:v>25.157</c:v>
                </c:pt>
                <c:pt idx="70">
                  <c:v>25.568000000000001</c:v>
                </c:pt>
                <c:pt idx="71">
                  <c:v>25.978000000000002</c:v>
                </c:pt>
                <c:pt idx="72">
                  <c:v>26.805</c:v>
                </c:pt>
                <c:pt idx="73">
                  <c:v>27.638000000000002</c:v>
                </c:pt>
                <c:pt idx="74">
                  <c:v>28.475999999999999</c:v>
                </c:pt>
                <c:pt idx="75">
                  <c:v>29.318999999999999</c:v>
                </c:pt>
                <c:pt idx="76">
                  <c:v>30.167000000000002</c:v>
                </c:pt>
                <c:pt idx="77">
                  <c:v>31.019000000000002</c:v>
                </c:pt>
                <c:pt idx="78">
                  <c:v>31.876000000000001</c:v>
                </c:pt>
                <c:pt idx="79">
                  <c:v>32.738</c:v>
                </c:pt>
                <c:pt idx="80">
                  <c:v>33.605000000000004</c:v>
                </c:pt>
                <c:pt idx="81">
                  <c:v>34.475999999999999</c:v>
                </c:pt>
                <c:pt idx="82">
                  <c:v>35.352000000000004</c:v>
                </c:pt>
                <c:pt idx="83">
                  <c:v>36.233000000000004</c:v>
                </c:pt>
                <c:pt idx="84">
                  <c:v>37.118000000000002</c:v>
                </c:pt>
                <c:pt idx="85">
                  <c:v>38.008000000000003</c:v>
                </c:pt>
                <c:pt idx="86">
                  <c:v>38.902999999999999</c:v>
                </c:pt>
                <c:pt idx="87">
                  <c:v>39.803000000000004</c:v>
                </c:pt>
                <c:pt idx="88">
                  <c:v>40.707999999999998</c:v>
                </c:pt>
                <c:pt idx="89">
                  <c:v>41.616999999999997</c:v>
                </c:pt>
                <c:pt idx="90">
                  <c:v>42.53</c:v>
                </c:pt>
                <c:pt idx="91">
                  <c:v>43.447000000000003</c:v>
                </c:pt>
                <c:pt idx="92">
                  <c:v>44.369</c:v>
                </c:pt>
                <c:pt idx="93">
                  <c:v>45.294000000000004</c:v>
                </c:pt>
                <c:pt idx="94">
                  <c:v>46.224000000000004</c:v>
                </c:pt>
                <c:pt idx="95">
                  <c:v>47.158000000000001</c:v>
                </c:pt>
                <c:pt idx="96">
                  <c:v>48.094999999999999</c:v>
                </c:pt>
                <c:pt idx="97">
                  <c:v>49.038000000000004</c:v>
                </c:pt>
                <c:pt idx="98">
                  <c:v>49.984000000000002</c:v>
                </c:pt>
                <c:pt idx="99">
                  <c:v>50.934000000000005</c:v>
                </c:pt>
                <c:pt idx="100">
                  <c:v>51.887999999999998</c:v>
                </c:pt>
                <c:pt idx="101">
                  <c:v>52.844000000000001</c:v>
                </c:pt>
                <c:pt idx="102">
                  <c:v>53.805</c:v>
                </c:pt>
                <c:pt idx="103">
                  <c:v>54.771000000000001</c:v>
                </c:pt>
                <c:pt idx="104">
                  <c:v>55.739000000000004</c:v>
                </c:pt>
                <c:pt idx="105">
                  <c:v>56.71</c:v>
                </c:pt>
                <c:pt idx="106">
                  <c:v>57.685000000000002</c:v>
                </c:pt>
                <c:pt idx="107">
                  <c:v>58.663000000000004</c:v>
                </c:pt>
                <c:pt idx="108">
                  <c:v>59.646000000000001</c:v>
                </c:pt>
                <c:pt idx="109">
                  <c:v>60.631</c:v>
                </c:pt>
                <c:pt idx="110">
                  <c:v>61.619</c:v>
                </c:pt>
                <c:pt idx="111">
                  <c:v>62.609000000000002</c:v>
                </c:pt>
                <c:pt idx="112">
                  <c:v>63.603000000000002</c:v>
                </c:pt>
                <c:pt idx="113">
                  <c:v>64.602000000000004</c:v>
                </c:pt>
                <c:pt idx="114">
                  <c:v>65.602000000000004</c:v>
                </c:pt>
                <c:pt idx="115">
                  <c:v>66.606999999999999</c:v>
                </c:pt>
                <c:pt idx="116">
                  <c:v>67.613</c:v>
                </c:pt>
                <c:pt idx="117">
                  <c:v>68.623000000000005</c:v>
                </c:pt>
                <c:pt idx="118">
                  <c:v>69.635999999999996</c:v>
                </c:pt>
                <c:pt idx="119">
                  <c:v>70.650999999999996</c:v>
                </c:pt>
                <c:pt idx="120">
                  <c:v>71.668999999999997</c:v>
                </c:pt>
                <c:pt idx="121">
                  <c:v>72.689000000000007</c:v>
                </c:pt>
                <c:pt idx="122">
                  <c:v>75.251999999999995</c:v>
                </c:pt>
                <c:pt idx="123">
                  <c:v>77.849000000000004</c:v>
                </c:pt>
                <c:pt idx="124">
                  <c:v>80.426000000000002</c:v>
                </c:pt>
                <c:pt idx="125">
                  <c:v>83.036000000000001</c:v>
                </c:pt>
                <c:pt idx="126">
                  <c:v>85.658000000000001</c:v>
                </c:pt>
                <c:pt idx="127">
                  <c:v>88.295000000000002</c:v>
                </c:pt>
                <c:pt idx="128">
                  <c:v>90.942000000000007</c:v>
                </c:pt>
                <c:pt idx="129">
                  <c:v>93.603999999999999</c:v>
                </c:pt>
                <c:pt idx="130">
                  <c:v>96.278999999999996</c:v>
                </c:pt>
                <c:pt idx="131">
                  <c:v>98.963999999999999</c:v>
                </c:pt>
                <c:pt idx="132">
                  <c:v>101.661</c:v>
                </c:pt>
                <c:pt idx="133">
                  <c:v>104.379</c:v>
                </c:pt>
                <c:pt idx="134">
                  <c:v>107.087</c:v>
                </c:pt>
                <c:pt idx="135">
                  <c:v>109.813</c:v>
                </c:pt>
                <c:pt idx="136">
                  <c:v>112.54900000000001</c:v>
                </c:pt>
                <c:pt idx="137">
                  <c:v>115.294</c:v>
                </c:pt>
                <c:pt idx="138">
                  <c:v>118.048</c:v>
                </c:pt>
                <c:pt idx="139">
                  <c:v>120.813</c:v>
                </c:pt>
                <c:pt idx="140">
                  <c:v>126.36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2AB-45B9-9643-227B1B7CFC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5171128"/>
        <c:axId val="355168384"/>
      </c:scatterChart>
      <c:valAx>
        <c:axId val="355171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168384"/>
        <c:crosses val="autoZero"/>
        <c:crossBetween val="midCat"/>
      </c:valAx>
      <c:valAx>
        <c:axId val="355168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171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H2O</a:t>
            </a:r>
            <a:r>
              <a:rPr lang="en-GB" baseline="0"/>
              <a:t> </a:t>
            </a:r>
            <a:r>
              <a:rPr lang="en-GB"/>
              <a:t>Curve Fit Polynominal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Curve Fit Polynominal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1"/>
            <c:dispEq val="1"/>
            <c:trendlineLbl>
              <c:layout>
                <c:manualLayout>
                  <c:x val="8.0326552930883643E-2"/>
                  <c:y val="-5.2925415573053365E-2"/>
                </c:manualLayout>
              </c:layout>
              <c:numFmt formatCode="#,##0.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H2O!$B$7:$B$147</c:f>
              <c:numCache>
                <c:formatCode>General</c:formatCode>
                <c:ptCount val="141"/>
                <c:pt idx="0">
                  <c:v>298</c:v>
                </c:pt>
                <c:pt idx="1">
                  <c:v>300</c:v>
                </c:pt>
                <c:pt idx="2">
                  <c:v>310</c:v>
                </c:pt>
                <c:pt idx="3">
                  <c:v>320</c:v>
                </c:pt>
                <c:pt idx="4">
                  <c:v>330</c:v>
                </c:pt>
                <c:pt idx="5">
                  <c:v>340</c:v>
                </c:pt>
                <c:pt idx="6">
                  <c:v>350</c:v>
                </c:pt>
                <c:pt idx="7">
                  <c:v>360</c:v>
                </c:pt>
                <c:pt idx="8">
                  <c:v>370</c:v>
                </c:pt>
                <c:pt idx="9">
                  <c:v>380</c:v>
                </c:pt>
                <c:pt idx="10">
                  <c:v>390</c:v>
                </c:pt>
                <c:pt idx="11">
                  <c:v>400</c:v>
                </c:pt>
                <c:pt idx="12">
                  <c:v>410</c:v>
                </c:pt>
                <c:pt idx="13">
                  <c:v>420</c:v>
                </c:pt>
                <c:pt idx="14">
                  <c:v>430</c:v>
                </c:pt>
                <c:pt idx="15">
                  <c:v>440</c:v>
                </c:pt>
                <c:pt idx="16">
                  <c:v>450</c:v>
                </c:pt>
                <c:pt idx="17">
                  <c:v>460</c:v>
                </c:pt>
                <c:pt idx="18">
                  <c:v>470</c:v>
                </c:pt>
                <c:pt idx="19">
                  <c:v>480</c:v>
                </c:pt>
                <c:pt idx="20">
                  <c:v>490</c:v>
                </c:pt>
                <c:pt idx="21">
                  <c:v>500</c:v>
                </c:pt>
                <c:pt idx="22">
                  <c:v>510</c:v>
                </c:pt>
                <c:pt idx="23">
                  <c:v>520</c:v>
                </c:pt>
                <c:pt idx="24">
                  <c:v>530</c:v>
                </c:pt>
                <c:pt idx="25">
                  <c:v>540</c:v>
                </c:pt>
                <c:pt idx="26">
                  <c:v>550</c:v>
                </c:pt>
                <c:pt idx="27">
                  <c:v>560</c:v>
                </c:pt>
                <c:pt idx="28">
                  <c:v>570</c:v>
                </c:pt>
                <c:pt idx="29">
                  <c:v>580</c:v>
                </c:pt>
                <c:pt idx="30">
                  <c:v>590</c:v>
                </c:pt>
                <c:pt idx="31">
                  <c:v>600</c:v>
                </c:pt>
                <c:pt idx="32">
                  <c:v>610</c:v>
                </c:pt>
                <c:pt idx="33">
                  <c:v>620</c:v>
                </c:pt>
                <c:pt idx="34">
                  <c:v>630</c:v>
                </c:pt>
                <c:pt idx="35">
                  <c:v>640</c:v>
                </c:pt>
                <c:pt idx="36">
                  <c:v>650</c:v>
                </c:pt>
                <c:pt idx="37">
                  <c:v>660</c:v>
                </c:pt>
                <c:pt idx="38">
                  <c:v>670</c:v>
                </c:pt>
                <c:pt idx="39">
                  <c:v>680</c:v>
                </c:pt>
                <c:pt idx="40">
                  <c:v>690</c:v>
                </c:pt>
                <c:pt idx="41">
                  <c:v>700</c:v>
                </c:pt>
                <c:pt idx="42">
                  <c:v>710</c:v>
                </c:pt>
                <c:pt idx="43">
                  <c:v>720</c:v>
                </c:pt>
                <c:pt idx="44">
                  <c:v>730</c:v>
                </c:pt>
                <c:pt idx="45">
                  <c:v>740</c:v>
                </c:pt>
                <c:pt idx="46">
                  <c:v>750</c:v>
                </c:pt>
                <c:pt idx="47">
                  <c:v>760</c:v>
                </c:pt>
                <c:pt idx="48">
                  <c:v>770</c:v>
                </c:pt>
                <c:pt idx="49">
                  <c:v>780</c:v>
                </c:pt>
                <c:pt idx="50">
                  <c:v>790</c:v>
                </c:pt>
                <c:pt idx="51">
                  <c:v>800</c:v>
                </c:pt>
                <c:pt idx="52">
                  <c:v>810</c:v>
                </c:pt>
                <c:pt idx="53">
                  <c:v>820</c:v>
                </c:pt>
                <c:pt idx="54">
                  <c:v>830</c:v>
                </c:pt>
                <c:pt idx="55">
                  <c:v>840</c:v>
                </c:pt>
                <c:pt idx="56">
                  <c:v>850</c:v>
                </c:pt>
                <c:pt idx="57">
                  <c:v>860</c:v>
                </c:pt>
                <c:pt idx="58">
                  <c:v>870</c:v>
                </c:pt>
                <c:pt idx="59">
                  <c:v>880</c:v>
                </c:pt>
                <c:pt idx="60">
                  <c:v>890</c:v>
                </c:pt>
                <c:pt idx="61">
                  <c:v>900</c:v>
                </c:pt>
                <c:pt idx="62">
                  <c:v>910</c:v>
                </c:pt>
                <c:pt idx="63">
                  <c:v>920</c:v>
                </c:pt>
                <c:pt idx="64">
                  <c:v>930</c:v>
                </c:pt>
                <c:pt idx="65">
                  <c:v>940</c:v>
                </c:pt>
                <c:pt idx="66">
                  <c:v>950</c:v>
                </c:pt>
                <c:pt idx="67">
                  <c:v>960</c:v>
                </c:pt>
                <c:pt idx="68">
                  <c:v>970</c:v>
                </c:pt>
                <c:pt idx="69">
                  <c:v>980</c:v>
                </c:pt>
                <c:pt idx="70">
                  <c:v>990</c:v>
                </c:pt>
                <c:pt idx="71">
                  <c:v>1000</c:v>
                </c:pt>
                <c:pt idx="72">
                  <c:v>1020</c:v>
                </c:pt>
                <c:pt idx="73">
                  <c:v>1040</c:v>
                </c:pt>
                <c:pt idx="74">
                  <c:v>1060</c:v>
                </c:pt>
                <c:pt idx="75">
                  <c:v>1080</c:v>
                </c:pt>
                <c:pt idx="76">
                  <c:v>1100</c:v>
                </c:pt>
                <c:pt idx="77">
                  <c:v>1120</c:v>
                </c:pt>
                <c:pt idx="78">
                  <c:v>1140</c:v>
                </c:pt>
                <c:pt idx="79">
                  <c:v>1160</c:v>
                </c:pt>
                <c:pt idx="80">
                  <c:v>1180</c:v>
                </c:pt>
                <c:pt idx="81">
                  <c:v>1200</c:v>
                </c:pt>
                <c:pt idx="82">
                  <c:v>1220</c:v>
                </c:pt>
                <c:pt idx="83">
                  <c:v>1240</c:v>
                </c:pt>
                <c:pt idx="84">
                  <c:v>1260</c:v>
                </c:pt>
                <c:pt idx="85">
                  <c:v>1280</c:v>
                </c:pt>
                <c:pt idx="86">
                  <c:v>1300</c:v>
                </c:pt>
                <c:pt idx="87">
                  <c:v>1320</c:v>
                </c:pt>
                <c:pt idx="88">
                  <c:v>1340</c:v>
                </c:pt>
                <c:pt idx="89">
                  <c:v>1360</c:v>
                </c:pt>
                <c:pt idx="90">
                  <c:v>1380</c:v>
                </c:pt>
                <c:pt idx="91">
                  <c:v>1400</c:v>
                </c:pt>
                <c:pt idx="92">
                  <c:v>1420</c:v>
                </c:pt>
                <c:pt idx="93">
                  <c:v>1440</c:v>
                </c:pt>
                <c:pt idx="94">
                  <c:v>1460</c:v>
                </c:pt>
                <c:pt idx="95">
                  <c:v>1480</c:v>
                </c:pt>
                <c:pt idx="96">
                  <c:v>1500</c:v>
                </c:pt>
                <c:pt idx="97">
                  <c:v>1520</c:v>
                </c:pt>
                <c:pt idx="98">
                  <c:v>1540</c:v>
                </c:pt>
                <c:pt idx="99">
                  <c:v>1560</c:v>
                </c:pt>
                <c:pt idx="100">
                  <c:v>1580</c:v>
                </c:pt>
                <c:pt idx="101">
                  <c:v>1600</c:v>
                </c:pt>
                <c:pt idx="102">
                  <c:v>1620</c:v>
                </c:pt>
                <c:pt idx="103">
                  <c:v>1640</c:v>
                </c:pt>
                <c:pt idx="104">
                  <c:v>1660</c:v>
                </c:pt>
                <c:pt idx="105">
                  <c:v>1680</c:v>
                </c:pt>
                <c:pt idx="106">
                  <c:v>1700</c:v>
                </c:pt>
                <c:pt idx="107">
                  <c:v>1720</c:v>
                </c:pt>
                <c:pt idx="108">
                  <c:v>1740</c:v>
                </c:pt>
                <c:pt idx="109">
                  <c:v>1760</c:v>
                </c:pt>
                <c:pt idx="110">
                  <c:v>1780</c:v>
                </c:pt>
                <c:pt idx="111">
                  <c:v>1800</c:v>
                </c:pt>
                <c:pt idx="112">
                  <c:v>1820</c:v>
                </c:pt>
                <c:pt idx="113">
                  <c:v>1840</c:v>
                </c:pt>
                <c:pt idx="114">
                  <c:v>1860</c:v>
                </c:pt>
                <c:pt idx="115">
                  <c:v>1880</c:v>
                </c:pt>
                <c:pt idx="116">
                  <c:v>1900</c:v>
                </c:pt>
                <c:pt idx="117">
                  <c:v>1920</c:v>
                </c:pt>
                <c:pt idx="118">
                  <c:v>1940</c:v>
                </c:pt>
                <c:pt idx="119">
                  <c:v>1960</c:v>
                </c:pt>
                <c:pt idx="120">
                  <c:v>1980</c:v>
                </c:pt>
                <c:pt idx="121">
                  <c:v>2000</c:v>
                </c:pt>
                <c:pt idx="122">
                  <c:v>2050</c:v>
                </c:pt>
                <c:pt idx="123">
                  <c:v>2100</c:v>
                </c:pt>
                <c:pt idx="124">
                  <c:v>2150</c:v>
                </c:pt>
                <c:pt idx="125">
                  <c:v>2200</c:v>
                </c:pt>
                <c:pt idx="126">
                  <c:v>2250</c:v>
                </c:pt>
                <c:pt idx="127">
                  <c:v>2300</c:v>
                </c:pt>
                <c:pt idx="128">
                  <c:v>2350</c:v>
                </c:pt>
                <c:pt idx="129">
                  <c:v>2400</c:v>
                </c:pt>
                <c:pt idx="130">
                  <c:v>2450</c:v>
                </c:pt>
                <c:pt idx="131">
                  <c:v>2500</c:v>
                </c:pt>
                <c:pt idx="132">
                  <c:v>2550</c:v>
                </c:pt>
                <c:pt idx="133">
                  <c:v>2600</c:v>
                </c:pt>
                <c:pt idx="134">
                  <c:v>2650</c:v>
                </c:pt>
                <c:pt idx="135">
                  <c:v>2700</c:v>
                </c:pt>
                <c:pt idx="136">
                  <c:v>2750</c:v>
                </c:pt>
                <c:pt idx="137">
                  <c:v>2800</c:v>
                </c:pt>
                <c:pt idx="138">
                  <c:v>2850</c:v>
                </c:pt>
                <c:pt idx="139">
                  <c:v>2900</c:v>
                </c:pt>
                <c:pt idx="140">
                  <c:v>3000</c:v>
                </c:pt>
              </c:numCache>
            </c:numRef>
          </c:xVal>
          <c:yVal>
            <c:numRef>
              <c:f>H2O!$D$7:$D$147</c:f>
              <c:numCache>
                <c:formatCode>General</c:formatCode>
                <c:ptCount val="141"/>
                <c:pt idx="0">
                  <c:v>0</c:v>
                </c:pt>
                <c:pt idx="1">
                  <c:v>6.2E-2</c:v>
                </c:pt>
                <c:pt idx="2">
                  <c:v>0.39800000000000002</c:v>
                </c:pt>
                <c:pt idx="3">
                  <c:v>0.73499999999999999</c:v>
                </c:pt>
                <c:pt idx="4">
                  <c:v>1.0720000000000001</c:v>
                </c:pt>
                <c:pt idx="5">
                  <c:v>1.41</c:v>
                </c:pt>
                <c:pt idx="6">
                  <c:v>1.748</c:v>
                </c:pt>
                <c:pt idx="7">
                  <c:v>2.0880000000000001</c:v>
                </c:pt>
                <c:pt idx="8">
                  <c:v>2.427</c:v>
                </c:pt>
                <c:pt idx="9">
                  <c:v>2.7680000000000002</c:v>
                </c:pt>
                <c:pt idx="10">
                  <c:v>3.11</c:v>
                </c:pt>
                <c:pt idx="11">
                  <c:v>3.452</c:v>
                </c:pt>
                <c:pt idx="12">
                  <c:v>3.7949999999999999</c:v>
                </c:pt>
                <c:pt idx="13">
                  <c:v>4.1390000000000002</c:v>
                </c:pt>
                <c:pt idx="14">
                  <c:v>4.484</c:v>
                </c:pt>
                <c:pt idx="15">
                  <c:v>4.83</c:v>
                </c:pt>
                <c:pt idx="16">
                  <c:v>5.1760000000000002</c:v>
                </c:pt>
                <c:pt idx="17">
                  <c:v>5.524</c:v>
                </c:pt>
                <c:pt idx="18">
                  <c:v>5.8730000000000002</c:v>
                </c:pt>
                <c:pt idx="19">
                  <c:v>6.2220000000000004</c:v>
                </c:pt>
                <c:pt idx="20">
                  <c:v>6.5730000000000004</c:v>
                </c:pt>
                <c:pt idx="21">
                  <c:v>6.9240000000000004</c:v>
                </c:pt>
                <c:pt idx="22">
                  <c:v>7.2770000000000001</c:v>
                </c:pt>
                <c:pt idx="23">
                  <c:v>7.63</c:v>
                </c:pt>
                <c:pt idx="24">
                  <c:v>7.9850000000000003</c:v>
                </c:pt>
                <c:pt idx="25">
                  <c:v>8.3409999999999993</c:v>
                </c:pt>
                <c:pt idx="26">
                  <c:v>8.697000000000001</c:v>
                </c:pt>
                <c:pt idx="27">
                  <c:v>9.0549999999999997</c:v>
                </c:pt>
                <c:pt idx="28">
                  <c:v>9.4139999999999997</c:v>
                </c:pt>
                <c:pt idx="29">
                  <c:v>9.7740000000000009</c:v>
                </c:pt>
                <c:pt idx="30">
                  <c:v>10.135</c:v>
                </c:pt>
                <c:pt idx="31">
                  <c:v>10.497999999999999</c:v>
                </c:pt>
                <c:pt idx="32">
                  <c:v>10.861000000000001</c:v>
                </c:pt>
                <c:pt idx="33">
                  <c:v>11.226000000000001</c:v>
                </c:pt>
                <c:pt idx="34">
                  <c:v>11.591000000000001</c:v>
                </c:pt>
                <c:pt idx="35">
                  <c:v>11.958</c:v>
                </c:pt>
                <c:pt idx="36">
                  <c:v>12.326000000000001</c:v>
                </c:pt>
                <c:pt idx="37">
                  <c:v>12.696</c:v>
                </c:pt>
                <c:pt idx="38">
                  <c:v>13.066000000000001</c:v>
                </c:pt>
                <c:pt idx="39">
                  <c:v>13.438000000000001</c:v>
                </c:pt>
                <c:pt idx="40">
                  <c:v>13.81</c:v>
                </c:pt>
                <c:pt idx="41">
                  <c:v>14.184000000000001</c:v>
                </c:pt>
                <c:pt idx="42">
                  <c:v>14.56</c:v>
                </c:pt>
                <c:pt idx="43">
                  <c:v>14.936</c:v>
                </c:pt>
                <c:pt idx="44">
                  <c:v>15.314</c:v>
                </c:pt>
                <c:pt idx="45">
                  <c:v>15.693</c:v>
                </c:pt>
                <c:pt idx="46">
                  <c:v>16.073</c:v>
                </c:pt>
                <c:pt idx="47">
                  <c:v>16.454000000000001</c:v>
                </c:pt>
                <c:pt idx="48">
                  <c:v>16.837</c:v>
                </c:pt>
                <c:pt idx="49">
                  <c:v>17.221</c:v>
                </c:pt>
                <c:pt idx="50">
                  <c:v>17.606000000000002</c:v>
                </c:pt>
                <c:pt idx="51">
                  <c:v>17.992000000000001</c:v>
                </c:pt>
                <c:pt idx="52">
                  <c:v>18.38</c:v>
                </c:pt>
                <c:pt idx="53">
                  <c:v>18.768000000000001</c:v>
                </c:pt>
                <c:pt idx="54">
                  <c:v>19.158000000000001</c:v>
                </c:pt>
                <c:pt idx="55">
                  <c:v>19.55</c:v>
                </c:pt>
                <c:pt idx="56">
                  <c:v>19.942</c:v>
                </c:pt>
                <c:pt idx="57">
                  <c:v>20.336000000000002</c:v>
                </c:pt>
                <c:pt idx="58">
                  <c:v>20.731000000000002</c:v>
                </c:pt>
                <c:pt idx="59">
                  <c:v>21.128</c:v>
                </c:pt>
                <c:pt idx="60">
                  <c:v>21.525000000000002</c:v>
                </c:pt>
                <c:pt idx="61">
                  <c:v>21.923999999999999</c:v>
                </c:pt>
                <c:pt idx="62">
                  <c:v>22.324000000000002</c:v>
                </c:pt>
                <c:pt idx="63">
                  <c:v>22.725000000000001</c:v>
                </c:pt>
                <c:pt idx="64">
                  <c:v>23.128</c:v>
                </c:pt>
                <c:pt idx="65">
                  <c:v>23.532</c:v>
                </c:pt>
                <c:pt idx="66">
                  <c:v>23.937000000000001</c:v>
                </c:pt>
                <c:pt idx="67">
                  <c:v>24.343</c:v>
                </c:pt>
                <c:pt idx="68">
                  <c:v>24.748999999999999</c:v>
                </c:pt>
                <c:pt idx="69">
                  <c:v>25.157</c:v>
                </c:pt>
                <c:pt idx="70">
                  <c:v>25.568000000000001</c:v>
                </c:pt>
                <c:pt idx="71">
                  <c:v>25.978000000000002</c:v>
                </c:pt>
                <c:pt idx="72">
                  <c:v>26.805</c:v>
                </c:pt>
                <c:pt idx="73">
                  <c:v>27.638000000000002</c:v>
                </c:pt>
                <c:pt idx="74">
                  <c:v>28.475999999999999</c:v>
                </c:pt>
                <c:pt idx="75">
                  <c:v>29.318999999999999</c:v>
                </c:pt>
                <c:pt idx="76">
                  <c:v>30.167000000000002</c:v>
                </c:pt>
                <c:pt idx="77">
                  <c:v>31.019000000000002</c:v>
                </c:pt>
                <c:pt idx="78">
                  <c:v>31.876000000000001</c:v>
                </c:pt>
                <c:pt idx="79">
                  <c:v>32.738</c:v>
                </c:pt>
                <c:pt idx="80">
                  <c:v>33.605000000000004</c:v>
                </c:pt>
                <c:pt idx="81">
                  <c:v>34.475999999999999</c:v>
                </c:pt>
                <c:pt idx="82">
                  <c:v>35.352000000000004</c:v>
                </c:pt>
                <c:pt idx="83">
                  <c:v>36.233000000000004</c:v>
                </c:pt>
                <c:pt idx="84">
                  <c:v>37.118000000000002</c:v>
                </c:pt>
                <c:pt idx="85">
                  <c:v>38.008000000000003</c:v>
                </c:pt>
                <c:pt idx="86">
                  <c:v>38.902999999999999</c:v>
                </c:pt>
                <c:pt idx="87">
                  <c:v>39.803000000000004</c:v>
                </c:pt>
                <c:pt idx="88">
                  <c:v>40.707999999999998</c:v>
                </c:pt>
                <c:pt idx="89">
                  <c:v>41.616999999999997</c:v>
                </c:pt>
                <c:pt idx="90">
                  <c:v>42.53</c:v>
                </c:pt>
                <c:pt idx="91">
                  <c:v>43.447000000000003</c:v>
                </c:pt>
                <c:pt idx="92">
                  <c:v>44.369</c:v>
                </c:pt>
                <c:pt idx="93">
                  <c:v>45.294000000000004</c:v>
                </c:pt>
                <c:pt idx="94">
                  <c:v>46.224000000000004</c:v>
                </c:pt>
                <c:pt idx="95">
                  <c:v>47.158000000000001</c:v>
                </c:pt>
                <c:pt idx="96">
                  <c:v>48.094999999999999</c:v>
                </c:pt>
                <c:pt idx="97">
                  <c:v>49.038000000000004</c:v>
                </c:pt>
                <c:pt idx="98">
                  <c:v>49.984000000000002</c:v>
                </c:pt>
                <c:pt idx="99">
                  <c:v>50.934000000000005</c:v>
                </c:pt>
                <c:pt idx="100">
                  <c:v>51.887999999999998</c:v>
                </c:pt>
                <c:pt idx="101">
                  <c:v>52.844000000000001</c:v>
                </c:pt>
                <c:pt idx="102">
                  <c:v>53.805</c:v>
                </c:pt>
                <c:pt idx="103">
                  <c:v>54.771000000000001</c:v>
                </c:pt>
                <c:pt idx="104">
                  <c:v>55.739000000000004</c:v>
                </c:pt>
                <c:pt idx="105">
                  <c:v>56.71</c:v>
                </c:pt>
                <c:pt idx="106">
                  <c:v>57.685000000000002</c:v>
                </c:pt>
                <c:pt idx="107">
                  <c:v>58.663000000000004</c:v>
                </c:pt>
                <c:pt idx="108">
                  <c:v>59.646000000000001</c:v>
                </c:pt>
                <c:pt idx="109">
                  <c:v>60.631</c:v>
                </c:pt>
                <c:pt idx="110">
                  <c:v>61.619</c:v>
                </c:pt>
                <c:pt idx="111">
                  <c:v>62.609000000000002</c:v>
                </c:pt>
                <c:pt idx="112">
                  <c:v>63.603000000000002</c:v>
                </c:pt>
                <c:pt idx="113">
                  <c:v>64.602000000000004</c:v>
                </c:pt>
                <c:pt idx="114">
                  <c:v>65.602000000000004</c:v>
                </c:pt>
                <c:pt idx="115">
                  <c:v>66.606999999999999</c:v>
                </c:pt>
                <c:pt idx="116">
                  <c:v>67.613</c:v>
                </c:pt>
                <c:pt idx="117">
                  <c:v>68.623000000000005</c:v>
                </c:pt>
                <c:pt idx="118">
                  <c:v>69.635999999999996</c:v>
                </c:pt>
                <c:pt idx="119">
                  <c:v>70.650999999999996</c:v>
                </c:pt>
                <c:pt idx="120">
                  <c:v>71.668999999999997</c:v>
                </c:pt>
                <c:pt idx="121">
                  <c:v>72.689000000000007</c:v>
                </c:pt>
                <c:pt idx="122">
                  <c:v>75.251999999999995</c:v>
                </c:pt>
                <c:pt idx="123">
                  <c:v>77.849000000000004</c:v>
                </c:pt>
                <c:pt idx="124">
                  <c:v>80.426000000000002</c:v>
                </c:pt>
                <c:pt idx="125">
                  <c:v>83.036000000000001</c:v>
                </c:pt>
                <c:pt idx="126">
                  <c:v>85.658000000000001</c:v>
                </c:pt>
                <c:pt idx="127">
                  <c:v>88.295000000000002</c:v>
                </c:pt>
                <c:pt idx="128">
                  <c:v>90.942000000000007</c:v>
                </c:pt>
                <c:pt idx="129">
                  <c:v>93.603999999999999</c:v>
                </c:pt>
                <c:pt idx="130">
                  <c:v>96.278999999999996</c:v>
                </c:pt>
                <c:pt idx="131">
                  <c:v>98.963999999999999</c:v>
                </c:pt>
                <c:pt idx="132">
                  <c:v>101.661</c:v>
                </c:pt>
                <c:pt idx="133">
                  <c:v>104.379</c:v>
                </c:pt>
                <c:pt idx="134">
                  <c:v>107.087</c:v>
                </c:pt>
                <c:pt idx="135">
                  <c:v>109.813</c:v>
                </c:pt>
                <c:pt idx="136">
                  <c:v>112.54900000000001</c:v>
                </c:pt>
                <c:pt idx="137">
                  <c:v>115.294</c:v>
                </c:pt>
                <c:pt idx="138">
                  <c:v>118.048</c:v>
                </c:pt>
                <c:pt idx="139">
                  <c:v>120.813</c:v>
                </c:pt>
                <c:pt idx="140">
                  <c:v>126.36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C98-4921-99F7-1BBB4F6A4B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5166032"/>
        <c:axId val="355165640"/>
      </c:scatterChart>
      <c:valAx>
        <c:axId val="355166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165640"/>
        <c:crosses val="autoZero"/>
        <c:crossBetween val="midCat"/>
      </c:valAx>
      <c:valAx>
        <c:axId val="355165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1660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Curve Fit Polynominal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8.0326552930883643E-2"/>
                  <c:y val="-5.2925415573053365E-2"/>
                </c:manualLayout>
              </c:layout>
              <c:numFmt formatCode="#,##0.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'N2'!$B$7:$B$147</c:f>
              <c:numCache>
                <c:formatCode>General</c:formatCode>
                <c:ptCount val="141"/>
                <c:pt idx="0">
                  <c:v>298</c:v>
                </c:pt>
                <c:pt idx="1">
                  <c:v>300</c:v>
                </c:pt>
                <c:pt idx="2">
                  <c:v>310</c:v>
                </c:pt>
                <c:pt idx="3">
                  <c:v>320</c:v>
                </c:pt>
                <c:pt idx="4">
                  <c:v>330</c:v>
                </c:pt>
                <c:pt idx="5">
                  <c:v>340</c:v>
                </c:pt>
                <c:pt idx="6">
                  <c:v>350</c:v>
                </c:pt>
                <c:pt idx="7">
                  <c:v>360</c:v>
                </c:pt>
                <c:pt idx="8">
                  <c:v>370</c:v>
                </c:pt>
                <c:pt idx="9">
                  <c:v>380</c:v>
                </c:pt>
                <c:pt idx="10">
                  <c:v>390</c:v>
                </c:pt>
                <c:pt idx="11">
                  <c:v>400</c:v>
                </c:pt>
                <c:pt idx="12">
                  <c:v>410</c:v>
                </c:pt>
                <c:pt idx="13">
                  <c:v>420</c:v>
                </c:pt>
                <c:pt idx="14">
                  <c:v>430</c:v>
                </c:pt>
                <c:pt idx="15">
                  <c:v>440</c:v>
                </c:pt>
                <c:pt idx="16">
                  <c:v>450</c:v>
                </c:pt>
                <c:pt idx="17">
                  <c:v>460</c:v>
                </c:pt>
                <c:pt idx="18">
                  <c:v>470</c:v>
                </c:pt>
                <c:pt idx="19">
                  <c:v>480</c:v>
                </c:pt>
                <c:pt idx="20">
                  <c:v>490</c:v>
                </c:pt>
                <c:pt idx="21">
                  <c:v>500</c:v>
                </c:pt>
                <c:pt idx="22">
                  <c:v>510</c:v>
                </c:pt>
                <c:pt idx="23">
                  <c:v>520</c:v>
                </c:pt>
                <c:pt idx="24">
                  <c:v>530</c:v>
                </c:pt>
                <c:pt idx="25">
                  <c:v>540</c:v>
                </c:pt>
                <c:pt idx="26">
                  <c:v>550</c:v>
                </c:pt>
                <c:pt idx="27">
                  <c:v>560</c:v>
                </c:pt>
                <c:pt idx="28">
                  <c:v>570</c:v>
                </c:pt>
                <c:pt idx="29">
                  <c:v>580</c:v>
                </c:pt>
                <c:pt idx="30">
                  <c:v>590</c:v>
                </c:pt>
                <c:pt idx="31">
                  <c:v>600</c:v>
                </c:pt>
                <c:pt idx="32">
                  <c:v>610</c:v>
                </c:pt>
                <c:pt idx="33">
                  <c:v>620</c:v>
                </c:pt>
                <c:pt idx="34">
                  <c:v>630</c:v>
                </c:pt>
                <c:pt idx="35">
                  <c:v>640</c:v>
                </c:pt>
                <c:pt idx="36">
                  <c:v>650</c:v>
                </c:pt>
                <c:pt idx="37">
                  <c:v>660</c:v>
                </c:pt>
                <c:pt idx="38">
                  <c:v>670</c:v>
                </c:pt>
                <c:pt idx="39">
                  <c:v>680</c:v>
                </c:pt>
                <c:pt idx="40">
                  <c:v>690</c:v>
                </c:pt>
                <c:pt idx="41">
                  <c:v>700</c:v>
                </c:pt>
                <c:pt idx="42">
                  <c:v>710</c:v>
                </c:pt>
                <c:pt idx="43">
                  <c:v>720</c:v>
                </c:pt>
                <c:pt idx="44">
                  <c:v>730</c:v>
                </c:pt>
                <c:pt idx="45">
                  <c:v>740</c:v>
                </c:pt>
                <c:pt idx="46">
                  <c:v>750</c:v>
                </c:pt>
                <c:pt idx="47">
                  <c:v>760</c:v>
                </c:pt>
                <c:pt idx="48">
                  <c:v>770</c:v>
                </c:pt>
                <c:pt idx="49">
                  <c:v>780</c:v>
                </c:pt>
                <c:pt idx="50">
                  <c:v>790</c:v>
                </c:pt>
                <c:pt idx="51">
                  <c:v>800</c:v>
                </c:pt>
                <c:pt idx="52">
                  <c:v>810</c:v>
                </c:pt>
                <c:pt idx="53">
                  <c:v>820</c:v>
                </c:pt>
                <c:pt idx="54">
                  <c:v>830</c:v>
                </c:pt>
                <c:pt idx="55">
                  <c:v>840</c:v>
                </c:pt>
                <c:pt idx="56">
                  <c:v>850</c:v>
                </c:pt>
                <c:pt idx="57">
                  <c:v>860</c:v>
                </c:pt>
                <c:pt idx="58">
                  <c:v>870</c:v>
                </c:pt>
                <c:pt idx="59">
                  <c:v>880</c:v>
                </c:pt>
                <c:pt idx="60">
                  <c:v>890</c:v>
                </c:pt>
                <c:pt idx="61">
                  <c:v>900</c:v>
                </c:pt>
                <c:pt idx="62">
                  <c:v>910</c:v>
                </c:pt>
                <c:pt idx="63">
                  <c:v>920</c:v>
                </c:pt>
                <c:pt idx="64">
                  <c:v>930</c:v>
                </c:pt>
                <c:pt idx="65">
                  <c:v>940</c:v>
                </c:pt>
                <c:pt idx="66">
                  <c:v>950</c:v>
                </c:pt>
                <c:pt idx="67">
                  <c:v>960</c:v>
                </c:pt>
                <c:pt idx="68">
                  <c:v>970</c:v>
                </c:pt>
                <c:pt idx="69">
                  <c:v>980</c:v>
                </c:pt>
                <c:pt idx="70">
                  <c:v>990</c:v>
                </c:pt>
                <c:pt idx="71">
                  <c:v>1000</c:v>
                </c:pt>
                <c:pt idx="72">
                  <c:v>1020</c:v>
                </c:pt>
                <c:pt idx="73">
                  <c:v>1040</c:v>
                </c:pt>
                <c:pt idx="74">
                  <c:v>1060</c:v>
                </c:pt>
                <c:pt idx="75">
                  <c:v>1080</c:v>
                </c:pt>
                <c:pt idx="76">
                  <c:v>1100</c:v>
                </c:pt>
                <c:pt idx="77">
                  <c:v>1120</c:v>
                </c:pt>
                <c:pt idx="78">
                  <c:v>1140</c:v>
                </c:pt>
                <c:pt idx="79">
                  <c:v>1160</c:v>
                </c:pt>
                <c:pt idx="80">
                  <c:v>1180</c:v>
                </c:pt>
                <c:pt idx="81">
                  <c:v>1200</c:v>
                </c:pt>
                <c:pt idx="82">
                  <c:v>1220</c:v>
                </c:pt>
                <c:pt idx="83">
                  <c:v>1240</c:v>
                </c:pt>
                <c:pt idx="84">
                  <c:v>1260</c:v>
                </c:pt>
                <c:pt idx="85">
                  <c:v>1280</c:v>
                </c:pt>
                <c:pt idx="86">
                  <c:v>1300</c:v>
                </c:pt>
                <c:pt idx="87">
                  <c:v>1320</c:v>
                </c:pt>
                <c:pt idx="88">
                  <c:v>1340</c:v>
                </c:pt>
                <c:pt idx="89">
                  <c:v>1360</c:v>
                </c:pt>
                <c:pt idx="90">
                  <c:v>1380</c:v>
                </c:pt>
                <c:pt idx="91">
                  <c:v>1400</c:v>
                </c:pt>
                <c:pt idx="92">
                  <c:v>1420</c:v>
                </c:pt>
                <c:pt idx="93">
                  <c:v>1440</c:v>
                </c:pt>
                <c:pt idx="94">
                  <c:v>1460</c:v>
                </c:pt>
                <c:pt idx="95">
                  <c:v>1480</c:v>
                </c:pt>
                <c:pt idx="96">
                  <c:v>1500</c:v>
                </c:pt>
                <c:pt idx="97">
                  <c:v>1520</c:v>
                </c:pt>
                <c:pt idx="98">
                  <c:v>1540</c:v>
                </c:pt>
                <c:pt idx="99">
                  <c:v>1560</c:v>
                </c:pt>
                <c:pt idx="100">
                  <c:v>1580</c:v>
                </c:pt>
                <c:pt idx="101">
                  <c:v>1600</c:v>
                </c:pt>
                <c:pt idx="102">
                  <c:v>1620</c:v>
                </c:pt>
                <c:pt idx="103">
                  <c:v>1640</c:v>
                </c:pt>
                <c:pt idx="104">
                  <c:v>1660</c:v>
                </c:pt>
                <c:pt idx="105">
                  <c:v>1680</c:v>
                </c:pt>
                <c:pt idx="106">
                  <c:v>1700</c:v>
                </c:pt>
                <c:pt idx="107">
                  <c:v>1720</c:v>
                </c:pt>
                <c:pt idx="108">
                  <c:v>1740</c:v>
                </c:pt>
                <c:pt idx="109">
                  <c:v>1760</c:v>
                </c:pt>
                <c:pt idx="110">
                  <c:v>1780</c:v>
                </c:pt>
                <c:pt idx="111">
                  <c:v>1800</c:v>
                </c:pt>
                <c:pt idx="112">
                  <c:v>1820</c:v>
                </c:pt>
                <c:pt idx="113">
                  <c:v>1840</c:v>
                </c:pt>
                <c:pt idx="114">
                  <c:v>1860</c:v>
                </c:pt>
                <c:pt idx="115">
                  <c:v>1880</c:v>
                </c:pt>
                <c:pt idx="116">
                  <c:v>1900</c:v>
                </c:pt>
                <c:pt idx="117">
                  <c:v>1920</c:v>
                </c:pt>
                <c:pt idx="118">
                  <c:v>1940</c:v>
                </c:pt>
                <c:pt idx="119">
                  <c:v>1960</c:v>
                </c:pt>
                <c:pt idx="120">
                  <c:v>1980</c:v>
                </c:pt>
                <c:pt idx="121">
                  <c:v>2000</c:v>
                </c:pt>
                <c:pt idx="122">
                  <c:v>2050</c:v>
                </c:pt>
                <c:pt idx="123">
                  <c:v>2100</c:v>
                </c:pt>
                <c:pt idx="124">
                  <c:v>2150</c:v>
                </c:pt>
                <c:pt idx="125">
                  <c:v>2200</c:v>
                </c:pt>
                <c:pt idx="126">
                  <c:v>2250</c:v>
                </c:pt>
                <c:pt idx="127">
                  <c:v>2300</c:v>
                </c:pt>
                <c:pt idx="128">
                  <c:v>2350</c:v>
                </c:pt>
                <c:pt idx="129">
                  <c:v>2400</c:v>
                </c:pt>
                <c:pt idx="130">
                  <c:v>2450</c:v>
                </c:pt>
                <c:pt idx="131">
                  <c:v>2500</c:v>
                </c:pt>
                <c:pt idx="132">
                  <c:v>2550</c:v>
                </c:pt>
                <c:pt idx="133">
                  <c:v>2600</c:v>
                </c:pt>
                <c:pt idx="134">
                  <c:v>2650</c:v>
                </c:pt>
                <c:pt idx="135">
                  <c:v>2700</c:v>
                </c:pt>
                <c:pt idx="136">
                  <c:v>2750</c:v>
                </c:pt>
                <c:pt idx="137">
                  <c:v>2800</c:v>
                </c:pt>
                <c:pt idx="138">
                  <c:v>2850</c:v>
                </c:pt>
                <c:pt idx="139">
                  <c:v>2900</c:v>
                </c:pt>
                <c:pt idx="140">
                  <c:v>3000</c:v>
                </c:pt>
              </c:numCache>
            </c:numRef>
          </c:xVal>
          <c:yVal>
            <c:numRef>
              <c:f>'N2'!$D$7:$D$147</c:f>
              <c:numCache>
                <c:formatCode>General</c:formatCode>
                <c:ptCount val="141"/>
                <c:pt idx="0">
                  <c:v>0</c:v>
                </c:pt>
                <c:pt idx="1">
                  <c:v>5.3999999999999999E-2</c:v>
                </c:pt>
                <c:pt idx="2">
                  <c:v>0.34500000000000003</c:v>
                </c:pt>
                <c:pt idx="3">
                  <c:v>0.63700000000000001</c:v>
                </c:pt>
                <c:pt idx="4">
                  <c:v>0.92800000000000005</c:v>
                </c:pt>
                <c:pt idx="5">
                  <c:v>1.2190000000000001</c:v>
                </c:pt>
                <c:pt idx="6">
                  <c:v>1.5110000000000001</c:v>
                </c:pt>
                <c:pt idx="7">
                  <c:v>1.802</c:v>
                </c:pt>
                <c:pt idx="8">
                  <c:v>2.0939999999999999</c:v>
                </c:pt>
                <c:pt idx="9">
                  <c:v>2.3860000000000001</c:v>
                </c:pt>
                <c:pt idx="10">
                  <c:v>2.6779999999999999</c:v>
                </c:pt>
                <c:pt idx="11">
                  <c:v>2.9710000000000001</c:v>
                </c:pt>
                <c:pt idx="12">
                  <c:v>3.2629999999999999</c:v>
                </c:pt>
                <c:pt idx="13">
                  <c:v>3.556</c:v>
                </c:pt>
                <c:pt idx="14">
                  <c:v>3.8490000000000002</c:v>
                </c:pt>
                <c:pt idx="15">
                  <c:v>4.1420000000000003</c:v>
                </c:pt>
                <c:pt idx="16">
                  <c:v>4.4359999999999999</c:v>
                </c:pt>
                <c:pt idx="17">
                  <c:v>4.7300000000000004</c:v>
                </c:pt>
                <c:pt idx="18">
                  <c:v>5.024</c:v>
                </c:pt>
                <c:pt idx="19">
                  <c:v>5.319</c:v>
                </c:pt>
                <c:pt idx="20">
                  <c:v>5.6160000000000005</c:v>
                </c:pt>
                <c:pt idx="21">
                  <c:v>5.9119999999999999</c:v>
                </c:pt>
                <c:pt idx="22">
                  <c:v>6.2069999999999999</c:v>
                </c:pt>
                <c:pt idx="23">
                  <c:v>6.5030000000000001</c:v>
                </c:pt>
                <c:pt idx="24">
                  <c:v>6.8</c:v>
                </c:pt>
                <c:pt idx="25">
                  <c:v>7.0970000000000004</c:v>
                </c:pt>
                <c:pt idx="26">
                  <c:v>7.3950000000000005</c:v>
                </c:pt>
                <c:pt idx="27">
                  <c:v>7.694</c:v>
                </c:pt>
                <c:pt idx="28">
                  <c:v>7.9930000000000003</c:v>
                </c:pt>
                <c:pt idx="29">
                  <c:v>8.293000000000001</c:v>
                </c:pt>
                <c:pt idx="30">
                  <c:v>8.593</c:v>
                </c:pt>
                <c:pt idx="34">
                  <c:v>9.7989999999999995</c:v>
                </c:pt>
                <c:pt idx="35">
                  <c:v>10.103</c:v>
                </c:pt>
                <c:pt idx="36">
                  <c:v>10.406000000000001</c:v>
                </c:pt>
                <c:pt idx="37">
                  <c:v>10.711</c:v>
                </c:pt>
                <c:pt idx="38">
                  <c:v>11.016</c:v>
                </c:pt>
                <c:pt idx="39">
                  <c:v>11.322000000000001</c:v>
                </c:pt>
                <c:pt idx="40">
                  <c:v>11.628</c:v>
                </c:pt>
                <c:pt idx="41">
                  <c:v>11.935</c:v>
                </c:pt>
                <c:pt idx="42">
                  <c:v>12.243</c:v>
                </c:pt>
                <c:pt idx="43">
                  <c:v>12.551</c:v>
                </c:pt>
                <c:pt idx="44">
                  <c:v>12.86</c:v>
                </c:pt>
                <c:pt idx="45">
                  <c:v>13.17</c:v>
                </c:pt>
                <c:pt idx="46">
                  <c:v>13.48</c:v>
                </c:pt>
                <c:pt idx="47">
                  <c:v>13.791</c:v>
                </c:pt>
                <c:pt idx="48">
                  <c:v>14.103</c:v>
                </c:pt>
                <c:pt idx="49">
                  <c:v>14.416</c:v>
                </c:pt>
                <c:pt idx="50">
                  <c:v>14.729000000000001</c:v>
                </c:pt>
                <c:pt idx="51">
                  <c:v>15.045</c:v>
                </c:pt>
                <c:pt idx="52">
                  <c:v>15.358000000000001</c:v>
                </c:pt>
                <c:pt idx="53">
                  <c:v>15.673</c:v>
                </c:pt>
                <c:pt idx="54">
                  <c:v>15.989000000000001</c:v>
                </c:pt>
                <c:pt idx="55">
                  <c:v>16.305</c:v>
                </c:pt>
                <c:pt idx="56">
                  <c:v>16.623000000000001</c:v>
                </c:pt>
                <c:pt idx="57">
                  <c:v>16.940999999999999</c:v>
                </c:pt>
                <c:pt idx="58">
                  <c:v>17.259</c:v>
                </c:pt>
                <c:pt idx="59">
                  <c:v>17.579000000000001</c:v>
                </c:pt>
                <c:pt idx="60">
                  <c:v>17.899000000000001</c:v>
                </c:pt>
                <c:pt idx="61">
                  <c:v>18.221</c:v>
                </c:pt>
                <c:pt idx="62">
                  <c:v>18.541</c:v>
                </c:pt>
                <c:pt idx="63">
                  <c:v>18.863</c:v>
                </c:pt>
                <c:pt idx="64">
                  <c:v>19.184999999999999</c:v>
                </c:pt>
                <c:pt idx="65">
                  <c:v>19.509</c:v>
                </c:pt>
                <c:pt idx="66">
                  <c:v>19.832000000000001</c:v>
                </c:pt>
                <c:pt idx="67">
                  <c:v>20.157</c:v>
                </c:pt>
                <c:pt idx="68">
                  <c:v>20.481999999999999</c:v>
                </c:pt>
                <c:pt idx="69">
                  <c:v>20.807000000000002</c:v>
                </c:pt>
                <c:pt idx="70">
                  <c:v>21.134</c:v>
                </c:pt>
                <c:pt idx="72">
                  <c:v>22.115000000000002</c:v>
                </c:pt>
                <c:pt idx="73">
                  <c:v>22.773</c:v>
                </c:pt>
                <c:pt idx="74">
                  <c:v>23.432000000000002</c:v>
                </c:pt>
                <c:pt idx="75">
                  <c:v>24.093</c:v>
                </c:pt>
                <c:pt idx="76">
                  <c:v>24.757000000000001</c:v>
                </c:pt>
                <c:pt idx="77">
                  <c:v>25.423000000000002</c:v>
                </c:pt>
                <c:pt idx="78">
                  <c:v>26.091000000000001</c:v>
                </c:pt>
                <c:pt idx="79">
                  <c:v>26.760999999999999</c:v>
                </c:pt>
                <c:pt idx="80">
                  <c:v>27.435000000000002</c:v>
                </c:pt>
                <c:pt idx="81">
                  <c:v>28.108000000000001</c:v>
                </c:pt>
                <c:pt idx="82">
                  <c:v>28.783000000000001</c:v>
                </c:pt>
                <c:pt idx="83">
                  <c:v>29.46</c:v>
                </c:pt>
                <c:pt idx="84">
                  <c:v>30.138000000000002</c:v>
                </c:pt>
                <c:pt idx="85">
                  <c:v>30.818999999999999</c:v>
                </c:pt>
                <c:pt idx="86">
                  <c:v>31.501000000000001</c:v>
                </c:pt>
                <c:pt idx="87">
                  <c:v>32.183999999999997</c:v>
                </c:pt>
                <c:pt idx="88">
                  <c:v>32.869999999999997</c:v>
                </c:pt>
                <c:pt idx="89">
                  <c:v>33.558</c:v>
                </c:pt>
                <c:pt idx="90">
                  <c:v>34.246000000000002</c:v>
                </c:pt>
                <c:pt idx="91">
                  <c:v>34.936</c:v>
                </c:pt>
                <c:pt idx="92">
                  <c:v>35.625999999999998</c:v>
                </c:pt>
                <c:pt idx="93">
                  <c:v>36.319000000000003</c:v>
                </c:pt>
                <c:pt idx="94">
                  <c:v>37.012999999999998</c:v>
                </c:pt>
                <c:pt idx="95">
                  <c:v>37.707999999999998</c:v>
                </c:pt>
                <c:pt idx="96">
                  <c:v>38.404000000000003</c:v>
                </c:pt>
                <c:pt idx="97">
                  <c:v>39.102000000000004</c:v>
                </c:pt>
                <c:pt idx="98">
                  <c:v>39.801000000000002</c:v>
                </c:pt>
                <c:pt idx="99">
                  <c:v>40.499000000000002</c:v>
                </c:pt>
                <c:pt idx="100">
                  <c:v>41.2</c:v>
                </c:pt>
                <c:pt idx="101">
                  <c:v>41.902000000000001</c:v>
                </c:pt>
                <c:pt idx="102">
                  <c:v>42.606000000000002</c:v>
                </c:pt>
                <c:pt idx="103">
                  <c:v>43.311</c:v>
                </c:pt>
                <c:pt idx="104">
                  <c:v>44.017000000000003</c:v>
                </c:pt>
                <c:pt idx="105">
                  <c:v>44.724000000000004</c:v>
                </c:pt>
                <c:pt idx="106">
                  <c:v>45.43</c:v>
                </c:pt>
                <c:pt idx="107">
                  <c:v>46.137999999999998</c:v>
                </c:pt>
                <c:pt idx="108">
                  <c:v>46.847000000000001</c:v>
                </c:pt>
                <c:pt idx="110">
                  <c:v>48.268999999999998</c:v>
                </c:pt>
                <c:pt idx="111">
                  <c:v>48.981999999999999</c:v>
                </c:pt>
                <c:pt idx="112">
                  <c:v>49.694000000000003</c:v>
                </c:pt>
                <c:pt idx="113">
                  <c:v>50.405999999999999</c:v>
                </c:pt>
                <c:pt idx="114">
                  <c:v>51.121000000000002</c:v>
                </c:pt>
                <c:pt idx="115">
                  <c:v>51.835000000000001</c:v>
                </c:pt>
                <c:pt idx="116">
                  <c:v>52.551000000000002</c:v>
                </c:pt>
                <c:pt idx="117">
                  <c:v>53.267000000000003</c:v>
                </c:pt>
                <c:pt idx="118">
                  <c:v>53.984999999999999</c:v>
                </c:pt>
                <c:pt idx="119">
                  <c:v>54.712000000000003</c:v>
                </c:pt>
                <c:pt idx="120">
                  <c:v>55.420999999999999</c:v>
                </c:pt>
                <c:pt idx="121">
                  <c:v>56.140999999999998</c:v>
                </c:pt>
                <c:pt idx="122">
                  <c:v>57.942999999999998</c:v>
                </c:pt>
                <c:pt idx="123">
                  <c:v>59.748000000000005</c:v>
                </c:pt>
                <c:pt idx="124">
                  <c:v>61.557000000000002</c:v>
                </c:pt>
                <c:pt idx="125">
                  <c:v>63.371000000000002</c:v>
                </c:pt>
                <c:pt idx="126">
                  <c:v>65.186999999999998</c:v>
                </c:pt>
                <c:pt idx="127">
                  <c:v>67.007000000000005</c:v>
                </c:pt>
                <c:pt idx="128">
                  <c:v>68.826999999999998</c:v>
                </c:pt>
                <c:pt idx="129">
                  <c:v>70.650999999999996</c:v>
                </c:pt>
                <c:pt idx="130">
                  <c:v>72.48</c:v>
                </c:pt>
                <c:pt idx="131">
                  <c:v>74.311999999999998</c:v>
                </c:pt>
                <c:pt idx="132">
                  <c:v>76.144999999999996</c:v>
                </c:pt>
                <c:pt idx="133">
                  <c:v>77.980999999999995</c:v>
                </c:pt>
                <c:pt idx="134">
                  <c:v>79.819000000000003</c:v>
                </c:pt>
                <c:pt idx="135">
                  <c:v>81.659000000000006</c:v>
                </c:pt>
                <c:pt idx="136">
                  <c:v>83.501999999999995</c:v>
                </c:pt>
                <c:pt idx="137">
                  <c:v>85.344999999999999</c:v>
                </c:pt>
                <c:pt idx="138">
                  <c:v>87.19</c:v>
                </c:pt>
                <c:pt idx="139">
                  <c:v>89.036000000000001</c:v>
                </c:pt>
                <c:pt idx="140">
                  <c:v>92.738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F12-49E4-A291-FC3BE25AC0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5168776"/>
        <c:axId val="355169168"/>
      </c:scatterChart>
      <c:valAx>
        <c:axId val="355168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169168"/>
        <c:crosses val="autoZero"/>
        <c:crossBetween val="midCat"/>
      </c:valAx>
      <c:valAx>
        <c:axId val="355169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168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N2</a:t>
            </a:r>
            <a:r>
              <a:rPr lang="en-US" baseline="0"/>
              <a:t> </a:t>
            </a:r>
            <a:r>
              <a:rPr lang="en-US"/>
              <a:t>Curve Fit Polynominal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Curve Fit Polynominal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1"/>
            <c:dispEq val="1"/>
            <c:trendlineLbl>
              <c:layout>
                <c:manualLayout>
                  <c:x val="8.0326552930883643E-2"/>
                  <c:y val="-5.2925415573053365E-2"/>
                </c:manualLayout>
              </c:layout>
              <c:numFmt formatCode="#,##0.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'N2'!$B$7:$B$147</c:f>
              <c:numCache>
                <c:formatCode>General</c:formatCode>
                <c:ptCount val="141"/>
                <c:pt idx="0">
                  <c:v>298</c:v>
                </c:pt>
                <c:pt idx="1">
                  <c:v>300</c:v>
                </c:pt>
                <c:pt idx="2">
                  <c:v>310</c:v>
                </c:pt>
                <c:pt idx="3">
                  <c:v>320</c:v>
                </c:pt>
                <c:pt idx="4">
                  <c:v>330</c:v>
                </c:pt>
                <c:pt idx="5">
                  <c:v>340</c:v>
                </c:pt>
                <c:pt idx="6">
                  <c:v>350</c:v>
                </c:pt>
                <c:pt idx="7">
                  <c:v>360</c:v>
                </c:pt>
                <c:pt idx="8">
                  <c:v>370</c:v>
                </c:pt>
                <c:pt idx="9">
                  <c:v>380</c:v>
                </c:pt>
                <c:pt idx="10">
                  <c:v>390</c:v>
                </c:pt>
                <c:pt idx="11">
                  <c:v>400</c:v>
                </c:pt>
                <c:pt idx="12">
                  <c:v>410</c:v>
                </c:pt>
                <c:pt idx="13">
                  <c:v>420</c:v>
                </c:pt>
                <c:pt idx="14">
                  <c:v>430</c:v>
                </c:pt>
                <c:pt idx="15">
                  <c:v>440</c:v>
                </c:pt>
                <c:pt idx="16">
                  <c:v>450</c:v>
                </c:pt>
                <c:pt idx="17">
                  <c:v>460</c:v>
                </c:pt>
                <c:pt idx="18">
                  <c:v>470</c:v>
                </c:pt>
                <c:pt idx="19">
                  <c:v>480</c:v>
                </c:pt>
                <c:pt idx="20">
                  <c:v>490</c:v>
                </c:pt>
                <c:pt idx="21">
                  <c:v>500</c:v>
                </c:pt>
                <c:pt idx="22">
                  <c:v>510</c:v>
                </c:pt>
                <c:pt idx="23">
                  <c:v>520</c:v>
                </c:pt>
                <c:pt idx="24">
                  <c:v>530</c:v>
                </c:pt>
                <c:pt idx="25">
                  <c:v>540</c:v>
                </c:pt>
                <c:pt idx="26">
                  <c:v>550</c:v>
                </c:pt>
                <c:pt idx="27">
                  <c:v>560</c:v>
                </c:pt>
                <c:pt idx="28">
                  <c:v>570</c:v>
                </c:pt>
                <c:pt idx="29">
                  <c:v>580</c:v>
                </c:pt>
                <c:pt idx="30">
                  <c:v>590</c:v>
                </c:pt>
                <c:pt idx="31">
                  <c:v>600</c:v>
                </c:pt>
                <c:pt idx="32">
                  <c:v>610</c:v>
                </c:pt>
                <c:pt idx="33">
                  <c:v>620</c:v>
                </c:pt>
                <c:pt idx="34">
                  <c:v>630</c:v>
                </c:pt>
                <c:pt idx="35">
                  <c:v>640</c:v>
                </c:pt>
                <c:pt idx="36">
                  <c:v>650</c:v>
                </c:pt>
                <c:pt idx="37">
                  <c:v>660</c:v>
                </c:pt>
                <c:pt idx="38">
                  <c:v>670</c:v>
                </c:pt>
                <c:pt idx="39">
                  <c:v>680</c:v>
                </c:pt>
                <c:pt idx="40">
                  <c:v>690</c:v>
                </c:pt>
                <c:pt idx="41">
                  <c:v>700</c:v>
                </c:pt>
                <c:pt idx="42">
                  <c:v>710</c:v>
                </c:pt>
                <c:pt idx="43">
                  <c:v>720</c:v>
                </c:pt>
                <c:pt idx="44">
                  <c:v>730</c:v>
                </c:pt>
                <c:pt idx="45">
                  <c:v>740</c:v>
                </c:pt>
                <c:pt idx="46">
                  <c:v>750</c:v>
                </c:pt>
                <c:pt idx="47">
                  <c:v>760</c:v>
                </c:pt>
                <c:pt idx="48">
                  <c:v>770</c:v>
                </c:pt>
                <c:pt idx="49">
                  <c:v>780</c:v>
                </c:pt>
                <c:pt idx="50">
                  <c:v>790</c:v>
                </c:pt>
                <c:pt idx="51">
                  <c:v>800</c:v>
                </c:pt>
                <c:pt idx="52">
                  <c:v>810</c:v>
                </c:pt>
                <c:pt idx="53">
                  <c:v>820</c:v>
                </c:pt>
                <c:pt idx="54">
                  <c:v>830</c:v>
                </c:pt>
                <c:pt idx="55">
                  <c:v>840</c:v>
                </c:pt>
                <c:pt idx="56">
                  <c:v>850</c:v>
                </c:pt>
                <c:pt idx="57">
                  <c:v>860</c:v>
                </c:pt>
                <c:pt idx="58">
                  <c:v>870</c:v>
                </c:pt>
                <c:pt idx="59">
                  <c:v>880</c:v>
                </c:pt>
                <c:pt idx="60">
                  <c:v>890</c:v>
                </c:pt>
                <c:pt idx="61">
                  <c:v>900</c:v>
                </c:pt>
                <c:pt idx="62">
                  <c:v>910</c:v>
                </c:pt>
                <c:pt idx="63">
                  <c:v>920</c:v>
                </c:pt>
                <c:pt idx="64">
                  <c:v>930</c:v>
                </c:pt>
                <c:pt idx="65">
                  <c:v>940</c:v>
                </c:pt>
                <c:pt idx="66">
                  <c:v>950</c:v>
                </c:pt>
                <c:pt idx="67">
                  <c:v>960</c:v>
                </c:pt>
                <c:pt idx="68">
                  <c:v>970</c:v>
                </c:pt>
                <c:pt idx="69">
                  <c:v>980</c:v>
                </c:pt>
                <c:pt idx="70">
                  <c:v>990</c:v>
                </c:pt>
                <c:pt idx="71">
                  <c:v>1000</c:v>
                </c:pt>
                <c:pt idx="72">
                  <c:v>1020</c:v>
                </c:pt>
                <c:pt idx="73">
                  <c:v>1040</c:v>
                </c:pt>
                <c:pt idx="74">
                  <c:v>1060</c:v>
                </c:pt>
                <c:pt idx="75">
                  <c:v>1080</c:v>
                </c:pt>
                <c:pt idx="76">
                  <c:v>1100</c:v>
                </c:pt>
                <c:pt idx="77">
                  <c:v>1120</c:v>
                </c:pt>
                <c:pt idx="78">
                  <c:v>1140</c:v>
                </c:pt>
                <c:pt idx="79">
                  <c:v>1160</c:v>
                </c:pt>
                <c:pt idx="80">
                  <c:v>1180</c:v>
                </c:pt>
                <c:pt idx="81">
                  <c:v>1200</c:v>
                </c:pt>
                <c:pt idx="82">
                  <c:v>1220</c:v>
                </c:pt>
                <c:pt idx="83">
                  <c:v>1240</c:v>
                </c:pt>
                <c:pt idx="84">
                  <c:v>1260</c:v>
                </c:pt>
                <c:pt idx="85">
                  <c:v>1280</c:v>
                </c:pt>
                <c:pt idx="86">
                  <c:v>1300</c:v>
                </c:pt>
                <c:pt idx="87">
                  <c:v>1320</c:v>
                </c:pt>
                <c:pt idx="88">
                  <c:v>1340</c:v>
                </c:pt>
                <c:pt idx="89">
                  <c:v>1360</c:v>
                </c:pt>
                <c:pt idx="90">
                  <c:v>1380</c:v>
                </c:pt>
                <c:pt idx="91">
                  <c:v>1400</c:v>
                </c:pt>
                <c:pt idx="92">
                  <c:v>1420</c:v>
                </c:pt>
                <c:pt idx="93">
                  <c:v>1440</c:v>
                </c:pt>
                <c:pt idx="94">
                  <c:v>1460</c:v>
                </c:pt>
                <c:pt idx="95">
                  <c:v>1480</c:v>
                </c:pt>
                <c:pt idx="96">
                  <c:v>1500</c:v>
                </c:pt>
                <c:pt idx="97">
                  <c:v>1520</c:v>
                </c:pt>
                <c:pt idx="98">
                  <c:v>1540</c:v>
                </c:pt>
                <c:pt idx="99">
                  <c:v>1560</c:v>
                </c:pt>
                <c:pt idx="100">
                  <c:v>1580</c:v>
                </c:pt>
                <c:pt idx="101">
                  <c:v>1600</c:v>
                </c:pt>
                <c:pt idx="102">
                  <c:v>1620</c:v>
                </c:pt>
                <c:pt idx="103">
                  <c:v>1640</c:v>
                </c:pt>
                <c:pt idx="104">
                  <c:v>1660</c:v>
                </c:pt>
                <c:pt idx="105">
                  <c:v>1680</c:v>
                </c:pt>
                <c:pt idx="106">
                  <c:v>1700</c:v>
                </c:pt>
                <c:pt idx="107">
                  <c:v>1720</c:v>
                </c:pt>
                <c:pt idx="108">
                  <c:v>1740</c:v>
                </c:pt>
                <c:pt idx="109">
                  <c:v>1760</c:v>
                </c:pt>
                <c:pt idx="110">
                  <c:v>1780</c:v>
                </c:pt>
                <c:pt idx="111">
                  <c:v>1800</c:v>
                </c:pt>
                <c:pt idx="112">
                  <c:v>1820</c:v>
                </c:pt>
                <c:pt idx="113">
                  <c:v>1840</c:v>
                </c:pt>
                <c:pt idx="114">
                  <c:v>1860</c:v>
                </c:pt>
                <c:pt idx="115">
                  <c:v>1880</c:v>
                </c:pt>
                <c:pt idx="116">
                  <c:v>1900</c:v>
                </c:pt>
                <c:pt idx="117">
                  <c:v>1920</c:v>
                </c:pt>
                <c:pt idx="118">
                  <c:v>1940</c:v>
                </c:pt>
                <c:pt idx="119">
                  <c:v>1960</c:v>
                </c:pt>
                <c:pt idx="120">
                  <c:v>1980</c:v>
                </c:pt>
                <c:pt idx="121">
                  <c:v>2000</c:v>
                </c:pt>
                <c:pt idx="122">
                  <c:v>2050</c:v>
                </c:pt>
                <c:pt idx="123">
                  <c:v>2100</c:v>
                </c:pt>
                <c:pt idx="124">
                  <c:v>2150</c:v>
                </c:pt>
                <c:pt idx="125">
                  <c:v>2200</c:v>
                </c:pt>
                <c:pt idx="126">
                  <c:v>2250</c:v>
                </c:pt>
                <c:pt idx="127">
                  <c:v>2300</c:v>
                </c:pt>
                <c:pt idx="128">
                  <c:v>2350</c:v>
                </c:pt>
                <c:pt idx="129">
                  <c:v>2400</c:v>
                </c:pt>
                <c:pt idx="130">
                  <c:v>2450</c:v>
                </c:pt>
                <c:pt idx="131">
                  <c:v>2500</c:v>
                </c:pt>
                <c:pt idx="132">
                  <c:v>2550</c:v>
                </c:pt>
                <c:pt idx="133">
                  <c:v>2600</c:v>
                </c:pt>
                <c:pt idx="134">
                  <c:v>2650</c:v>
                </c:pt>
                <c:pt idx="135">
                  <c:v>2700</c:v>
                </c:pt>
                <c:pt idx="136">
                  <c:v>2750</c:v>
                </c:pt>
                <c:pt idx="137">
                  <c:v>2800</c:v>
                </c:pt>
                <c:pt idx="138">
                  <c:v>2850</c:v>
                </c:pt>
                <c:pt idx="139">
                  <c:v>2900</c:v>
                </c:pt>
                <c:pt idx="140">
                  <c:v>3000</c:v>
                </c:pt>
              </c:numCache>
            </c:numRef>
          </c:xVal>
          <c:yVal>
            <c:numRef>
              <c:f>'N2'!$D$7:$D$147</c:f>
              <c:numCache>
                <c:formatCode>General</c:formatCode>
                <c:ptCount val="141"/>
                <c:pt idx="0">
                  <c:v>0</c:v>
                </c:pt>
                <c:pt idx="1">
                  <c:v>5.3999999999999999E-2</c:v>
                </c:pt>
                <c:pt idx="2">
                  <c:v>0.34500000000000003</c:v>
                </c:pt>
                <c:pt idx="3">
                  <c:v>0.63700000000000001</c:v>
                </c:pt>
                <c:pt idx="4">
                  <c:v>0.92800000000000005</c:v>
                </c:pt>
                <c:pt idx="5">
                  <c:v>1.2190000000000001</c:v>
                </c:pt>
                <c:pt idx="6">
                  <c:v>1.5110000000000001</c:v>
                </c:pt>
                <c:pt idx="7">
                  <c:v>1.802</c:v>
                </c:pt>
                <c:pt idx="8">
                  <c:v>2.0939999999999999</c:v>
                </c:pt>
                <c:pt idx="9">
                  <c:v>2.3860000000000001</c:v>
                </c:pt>
                <c:pt idx="10">
                  <c:v>2.6779999999999999</c:v>
                </c:pt>
                <c:pt idx="11">
                  <c:v>2.9710000000000001</c:v>
                </c:pt>
                <c:pt idx="12">
                  <c:v>3.2629999999999999</c:v>
                </c:pt>
                <c:pt idx="13">
                  <c:v>3.556</c:v>
                </c:pt>
                <c:pt idx="14">
                  <c:v>3.8490000000000002</c:v>
                </c:pt>
                <c:pt idx="15">
                  <c:v>4.1420000000000003</c:v>
                </c:pt>
                <c:pt idx="16">
                  <c:v>4.4359999999999999</c:v>
                </c:pt>
                <c:pt idx="17">
                  <c:v>4.7300000000000004</c:v>
                </c:pt>
                <c:pt idx="18">
                  <c:v>5.024</c:v>
                </c:pt>
                <c:pt idx="19">
                  <c:v>5.319</c:v>
                </c:pt>
                <c:pt idx="20">
                  <c:v>5.6160000000000005</c:v>
                </c:pt>
                <c:pt idx="21">
                  <c:v>5.9119999999999999</c:v>
                </c:pt>
                <c:pt idx="22">
                  <c:v>6.2069999999999999</c:v>
                </c:pt>
                <c:pt idx="23">
                  <c:v>6.5030000000000001</c:v>
                </c:pt>
                <c:pt idx="24">
                  <c:v>6.8</c:v>
                </c:pt>
                <c:pt idx="25">
                  <c:v>7.0970000000000004</c:v>
                </c:pt>
                <c:pt idx="26">
                  <c:v>7.3950000000000005</c:v>
                </c:pt>
                <c:pt idx="27">
                  <c:v>7.694</c:v>
                </c:pt>
                <c:pt idx="28">
                  <c:v>7.9930000000000003</c:v>
                </c:pt>
                <c:pt idx="29">
                  <c:v>8.293000000000001</c:v>
                </c:pt>
                <c:pt idx="30">
                  <c:v>8.593</c:v>
                </c:pt>
                <c:pt idx="34">
                  <c:v>9.7989999999999995</c:v>
                </c:pt>
                <c:pt idx="35">
                  <c:v>10.103</c:v>
                </c:pt>
                <c:pt idx="36">
                  <c:v>10.406000000000001</c:v>
                </c:pt>
                <c:pt idx="37">
                  <c:v>10.711</c:v>
                </c:pt>
                <c:pt idx="38">
                  <c:v>11.016</c:v>
                </c:pt>
                <c:pt idx="39">
                  <c:v>11.322000000000001</c:v>
                </c:pt>
                <c:pt idx="40">
                  <c:v>11.628</c:v>
                </c:pt>
                <c:pt idx="41">
                  <c:v>11.935</c:v>
                </c:pt>
                <c:pt idx="42">
                  <c:v>12.243</c:v>
                </c:pt>
                <c:pt idx="43">
                  <c:v>12.551</c:v>
                </c:pt>
                <c:pt idx="44">
                  <c:v>12.86</c:v>
                </c:pt>
                <c:pt idx="45">
                  <c:v>13.17</c:v>
                </c:pt>
                <c:pt idx="46">
                  <c:v>13.48</c:v>
                </c:pt>
                <c:pt idx="47">
                  <c:v>13.791</c:v>
                </c:pt>
                <c:pt idx="48">
                  <c:v>14.103</c:v>
                </c:pt>
                <c:pt idx="49">
                  <c:v>14.416</c:v>
                </c:pt>
                <c:pt idx="50">
                  <c:v>14.729000000000001</c:v>
                </c:pt>
                <c:pt idx="51">
                  <c:v>15.045</c:v>
                </c:pt>
                <c:pt idx="52">
                  <c:v>15.358000000000001</c:v>
                </c:pt>
                <c:pt idx="53">
                  <c:v>15.673</c:v>
                </c:pt>
                <c:pt idx="54">
                  <c:v>15.989000000000001</c:v>
                </c:pt>
                <c:pt idx="55">
                  <c:v>16.305</c:v>
                </c:pt>
                <c:pt idx="56">
                  <c:v>16.623000000000001</c:v>
                </c:pt>
                <c:pt idx="57">
                  <c:v>16.940999999999999</c:v>
                </c:pt>
                <c:pt idx="58">
                  <c:v>17.259</c:v>
                </c:pt>
                <c:pt idx="59">
                  <c:v>17.579000000000001</c:v>
                </c:pt>
                <c:pt idx="60">
                  <c:v>17.899000000000001</c:v>
                </c:pt>
                <c:pt idx="61">
                  <c:v>18.221</c:v>
                </c:pt>
                <c:pt idx="62">
                  <c:v>18.541</c:v>
                </c:pt>
                <c:pt idx="63">
                  <c:v>18.863</c:v>
                </c:pt>
                <c:pt idx="64">
                  <c:v>19.184999999999999</c:v>
                </c:pt>
                <c:pt idx="65">
                  <c:v>19.509</c:v>
                </c:pt>
                <c:pt idx="66">
                  <c:v>19.832000000000001</c:v>
                </c:pt>
                <c:pt idx="67">
                  <c:v>20.157</c:v>
                </c:pt>
                <c:pt idx="68">
                  <c:v>20.481999999999999</c:v>
                </c:pt>
                <c:pt idx="69">
                  <c:v>20.807000000000002</c:v>
                </c:pt>
                <c:pt idx="70">
                  <c:v>21.134</c:v>
                </c:pt>
                <c:pt idx="72">
                  <c:v>22.115000000000002</c:v>
                </c:pt>
                <c:pt idx="73">
                  <c:v>22.773</c:v>
                </c:pt>
                <c:pt idx="74">
                  <c:v>23.432000000000002</c:v>
                </c:pt>
                <c:pt idx="75">
                  <c:v>24.093</c:v>
                </c:pt>
                <c:pt idx="76">
                  <c:v>24.757000000000001</c:v>
                </c:pt>
                <c:pt idx="77">
                  <c:v>25.423000000000002</c:v>
                </c:pt>
                <c:pt idx="78">
                  <c:v>26.091000000000001</c:v>
                </c:pt>
                <c:pt idx="79">
                  <c:v>26.760999999999999</c:v>
                </c:pt>
                <c:pt idx="80">
                  <c:v>27.435000000000002</c:v>
                </c:pt>
                <c:pt idx="81">
                  <c:v>28.108000000000001</c:v>
                </c:pt>
                <c:pt idx="82">
                  <c:v>28.783000000000001</c:v>
                </c:pt>
                <c:pt idx="83">
                  <c:v>29.46</c:v>
                </c:pt>
                <c:pt idx="84">
                  <c:v>30.138000000000002</c:v>
                </c:pt>
                <c:pt idx="85">
                  <c:v>30.818999999999999</c:v>
                </c:pt>
                <c:pt idx="86">
                  <c:v>31.501000000000001</c:v>
                </c:pt>
                <c:pt idx="87">
                  <c:v>32.183999999999997</c:v>
                </c:pt>
                <c:pt idx="88">
                  <c:v>32.869999999999997</c:v>
                </c:pt>
                <c:pt idx="89">
                  <c:v>33.558</c:v>
                </c:pt>
                <c:pt idx="90">
                  <c:v>34.246000000000002</c:v>
                </c:pt>
                <c:pt idx="91">
                  <c:v>34.936</c:v>
                </c:pt>
                <c:pt idx="92">
                  <c:v>35.625999999999998</c:v>
                </c:pt>
                <c:pt idx="93">
                  <c:v>36.319000000000003</c:v>
                </c:pt>
                <c:pt idx="94">
                  <c:v>37.012999999999998</c:v>
                </c:pt>
                <c:pt idx="95">
                  <c:v>37.707999999999998</c:v>
                </c:pt>
                <c:pt idx="96">
                  <c:v>38.404000000000003</c:v>
                </c:pt>
                <c:pt idx="97">
                  <c:v>39.102000000000004</c:v>
                </c:pt>
                <c:pt idx="98">
                  <c:v>39.801000000000002</c:v>
                </c:pt>
                <c:pt idx="99">
                  <c:v>40.499000000000002</c:v>
                </c:pt>
                <c:pt idx="100">
                  <c:v>41.2</c:v>
                </c:pt>
                <c:pt idx="101">
                  <c:v>41.902000000000001</c:v>
                </c:pt>
                <c:pt idx="102">
                  <c:v>42.606000000000002</c:v>
                </c:pt>
                <c:pt idx="103">
                  <c:v>43.311</c:v>
                </c:pt>
                <c:pt idx="104">
                  <c:v>44.017000000000003</c:v>
                </c:pt>
                <c:pt idx="105">
                  <c:v>44.724000000000004</c:v>
                </c:pt>
                <c:pt idx="106">
                  <c:v>45.43</c:v>
                </c:pt>
                <c:pt idx="107">
                  <c:v>46.137999999999998</c:v>
                </c:pt>
                <c:pt idx="108">
                  <c:v>46.847000000000001</c:v>
                </c:pt>
                <c:pt idx="110">
                  <c:v>48.268999999999998</c:v>
                </c:pt>
                <c:pt idx="111">
                  <c:v>48.981999999999999</c:v>
                </c:pt>
                <c:pt idx="112">
                  <c:v>49.694000000000003</c:v>
                </c:pt>
                <c:pt idx="113">
                  <c:v>50.405999999999999</c:v>
                </c:pt>
                <c:pt idx="114">
                  <c:v>51.121000000000002</c:v>
                </c:pt>
                <c:pt idx="115">
                  <c:v>51.835000000000001</c:v>
                </c:pt>
                <c:pt idx="116">
                  <c:v>52.551000000000002</c:v>
                </c:pt>
                <c:pt idx="117">
                  <c:v>53.267000000000003</c:v>
                </c:pt>
                <c:pt idx="118">
                  <c:v>53.984999999999999</c:v>
                </c:pt>
                <c:pt idx="119">
                  <c:v>54.712000000000003</c:v>
                </c:pt>
                <c:pt idx="120">
                  <c:v>55.420999999999999</c:v>
                </c:pt>
                <c:pt idx="121">
                  <c:v>56.140999999999998</c:v>
                </c:pt>
                <c:pt idx="122">
                  <c:v>57.942999999999998</c:v>
                </c:pt>
                <c:pt idx="123">
                  <c:v>59.748000000000005</c:v>
                </c:pt>
                <c:pt idx="124">
                  <c:v>61.557000000000002</c:v>
                </c:pt>
                <c:pt idx="125">
                  <c:v>63.371000000000002</c:v>
                </c:pt>
                <c:pt idx="126">
                  <c:v>65.186999999999998</c:v>
                </c:pt>
                <c:pt idx="127">
                  <c:v>67.007000000000005</c:v>
                </c:pt>
                <c:pt idx="128">
                  <c:v>68.826999999999998</c:v>
                </c:pt>
                <c:pt idx="129">
                  <c:v>70.650999999999996</c:v>
                </c:pt>
                <c:pt idx="130">
                  <c:v>72.48</c:v>
                </c:pt>
                <c:pt idx="131">
                  <c:v>74.311999999999998</c:v>
                </c:pt>
                <c:pt idx="132">
                  <c:v>76.144999999999996</c:v>
                </c:pt>
                <c:pt idx="133">
                  <c:v>77.980999999999995</c:v>
                </c:pt>
                <c:pt idx="134">
                  <c:v>79.819000000000003</c:v>
                </c:pt>
                <c:pt idx="135">
                  <c:v>81.659000000000006</c:v>
                </c:pt>
                <c:pt idx="136">
                  <c:v>83.501999999999995</c:v>
                </c:pt>
                <c:pt idx="137">
                  <c:v>85.344999999999999</c:v>
                </c:pt>
                <c:pt idx="138">
                  <c:v>87.19</c:v>
                </c:pt>
                <c:pt idx="139">
                  <c:v>89.036000000000001</c:v>
                </c:pt>
                <c:pt idx="140">
                  <c:v>92.738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1D1-4260-80FB-333D37401D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5169952"/>
        <c:axId val="355170344"/>
      </c:scatterChart>
      <c:valAx>
        <c:axId val="355169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170344"/>
        <c:crosses val="autoZero"/>
        <c:crossBetween val="midCat"/>
      </c:valAx>
      <c:valAx>
        <c:axId val="355170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1699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Curve Fit Polynominal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8.7065835520559937E-2"/>
                  <c:y val="-5.3286672499270923E-2"/>
                </c:manualLayout>
              </c:layout>
              <c:numFmt formatCode="#,##0.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'O2'!$B$7:$B$147</c:f>
              <c:numCache>
                <c:formatCode>General</c:formatCode>
                <c:ptCount val="141"/>
                <c:pt idx="0">
                  <c:v>298</c:v>
                </c:pt>
                <c:pt idx="1">
                  <c:v>300</c:v>
                </c:pt>
                <c:pt idx="2">
                  <c:v>310</c:v>
                </c:pt>
                <c:pt idx="3">
                  <c:v>320</c:v>
                </c:pt>
                <c:pt idx="4">
                  <c:v>330</c:v>
                </c:pt>
                <c:pt idx="5">
                  <c:v>340</c:v>
                </c:pt>
                <c:pt idx="6">
                  <c:v>350</c:v>
                </c:pt>
                <c:pt idx="7">
                  <c:v>360</c:v>
                </c:pt>
                <c:pt idx="8">
                  <c:v>370</c:v>
                </c:pt>
                <c:pt idx="9">
                  <c:v>380</c:v>
                </c:pt>
                <c:pt idx="10">
                  <c:v>390</c:v>
                </c:pt>
                <c:pt idx="11">
                  <c:v>400</c:v>
                </c:pt>
                <c:pt idx="12">
                  <c:v>410</c:v>
                </c:pt>
                <c:pt idx="13">
                  <c:v>420</c:v>
                </c:pt>
                <c:pt idx="14">
                  <c:v>430</c:v>
                </c:pt>
                <c:pt idx="15">
                  <c:v>440</c:v>
                </c:pt>
                <c:pt idx="16">
                  <c:v>450</c:v>
                </c:pt>
                <c:pt idx="17">
                  <c:v>460</c:v>
                </c:pt>
                <c:pt idx="18">
                  <c:v>470</c:v>
                </c:pt>
                <c:pt idx="19">
                  <c:v>480</c:v>
                </c:pt>
                <c:pt idx="20">
                  <c:v>490</c:v>
                </c:pt>
                <c:pt idx="21">
                  <c:v>500</c:v>
                </c:pt>
                <c:pt idx="22">
                  <c:v>510</c:v>
                </c:pt>
                <c:pt idx="23">
                  <c:v>520</c:v>
                </c:pt>
                <c:pt idx="24">
                  <c:v>530</c:v>
                </c:pt>
                <c:pt idx="25">
                  <c:v>540</c:v>
                </c:pt>
                <c:pt idx="26">
                  <c:v>550</c:v>
                </c:pt>
                <c:pt idx="27">
                  <c:v>560</c:v>
                </c:pt>
                <c:pt idx="28">
                  <c:v>570</c:v>
                </c:pt>
                <c:pt idx="29">
                  <c:v>580</c:v>
                </c:pt>
                <c:pt idx="30">
                  <c:v>590</c:v>
                </c:pt>
                <c:pt idx="31">
                  <c:v>600</c:v>
                </c:pt>
                <c:pt idx="32">
                  <c:v>610</c:v>
                </c:pt>
                <c:pt idx="33">
                  <c:v>620</c:v>
                </c:pt>
                <c:pt idx="34">
                  <c:v>630</c:v>
                </c:pt>
                <c:pt idx="35">
                  <c:v>640</c:v>
                </c:pt>
                <c:pt idx="36">
                  <c:v>650</c:v>
                </c:pt>
                <c:pt idx="37">
                  <c:v>660</c:v>
                </c:pt>
                <c:pt idx="38">
                  <c:v>670</c:v>
                </c:pt>
                <c:pt idx="39">
                  <c:v>680</c:v>
                </c:pt>
                <c:pt idx="40">
                  <c:v>690</c:v>
                </c:pt>
                <c:pt idx="41">
                  <c:v>700</c:v>
                </c:pt>
                <c:pt idx="42">
                  <c:v>710</c:v>
                </c:pt>
                <c:pt idx="43">
                  <c:v>720</c:v>
                </c:pt>
                <c:pt idx="44">
                  <c:v>730</c:v>
                </c:pt>
                <c:pt idx="45">
                  <c:v>740</c:v>
                </c:pt>
                <c:pt idx="46">
                  <c:v>750</c:v>
                </c:pt>
                <c:pt idx="47">
                  <c:v>760</c:v>
                </c:pt>
                <c:pt idx="48">
                  <c:v>770</c:v>
                </c:pt>
                <c:pt idx="49">
                  <c:v>780</c:v>
                </c:pt>
                <c:pt idx="50">
                  <c:v>790</c:v>
                </c:pt>
                <c:pt idx="51">
                  <c:v>800</c:v>
                </c:pt>
                <c:pt idx="52">
                  <c:v>810</c:v>
                </c:pt>
                <c:pt idx="53">
                  <c:v>820</c:v>
                </c:pt>
                <c:pt idx="54">
                  <c:v>830</c:v>
                </c:pt>
                <c:pt idx="55">
                  <c:v>840</c:v>
                </c:pt>
                <c:pt idx="56">
                  <c:v>850</c:v>
                </c:pt>
                <c:pt idx="57">
                  <c:v>860</c:v>
                </c:pt>
                <c:pt idx="58">
                  <c:v>870</c:v>
                </c:pt>
                <c:pt idx="59">
                  <c:v>880</c:v>
                </c:pt>
                <c:pt idx="60">
                  <c:v>890</c:v>
                </c:pt>
                <c:pt idx="61">
                  <c:v>900</c:v>
                </c:pt>
                <c:pt idx="62">
                  <c:v>910</c:v>
                </c:pt>
                <c:pt idx="63">
                  <c:v>920</c:v>
                </c:pt>
                <c:pt idx="64">
                  <c:v>930</c:v>
                </c:pt>
                <c:pt idx="65">
                  <c:v>940</c:v>
                </c:pt>
                <c:pt idx="66">
                  <c:v>950</c:v>
                </c:pt>
                <c:pt idx="67">
                  <c:v>960</c:v>
                </c:pt>
                <c:pt idx="68">
                  <c:v>970</c:v>
                </c:pt>
                <c:pt idx="69">
                  <c:v>980</c:v>
                </c:pt>
                <c:pt idx="70">
                  <c:v>990</c:v>
                </c:pt>
                <c:pt idx="71">
                  <c:v>1000</c:v>
                </c:pt>
                <c:pt idx="72">
                  <c:v>1020</c:v>
                </c:pt>
                <c:pt idx="73">
                  <c:v>1040</c:v>
                </c:pt>
                <c:pt idx="74">
                  <c:v>1060</c:v>
                </c:pt>
                <c:pt idx="75">
                  <c:v>1080</c:v>
                </c:pt>
                <c:pt idx="76">
                  <c:v>1100</c:v>
                </c:pt>
                <c:pt idx="77">
                  <c:v>1120</c:v>
                </c:pt>
                <c:pt idx="78">
                  <c:v>1140</c:v>
                </c:pt>
                <c:pt idx="79">
                  <c:v>1160</c:v>
                </c:pt>
                <c:pt idx="80">
                  <c:v>1180</c:v>
                </c:pt>
                <c:pt idx="81">
                  <c:v>1200</c:v>
                </c:pt>
                <c:pt idx="82">
                  <c:v>1220</c:v>
                </c:pt>
                <c:pt idx="83">
                  <c:v>1240</c:v>
                </c:pt>
                <c:pt idx="84">
                  <c:v>1260</c:v>
                </c:pt>
                <c:pt idx="85">
                  <c:v>1280</c:v>
                </c:pt>
                <c:pt idx="86">
                  <c:v>1300</c:v>
                </c:pt>
                <c:pt idx="87">
                  <c:v>1320</c:v>
                </c:pt>
                <c:pt idx="88">
                  <c:v>1340</c:v>
                </c:pt>
                <c:pt idx="89">
                  <c:v>1360</c:v>
                </c:pt>
                <c:pt idx="90">
                  <c:v>1380</c:v>
                </c:pt>
                <c:pt idx="91">
                  <c:v>1400</c:v>
                </c:pt>
                <c:pt idx="92">
                  <c:v>1420</c:v>
                </c:pt>
                <c:pt idx="93">
                  <c:v>1440</c:v>
                </c:pt>
                <c:pt idx="94">
                  <c:v>1460</c:v>
                </c:pt>
                <c:pt idx="95">
                  <c:v>1480</c:v>
                </c:pt>
                <c:pt idx="96">
                  <c:v>1500</c:v>
                </c:pt>
                <c:pt idx="97">
                  <c:v>1520</c:v>
                </c:pt>
                <c:pt idx="98">
                  <c:v>1540</c:v>
                </c:pt>
                <c:pt idx="99">
                  <c:v>1560</c:v>
                </c:pt>
                <c:pt idx="100">
                  <c:v>1580</c:v>
                </c:pt>
                <c:pt idx="101">
                  <c:v>1600</c:v>
                </c:pt>
                <c:pt idx="102">
                  <c:v>1620</c:v>
                </c:pt>
                <c:pt idx="103">
                  <c:v>1640</c:v>
                </c:pt>
                <c:pt idx="104">
                  <c:v>1660</c:v>
                </c:pt>
                <c:pt idx="105">
                  <c:v>1680</c:v>
                </c:pt>
                <c:pt idx="106">
                  <c:v>1700</c:v>
                </c:pt>
                <c:pt idx="107">
                  <c:v>1720</c:v>
                </c:pt>
                <c:pt idx="108">
                  <c:v>1740</c:v>
                </c:pt>
                <c:pt idx="109">
                  <c:v>1760</c:v>
                </c:pt>
                <c:pt idx="110">
                  <c:v>1780</c:v>
                </c:pt>
                <c:pt idx="111">
                  <c:v>1800</c:v>
                </c:pt>
                <c:pt idx="112">
                  <c:v>1820</c:v>
                </c:pt>
                <c:pt idx="113">
                  <c:v>1840</c:v>
                </c:pt>
                <c:pt idx="114">
                  <c:v>1860</c:v>
                </c:pt>
                <c:pt idx="115">
                  <c:v>1880</c:v>
                </c:pt>
                <c:pt idx="116">
                  <c:v>1900</c:v>
                </c:pt>
                <c:pt idx="117">
                  <c:v>1920</c:v>
                </c:pt>
                <c:pt idx="118">
                  <c:v>1940</c:v>
                </c:pt>
                <c:pt idx="119">
                  <c:v>1960</c:v>
                </c:pt>
                <c:pt idx="120">
                  <c:v>1980</c:v>
                </c:pt>
                <c:pt idx="121">
                  <c:v>2000</c:v>
                </c:pt>
                <c:pt idx="122">
                  <c:v>2050</c:v>
                </c:pt>
                <c:pt idx="123">
                  <c:v>2100</c:v>
                </c:pt>
                <c:pt idx="124">
                  <c:v>2150</c:v>
                </c:pt>
                <c:pt idx="125">
                  <c:v>2200</c:v>
                </c:pt>
                <c:pt idx="126">
                  <c:v>2250</c:v>
                </c:pt>
                <c:pt idx="127">
                  <c:v>2300</c:v>
                </c:pt>
                <c:pt idx="128">
                  <c:v>2350</c:v>
                </c:pt>
                <c:pt idx="129">
                  <c:v>2400</c:v>
                </c:pt>
                <c:pt idx="130">
                  <c:v>2450</c:v>
                </c:pt>
                <c:pt idx="131">
                  <c:v>2500</c:v>
                </c:pt>
                <c:pt idx="132">
                  <c:v>2550</c:v>
                </c:pt>
                <c:pt idx="133">
                  <c:v>2600</c:v>
                </c:pt>
                <c:pt idx="134">
                  <c:v>2650</c:v>
                </c:pt>
                <c:pt idx="135">
                  <c:v>2700</c:v>
                </c:pt>
                <c:pt idx="136">
                  <c:v>2750</c:v>
                </c:pt>
                <c:pt idx="137">
                  <c:v>2800</c:v>
                </c:pt>
                <c:pt idx="138">
                  <c:v>2850</c:v>
                </c:pt>
                <c:pt idx="139">
                  <c:v>2900</c:v>
                </c:pt>
                <c:pt idx="140">
                  <c:v>3000</c:v>
                </c:pt>
              </c:numCache>
            </c:numRef>
          </c:xVal>
          <c:yVal>
            <c:numRef>
              <c:f>'O2'!$D$7:$D$147</c:f>
              <c:numCache>
                <c:formatCode>General</c:formatCode>
                <c:ptCount val="141"/>
                <c:pt idx="0">
                  <c:v>0</c:v>
                </c:pt>
                <c:pt idx="1">
                  <c:v>5.3999999999999999E-2</c:v>
                </c:pt>
                <c:pt idx="2">
                  <c:v>0.34800000000000003</c:v>
                </c:pt>
                <c:pt idx="3">
                  <c:v>0.64300000000000002</c:v>
                </c:pt>
                <c:pt idx="4">
                  <c:v>0.93800000000000006</c:v>
                </c:pt>
                <c:pt idx="5">
                  <c:v>1.234</c:v>
                </c:pt>
                <c:pt idx="6">
                  <c:v>1.5310000000000001</c:v>
                </c:pt>
                <c:pt idx="7">
                  <c:v>1.829</c:v>
                </c:pt>
                <c:pt idx="8">
                  <c:v>2.1270000000000002</c:v>
                </c:pt>
                <c:pt idx="9">
                  <c:v>2.427</c:v>
                </c:pt>
                <c:pt idx="10">
                  <c:v>2.7269999999999999</c:v>
                </c:pt>
                <c:pt idx="11">
                  <c:v>3.0289999999999999</c:v>
                </c:pt>
                <c:pt idx="12">
                  <c:v>3.33</c:v>
                </c:pt>
                <c:pt idx="13">
                  <c:v>3.6320000000000001</c:v>
                </c:pt>
                <c:pt idx="14">
                  <c:v>3.9359999999999999</c:v>
                </c:pt>
                <c:pt idx="15">
                  <c:v>4.2409999999999997</c:v>
                </c:pt>
                <c:pt idx="16">
                  <c:v>4.5460000000000003</c:v>
                </c:pt>
                <c:pt idx="17">
                  <c:v>4.843</c:v>
                </c:pt>
                <c:pt idx="18">
                  <c:v>5.16</c:v>
                </c:pt>
                <c:pt idx="19">
                  <c:v>5.4690000000000003</c:v>
                </c:pt>
                <c:pt idx="20">
                  <c:v>5.7780000000000005</c:v>
                </c:pt>
                <c:pt idx="21">
                  <c:v>6.0880000000000001</c:v>
                </c:pt>
                <c:pt idx="22">
                  <c:v>6.4</c:v>
                </c:pt>
                <c:pt idx="23">
                  <c:v>6.7130000000000001</c:v>
                </c:pt>
                <c:pt idx="24">
                  <c:v>7.0259999999999998</c:v>
                </c:pt>
                <c:pt idx="25">
                  <c:v>7.34</c:v>
                </c:pt>
                <c:pt idx="26">
                  <c:v>7.6560000000000006</c:v>
                </c:pt>
                <c:pt idx="27">
                  <c:v>7.9720000000000004</c:v>
                </c:pt>
                <c:pt idx="28">
                  <c:v>8.2889999999999997</c:v>
                </c:pt>
                <c:pt idx="29">
                  <c:v>8.6080000000000005</c:v>
                </c:pt>
                <c:pt idx="30">
                  <c:v>8.9269999999999996</c:v>
                </c:pt>
                <c:pt idx="31">
                  <c:v>9.2469999999999999</c:v>
                </c:pt>
                <c:pt idx="32">
                  <c:v>9.5679999999999996</c:v>
                </c:pt>
                <c:pt idx="33">
                  <c:v>9.89</c:v>
                </c:pt>
                <c:pt idx="34">
                  <c:v>10.213000000000001</c:v>
                </c:pt>
                <c:pt idx="35">
                  <c:v>10.537000000000001</c:v>
                </c:pt>
                <c:pt idx="36">
                  <c:v>10.862</c:v>
                </c:pt>
                <c:pt idx="37">
                  <c:v>11.188000000000001</c:v>
                </c:pt>
                <c:pt idx="38">
                  <c:v>11.515000000000001</c:v>
                </c:pt>
                <c:pt idx="39">
                  <c:v>11.842000000000001</c:v>
                </c:pt>
                <c:pt idx="40">
                  <c:v>12.172000000000001</c:v>
                </c:pt>
                <c:pt idx="41">
                  <c:v>12.502000000000001</c:v>
                </c:pt>
                <c:pt idx="42">
                  <c:v>12.832000000000001</c:v>
                </c:pt>
                <c:pt idx="43">
                  <c:v>13.163</c:v>
                </c:pt>
                <c:pt idx="44">
                  <c:v>13.495000000000001</c:v>
                </c:pt>
                <c:pt idx="45">
                  <c:v>13.827999999999999</c:v>
                </c:pt>
                <c:pt idx="46">
                  <c:v>14.162000000000001</c:v>
                </c:pt>
                <c:pt idx="47">
                  <c:v>14.496</c:v>
                </c:pt>
                <c:pt idx="48">
                  <c:v>14.831</c:v>
                </c:pt>
                <c:pt idx="49">
                  <c:v>15.168000000000001</c:v>
                </c:pt>
                <c:pt idx="50">
                  <c:v>15.504</c:v>
                </c:pt>
                <c:pt idx="51">
                  <c:v>15.841000000000001</c:v>
                </c:pt>
                <c:pt idx="52">
                  <c:v>16.179000000000002</c:v>
                </c:pt>
                <c:pt idx="53">
                  <c:v>16.516999999999999</c:v>
                </c:pt>
                <c:pt idx="54">
                  <c:v>16.855</c:v>
                </c:pt>
                <c:pt idx="55">
                  <c:v>17.195</c:v>
                </c:pt>
                <c:pt idx="56">
                  <c:v>17.536000000000001</c:v>
                </c:pt>
                <c:pt idx="57">
                  <c:v>17.876999999999999</c:v>
                </c:pt>
                <c:pt idx="58">
                  <c:v>18.216999999999999</c:v>
                </c:pt>
                <c:pt idx="59">
                  <c:v>18.559999999999999</c:v>
                </c:pt>
                <c:pt idx="60">
                  <c:v>18.902000000000001</c:v>
                </c:pt>
                <c:pt idx="61">
                  <c:v>19.245999999999999</c:v>
                </c:pt>
                <c:pt idx="62">
                  <c:v>19.59</c:v>
                </c:pt>
                <c:pt idx="63">
                  <c:v>19.934000000000001</c:v>
                </c:pt>
                <c:pt idx="64">
                  <c:v>20.277999999999999</c:v>
                </c:pt>
                <c:pt idx="65">
                  <c:v>20.623999999999999</c:v>
                </c:pt>
                <c:pt idx="66">
                  <c:v>20.97</c:v>
                </c:pt>
                <c:pt idx="67">
                  <c:v>21.317</c:v>
                </c:pt>
                <c:pt idx="68">
                  <c:v>21.663</c:v>
                </c:pt>
                <c:pt idx="69">
                  <c:v>22.01</c:v>
                </c:pt>
                <c:pt idx="70">
                  <c:v>22.359000000000002</c:v>
                </c:pt>
                <c:pt idx="73">
                  <c:v>24.106999999999999</c:v>
                </c:pt>
                <c:pt idx="74">
                  <c:v>24.808</c:v>
                </c:pt>
                <c:pt idx="75">
                  <c:v>25.512</c:v>
                </c:pt>
                <c:pt idx="76">
                  <c:v>26.217000000000002</c:v>
                </c:pt>
                <c:pt idx="77">
                  <c:v>26.923999999999999</c:v>
                </c:pt>
                <c:pt idx="78">
                  <c:v>27.632000000000001</c:v>
                </c:pt>
                <c:pt idx="79">
                  <c:v>28.341000000000001</c:v>
                </c:pt>
                <c:pt idx="80">
                  <c:v>29.052</c:v>
                </c:pt>
                <c:pt idx="81">
                  <c:v>29.765000000000001</c:v>
                </c:pt>
                <c:pt idx="82">
                  <c:v>30.48</c:v>
                </c:pt>
                <c:pt idx="83">
                  <c:v>31.195</c:v>
                </c:pt>
                <c:pt idx="84">
                  <c:v>31.911999999999999</c:v>
                </c:pt>
                <c:pt idx="85">
                  <c:v>32.630000000000003</c:v>
                </c:pt>
                <c:pt idx="86">
                  <c:v>33.350999999999999</c:v>
                </c:pt>
                <c:pt idx="87">
                  <c:v>34.070999999999998</c:v>
                </c:pt>
                <c:pt idx="88">
                  <c:v>34.792999999999999</c:v>
                </c:pt>
                <c:pt idx="89">
                  <c:v>35.515999999999998</c:v>
                </c:pt>
                <c:pt idx="90">
                  <c:v>36.241</c:v>
                </c:pt>
                <c:pt idx="91">
                  <c:v>36.966000000000001</c:v>
                </c:pt>
                <c:pt idx="92">
                  <c:v>37.692</c:v>
                </c:pt>
                <c:pt idx="93">
                  <c:v>38.42</c:v>
                </c:pt>
                <c:pt idx="94">
                  <c:v>39.149000000000001</c:v>
                </c:pt>
                <c:pt idx="95">
                  <c:v>39.878999999999998</c:v>
                </c:pt>
                <c:pt idx="96">
                  <c:v>40.61</c:v>
                </c:pt>
                <c:pt idx="97">
                  <c:v>41.341999999999999</c:v>
                </c:pt>
                <c:pt idx="98">
                  <c:v>42.073999999999998</c:v>
                </c:pt>
                <c:pt idx="99">
                  <c:v>42.808</c:v>
                </c:pt>
                <c:pt idx="100">
                  <c:v>43.542000000000002</c:v>
                </c:pt>
                <c:pt idx="101">
                  <c:v>44.279000000000003</c:v>
                </c:pt>
                <c:pt idx="102">
                  <c:v>45.014000000000003</c:v>
                </c:pt>
                <c:pt idx="103">
                  <c:v>45.752000000000002</c:v>
                </c:pt>
                <c:pt idx="104">
                  <c:v>46.49</c:v>
                </c:pt>
                <c:pt idx="105">
                  <c:v>47.230000000000004</c:v>
                </c:pt>
                <c:pt idx="106">
                  <c:v>47.97</c:v>
                </c:pt>
                <c:pt idx="107">
                  <c:v>48.712000000000003</c:v>
                </c:pt>
                <c:pt idx="108">
                  <c:v>49.454000000000001</c:v>
                </c:pt>
                <c:pt idx="111">
                  <c:v>51.689</c:v>
                </c:pt>
                <c:pt idx="112">
                  <c:v>52.436</c:v>
                </c:pt>
                <c:pt idx="113">
                  <c:v>53.184000000000005</c:v>
                </c:pt>
                <c:pt idx="114">
                  <c:v>53.934000000000005</c:v>
                </c:pt>
                <c:pt idx="115">
                  <c:v>54.683</c:v>
                </c:pt>
                <c:pt idx="116">
                  <c:v>55.434000000000005</c:v>
                </c:pt>
                <c:pt idx="117">
                  <c:v>56.186</c:v>
                </c:pt>
                <c:pt idx="118">
                  <c:v>56.938000000000002</c:v>
                </c:pt>
                <c:pt idx="119">
                  <c:v>57.692</c:v>
                </c:pt>
                <c:pt idx="120">
                  <c:v>58.445</c:v>
                </c:pt>
                <c:pt idx="121">
                  <c:v>59.198999999999998</c:v>
                </c:pt>
                <c:pt idx="122">
                  <c:v>61.09</c:v>
                </c:pt>
                <c:pt idx="123">
                  <c:v>62.986000000000004</c:v>
                </c:pt>
                <c:pt idx="124">
                  <c:v>64.891000000000005</c:v>
                </c:pt>
                <c:pt idx="125">
                  <c:v>66.802000000000007</c:v>
                </c:pt>
                <c:pt idx="126">
                  <c:v>68.715000000000003</c:v>
                </c:pt>
                <c:pt idx="127">
                  <c:v>70.634</c:v>
                </c:pt>
                <c:pt idx="128">
                  <c:v>72.561000000000007</c:v>
                </c:pt>
                <c:pt idx="129">
                  <c:v>74.492000000000004</c:v>
                </c:pt>
                <c:pt idx="130">
                  <c:v>76.430000000000007</c:v>
                </c:pt>
                <c:pt idx="131">
                  <c:v>78.375</c:v>
                </c:pt>
                <c:pt idx="132">
                  <c:v>80.322000000000003</c:v>
                </c:pt>
                <c:pt idx="133">
                  <c:v>82.274000000000001</c:v>
                </c:pt>
                <c:pt idx="134">
                  <c:v>84.233999999999995</c:v>
                </c:pt>
                <c:pt idx="135">
                  <c:v>86.198999999999998</c:v>
                </c:pt>
                <c:pt idx="136">
                  <c:v>88.17</c:v>
                </c:pt>
                <c:pt idx="137">
                  <c:v>90.144000000000005</c:v>
                </c:pt>
                <c:pt idx="138">
                  <c:v>92.126000000000005</c:v>
                </c:pt>
                <c:pt idx="139">
                  <c:v>94.111000000000004</c:v>
                </c:pt>
                <c:pt idx="140">
                  <c:v>98.097999999999999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2F8-4DC3-86AE-0CBCF9499F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5165248"/>
        <c:axId val="353941008"/>
      </c:scatterChart>
      <c:valAx>
        <c:axId val="355165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941008"/>
        <c:crosses val="autoZero"/>
        <c:crossBetween val="midCat"/>
      </c:valAx>
      <c:valAx>
        <c:axId val="353941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1652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O2 Curve Fit Polynominal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Curve Fit Polynominal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1"/>
            <c:dispEq val="1"/>
            <c:trendlineLbl>
              <c:layout>
                <c:manualLayout>
                  <c:x val="8.7065835520559937E-2"/>
                  <c:y val="-5.3286672499270923E-2"/>
                </c:manualLayout>
              </c:layout>
              <c:numFmt formatCode="#,##0.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'O2'!$B$7:$B$147</c:f>
              <c:numCache>
                <c:formatCode>General</c:formatCode>
                <c:ptCount val="141"/>
                <c:pt idx="0">
                  <c:v>298</c:v>
                </c:pt>
                <c:pt idx="1">
                  <c:v>300</c:v>
                </c:pt>
                <c:pt idx="2">
                  <c:v>310</c:v>
                </c:pt>
                <c:pt idx="3">
                  <c:v>320</c:v>
                </c:pt>
                <c:pt idx="4">
                  <c:v>330</c:v>
                </c:pt>
                <c:pt idx="5">
                  <c:v>340</c:v>
                </c:pt>
                <c:pt idx="6">
                  <c:v>350</c:v>
                </c:pt>
                <c:pt idx="7">
                  <c:v>360</c:v>
                </c:pt>
                <c:pt idx="8">
                  <c:v>370</c:v>
                </c:pt>
                <c:pt idx="9">
                  <c:v>380</c:v>
                </c:pt>
                <c:pt idx="10">
                  <c:v>390</c:v>
                </c:pt>
                <c:pt idx="11">
                  <c:v>400</c:v>
                </c:pt>
                <c:pt idx="12">
                  <c:v>410</c:v>
                </c:pt>
                <c:pt idx="13">
                  <c:v>420</c:v>
                </c:pt>
                <c:pt idx="14">
                  <c:v>430</c:v>
                </c:pt>
                <c:pt idx="15">
                  <c:v>440</c:v>
                </c:pt>
                <c:pt idx="16">
                  <c:v>450</c:v>
                </c:pt>
                <c:pt idx="17">
                  <c:v>460</c:v>
                </c:pt>
                <c:pt idx="18">
                  <c:v>470</c:v>
                </c:pt>
                <c:pt idx="19">
                  <c:v>480</c:v>
                </c:pt>
                <c:pt idx="20">
                  <c:v>490</c:v>
                </c:pt>
                <c:pt idx="21">
                  <c:v>500</c:v>
                </c:pt>
                <c:pt idx="22">
                  <c:v>510</c:v>
                </c:pt>
                <c:pt idx="23">
                  <c:v>520</c:v>
                </c:pt>
                <c:pt idx="24">
                  <c:v>530</c:v>
                </c:pt>
                <c:pt idx="25">
                  <c:v>540</c:v>
                </c:pt>
                <c:pt idx="26">
                  <c:v>550</c:v>
                </c:pt>
                <c:pt idx="27">
                  <c:v>560</c:v>
                </c:pt>
                <c:pt idx="28">
                  <c:v>570</c:v>
                </c:pt>
                <c:pt idx="29">
                  <c:v>580</c:v>
                </c:pt>
                <c:pt idx="30">
                  <c:v>590</c:v>
                </c:pt>
                <c:pt idx="31">
                  <c:v>600</c:v>
                </c:pt>
                <c:pt idx="32">
                  <c:v>610</c:v>
                </c:pt>
                <c:pt idx="33">
                  <c:v>620</c:v>
                </c:pt>
                <c:pt idx="34">
                  <c:v>630</c:v>
                </c:pt>
                <c:pt idx="35">
                  <c:v>640</c:v>
                </c:pt>
                <c:pt idx="36">
                  <c:v>650</c:v>
                </c:pt>
                <c:pt idx="37">
                  <c:v>660</c:v>
                </c:pt>
                <c:pt idx="38">
                  <c:v>670</c:v>
                </c:pt>
                <c:pt idx="39">
                  <c:v>680</c:v>
                </c:pt>
                <c:pt idx="40">
                  <c:v>690</c:v>
                </c:pt>
                <c:pt idx="41">
                  <c:v>700</c:v>
                </c:pt>
                <c:pt idx="42">
                  <c:v>710</c:v>
                </c:pt>
                <c:pt idx="43">
                  <c:v>720</c:v>
                </c:pt>
                <c:pt idx="44">
                  <c:v>730</c:v>
                </c:pt>
                <c:pt idx="45">
                  <c:v>740</c:v>
                </c:pt>
                <c:pt idx="46">
                  <c:v>750</c:v>
                </c:pt>
                <c:pt idx="47">
                  <c:v>760</c:v>
                </c:pt>
                <c:pt idx="48">
                  <c:v>770</c:v>
                </c:pt>
                <c:pt idx="49">
                  <c:v>780</c:v>
                </c:pt>
                <c:pt idx="50">
                  <c:v>790</c:v>
                </c:pt>
                <c:pt idx="51">
                  <c:v>800</c:v>
                </c:pt>
                <c:pt idx="52">
                  <c:v>810</c:v>
                </c:pt>
                <c:pt idx="53">
                  <c:v>820</c:v>
                </c:pt>
                <c:pt idx="54">
                  <c:v>830</c:v>
                </c:pt>
                <c:pt idx="55">
                  <c:v>840</c:v>
                </c:pt>
                <c:pt idx="56">
                  <c:v>850</c:v>
                </c:pt>
                <c:pt idx="57">
                  <c:v>860</c:v>
                </c:pt>
                <c:pt idx="58">
                  <c:v>870</c:v>
                </c:pt>
                <c:pt idx="59">
                  <c:v>880</c:v>
                </c:pt>
                <c:pt idx="60">
                  <c:v>890</c:v>
                </c:pt>
                <c:pt idx="61">
                  <c:v>900</c:v>
                </c:pt>
                <c:pt idx="62">
                  <c:v>910</c:v>
                </c:pt>
                <c:pt idx="63">
                  <c:v>920</c:v>
                </c:pt>
                <c:pt idx="64">
                  <c:v>930</c:v>
                </c:pt>
                <c:pt idx="65">
                  <c:v>940</c:v>
                </c:pt>
                <c:pt idx="66">
                  <c:v>950</c:v>
                </c:pt>
                <c:pt idx="67">
                  <c:v>960</c:v>
                </c:pt>
                <c:pt idx="68">
                  <c:v>970</c:v>
                </c:pt>
                <c:pt idx="69">
                  <c:v>980</c:v>
                </c:pt>
                <c:pt idx="70">
                  <c:v>990</c:v>
                </c:pt>
                <c:pt idx="71">
                  <c:v>1000</c:v>
                </c:pt>
                <c:pt idx="72">
                  <c:v>1020</c:v>
                </c:pt>
                <c:pt idx="73">
                  <c:v>1040</c:v>
                </c:pt>
                <c:pt idx="74">
                  <c:v>1060</c:v>
                </c:pt>
                <c:pt idx="75">
                  <c:v>1080</c:v>
                </c:pt>
                <c:pt idx="76">
                  <c:v>1100</c:v>
                </c:pt>
                <c:pt idx="77">
                  <c:v>1120</c:v>
                </c:pt>
                <c:pt idx="78">
                  <c:v>1140</c:v>
                </c:pt>
                <c:pt idx="79">
                  <c:v>1160</c:v>
                </c:pt>
                <c:pt idx="80">
                  <c:v>1180</c:v>
                </c:pt>
                <c:pt idx="81">
                  <c:v>1200</c:v>
                </c:pt>
                <c:pt idx="82">
                  <c:v>1220</c:v>
                </c:pt>
                <c:pt idx="83">
                  <c:v>1240</c:v>
                </c:pt>
                <c:pt idx="84">
                  <c:v>1260</c:v>
                </c:pt>
                <c:pt idx="85">
                  <c:v>1280</c:v>
                </c:pt>
                <c:pt idx="86">
                  <c:v>1300</c:v>
                </c:pt>
                <c:pt idx="87">
                  <c:v>1320</c:v>
                </c:pt>
                <c:pt idx="88">
                  <c:v>1340</c:v>
                </c:pt>
                <c:pt idx="89">
                  <c:v>1360</c:v>
                </c:pt>
                <c:pt idx="90">
                  <c:v>1380</c:v>
                </c:pt>
                <c:pt idx="91">
                  <c:v>1400</c:v>
                </c:pt>
                <c:pt idx="92">
                  <c:v>1420</c:v>
                </c:pt>
                <c:pt idx="93">
                  <c:v>1440</c:v>
                </c:pt>
                <c:pt idx="94">
                  <c:v>1460</c:v>
                </c:pt>
                <c:pt idx="95">
                  <c:v>1480</c:v>
                </c:pt>
                <c:pt idx="96">
                  <c:v>1500</c:v>
                </c:pt>
                <c:pt idx="97">
                  <c:v>1520</c:v>
                </c:pt>
                <c:pt idx="98">
                  <c:v>1540</c:v>
                </c:pt>
                <c:pt idx="99">
                  <c:v>1560</c:v>
                </c:pt>
                <c:pt idx="100">
                  <c:v>1580</c:v>
                </c:pt>
                <c:pt idx="101">
                  <c:v>1600</c:v>
                </c:pt>
                <c:pt idx="102">
                  <c:v>1620</c:v>
                </c:pt>
                <c:pt idx="103">
                  <c:v>1640</c:v>
                </c:pt>
                <c:pt idx="104">
                  <c:v>1660</c:v>
                </c:pt>
                <c:pt idx="105">
                  <c:v>1680</c:v>
                </c:pt>
                <c:pt idx="106">
                  <c:v>1700</c:v>
                </c:pt>
                <c:pt idx="107">
                  <c:v>1720</c:v>
                </c:pt>
                <c:pt idx="108">
                  <c:v>1740</c:v>
                </c:pt>
                <c:pt idx="109">
                  <c:v>1760</c:v>
                </c:pt>
                <c:pt idx="110">
                  <c:v>1780</c:v>
                </c:pt>
                <c:pt idx="111">
                  <c:v>1800</c:v>
                </c:pt>
                <c:pt idx="112">
                  <c:v>1820</c:v>
                </c:pt>
                <c:pt idx="113">
                  <c:v>1840</c:v>
                </c:pt>
                <c:pt idx="114">
                  <c:v>1860</c:v>
                </c:pt>
                <c:pt idx="115">
                  <c:v>1880</c:v>
                </c:pt>
                <c:pt idx="116">
                  <c:v>1900</c:v>
                </c:pt>
                <c:pt idx="117">
                  <c:v>1920</c:v>
                </c:pt>
                <c:pt idx="118">
                  <c:v>1940</c:v>
                </c:pt>
                <c:pt idx="119">
                  <c:v>1960</c:v>
                </c:pt>
                <c:pt idx="120">
                  <c:v>1980</c:v>
                </c:pt>
                <c:pt idx="121">
                  <c:v>2000</c:v>
                </c:pt>
                <c:pt idx="122">
                  <c:v>2050</c:v>
                </c:pt>
                <c:pt idx="123">
                  <c:v>2100</c:v>
                </c:pt>
                <c:pt idx="124">
                  <c:v>2150</c:v>
                </c:pt>
                <c:pt idx="125">
                  <c:v>2200</c:v>
                </c:pt>
                <c:pt idx="126">
                  <c:v>2250</c:v>
                </c:pt>
                <c:pt idx="127">
                  <c:v>2300</c:v>
                </c:pt>
                <c:pt idx="128">
                  <c:v>2350</c:v>
                </c:pt>
                <c:pt idx="129">
                  <c:v>2400</c:v>
                </c:pt>
                <c:pt idx="130">
                  <c:v>2450</c:v>
                </c:pt>
                <c:pt idx="131">
                  <c:v>2500</c:v>
                </c:pt>
                <c:pt idx="132">
                  <c:v>2550</c:v>
                </c:pt>
                <c:pt idx="133">
                  <c:v>2600</c:v>
                </c:pt>
                <c:pt idx="134">
                  <c:v>2650</c:v>
                </c:pt>
                <c:pt idx="135">
                  <c:v>2700</c:v>
                </c:pt>
                <c:pt idx="136">
                  <c:v>2750</c:v>
                </c:pt>
                <c:pt idx="137">
                  <c:v>2800</c:v>
                </c:pt>
                <c:pt idx="138">
                  <c:v>2850</c:v>
                </c:pt>
                <c:pt idx="139">
                  <c:v>2900</c:v>
                </c:pt>
                <c:pt idx="140">
                  <c:v>3000</c:v>
                </c:pt>
              </c:numCache>
            </c:numRef>
          </c:xVal>
          <c:yVal>
            <c:numRef>
              <c:f>'O2'!$D$7:$D$147</c:f>
              <c:numCache>
                <c:formatCode>General</c:formatCode>
                <c:ptCount val="141"/>
                <c:pt idx="0">
                  <c:v>0</c:v>
                </c:pt>
                <c:pt idx="1">
                  <c:v>5.3999999999999999E-2</c:v>
                </c:pt>
                <c:pt idx="2">
                  <c:v>0.34800000000000003</c:v>
                </c:pt>
                <c:pt idx="3">
                  <c:v>0.64300000000000002</c:v>
                </c:pt>
                <c:pt idx="4">
                  <c:v>0.93800000000000006</c:v>
                </c:pt>
                <c:pt idx="5">
                  <c:v>1.234</c:v>
                </c:pt>
                <c:pt idx="6">
                  <c:v>1.5310000000000001</c:v>
                </c:pt>
                <c:pt idx="7">
                  <c:v>1.829</c:v>
                </c:pt>
                <c:pt idx="8">
                  <c:v>2.1270000000000002</c:v>
                </c:pt>
                <c:pt idx="9">
                  <c:v>2.427</c:v>
                </c:pt>
                <c:pt idx="10">
                  <c:v>2.7269999999999999</c:v>
                </c:pt>
                <c:pt idx="11">
                  <c:v>3.0289999999999999</c:v>
                </c:pt>
                <c:pt idx="12">
                  <c:v>3.33</c:v>
                </c:pt>
                <c:pt idx="13">
                  <c:v>3.6320000000000001</c:v>
                </c:pt>
                <c:pt idx="14">
                  <c:v>3.9359999999999999</c:v>
                </c:pt>
                <c:pt idx="15">
                  <c:v>4.2409999999999997</c:v>
                </c:pt>
                <c:pt idx="16">
                  <c:v>4.5460000000000003</c:v>
                </c:pt>
                <c:pt idx="17">
                  <c:v>4.843</c:v>
                </c:pt>
                <c:pt idx="18">
                  <c:v>5.16</c:v>
                </c:pt>
                <c:pt idx="19">
                  <c:v>5.4690000000000003</c:v>
                </c:pt>
                <c:pt idx="20">
                  <c:v>5.7780000000000005</c:v>
                </c:pt>
                <c:pt idx="21">
                  <c:v>6.0880000000000001</c:v>
                </c:pt>
                <c:pt idx="22">
                  <c:v>6.4</c:v>
                </c:pt>
                <c:pt idx="23">
                  <c:v>6.7130000000000001</c:v>
                </c:pt>
                <c:pt idx="24">
                  <c:v>7.0259999999999998</c:v>
                </c:pt>
                <c:pt idx="25">
                  <c:v>7.34</c:v>
                </c:pt>
                <c:pt idx="26">
                  <c:v>7.6560000000000006</c:v>
                </c:pt>
                <c:pt idx="27">
                  <c:v>7.9720000000000004</c:v>
                </c:pt>
                <c:pt idx="28">
                  <c:v>8.2889999999999997</c:v>
                </c:pt>
                <c:pt idx="29">
                  <c:v>8.6080000000000005</c:v>
                </c:pt>
                <c:pt idx="30">
                  <c:v>8.9269999999999996</c:v>
                </c:pt>
                <c:pt idx="31">
                  <c:v>9.2469999999999999</c:v>
                </c:pt>
                <c:pt idx="32">
                  <c:v>9.5679999999999996</c:v>
                </c:pt>
                <c:pt idx="33">
                  <c:v>9.89</c:v>
                </c:pt>
                <c:pt idx="34">
                  <c:v>10.213000000000001</c:v>
                </c:pt>
                <c:pt idx="35">
                  <c:v>10.537000000000001</c:v>
                </c:pt>
                <c:pt idx="36">
                  <c:v>10.862</c:v>
                </c:pt>
                <c:pt idx="37">
                  <c:v>11.188000000000001</c:v>
                </c:pt>
                <c:pt idx="38">
                  <c:v>11.515000000000001</c:v>
                </c:pt>
                <c:pt idx="39">
                  <c:v>11.842000000000001</c:v>
                </c:pt>
                <c:pt idx="40">
                  <c:v>12.172000000000001</c:v>
                </c:pt>
                <c:pt idx="41">
                  <c:v>12.502000000000001</c:v>
                </c:pt>
                <c:pt idx="42">
                  <c:v>12.832000000000001</c:v>
                </c:pt>
                <c:pt idx="43">
                  <c:v>13.163</c:v>
                </c:pt>
                <c:pt idx="44">
                  <c:v>13.495000000000001</c:v>
                </c:pt>
                <c:pt idx="45">
                  <c:v>13.827999999999999</c:v>
                </c:pt>
                <c:pt idx="46">
                  <c:v>14.162000000000001</c:v>
                </c:pt>
                <c:pt idx="47">
                  <c:v>14.496</c:v>
                </c:pt>
                <c:pt idx="48">
                  <c:v>14.831</c:v>
                </c:pt>
                <c:pt idx="49">
                  <c:v>15.168000000000001</c:v>
                </c:pt>
                <c:pt idx="50">
                  <c:v>15.504</c:v>
                </c:pt>
                <c:pt idx="51">
                  <c:v>15.841000000000001</c:v>
                </c:pt>
                <c:pt idx="52">
                  <c:v>16.179000000000002</c:v>
                </c:pt>
                <c:pt idx="53">
                  <c:v>16.516999999999999</c:v>
                </c:pt>
                <c:pt idx="54">
                  <c:v>16.855</c:v>
                </c:pt>
                <c:pt idx="55">
                  <c:v>17.195</c:v>
                </c:pt>
                <c:pt idx="56">
                  <c:v>17.536000000000001</c:v>
                </c:pt>
                <c:pt idx="57">
                  <c:v>17.876999999999999</c:v>
                </c:pt>
                <c:pt idx="58">
                  <c:v>18.216999999999999</c:v>
                </c:pt>
                <c:pt idx="59">
                  <c:v>18.559999999999999</c:v>
                </c:pt>
                <c:pt idx="60">
                  <c:v>18.902000000000001</c:v>
                </c:pt>
                <c:pt idx="61">
                  <c:v>19.245999999999999</c:v>
                </c:pt>
                <c:pt idx="62">
                  <c:v>19.59</c:v>
                </c:pt>
                <c:pt idx="63">
                  <c:v>19.934000000000001</c:v>
                </c:pt>
                <c:pt idx="64">
                  <c:v>20.277999999999999</c:v>
                </c:pt>
                <c:pt idx="65">
                  <c:v>20.623999999999999</c:v>
                </c:pt>
                <c:pt idx="66">
                  <c:v>20.97</c:v>
                </c:pt>
                <c:pt idx="67">
                  <c:v>21.317</c:v>
                </c:pt>
                <c:pt idx="68">
                  <c:v>21.663</c:v>
                </c:pt>
                <c:pt idx="69">
                  <c:v>22.01</c:v>
                </c:pt>
                <c:pt idx="70">
                  <c:v>22.359000000000002</c:v>
                </c:pt>
                <c:pt idx="73">
                  <c:v>24.106999999999999</c:v>
                </c:pt>
                <c:pt idx="74">
                  <c:v>24.808</c:v>
                </c:pt>
                <c:pt idx="75">
                  <c:v>25.512</c:v>
                </c:pt>
                <c:pt idx="76">
                  <c:v>26.217000000000002</c:v>
                </c:pt>
                <c:pt idx="77">
                  <c:v>26.923999999999999</c:v>
                </c:pt>
                <c:pt idx="78">
                  <c:v>27.632000000000001</c:v>
                </c:pt>
                <c:pt idx="79">
                  <c:v>28.341000000000001</c:v>
                </c:pt>
                <c:pt idx="80">
                  <c:v>29.052</c:v>
                </c:pt>
                <c:pt idx="81">
                  <c:v>29.765000000000001</c:v>
                </c:pt>
                <c:pt idx="82">
                  <c:v>30.48</c:v>
                </c:pt>
                <c:pt idx="83">
                  <c:v>31.195</c:v>
                </c:pt>
                <c:pt idx="84">
                  <c:v>31.911999999999999</c:v>
                </c:pt>
                <c:pt idx="85">
                  <c:v>32.630000000000003</c:v>
                </c:pt>
                <c:pt idx="86">
                  <c:v>33.350999999999999</c:v>
                </c:pt>
                <c:pt idx="87">
                  <c:v>34.070999999999998</c:v>
                </c:pt>
                <c:pt idx="88">
                  <c:v>34.792999999999999</c:v>
                </c:pt>
                <c:pt idx="89">
                  <c:v>35.515999999999998</c:v>
                </c:pt>
                <c:pt idx="90">
                  <c:v>36.241</c:v>
                </c:pt>
                <c:pt idx="91">
                  <c:v>36.966000000000001</c:v>
                </c:pt>
                <c:pt idx="92">
                  <c:v>37.692</c:v>
                </c:pt>
                <c:pt idx="93">
                  <c:v>38.42</c:v>
                </c:pt>
                <c:pt idx="94">
                  <c:v>39.149000000000001</c:v>
                </c:pt>
                <c:pt idx="95">
                  <c:v>39.878999999999998</c:v>
                </c:pt>
                <c:pt idx="96">
                  <c:v>40.61</c:v>
                </c:pt>
                <c:pt idx="97">
                  <c:v>41.341999999999999</c:v>
                </c:pt>
                <c:pt idx="98">
                  <c:v>42.073999999999998</c:v>
                </c:pt>
                <c:pt idx="99">
                  <c:v>42.808</c:v>
                </c:pt>
                <c:pt idx="100">
                  <c:v>43.542000000000002</c:v>
                </c:pt>
                <c:pt idx="101">
                  <c:v>44.279000000000003</c:v>
                </c:pt>
                <c:pt idx="102">
                  <c:v>45.014000000000003</c:v>
                </c:pt>
                <c:pt idx="103">
                  <c:v>45.752000000000002</c:v>
                </c:pt>
                <c:pt idx="104">
                  <c:v>46.49</c:v>
                </c:pt>
                <c:pt idx="105">
                  <c:v>47.230000000000004</c:v>
                </c:pt>
                <c:pt idx="106">
                  <c:v>47.97</c:v>
                </c:pt>
                <c:pt idx="107">
                  <c:v>48.712000000000003</c:v>
                </c:pt>
                <c:pt idx="108">
                  <c:v>49.454000000000001</c:v>
                </c:pt>
                <c:pt idx="111">
                  <c:v>51.689</c:v>
                </c:pt>
                <c:pt idx="112">
                  <c:v>52.436</c:v>
                </c:pt>
                <c:pt idx="113">
                  <c:v>53.184000000000005</c:v>
                </c:pt>
                <c:pt idx="114">
                  <c:v>53.934000000000005</c:v>
                </c:pt>
                <c:pt idx="115">
                  <c:v>54.683</c:v>
                </c:pt>
                <c:pt idx="116">
                  <c:v>55.434000000000005</c:v>
                </c:pt>
                <c:pt idx="117">
                  <c:v>56.186</c:v>
                </c:pt>
                <c:pt idx="118">
                  <c:v>56.938000000000002</c:v>
                </c:pt>
                <c:pt idx="119">
                  <c:v>57.692</c:v>
                </c:pt>
                <c:pt idx="120">
                  <c:v>58.445</c:v>
                </c:pt>
                <c:pt idx="121">
                  <c:v>59.198999999999998</c:v>
                </c:pt>
                <c:pt idx="122">
                  <c:v>61.09</c:v>
                </c:pt>
                <c:pt idx="123">
                  <c:v>62.986000000000004</c:v>
                </c:pt>
                <c:pt idx="124">
                  <c:v>64.891000000000005</c:v>
                </c:pt>
                <c:pt idx="125">
                  <c:v>66.802000000000007</c:v>
                </c:pt>
                <c:pt idx="126">
                  <c:v>68.715000000000003</c:v>
                </c:pt>
                <c:pt idx="127">
                  <c:v>70.634</c:v>
                </c:pt>
                <c:pt idx="128">
                  <c:v>72.561000000000007</c:v>
                </c:pt>
                <c:pt idx="129">
                  <c:v>74.492000000000004</c:v>
                </c:pt>
                <c:pt idx="130">
                  <c:v>76.430000000000007</c:v>
                </c:pt>
                <c:pt idx="131">
                  <c:v>78.375</c:v>
                </c:pt>
                <c:pt idx="132">
                  <c:v>80.322000000000003</c:v>
                </c:pt>
                <c:pt idx="133">
                  <c:v>82.274000000000001</c:v>
                </c:pt>
                <c:pt idx="134">
                  <c:v>84.233999999999995</c:v>
                </c:pt>
                <c:pt idx="135">
                  <c:v>86.198999999999998</c:v>
                </c:pt>
                <c:pt idx="136">
                  <c:v>88.17</c:v>
                </c:pt>
                <c:pt idx="137">
                  <c:v>90.144000000000005</c:v>
                </c:pt>
                <c:pt idx="138">
                  <c:v>92.126000000000005</c:v>
                </c:pt>
                <c:pt idx="139">
                  <c:v>94.111000000000004</c:v>
                </c:pt>
                <c:pt idx="140">
                  <c:v>98.097999999999999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BD5-416F-B55E-C7F9CBEDCD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3935128"/>
        <c:axId val="353935520"/>
      </c:scatterChart>
      <c:valAx>
        <c:axId val="353935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935520"/>
        <c:crosses val="autoZero"/>
        <c:crossBetween val="midCat"/>
      </c:valAx>
      <c:valAx>
        <c:axId val="35393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935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409575</xdr:colOff>
      <xdr:row>1</xdr:row>
      <xdr:rowOff>27238</xdr:rowOff>
    </xdr:from>
    <xdr:to>
      <xdr:col>17</xdr:col>
      <xdr:colOff>113180</xdr:colOff>
      <xdr:row>2</xdr:row>
      <xdr:rowOff>186322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0" y="217738"/>
          <a:ext cx="1057275" cy="3400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289110</xdr:colOff>
      <xdr:row>24</xdr:row>
      <xdr:rowOff>179294</xdr:rowOff>
    </xdr:from>
    <xdr:to>
      <xdr:col>10</xdr:col>
      <xdr:colOff>837639</xdr:colOff>
      <xdr:row>39</xdr:row>
      <xdr:rowOff>179294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649942</xdr:colOff>
      <xdr:row>23</xdr:row>
      <xdr:rowOff>0</xdr:rowOff>
    </xdr:from>
    <xdr:to>
      <xdr:col>25</xdr:col>
      <xdr:colOff>100854</xdr:colOff>
      <xdr:row>43</xdr:row>
      <xdr:rowOff>112057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123265</xdr:colOff>
      <xdr:row>1</xdr:row>
      <xdr:rowOff>67234</xdr:rowOff>
    </xdr:from>
    <xdr:to>
      <xdr:col>30</xdr:col>
      <xdr:colOff>247091</xdr:colOff>
      <xdr:row>22</xdr:row>
      <xdr:rowOff>164390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109256</xdr:colOff>
      <xdr:row>23</xdr:row>
      <xdr:rowOff>56029</xdr:rowOff>
    </xdr:from>
    <xdr:to>
      <xdr:col>30</xdr:col>
      <xdr:colOff>233082</xdr:colOff>
      <xdr:row>44</xdr:row>
      <xdr:rowOff>153185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79562</xdr:colOff>
      <xdr:row>23</xdr:row>
      <xdr:rowOff>9525</xdr:rowOff>
    </xdr:from>
    <xdr:to>
      <xdr:col>18</xdr:col>
      <xdr:colOff>460562</xdr:colOff>
      <xdr:row>43</xdr:row>
      <xdr:rowOff>85725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89646</xdr:colOff>
      <xdr:row>1</xdr:row>
      <xdr:rowOff>112059</xdr:rowOff>
    </xdr:from>
    <xdr:to>
      <xdr:col>18</xdr:col>
      <xdr:colOff>470646</xdr:colOff>
      <xdr:row>22</xdr:row>
      <xdr:rowOff>116541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84605</xdr:colOff>
      <xdr:row>1</xdr:row>
      <xdr:rowOff>11206</xdr:rowOff>
    </xdr:from>
    <xdr:to>
      <xdr:col>15</xdr:col>
      <xdr:colOff>384923</xdr:colOff>
      <xdr:row>13</xdr:row>
      <xdr:rowOff>144556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3017</xdr:colOff>
      <xdr:row>1</xdr:row>
      <xdr:rowOff>0</xdr:rowOff>
    </xdr:from>
    <xdr:to>
      <xdr:col>26</xdr:col>
      <xdr:colOff>212482</xdr:colOff>
      <xdr:row>13</xdr:row>
      <xdr:rowOff>133350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9525</xdr:rowOff>
    </xdr:from>
    <xdr:to>
      <xdr:col>14</xdr:col>
      <xdr:colOff>304800</xdr:colOff>
      <xdr:row>13</xdr:row>
      <xdr:rowOff>9525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1</xdr:row>
      <xdr:rowOff>9525</xdr:rowOff>
    </xdr:from>
    <xdr:to>
      <xdr:col>14</xdr:col>
      <xdr:colOff>209550</xdr:colOff>
      <xdr:row>13</xdr:row>
      <xdr:rowOff>161925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419100</xdr:colOff>
      <xdr:row>0</xdr:row>
      <xdr:rowOff>180975</xdr:rowOff>
    </xdr:from>
    <xdr:to>
      <xdr:col>24</xdr:col>
      <xdr:colOff>476250</xdr:colOff>
      <xdr:row>18</xdr:row>
      <xdr:rowOff>148947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14</xdr:col>
      <xdr:colOff>304800</xdr:colOff>
      <xdr:row>13</xdr:row>
      <xdr:rowOff>161925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590550</xdr:colOff>
      <xdr:row>0</xdr:row>
      <xdr:rowOff>180975</xdr:rowOff>
    </xdr:from>
    <xdr:to>
      <xdr:col>22</xdr:col>
      <xdr:colOff>285750</xdr:colOff>
      <xdr:row>13</xdr:row>
      <xdr:rowOff>152400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1</xdr:row>
      <xdr:rowOff>0</xdr:rowOff>
    </xdr:from>
    <xdr:to>
      <xdr:col>14</xdr:col>
      <xdr:colOff>314325</xdr:colOff>
      <xdr:row>14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523875</xdr:colOff>
      <xdr:row>1</xdr:row>
      <xdr:rowOff>0</xdr:rowOff>
    </xdr:from>
    <xdr:to>
      <xdr:col>22</xdr:col>
      <xdr:colOff>219075</xdr:colOff>
      <xdr:row>14</xdr:row>
      <xdr:rowOff>47625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P43"/>
  <sheetViews>
    <sheetView zoomScale="75" zoomScaleNormal="75" workbookViewId="0">
      <selection activeCell="J34" sqref="J34"/>
    </sheetView>
  </sheetViews>
  <sheetFormatPr defaultRowHeight="14.4" x14ac:dyDescent="0.3"/>
  <cols>
    <col min="3" max="3" width="27" customWidth="1"/>
    <col min="4" max="4" width="27.33203125" customWidth="1"/>
    <col min="5" max="5" width="24" hidden="1" customWidth="1"/>
    <col min="6" max="7" width="19.5546875" hidden="1" customWidth="1"/>
    <col min="8" max="8" width="31.33203125" customWidth="1"/>
    <col min="9" max="9" width="20.5546875" customWidth="1"/>
    <col min="10" max="11" width="18.88671875" customWidth="1"/>
    <col min="12" max="12" width="18.88671875" style="54" customWidth="1"/>
    <col min="13" max="13" width="14.109375" customWidth="1"/>
    <col min="14" max="14" width="12.33203125" customWidth="1"/>
    <col min="16" max="16" width="17.6640625" customWidth="1"/>
  </cols>
  <sheetData>
    <row r="2" spans="3:16" x14ac:dyDescent="0.3">
      <c r="C2" s="57" t="s">
        <v>153</v>
      </c>
      <c r="D2" s="36" t="s">
        <v>154</v>
      </c>
      <c r="E2" s="30" t="s">
        <v>141</v>
      </c>
      <c r="F2" s="30" t="s">
        <v>142</v>
      </c>
      <c r="G2" s="45" t="s">
        <v>143</v>
      </c>
      <c r="H2" s="27" t="s">
        <v>171</v>
      </c>
      <c r="I2" s="53" t="s">
        <v>159</v>
      </c>
      <c r="J2" s="53" t="s">
        <v>53</v>
      </c>
      <c r="K2" s="53" t="s">
        <v>158</v>
      </c>
      <c r="M2" s="102" t="s">
        <v>87</v>
      </c>
      <c r="N2" s="102"/>
      <c r="P2" s="72"/>
    </row>
    <row r="3" spans="3:16" x14ac:dyDescent="0.3">
      <c r="C3" s="27" t="s">
        <v>176</v>
      </c>
      <c r="D3" s="43" t="s">
        <v>126</v>
      </c>
      <c r="E3" s="42">
        <v>1</v>
      </c>
      <c r="F3" s="42">
        <v>4</v>
      </c>
      <c r="G3" s="42">
        <v>0</v>
      </c>
      <c r="H3" s="42">
        <v>-74.400000000000006</v>
      </c>
      <c r="I3" s="42">
        <f t="shared" ref="I3:I23" si="0">(E3*$N$4)+(F3*$N$5)+(G3*$N$6)</f>
        <v>16.04288</v>
      </c>
      <c r="J3" s="42">
        <f t="shared" ref="J3:J23" si="1">E3*($N$4+($N$6*2))</f>
        <v>44.009799999999998</v>
      </c>
      <c r="K3" s="42">
        <f t="shared" ref="K3:K23" si="2">J3/I3</f>
        <v>2.7432605616946582</v>
      </c>
      <c r="M3" s="23" t="s">
        <v>88</v>
      </c>
      <c r="N3" s="37">
        <v>28.97</v>
      </c>
    </row>
    <row r="4" spans="3:16" x14ac:dyDescent="0.3">
      <c r="C4" s="27" t="s">
        <v>177</v>
      </c>
      <c r="D4" s="43" t="s">
        <v>127</v>
      </c>
      <c r="E4" s="42">
        <v>2</v>
      </c>
      <c r="F4" s="42">
        <v>2</v>
      </c>
      <c r="G4" s="42">
        <v>0</v>
      </c>
      <c r="H4" s="42">
        <v>8.6999999999999993</v>
      </c>
      <c r="I4" s="42">
        <f t="shared" si="0"/>
        <v>26.037939999999999</v>
      </c>
      <c r="J4" s="42">
        <f t="shared" si="1"/>
        <v>88.019599999999997</v>
      </c>
      <c r="K4" s="42">
        <f t="shared" si="2"/>
        <v>3.3804363939697226</v>
      </c>
      <c r="M4" s="23" t="s">
        <v>10</v>
      </c>
      <c r="N4" s="37">
        <v>12.010999999999999</v>
      </c>
    </row>
    <row r="5" spans="3:16" x14ac:dyDescent="0.3">
      <c r="C5" s="27" t="s">
        <v>178</v>
      </c>
      <c r="D5" s="43" t="s">
        <v>128</v>
      </c>
      <c r="E5" s="42">
        <v>2</v>
      </c>
      <c r="F5" s="42">
        <v>4</v>
      </c>
      <c r="G5" s="42">
        <v>0</v>
      </c>
      <c r="H5" s="42">
        <v>52.4</v>
      </c>
      <c r="I5" s="42">
        <f t="shared" si="0"/>
        <v>28.053879999999999</v>
      </c>
      <c r="J5" s="42">
        <f t="shared" si="1"/>
        <v>88.019599999999997</v>
      </c>
      <c r="K5" s="42">
        <f t="shared" si="2"/>
        <v>3.1375196585998086</v>
      </c>
      <c r="M5" s="23" t="s">
        <v>11</v>
      </c>
      <c r="N5" s="37">
        <v>1.00797</v>
      </c>
    </row>
    <row r="6" spans="3:16" x14ac:dyDescent="0.3">
      <c r="C6" s="27" t="s">
        <v>179</v>
      </c>
      <c r="D6" s="43" t="s">
        <v>129</v>
      </c>
      <c r="E6" s="42">
        <v>2</v>
      </c>
      <c r="F6" s="42">
        <v>6</v>
      </c>
      <c r="G6" s="42">
        <v>0</v>
      </c>
      <c r="H6" s="42">
        <v>-83.8</v>
      </c>
      <c r="I6" s="42">
        <f t="shared" si="0"/>
        <v>30.06982</v>
      </c>
      <c r="J6" s="42">
        <f t="shared" si="1"/>
        <v>88.019599999999997</v>
      </c>
      <c r="K6" s="42">
        <f t="shared" si="2"/>
        <v>2.9271741566793548</v>
      </c>
      <c r="M6" s="23" t="s">
        <v>6</v>
      </c>
      <c r="N6" s="37">
        <v>15.9994</v>
      </c>
    </row>
    <row r="7" spans="3:16" x14ac:dyDescent="0.3">
      <c r="C7" s="27" t="s">
        <v>180</v>
      </c>
      <c r="D7" s="43" t="s">
        <v>124</v>
      </c>
      <c r="E7" s="42">
        <v>3</v>
      </c>
      <c r="F7" s="42">
        <v>8</v>
      </c>
      <c r="G7" s="42">
        <v>0</v>
      </c>
      <c r="H7" s="42">
        <v>-104.7</v>
      </c>
      <c r="I7" s="42">
        <f t="shared" si="0"/>
        <v>44.096760000000003</v>
      </c>
      <c r="J7" s="42">
        <f t="shared" si="1"/>
        <v>132.02940000000001</v>
      </c>
      <c r="K7" s="42">
        <f t="shared" si="2"/>
        <v>2.9940839190906541</v>
      </c>
      <c r="M7" s="23" t="s">
        <v>7</v>
      </c>
      <c r="N7" s="37">
        <v>14.0067</v>
      </c>
    </row>
    <row r="8" spans="3:16" x14ac:dyDescent="0.3">
      <c r="C8" s="27" t="s">
        <v>181</v>
      </c>
      <c r="D8" s="43" t="s">
        <v>130</v>
      </c>
      <c r="E8" s="42">
        <v>4</v>
      </c>
      <c r="F8" s="42">
        <v>10</v>
      </c>
      <c r="G8" s="42">
        <v>0</v>
      </c>
      <c r="H8" s="42">
        <v>-146.6</v>
      </c>
      <c r="I8" s="42">
        <f t="shared" si="0"/>
        <v>58.123699999999999</v>
      </c>
      <c r="J8" s="42">
        <f t="shared" si="1"/>
        <v>176.03919999999999</v>
      </c>
      <c r="K8" s="42">
        <f t="shared" si="2"/>
        <v>3.0286991364968161</v>
      </c>
    </row>
    <row r="9" spans="3:16" x14ac:dyDescent="0.3">
      <c r="C9" s="27" t="s">
        <v>182</v>
      </c>
      <c r="D9" s="43" t="s">
        <v>130</v>
      </c>
      <c r="E9" s="42">
        <v>4</v>
      </c>
      <c r="F9" s="42">
        <v>10</v>
      </c>
      <c r="G9" s="42">
        <v>0</v>
      </c>
      <c r="H9" s="42">
        <v>-153.5</v>
      </c>
      <c r="I9" s="42">
        <f t="shared" si="0"/>
        <v>58.123699999999999</v>
      </c>
      <c r="J9" s="42">
        <f t="shared" si="1"/>
        <v>176.03919999999999</v>
      </c>
      <c r="K9" s="42">
        <f t="shared" si="2"/>
        <v>3.0286991364968161</v>
      </c>
    </row>
    <row r="10" spans="3:16" x14ac:dyDescent="0.3">
      <c r="C10" s="27" t="s">
        <v>183</v>
      </c>
      <c r="D10" s="43" t="s">
        <v>131</v>
      </c>
      <c r="E10" s="42">
        <v>5</v>
      </c>
      <c r="F10" s="42">
        <v>12</v>
      </c>
      <c r="G10" s="42">
        <v>0</v>
      </c>
      <c r="H10" s="42">
        <v>-173.5</v>
      </c>
      <c r="I10" s="42">
        <f t="shared" si="0"/>
        <v>72.150639999999996</v>
      </c>
      <c r="J10" s="42">
        <f t="shared" si="1"/>
        <v>220.04899999999998</v>
      </c>
      <c r="K10" s="42">
        <f t="shared" si="2"/>
        <v>3.0498551364201343</v>
      </c>
    </row>
    <row r="11" spans="3:16" x14ac:dyDescent="0.3">
      <c r="C11" s="27" t="s">
        <v>184</v>
      </c>
      <c r="D11" s="43" t="s">
        <v>131</v>
      </c>
      <c r="E11" s="42">
        <v>5</v>
      </c>
      <c r="F11" s="42">
        <v>12</v>
      </c>
      <c r="G11" s="42">
        <v>0</v>
      </c>
      <c r="H11" s="42">
        <v>-178.5</v>
      </c>
      <c r="I11" s="42">
        <f t="shared" si="0"/>
        <v>72.150639999999996</v>
      </c>
      <c r="J11" s="42">
        <f t="shared" si="1"/>
        <v>220.04899999999998</v>
      </c>
      <c r="K11" s="42">
        <f t="shared" si="2"/>
        <v>3.0498551364201343</v>
      </c>
    </row>
    <row r="12" spans="3:16" x14ac:dyDescent="0.3">
      <c r="C12" s="27" t="s">
        <v>185</v>
      </c>
      <c r="D12" s="43" t="s">
        <v>132</v>
      </c>
      <c r="E12" s="42">
        <v>6</v>
      </c>
      <c r="F12" s="42">
        <v>14</v>
      </c>
      <c r="G12" s="42">
        <v>0</v>
      </c>
      <c r="H12" s="42">
        <v>-198.7</v>
      </c>
      <c r="I12" s="42">
        <f t="shared" si="0"/>
        <v>86.177580000000006</v>
      </c>
      <c r="J12" s="42">
        <f t="shared" si="1"/>
        <v>264.05880000000002</v>
      </c>
      <c r="K12" s="42">
        <f t="shared" si="2"/>
        <v>3.0641241028118915</v>
      </c>
    </row>
    <row r="13" spans="3:16" x14ac:dyDescent="0.3">
      <c r="C13" s="27" t="s">
        <v>186</v>
      </c>
      <c r="D13" s="43" t="s">
        <v>132</v>
      </c>
      <c r="E13" s="42">
        <v>6</v>
      </c>
      <c r="F13" s="42">
        <v>14</v>
      </c>
      <c r="G13" s="42">
        <v>0</v>
      </c>
      <c r="H13" s="42">
        <v>-207.4</v>
      </c>
      <c r="I13" s="42">
        <f t="shared" si="0"/>
        <v>86.177580000000006</v>
      </c>
      <c r="J13" s="42">
        <f t="shared" si="1"/>
        <v>264.05880000000002</v>
      </c>
      <c r="K13" s="42">
        <f t="shared" si="2"/>
        <v>3.0641241028118915</v>
      </c>
    </row>
    <row r="14" spans="3:16" x14ac:dyDescent="0.3">
      <c r="C14" s="27" t="s">
        <v>187</v>
      </c>
      <c r="D14" s="43" t="s">
        <v>133</v>
      </c>
      <c r="E14" s="42">
        <v>7</v>
      </c>
      <c r="F14" s="42">
        <v>16</v>
      </c>
      <c r="G14" s="42">
        <v>0</v>
      </c>
      <c r="H14" s="42">
        <v>-224.2</v>
      </c>
      <c r="I14" s="42">
        <f t="shared" si="0"/>
        <v>100.20452</v>
      </c>
      <c r="J14" s="42">
        <f t="shared" si="1"/>
        <v>308.0686</v>
      </c>
      <c r="K14" s="42">
        <f t="shared" si="2"/>
        <v>3.0743982407180832</v>
      </c>
    </row>
    <row r="15" spans="3:16" x14ac:dyDescent="0.3">
      <c r="C15" s="27" t="s">
        <v>188</v>
      </c>
      <c r="D15" s="43" t="s">
        <v>125</v>
      </c>
      <c r="E15" s="42">
        <v>8</v>
      </c>
      <c r="F15" s="42">
        <v>18</v>
      </c>
      <c r="G15" s="42">
        <v>0</v>
      </c>
      <c r="H15" s="42">
        <v>-250.1</v>
      </c>
      <c r="I15" s="42">
        <f t="shared" si="0"/>
        <v>114.23146</v>
      </c>
      <c r="J15" s="42">
        <f t="shared" si="1"/>
        <v>352.07839999999999</v>
      </c>
      <c r="K15" s="42">
        <f t="shared" si="2"/>
        <v>3.0821491732662789</v>
      </c>
    </row>
    <row r="16" spans="3:16" x14ac:dyDescent="0.3">
      <c r="C16" s="27" t="s">
        <v>175</v>
      </c>
      <c r="D16" s="43" t="s">
        <v>125</v>
      </c>
      <c r="E16" s="42">
        <v>8</v>
      </c>
      <c r="F16" s="42">
        <v>18</v>
      </c>
      <c r="G16" s="42">
        <v>0</v>
      </c>
      <c r="H16" s="42">
        <v>-259.2</v>
      </c>
      <c r="I16" s="42">
        <f t="shared" si="0"/>
        <v>114.23146</v>
      </c>
      <c r="J16" s="42">
        <f t="shared" si="1"/>
        <v>352.07839999999999</v>
      </c>
      <c r="K16" s="42">
        <f t="shared" si="2"/>
        <v>3.0821491732662789</v>
      </c>
    </row>
    <row r="17" spans="2:12" x14ac:dyDescent="0.3">
      <c r="C17" s="27" t="s">
        <v>189</v>
      </c>
      <c r="D17" s="43" t="s">
        <v>134</v>
      </c>
      <c r="E17" s="42">
        <v>9</v>
      </c>
      <c r="F17" s="42">
        <v>20</v>
      </c>
      <c r="G17" s="42">
        <v>0</v>
      </c>
      <c r="H17" s="42">
        <v>-274.7</v>
      </c>
      <c r="I17" s="42">
        <f t="shared" si="0"/>
        <v>128.25839999999999</v>
      </c>
      <c r="J17" s="42">
        <f t="shared" si="1"/>
        <v>396.08819999999997</v>
      </c>
      <c r="K17" s="42">
        <f t="shared" si="2"/>
        <v>3.0882047491626277</v>
      </c>
    </row>
    <row r="18" spans="2:12" x14ac:dyDescent="0.3">
      <c r="C18" s="27" t="s">
        <v>190</v>
      </c>
      <c r="D18" s="43" t="s">
        <v>135</v>
      </c>
      <c r="E18" s="42">
        <v>10</v>
      </c>
      <c r="F18" s="42">
        <v>22</v>
      </c>
      <c r="G18" s="42">
        <v>0</v>
      </c>
      <c r="H18" s="42">
        <v>-300.89999999999998</v>
      </c>
      <c r="I18" s="42">
        <f t="shared" si="0"/>
        <v>142.28533999999999</v>
      </c>
      <c r="J18" s="42">
        <f t="shared" si="1"/>
        <v>440.09799999999996</v>
      </c>
      <c r="K18" s="42">
        <f t="shared" si="2"/>
        <v>3.0930663693111322</v>
      </c>
    </row>
    <row r="19" spans="2:12" x14ac:dyDescent="0.3">
      <c r="C19" s="27" t="s">
        <v>191</v>
      </c>
      <c r="D19" s="43" t="s">
        <v>135</v>
      </c>
      <c r="E19" s="42">
        <v>10</v>
      </c>
      <c r="F19" s="42">
        <v>22</v>
      </c>
      <c r="G19" s="42">
        <v>0</v>
      </c>
      <c r="H19" s="43" t="s">
        <v>148</v>
      </c>
      <c r="I19" s="42">
        <f t="shared" si="0"/>
        <v>142.28533999999999</v>
      </c>
      <c r="J19" s="42">
        <f t="shared" si="1"/>
        <v>440.09799999999996</v>
      </c>
      <c r="K19" s="42">
        <f t="shared" si="2"/>
        <v>3.0930663693111322</v>
      </c>
    </row>
    <row r="20" spans="2:12" x14ac:dyDescent="0.3">
      <c r="C20" s="27" t="s">
        <v>192</v>
      </c>
      <c r="D20" s="43" t="s">
        <v>136</v>
      </c>
      <c r="E20" s="42">
        <v>12</v>
      </c>
      <c r="F20" s="42">
        <v>26</v>
      </c>
      <c r="G20" s="42">
        <v>0</v>
      </c>
      <c r="H20" s="42">
        <v>-350.9</v>
      </c>
      <c r="I20" s="42">
        <f t="shared" si="0"/>
        <v>170.33922000000001</v>
      </c>
      <c r="J20" s="42">
        <f t="shared" si="1"/>
        <v>528.11760000000004</v>
      </c>
      <c r="K20" s="42">
        <f t="shared" si="2"/>
        <v>3.1003875678190846</v>
      </c>
    </row>
    <row r="21" spans="2:12" x14ac:dyDescent="0.3">
      <c r="C21" s="27" t="s">
        <v>193</v>
      </c>
      <c r="D21" s="43" t="s">
        <v>137</v>
      </c>
      <c r="E21" s="42">
        <v>1</v>
      </c>
      <c r="F21" s="42">
        <v>4</v>
      </c>
      <c r="G21" s="42">
        <v>1</v>
      </c>
      <c r="H21" s="42">
        <v>-201.5</v>
      </c>
      <c r="I21" s="42">
        <f t="shared" si="0"/>
        <v>32.042279999999998</v>
      </c>
      <c r="J21" s="42">
        <f t="shared" si="1"/>
        <v>44.009799999999998</v>
      </c>
      <c r="K21" s="42">
        <f t="shared" si="2"/>
        <v>1.3734915243234875</v>
      </c>
    </row>
    <row r="22" spans="2:12" x14ac:dyDescent="0.3">
      <c r="C22" s="27" t="s">
        <v>194</v>
      </c>
      <c r="D22" s="43" t="s">
        <v>138</v>
      </c>
      <c r="E22" s="42">
        <v>2</v>
      </c>
      <c r="F22" s="42">
        <v>6</v>
      </c>
      <c r="G22" s="42">
        <v>1</v>
      </c>
      <c r="H22" s="42">
        <v>-235.1</v>
      </c>
      <c r="I22" s="42">
        <f t="shared" si="0"/>
        <v>46.069220000000001</v>
      </c>
      <c r="J22" s="42">
        <f t="shared" si="1"/>
        <v>88.019599999999997</v>
      </c>
      <c r="K22" s="42">
        <f t="shared" si="2"/>
        <v>1.910594535787669</v>
      </c>
    </row>
    <row r="23" spans="2:12" x14ac:dyDescent="0.3">
      <c r="C23" s="27" t="s">
        <v>195</v>
      </c>
      <c r="D23" s="43" t="s">
        <v>139</v>
      </c>
      <c r="E23" s="42">
        <v>0</v>
      </c>
      <c r="F23" s="42">
        <v>2</v>
      </c>
      <c r="G23" s="42">
        <v>0</v>
      </c>
      <c r="H23" s="42">
        <v>0</v>
      </c>
      <c r="I23" s="42">
        <f t="shared" si="0"/>
        <v>2.0159400000000001</v>
      </c>
      <c r="J23" s="42">
        <f t="shared" si="1"/>
        <v>0</v>
      </c>
      <c r="K23" s="42">
        <f t="shared" si="2"/>
        <v>0</v>
      </c>
    </row>
    <row r="24" spans="2:12" x14ac:dyDescent="0.3">
      <c r="B24" s="94" t="s">
        <v>156</v>
      </c>
      <c r="C24" s="75" t="str">
        <f>C28&amp;D28</f>
        <v xml:space="preserve"> Methanol iso-Octane</v>
      </c>
      <c r="D24" s="74" t="str">
        <f>C29&amp;D29</f>
        <v>CH4OC8H18</v>
      </c>
      <c r="E24" s="42">
        <f>$C$31+$D$31</f>
        <v>9</v>
      </c>
      <c r="F24" s="42">
        <f>$C$33+$D$33</f>
        <v>22</v>
      </c>
      <c r="G24" s="42">
        <f>$C$35+$D$35</f>
        <v>1</v>
      </c>
      <c r="H24" s="42">
        <f>($C$37+$D$37)</f>
        <v>-451.6</v>
      </c>
      <c r="I24" s="42">
        <f>$C$39+$D$39</f>
        <v>146.27374</v>
      </c>
      <c r="J24" s="42">
        <f>$E$24*($N$4+($N$6*2))</f>
        <v>396.08819999999997</v>
      </c>
      <c r="K24" s="42">
        <f>$J$24/$I$24</f>
        <v>2.7078558324959761</v>
      </c>
    </row>
    <row r="25" spans="2:12" x14ac:dyDescent="0.3"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</row>
    <row r="26" spans="2:12" s="54" customFormat="1" ht="13.2" x14ac:dyDescent="0.25">
      <c r="C26" s="103" t="s">
        <v>156</v>
      </c>
      <c r="D26" s="104"/>
    </row>
    <row r="27" spans="2:12" x14ac:dyDescent="0.3">
      <c r="C27" s="93" t="s">
        <v>169</v>
      </c>
      <c r="D27" s="93" t="s">
        <v>170</v>
      </c>
      <c r="E27" s="54"/>
      <c r="F27" s="54"/>
      <c r="G27" s="54"/>
      <c r="H27" s="54"/>
      <c r="I27" s="54"/>
      <c r="J27" s="54"/>
      <c r="K27" s="54"/>
    </row>
    <row r="28" spans="2:12" x14ac:dyDescent="0.3">
      <c r="C28" s="52" t="s">
        <v>193</v>
      </c>
      <c r="D28" s="52" t="s">
        <v>175</v>
      </c>
      <c r="E28" s="54"/>
      <c r="F28" s="54"/>
      <c r="G28" s="54"/>
      <c r="H28" s="54"/>
      <c r="I28" s="54"/>
      <c r="J28" s="54"/>
      <c r="K28" s="54"/>
    </row>
    <row r="29" spans="2:12" x14ac:dyDescent="0.3">
      <c r="C29" s="42" t="str">
        <f>VLOOKUP(C28,C3:D23, 2,FALSE)</f>
        <v>CH4O</v>
      </c>
      <c r="D29" s="42" t="str">
        <f>VLOOKUP(D28,C3:D23, 2,FALSE)</f>
        <v>C8H18</v>
      </c>
      <c r="E29" s="54"/>
      <c r="F29" s="54"/>
      <c r="G29" s="54"/>
      <c r="H29" s="54"/>
      <c r="I29" s="54"/>
      <c r="J29" s="54"/>
      <c r="K29" s="54"/>
    </row>
    <row r="30" spans="2:12" x14ac:dyDescent="0.3">
      <c r="C30" s="53" t="s">
        <v>141</v>
      </c>
      <c r="D30" s="53" t="s">
        <v>141</v>
      </c>
      <c r="E30" s="54"/>
      <c r="F30" s="54"/>
      <c r="G30" s="54"/>
      <c r="H30" s="54"/>
      <c r="I30" s="54"/>
      <c r="J30" s="54"/>
      <c r="K30" s="54"/>
    </row>
    <row r="31" spans="2:12" x14ac:dyDescent="0.3">
      <c r="C31" s="42">
        <f>VLOOKUP(C29,D3:E23,2,FALSE)</f>
        <v>1</v>
      </c>
      <c r="D31" s="42">
        <f>VLOOKUP(D29,D3:E23,2,FALSE)</f>
        <v>8</v>
      </c>
      <c r="E31" s="54"/>
      <c r="F31" s="54"/>
      <c r="G31" s="54"/>
      <c r="H31" s="54"/>
      <c r="I31" s="54"/>
      <c r="J31" s="54"/>
      <c r="K31" s="54"/>
    </row>
    <row r="32" spans="2:12" x14ac:dyDescent="0.3">
      <c r="C32" s="53" t="s">
        <v>142</v>
      </c>
      <c r="D32" s="53" t="s">
        <v>142</v>
      </c>
      <c r="E32" s="54"/>
      <c r="F32" s="54"/>
      <c r="G32" s="54"/>
      <c r="H32" s="54"/>
      <c r="I32" s="54"/>
      <c r="J32" s="54"/>
      <c r="K32" s="54"/>
    </row>
    <row r="33" spans="3:11" x14ac:dyDescent="0.3">
      <c r="C33" s="42">
        <f>VLOOKUP(C29,D5:F23,3,FALSE)</f>
        <v>4</v>
      </c>
      <c r="D33" s="42">
        <f>VLOOKUP(D29,D3:F23,3,FALSE)</f>
        <v>18</v>
      </c>
      <c r="E33" s="54"/>
      <c r="F33" s="54"/>
      <c r="G33" s="54"/>
      <c r="H33" s="54"/>
      <c r="I33" s="54"/>
      <c r="J33" s="54"/>
      <c r="K33" s="54"/>
    </row>
    <row r="34" spans="3:11" x14ac:dyDescent="0.3">
      <c r="C34" s="53" t="s">
        <v>143</v>
      </c>
      <c r="D34" s="53" t="s">
        <v>143</v>
      </c>
      <c r="E34" s="54"/>
      <c r="F34" s="54"/>
      <c r="G34" s="54"/>
      <c r="H34" s="54"/>
      <c r="I34" s="54"/>
      <c r="J34" s="54"/>
      <c r="K34" s="54"/>
    </row>
    <row r="35" spans="3:11" x14ac:dyDescent="0.3">
      <c r="C35" s="42">
        <f>VLOOKUP(C29,D3:G23,4,FALSE)</f>
        <v>1</v>
      </c>
      <c r="D35" s="42">
        <f>VLOOKUP(D29,D3:G23,4,FALSE)</f>
        <v>0</v>
      </c>
      <c r="E35" s="54"/>
      <c r="F35" s="54"/>
      <c r="G35" s="54"/>
      <c r="H35" s="54"/>
      <c r="I35" s="54"/>
      <c r="J35" s="54"/>
      <c r="K35" s="54"/>
    </row>
    <row r="36" spans="3:11" x14ac:dyDescent="0.3">
      <c r="C36" s="60" t="s">
        <v>147</v>
      </c>
      <c r="D36" s="60" t="s">
        <v>147</v>
      </c>
      <c r="E36" s="54"/>
      <c r="F36" s="54"/>
      <c r="G36" s="54"/>
      <c r="H36" s="54"/>
      <c r="I36" s="54"/>
      <c r="J36" s="54"/>
      <c r="K36" s="54"/>
    </row>
    <row r="37" spans="3:11" x14ac:dyDescent="0.3">
      <c r="C37" s="42">
        <f>VLOOKUP(C29,D9:H31,5,FALSE)</f>
        <v>-201.5</v>
      </c>
      <c r="D37" s="42">
        <f>VLOOKUP(D29,D3:H23,5,FALSE)</f>
        <v>-250.1</v>
      </c>
      <c r="E37" s="54"/>
      <c r="F37" s="54"/>
      <c r="G37" s="54"/>
      <c r="H37" s="54"/>
      <c r="I37" s="54"/>
      <c r="J37" s="54"/>
      <c r="K37" s="54"/>
    </row>
    <row r="38" spans="3:11" x14ac:dyDescent="0.3">
      <c r="C38" s="60" t="s">
        <v>159</v>
      </c>
      <c r="D38" s="60" t="s">
        <v>159</v>
      </c>
      <c r="E38" s="54"/>
      <c r="F38" s="54"/>
      <c r="G38" s="54"/>
      <c r="H38" s="54"/>
      <c r="I38" s="54"/>
      <c r="J38" s="54"/>
      <c r="K38" s="54"/>
    </row>
    <row r="39" spans="3:11" x14ac:dyDescent="0.3">
      <c r="C39" s="42">
        <f>VLOOKUP(C29,D3:I23,6,FALSE)</f>
        <v>32.042279999999998</v>
      </c>
      <c r="D39" s="42">
        <f>VLOOKUP(D29,D3:I23,6,FALSE)</f>
        <v>114.23146</v>
      </c>
      <c r="E39" s="54"/>
      <c r="F39" s="54"/>
      <c r="G39" s="54"/>
      <c r="H39" s="54"/>
      <c r="I39" s="54"/>
      <c r="J39" s="54"/>
      <c r="K39" s="54"/>
    </row>
    <row r="40" spans="3:11" x14ac:dyDescent="0.3">
      <c r="E40" s="54"/>
      <c r="F40" s="54"/>
      <c r="G40" s="54"/>
      <c r="H40" s="54"/>
      <c r="I40" s="54"/>
      <c r="J40" s="54"/>
      <c r="K40" s="54"/>
    </row>
    <row r="41" spans="3:11" x14ac:dyDescent="0.3">
      <c r="E41" s="54"/>
      <c r="F41" s="54"/>
      <c r="G41" s="54"/>
      <c r="H41" s="54"/>
      <c r="I41" s="54"/>
      <c r="J41" s="54"/>
      <c r="K41" s="54"/>
    </row>
    <row r="42" spans="3:11" x14ac:dyDescent="0.3">
      <c r="C42" s="54"/>
      <c r="D42" s="54"/>
      <c r="E42" s="54"/>
      <c r="F42" s="54"/>
      <c r="G42" s="54"/>
      <c r="H42" s="54"/>
      <c r="I42" s="54"/>
      <c r="J42" s="54"/>
      <c r="K42" s="54"/>
    </row>
    <row r="43" spans="3:11" x14ac:dyDescent="0.3">
      <c r="C43" s="54"/>
      <c r="D43" s="54"/>
      <c r="E43" s="54"/>
      <c r="F43" s="54"/>
      <c r="G43" s="54"/>
      <c r="H43" s="54"/>
      <c r="I43" s="54"/>
      <c r="J43" s="54"/>
      <c r="K43" s="54"/>
    </row>
  </sheetData>
  <mergeCells count="2">
    <mergeCell ref="M2:N2"/>
    <mergeCell ref="C26:D26"/>
  </mergeCells>
  <dataValidations count="1">
    <dataValidation type="list" allowBlank="1" showInputMessage="1" showErrorMessage="1" sqref="C28:D28">
      <formula1>$C$3:$C$23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F34"/>
  <sheetViews>
    <sheetView workbookViewId="0">
      <selection activeCell="H12" sqref="H12"/>
    </sheetView>
  </sheetViews>
  <sheetFormatPr defaultRowHeight="14.4" x14ac:dyDescent="0.3"/>
  <cols>
    <col min="2" max="2" width="10.6640625" customWidth="1"/>
    <col min="3" max="3" width="18.6640625" customWidth="1"/>
    <col min="5" max="5" width="13" customWidth="1"/>
    <col min="6" max="6" width="15.109375" customWidth="1"/>
  </cols>
  <sheetData>
    <row r="2" spans="2:6" x14ac:dyDescent="0.3">
      <c r="B2" s="105" t="s">
        <v>200</v>
      </c>
      <c r="C2" s="105"/>
      <c r="D2" s="105"/>
      <c r="E2" s="105"/>
      <c r="F2" s="105"/>
    </row>
    <row r="3" spans="2:6" x14ac:dyDescent="0.3">
      <c r="B3" s="30" t="s">
        <v>201</v>
      </c>
      <c r="C3" s="30" t="s">
        <v>202</v>
      </c>
      <c r="D3" s="30" t="s">
        <v>203</v>
      </c>
      <c r="E3" s="30" t="s">
        <v>204</v>
      </c>
      <c r="F3" s="30" t="s">
        <v>205</v>
      </c>
    </row>
    <row r="4" spans="2:6" x14ac:dyDescent="0.3">
      <c r="B4" s="37" t="s">
        <v>206</v>
      </c>
      <c r="C4" s="37" t="s">
        <v>10</v>
      </c>
      <c r="D4" s="37" t="s">
        <v>207</v>
      </c>
      <c r="E4" s="37">
        <v>716.67</v>
      </c>
      <c r="F4" s="37">
        <v>59.72</v>
      </c>
    </row>
    <row r="5" spans="2:6" x14ac:dyDescent="0.3">
      <c r="B5" s="37" t="s">
        <v>208</v>
      </c>
      <c r="C5" s="37" t="s">
        <v>7</v>
      </c>
      <c r="D5" s="37" t="s">
        <v>209</v>
      </c>
      <c r="E5" s="37">
        <v>472.68</v>
      </c>
      <c r="F5" s="37">
        <v>33.76</v>
      </c>
    </row>
    <row r="6" spans="2:6" x14ac:dyDescent="0.3">
      <c r="B6" s="37" t="s">
        <v>210</v>
      </c>
      <c r="C6" s="37" t="s">
        <v>6</v>
      </c>
      <c r="D6" s="37" t="s">
        <v>209</v>
      </c>
      <c r="E6" s="37">
        <v>249.17</v>
      </c>
      <c r="F6" s="37">
        <v>15.57</v>
      </c>
    </row>
    <row r="7" spans="2:6" x14ac:dyDescent="0.3">
      <c r="B7" s="37" t="s">
        <v>127</v>
      </c>
      <c r="C7" s="37" t="s">
        <v>211</v>
      </c>
      <c r="D7" s="37" t="s">
        <v>209</v>
      </c>
      <c r="E7" s="37">
        <v>227.06</v>
      </c>
      <c r="F7" s="37">
        <v>8.7899999999999991</v>
      </c>
    </row>
    <row r="8" spans="2:6" x14ac:dyDescent="0.3">
      <c r="B8" s="37" t="s">
        <v>199</v>
      </c>
      <c r="C8" s="37" t="s">
        <v>11</v>
      </c>
      <c r="D8" s="37" t="s">
        <v>209</v>
      </c>
      <c r="E8" s="37">
        <v>218</v>
      </c>
      <c r="F8" s="37">
        <v>218</v>
      </c>
    </row>
    <row r="9" spans="2:6" x14ac:dyDescent="0.3">
      <c r="B9" s="37" t="s">
        <v>212</v>
      </c>
      <c r="C9" s="37" t="s">
        <v>213</v>
      </c>
      <c r="D9" s="37" t="s">
        <v>209</v>
      </c>
      <c r="E9" s="37">
        <v>142.66999999999999</v>
      </c>
      <c r="F9" s="37">
        <v>2.97</v>
      </c>
    </row>
    <row r="10" spans="2:6" x14ac:dyDescent="0.3">
      <c r="B10" s="37" t="s">
        <v>214</v>
      </c>
      <c r="C10" s="37" t="s">
        <v>215</v>
      </c>
      <c r="D10" s="37" t="s">
        <v>209</v>
      </c>
      <c r="E10" s="37">
        <v>90.29</v>
      </c>
      <c r="F10" s="37">
        <v>3.01</v>
      </c>
    </row>
    <row r="11" spans="2:6" x14ac:dyDescent="0.3">
      <c r="B11" s="37" t="s">
        <v>216</v>
      </c>
      <c r="C11" s="37" t="s">
        <v>217</v>
      </c>
      <c r="D11" s="37" t="s">
        <v>209</v>
      </c>
      <c r="E11" s="37">
        <v>82.96</v>
      </c>
      <c r="F11" s="37">
        <v>1.06</v>
      </c>
    </row>
    <row r="12" spans="2:6" x14ac:dyDescent="0.3">
      <c r="B12" s="37" t="s">
        <v>216</v>
      </c>
      <c r="C12" s="37" t="s">
        <v>217</v>
      </c>
      <c r="D12" s="37" t="s">
        <v>218</v>
      </c>
      <c r="E12" s="37">
        <v>49.06</v>
      </c>
      <c r="F12" s="37">
        <v>0.63</v>
      </c>
    </row>
    <row r="13" spans="2:6" x14ac:dyDescent="0.3">
      <c r="B13" s="37" t="s">
        <v>128</v>
      </c>
      <c r="C13" s="37" t="s">
        <v>219</v>
      </c>
      <c r="D13" s="37" t="s">
        <v>209</v>
      </c>
      <c r="E13" s="37">
        <v>52.38</v>
      </c>
      <c r="F13" s="37">
        <v>1.87</v>
      </c>
    </row>
    <row r="14" spans="2:6" x14ac:dyDescent="0.3">
      <c r="B14" s="37" t="s">
        <v>220</v>
      </c>
      <c r="C14" s="37" t="s">
        <v>221</v>
      </c>
      <c r="D14" s="37" t="s">
        <v>218</v>
      </c>
      <c r="E14" s="37">
        <v>50.63</v>
      </c>
      <c r="F14" s="37">
        <v>1.58</v>
      </c>
    </row>
    <row r="15" spans="2:6" x14ac:dyDescent="0.3">
      <c r="B15" s="37" t="s">
        <v>222</v>
      </c>
      <c r="C15" s="37" t="s">
        <v>223</v>
      </c>
      <c r="D15" s="37" t="s">
        <v>209</v>
      </c>
      <c r="E15" s="37">
        <v>38.99</v>
      </c>
      <c r="F15" s="37">
        <v>2.29</v>
      </c>
    </row>
    <row r="16" spans="2:6" x14ac:dyDescent="0.3">
      <c r="B16" s="37" t="s">
        <v>57</v>
      </c>
      <c r="C16" s="37" t="s">
        <v>6</v>
      </c>
      <c r="D16" s="37" t="s">
        <v>209</v>
      </c>
      <c r="E16" s="37">
        <v>0</v>
      </c>
      <c r="F16" s="37">
        <v>0</v>
      </c>
    </row>
    <row r="17" spans="2:6" x14ac:dyDescent="0.3">
      <c r="B17" s="37" t="s">
        <v>58</v>
      </c>
      <c r="C17" s="37" t="s">
        <v>7</v>
      </c>
      <c r="D17" s="37" t="s">
        <v>209</v>
      </c>
      <c r="E17" s="37">
        <v>0</v>
      </c>
      <c r="F17" s="37">
        <v>0</v>
      </c>
    </row>
    <row r="18" spans="2:6" x14ac:dyDescent="0.3">
      <c r="B18" s="37" t="s">
        <v>139</v>
      </c>
      <c r="C18" s="37" t="s">
        <v>11</v>
      </c>
      <c r="D18" s="37" t="s">
        <v>209</v>
      </c>
      <c r="E18" s="37">
        <v>0</v>
      </c>
      <c r="F18" s="37">
        <v>0</v>
      </c>
    </row>
    <row r="19" spans="2:6" x14ac:dyDescent="0.3">
      <c r="B19" s="37" t="s">
        <v>206</v>
      </c>
      <c r="C19" s="37" t="s">
        <v>10</v>
      </c>
      <c r="D19" s="37" t="s">
        <v>224</v>
      </c>
      <c r="E19" s="37">
        <v>0</v>
      </c>
      <c r="F19" s="37">
        <v>0</v>
      </c>
    </row>
    <row r="20" spans="2:6" x14ac:dyDescent="0.3">
      <c r="B20" s="37" t="s">
        <v>225</v>
      </c>
      <c r="C20" s="37" t="s">
        <v>226</v>
      </c>
      <c r="D20" s="37" t="s">
        <v>209</v>
      </c>
      <c r="E20" s="37">
        <v>45.9</v>
      </c>
      <c r="F20" s="37">
        <v>2.7</v>
      </c>
    </row>
    <row r="21" spans="2:6" x14ac:dyDescent="0.3">
      <c r="B21" s="37" t="s">
        <v>227</v>
      </c>
      <c r="C21" s="37" t="s">
        <v>228</v>
      </c>
      <c r="D21" s="37" t="s">
        <v>209</v>
      </c>
      <c r="E21" s="37">
        <v>51.08</v>
      </c>
      <c r="F21" s="37">
        <v>0.86</v>
      </c>
    </row>
    <row r="22" spans="2:6" x14ac:dyDescent="0.3">
      <c r="B22" s="37" t="s">
        <v>126</v>
      </c>
      <c r="C22" s="37" t="s">
        <v>229</v>
      </c>
      <c r="D22" s="37" t="s">
        <v>209</v>
      </c>
      <c r="E22" s="37">
        <v>74.87</v>
      </c>
      <c r="F22" s="37">
        <v>4.68</v>
      </c>
    </row>
    <row r="23" spans="2:6" x14ac:dyDescent="0.3">
      <c r="B23" s="37" t="s">
        <v>129</v>
      </c>
      <c r="C23" s="37" t="s">
        <v>230</v>
      </c>
      <c r="D23" s="37" t="s">
        <v>209</v>
      </c>
      <c r="E23" s="37">
        <v>84.81</v>
      </c>
      <c r="F23" s="37">
        <v>2.83</v>
      </c>
    </row>
    <row r="24" spans="2:6" x14ac:dyDescent="0.3">
      <c r="B24" s="37" t="s">
        <v>110</v>
      </c>
      <c r="C24" s="37" t="s">
        <v>231</v>
      </c>
      <c r="D24" s="37" t="s">
        <v>209</v>
      </c>
      <c r="E24" s="37">
        <v>110.53</v>
      </c>
      <c r="F24" s="37">
        <v>3.95</v>
      </c>
    </row>
    <row r="25" spans="2:6" x14ac:dyDescent="0.3">
      <c r="B25" s="37" t="s">
        <v>130</v>
      </c>
      <c r="C25" s="37" t="s">
        <v>232</v>
      </c>
      <c r="D25" s="37" t="s">
        <v>209</v>
      </c>
      <c r="E25" s="37">
        <v>124.9</v>
      </c>
      <c r="F25" s="37">
        <v>2.15</v>
      </c>
    </row>
    <row r="26" spans="2:6" x14ac:dyDescent="0.3">
      <c r="B26" s="37" t="s">
        <v>233</v>
      </c>
      <c r="C26" s="37" t="s">
        <v>1</v>
      </c>
      <c r="D26" s="37" t="s">
        <v>209</v>
      </c>
      <c r="E26" s="37">
        <v>201.54</v>
      </c>
      <c r="F26" s="37">
        <v>6.3</v>
      </c>
    </row>
    <row r="27" spans="2:6" x14ac:dyDescent="0.3">
      <c r="B27" s="37" t="s">
        <v>233</v>
      </c>
      <c r="C27" s="37" t="s">
        <v>1</v>
      </c>
      <c r="D27" s="37" t="s">
        <v>218</v>
      </c>
      <c r="E27" s="37">
        <v>239</v>
      </c>
      <c r="F27" s="37">
        <v>7.47</v>
      </c>
    </row>
    <row r="28" spans="2:6" x14ac:dyDescent="0.3">
      <c r="B28" s="37" t="s">
        <v>59</v>
      </c>
      <c r="C28" s="37" t="s">
        <v>234</v>
      </c>
      <c r="D28" s="37" t="s">
        <v>209</v>
      </c>
      <c r="E28" s="37">
        <v>241.83</v>
      </c>
      <c r="F28" s="37">
        <v>13.44</v>
      </c>
    </row>
    <row r="29" spans="2:6" x14ac:dyDescent="0.3">
      <c r="B29" s="37" t="s">
        <v>125</v>
      </c>
      <c r="C29" s="37" t="s">
        <v>235</v>
      </c>
      <c r="D29" s="37" t="s">
        <v>218</v>
      </c>
      <c r="E29" s="37">
        <v>250.31</v>
      </c>
      <c r="F29" s="37">
        <v>0.46</v>
      </c>
    </row>
    <row r="30" spans="2:6" x14ac:dyDescent="0.3">
      <c r="B30" s="37" t="s">
        <v>59</v>
      </c>
      <c r="C30" s="37" t="s">
        <v>234</v>
      </c>
      <c r="D30" s="37" t="s">
        <v>218</v>
      </c>
      <c r="E30" s="37">
        <v>285.10000000000002</v>
      </c>
      <c r="F30" s="37">
        <v>15.84</v>
      </c>
    </row>
    <row r="31" spans="2:6" x14ac:dyDescent="0.3">
      <c r="B31" s="37" t="s">
        <v>236</v>
      </c>
      <c r="C31" s="37" t="s">
        <v>237</v>
      </c>
      <c r="D31" s="37" t="s">
        <v>209</v>
      </c>
      <c r="E31" s="37">
        <v>296.83999999999997</v>
      </c>
      <c r="F31" s="37">
        <v>4.6399999999999997</v>
      </c>
    </row>
    <row r="32" spans="2:6" x14ac:dyDescent="0.3">
      <c r="B32" s="37" t="s">
        <v>238</v>
      </c>
      <c r="C32" s="37" t="s">
        <v>239</v>
      </c>
      <c r="D32" s="37" t="s">
        <v>218</v>
      </c>
      <c r="E32" s="37">
        <v>347.77</v>
      </c>
      <c r="F32" s="37">
        <v>2.17</v>
      </c>
    </row>
    <row r="33" spans="2:6" x14ac:dyDescent="0.3">
      <c r="B33" s="37" t="s">
        <v>33</v>
      </c>
      <c r="C33" s="37" t="s">
        <v>240</v>
      </c>
      <c r="D33" s="37" t="s">
        <v>209</v>
      </c>
      <c r="E33" s="37">
        <v>393.52</v>
      </c>
      <c r="F33" s="37">
        <v>8.94</v>
      </c>
    </row>
    <row r="34" spans="2:6" x14ac:dyDescent="0.3">
      <c r="B34" s="37" t="s">
        <v>241</v>
      </c>
      <c r="C34" s="37" t="s">
        <v>242</v>
      </c>
      <c r="D34" s="37" t="s">
        <v>209</v>
      </c>
      <c r="E34" s="37">
        <v>395.77</v>
      </c>
      <c r="F34" s="37">
        <v>4.95</v>
      </c>
    </row>
  </sheetData>
  <mergeCells count="1">
    <mergeCell ref="B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2:AC36"/>
  <sheetViews>
    <sheetView zoomScale="85" zoomScaleNormal="85" workbookViewId="0">
      <selection activeCell="E7" sqref="E7"/>
    </sheetView>
  </sheetViews>
  <sheetFormatPr defaultColWidth="9.109375" defaultRowHeight="14.4" x14ac:dyDescent="0.3"/>
  <cols>
    <col min="1" max="1" width="9.109375" style="8"/>
    <col min="2" max="2" width="18.33203125" style="19" customWidth="1"/>
    <col min="3" max="3" width="14.109375" style="8" customWidth="1"/>
    <col min="4" max="4" width="9.109375" style="8"/>
    <col min="5" max="5" width="14.33203125" style="8" customWidth="1"/>
    <col min="6" max="6" width="16" style="8" customWidth="1"/>
    <col min="7" max="9" width="9.109375" style="8"/>
    <col min="10" max="10" width="12.33203125" style="8" customWidth="1"/>
    <col min="11" max="11" width="10.109375" style="8" customWidth="1"/>
    <col min="12" max="20" width="9.109375" style="8"/>
    <col min="21" max="24" width="8.33203125" style="8" customWidth="1"/>
    <col min="25" max="16384" width="9.109375" style="8"/>
  </cols>
  <sheetData>
    <row r="2" spans="2:29" ht="15" thickBot="1" x14ac:dyDescent="0.35">
      <c r="B2" s="77" t="s">
        <v>0</v>
      </c>
      <c r="C2" s="10"/>
      <c r="D2" s="10"/>
      <c r="E2" s="10"/>
      <c r="F2" s="10"/>
      <c r="G2" s="10"/>
      <c r="H2" s="11"/>
      <c r="J2" s="102" t="s">
        <v>25</v>
      </c>
      <c r="K2" s="102"/>
      <c r="L2" s="102"/>
      <c r="M2" s="102"/>
      <c r="N2" s="102"/>
      <c r="O2" s="102"/>
      <c r="P2" s="102"/>
      <c r="Q2" s="102"/>
      <c r="R2" s="102"/>
      <c r="S2" s="102"/>
      <c r="U2" s="105" t="s">
        <v>245</v>
      </c>
      <c r="V2" s="105"/>
      <c r="W2" s="105"/>
      <c r="X2" s="105"/>
      <c r="Y2" s="78" t="s">
        <v>47</v>
      </c>
      <c r="Z2" s="83">
        <f>C15</f>
        <v>13</v>
      </c>
      <c r="AA2" s="115" t="s">
        <v>249</v>
      </c>
      <c r="AB2" s="115"/>
      <c r="AC2" s="123"/>
    </row>
    <row r="3" spans="2:29" ht="15.6" thickTop="1" thickBot="1" x14ac:dyDescent="0.35">
      <c r="B3" s="12"/>
      <c r="C3" s="13"/>
      <c r="D3" s="13"/>
      <c r="E3" s="13"/>
      <c r="F3" s="13"/>
      <c r="G3" s="13"/>
      <c r="H3" s="14"/>
      <c r="J3" s="15"/>
      <c r="K3" s="13"/>
      <c r="L3" s="13"/>
      <c r="M3" s="13"/>
      <c r="N3" s="13"/>
      <c r="O3" s="13"/>
      <c r="P3" s="81"/>
      <c r="Q3" s="81"/>
      <c r="R3" s="81"/>
      <c r="S3" s="14"/>
      <c r="U3" s="105" t="s">
        <v>246</v>
      </c>
      <c r="V3" s="105"/>
      <c r="W3" s="105"/>
      <c r="X3" s="105"/>
      <c r="Y3" s="78" t="s">
        <v>47</v>
      </c>
      <c r="Z3" s="83">
        <f>C15</f>
        <v>13</v>
      </c>
      <c r="AA3" s="91" t="s">
        <v>250</v>
      </c>
      <c r="AB3" s="91"/>
      <c r="AC3" s="92"/>
    </row>
    <row r="4" spans="2:29" ht="15.6" thickTop="1" thickBot="1" x14ac:dyDescent="0.35">
      <c r="B4" s="77" t="s">
        <v>183</v>
      </c>
      <c r="C4" s="99" t="s">
        <v>256</v>
      </c>
      <c r="D4" s="13"/>
      <c r="E4" s="13"/>
      <c r="F4" s="13"/>
      <c r="G4" s="13"/>
      <c r="H4" s="14"/>
      <c r="J4" s="85" t="str">
        <f>B4</f>
        <v xml:space="preserve"> n-Pentane</v>
      </c>
      <c r="K4" s="13"/>
      <c r="L4" s="13"/>
      <c r="M4" s="13"/>
      <c r="N4" s="86" t="s">
        <v>33</v>
      </c>
      <c r="O4" s="13"/>
      <c r="P4" s="13"/>
      <c r="Q4" s="13"/>
      <c r="R4" s="13"/>
      <c r="S4" s="14"/>
      <c r="U4" s="121" t="s">
        <v>247</v>
      </c>
      <c r="V4" s="109"/>
      <c r="W4" s="109"/>
      <c r="X4" s="122"/>
      <c r="Y4" s="78" t="s">
        <v>47</v>
      </c>
      <c r="Z4" s="83">
        <f>C15</f>
        <v>13</v>
      </c>
      <c r="AA4" s="90" t="s">
        <v>251</v>
      </c>
      <c r="AB4" s="88"/>
      <c r="AC4" s="89"/>
    </row>
    <row r="5" spans="2:29" ht="15" thickTop="1" x14ac:dyDescent="0.3">
      <c r="B5" s="71" t="s">
        <v>10</v>
      </c>
      <c r="C5" s="62">
        <f>VLOOKUP(B4,'Fuel Tables'!C3:E23,3,FALSE)</f>
        <v>5</v>
      </c>
      <c r="D5" s="13"/>
      <c r="E5" s="13"/>
      <c r="F5" s="13"/>
      <c r="G5" s="13"/>
      <c r="H5" s="14"/>
      <c r="J5" s="87" t="s">
        <v>32</v>
      </c>
      <c r="K5" s="37">
        <f>VLOOKUP(J4,'Fuel Tables'!C3:H23,6,FALSE)</f>
        <v>-173.5</v>
      </c>
      <c r="L5" s="97" t="s">
        <v>253</v>
      </c>
      <c r="M5" s="13"/>
      <c r="N5" s="40" t="s">
        <v>32</v>
      </c>
      <c r="O5" s="37">
        <v>-393.5</v>
      </c>
      <c r="P5" s="97" t="s">
        <v>253</v>
      </c>
      <c r="Q5" s="13"/>
      <c r="R5" s="13"/>
      <c r="S5" s="14"/>
      <c r="U5" s="15"/>
      <c r="V5" s="13"/>
      <c r="W5" s="13"/>
      <c r="X5" s="13"/>
      <c r="Y5" s="13"/>
      <c r="Z5" s="13"/>
      <c r="AA5" s="13"/>
      <c r="AB5" s="13"/>
      <c r="AC5" s="14"/>
    </row>
    <row r="6" spans="2:29" ht="15" thickBot="1" x14ac:dyDescent="0.35">
      <c r="B6" s="71" t="s">
        <v>11</v>
      </c>
      <c r="C6" s="62">
        <f>VLOOKUP(B4,'Fuel Tables'!C3:F23,4,FALSE)</f>
        <v>12</v>
      </c>
      <c r="D6" s="13"/>
      <c r="E6" s="13"/>
      <c r="F6" s="13"/>
      <c r="G6" s="13"/>
      <c r="H6" s="14"/>
      <c r="J6" s="85" t="str">
        <f>B8</f>
        <v xml:space="preserve"> iso-Octane</v>
      </c>
      <c r="K6" s="13"/>
      <c r="L6" s="13"/>
      <c r="M6" s="13"/>
      <c r="N6" s="86" t="s">
        <v>34</v>
      </c>
      <c r="O6" s="13"/>
      <c r="P6" s="13"/>
      <c r="Q6" s="13"/>
      <c r="R6" s="13"/>
      <c r="S6" s="14"/>
      <c r="U6" s="105" t="s">
        <v>247</v>
      </c>
      <c r="V6" s="105"/>
      <c r="W6" s="105"/>
      <c r="X6" s="105"/>
      <c r="Y6" s="78" t="s">
        <v>47</v>
      </c>
      <c r="Z6" s="114">
        <f>(C15*C25)+(C16*C26)+(C27*(C11+C7))</f>
        <v>186.38210000000001</v>
      </c>
      <c r="AA6" s="115"/>
      <c r="AB6" s="91" t="s">
        <v>252</v>
      </c>
      <c r="AC6" s="92"/>
    </row>
    <row r="7" spans="2:29" ht="15.6" thickTop="1" thickBot="1" x14ac:dyDescent="0.35">
      <c r="B7" s="71" t="s">
        <v>6</v>
      </c>
      <c r="C7" s="62">
        <f>VLOOKUP(B4,'Fuel Tables'!C3:G23,5,FALSE)</f>
        <v>0</v>
      </c>
      <c r="D7" s="13"/>
      <c r="E7" s="13"/>
      <c r="F7" s="13"/>
      <c r="G7" s="13"/>
      <c r="H7" s="14"/>
      <c r="J7" s="87" t="s">
        <v>32</v>
      </c>
      <c r="K7" s="37">
        <f>VLOOKUP(J6,'Fuel Tables'!C3:H23,6,FALSE)</f>
        <v>-259.2</v>
      </c>
      <c r="L7" s="97" t="s">
        <v>253</v>
      </c>
      <c r="M7" s="13"/>
      <c r="N7" s="40" t="s">
        <v>32</v>
      </c>
      <c r="O7" s="37">
        <v>-241.8</v>
      </c>
      <c r="P7" s="97" t="s">
        <v>253</v>
      </c>
      <c r="Q7" s="61" t="s">
        <v>35</v>
      </c>
      <c r="R7" s="13"/>
      <c r="S7" s="14"/>
      <c r="U7" s="105" t="s">
        <v>247</v>
      </c>
      <c r="V7" s="105"/>
      <c r="W7" s="105"/>
      <c r="X7" s="105"/>
      <c r="Y7" s="78" t="s">
        <v>47</v>
      </c>
      <c r="Z7" s="116">
        <f>(C15*(C25+(C27*2)))</f>
        <v>572.12739999999997</v>
      </c>
      <c r="AA7" s="117"/>
      <c r="AB7" s="91" t="s">
        <v>252</v>
      </c>
      <c r="AC7" s="92"/>
    </row>
    <row r="8" spans="2:29" ht="15" thickTop="1" x14ac:dyDescent="0.3">
      <c r="B8" s="79" t="s">
        <v>175</v>
      </c>
      <c r="C8" s="99" t="s">
        <v>256</v>
      </c>
      <c r="D8" s="13"/>
      <c r="E8" s="13"/>
      <c r="F8" s="13"/>
      <c r="G8" s="13"/>
      <c r="H8" s="14"/>
      <c r="J8" s="15"/>
      <c r="K8" s="13"/>
      <c r="L8" s="13"/>
      <c r="M8" s="13"/>
      <c r="N8" s="13"/>
      <c r="O8" s="37">
        <v>285.8</v>
      </c>
      <c r="P8" s="97" t="s">
        <v>253</v>
      </c>
      <c r="Q8" s="61" t="s">
        <v>36</v>
      </c>
      <c r="R8" s="13"/>
      <c r="S8" s="14"/>
      <c r="U8" s="15"/>
      <c r="V8" s="13"/>
      <c r="W8" s="13"/>
      <c r="X8" s="13"/>
      <c r="Y8" s="13"/>
      <c r="Z8" s="13"/>
      <c r="AA8" s="13"/>
      <c r="AB8" s="13"/>
      <c r="AC8" s="14"/>
    </row>
    <row r="9" spans="2:29" ht="15" thickBot="1" x14ac:dyDescent="0.35">
      <c r="B9" s="73" t="s">
        <v>10</v>
      </c>
      <c r="C9" s="37">
        <f>VLOOKUP(B8,'Fuel Tables'!C3:E23,3,FALSE)</f>
        <v>8</v>
      </c>
      <c r="D9" s="13"/>
      <c r="E9" s="13"/>
      <c r="F9" s="13"/>
      <c r="G9" s="13"/>
      <c r="H9" s="14"/>
      <c r="J9" s="15"/>
      <c r="K9" s="13"/>
      <c r="L9" s="13"/>
      <c r="M9" s="13"/>
      <c r="N9" s="13"/>
      <c r="O9" s="13"/>
      <c r="P9" s="13"/>
      <c r="Q9" s="13"/>
      <c r="R9" s="13"/>
      <c r="S9" s="14"/>
      <c r="U9" s="121" t="s">
        <v>248</v>
      </c>
      <c r="V9" s="109"/>
      <c r="W9" s="109"/>
      <c r="X9" s="122"/>
      <c r="Y9" s="78" t="s">
        <v>47</v>
      </c>
      <c r="Z9" s="113">
        <f>Z7/Z6</f>
        <v>3.0696477827001623</v>
      </c>
      <c r="AA9" s="113"/>
      <c r="AB9" s="113"/>
      <c r="AC9" s="113"/>
    </row>
    <row r="10" spans="2:29" ht="15" thickTop="1" x14ac:dyDescent="0.3">
      <c r="B10" s="73" t="s">
        <v>11</v>
      </c>
      <c r="C10" s="37">
        <f>VLOOKUP(B8,'Fuel Tables'!C3:F23,4,FALSE)</f>
        <v>18</v>
      </c>
      <c r="D10" s="13"/>
      <c r="E10" s="13"/>
      <c r="F10" s="13"/>
      <c r="G10" s="13"/>
      <c r="H10" s="14"/>
      <c r="J10" s="118" t="s">
        <v>37</v>
      </c>
      <c r="K10" s="119"/>
      <c r="L10" s="119"/>
      <c r="M10" s="119"/>
      <c r="N10" s="119"/>
      <c r="O10" s="119"/>
      <c r="P10" s="119"/>
      <c r="Q10" s="120"/>
      <c r="R10" s="13"/>
      <c r="S10" s="14"/>
      <c r="U10" s="16"/>
      <c r="V10" s="17"/>
      <c r="W10" s="17"/>
      <c r="X10" s="17"/>
      <c r="Y10" s="17"/>
      <c r="Z10" s="113" t="s">
        <v>55</v>
      </c>
      <c r="AA10" s="113"/>
      <c r="AB10" s="113"/>
      <c r="AC10" s="113"/>
    </row>
    <row r="11" spans="2:29" x14ac:dyDescent="0.3">
      <c r="B11" s="73" t="s">
        <v>6</v>
      </c>
      <c r="C11" s="37">
        <f>VLOOKUP(B8,'Fuel Tables'!C3:G23,5,FALSE)</f>
        <v>0</v>
      </c>
      <c r="D11" s="13"/>
      <c r="E11" s="13"/>
      <c r="F11" s="13"/>
      <c r="G11" s="13"/>
      <c r="H11" s="14"/>
      <c r="J11" s="118" t="s">
        <v>39</v>
      </c>
      <c r="K11" s="119"/>
      <c r="L11" s="119"/>
      <c r="M11" s="120"/>
      <c r="N11" s="118" t="s">
        <v>38</v>
      </c>
      <c r="O11" s="119"/>
      <c r="P11" s="119"/>
      <c r="Q11" s="120"/>
      <c r="R11" s="13"/>
      <c r="S11" s="14"/>
    </row>
    <row r="12" spans="2:29" x14ac:dyDescent="0.3">
      <c r="B12" s="12"/>
      <c r="C12" s="13"/>
      <c r="D12" s="13"/>
      <c r="E12" s="13"/>
      <c r="F12" s="13"/>
      <c r="G12" s="13"/>
      <c r="H12" s="14"/>
      <c r="J12" s="15"/>
      <c r="K12" s="111">
        <f>ABS(K5+K7)</f>
        <v>432.7</v>
      </c>
      <c r="L12" s="112"/>
      <c r="M12" s="1"/>
      <c r="N12" s="1"/>
      <c r="O12" s="111">
        <f>ABS((9*O5)+(11*O7))</f>
        <v>6201.3</v>
      </c>
      <c r="P12" s="112"/>
      <c r="Q12" s="13"/>
      <c r="R12" s="13"/>
      <c r="S12" s="14"/>
      <c r="U12" s="76"/>
      <c r="V12" s="76"/>
      <c r="W12" s="76"/>
      <c r="X12" s="76"/>
      <c r="Y12" s="76"/>
    </row>
    <row r="13" spans="2:29" x14ac:dyDescent="0.3">
      <c r="B13" s="102" t="s">
        <v>2</v>
      </c>
      <c r="C13" s="102"/>
      <c r="D13" s="102"/>
      <c r="E13" s="102"/>
      <c r="F13" s="102"/>
      <c r="G13" s="13"/>
      <c r="H13" s="14"/>
      <c r="J13" s="15"/>
      <c r="K13" s="13"/>
      <c r="L13" s="13"/>
      <c r="M13" s="13"/>
      <c r="N13" s="13"/>
      <c r="O13" s="13"/>
      <c r="P13" s="13"/>
      <c r="Q13" s="13"/>
      <c r="R13" s="13"/>
      <c r="S13" s="14"/>
      <c r="U13" s="82"/>
      <c r="V13" s="82"/>
      <c r="W13" s="82"/>
      <c r="X13" s="82"/>
      <c r="Y13" s="76"/>
    </row>
    <row r="14" spans="2:29" x14ac:dyDescent="0.3">
      <c r="B14" s="106"/>
      <c r="C14" s="107"/>
      <c r="D14" s="107"/>
      <c r="E14" s="107"/>
      <c r="F14" s="107"/>
      <c r="G14" s="13"/>
      <c r="H14" s="14"/>
      <c r="J14" s="15"/>
      <c r="K14" s="13"/>
      <c r="L14" s="102" t="s">
        <v>40</v>
      </c>
      <c r="M14" s="102"/>
      <c r="N14" s="102"/>
      <c r="O14" s="13"/>
      <c r="P14" s="13"/>
      <c r="Q14" s="13"/>
      <c r="R14" s="13"/>
      <c r="S14" s="14"/>
      <c r="U14" s="82"/>
      <c r="V14" s="82"/>
      <c r="W14" s="82"/>
      <c r="X14" s="82"/>
      <c r="Y14" s="76"/>
    </row>
    <row r="15" spans="2:29" x14ac:dyDescent="0.3">
      <c r="B15" s="80" t="s">
        <v>10</v>
      </c>
      <c r="C15" s="37">
        <f>C5+C9</f>
        <v>13</v>
      </c>
      <c r="D15" s="61" t="s">
        <v>9</v>
      </c>
      <c r="E15" s="13"/>
      <c r="F15" s="13"/>
      <c r="G15" s="13"/>
      <c r="H15" s="14"/>
      <c r="J15" s="15"/>
      <c r="K15" s="13"/>
      <c r="L15" s="13"/>
      <c r="M15" s="84">
        <f>O12-K12</f>
        <v>5768.6</v>
      </c>
      <c r="N15" s="13"/>
      <c r="O15" s="13"/>
      <c r="P15" s="13"/>
      <c r="Q15" s="13"/>
      <c r="R15" s="13"/>
      <c r="S15" s="14"/>
      <c r="U15" s="76"/>
      <c r="V15" s="76"/>
      <c r="W15" s="76"/>
      <c r="X15" s="76"/>
      <c r="Y15" s="76"/>
    </row>
    <row r="16" spans="2:29" x14ac:dyDescent="0.3">
      <c r="B16" s="80" t="s">
        <v>11</v>
      </c>
      <c r="C16" s="37">
        <f>C6+C10</f>
        <v>30</v>
      </c>
      <c r="D16" s="61" t="s">
        <v>12</v>
      </c>
      <c r="E16" s="13"/>
      <c r="F16" s="13"/>
      <c r="G16" s="13"/>
      <c r="H16" s="14"/>
      <c r="J16" s="15"/>
      <c r="K16" s="13"/>
      <c r="L16" s="13"/>
      <c r="M16" s="13"/>
      <c r="N16" s="13"/>
      <c r="O16" s="13"/>
      <c r="P16" s="13"/>
      <c r="Q16" s="13"/>
      <c r="R16" s="13"/>
      <c r="S16" s="14"/>
      <c r="U16" s="76"/>
      <c r="V16" s="76"/>
      <c r="W16" s="76"/>
      <c r="X16" s="76"/>
      <c r="Y16" s="76"/>
    </row>
    <row r="17" spans="2:25" x14ac:dyDescent="0.3">
      <c r="B17" s="12"/>
      <c r="C17" s="37">
        <f>C16/2</f>
        <v>15</v>
      </c>
      <c r="D17" s="61" t="s">
        <v>13</v>
      </c>
      <c r="E17" s="13"/>
      <c r="F17" s="13"/>
      <c r="G17" s="13"/>
      <c r="H17" s="14"/>
      <c r="J17" s="108" t="s">
        <v>41</v>
      </c>
      <c r="K17" s="109"/>
      <c r="L17" s="110"/>
      <c r="M17" s="37">
        <f>$M$15/$G$27</f>
        <v>30.950397060661945</v>
      </c>
      <c r="N17" s="37" t="s">
        <v>42</v>
      </c>
      <c r="O17" s="98" t="s">
        <v>255</v>
      </c>
      <c r="P17" s="13"/>
      <c r="Q17" s="13"/>
      <c r="R17" s="13"/>
      <c r="S17" s="14"/>
      <c r="U17" s="76"/>
      <c r="V17" s="76"/>
      <c r="W17" s="76"/>
      <c r="X17" s="76"/>
      <c r="Y17" s="76"/>
    </row>
    <row r="18" spans="2:25" x14ac:dyDescent="0.3">
      <c r="B18" s="80" t="s">
        <v>6</v>
      </c>
      <c r="C18" s="37" t="s">
        <v>243</v>
      </c>
      <c r="D18" s="13"/>
      <c r="E18" s="13"/>
      <c r="F18" s="24"/>
      <c r="G18" s="13"/>
      <c r="H18" s="14"/>
      <c r="J18" s="15"/>
      <c r="K18" s="13"/>
      <c r="L18" s="13"/>
      <c r="M18" s="13"/>
      <c r="N18" s="13"/>
      <c r="O18" s="13"/>
      <c r="P18" s="13"/>
      <c r="Q18" s="13"/>
      <c r="R18" s="13"/>
      <c r="S18" s="14"/>
    </row>
    <row r="19" spans="2:25" x14ac:dyDescent="0.3">
      <c r="B19" s="12"/>
      <c r="C19" s="37">
        <f>(C15*2)+C17-(C7+C11)</f>
        <v>41</v>
      </c>
      <c r="D19" s="61" t="s">
        <v>15</v>
      </c>
      <c r="E19" s="13"/>
      <c r="F19" s="13"/>
      <c r="G19" s="13"/>
      <c r="H19" s="14"/>
      <c r="J19" s="102" t="s">
        <v>39</v>
      </c>
      <c r="K19" s="102"/>
      <c r="L19" s="102"/>
      <c r="M19" s="102"/>
      <c r="N19" s="102" t="s">
        <v>38</v>
      </c>
      <c r="O19" s="102"/>
      <c r="P19" s="102"/>
      <c r="Q19" s="102"/>
      <c r="R19" s="13"/>
      <c r="S19" s="14"/>
    </row>
    <row r="20" spans="2:25" x14ac:dyDescent="0.3">
      <c r="B20" s="12"/>
      <c r="C20" s="37">
        <f>C19/2</f>
        <v>20.5</v>
      </c>
      <c r="D20" s="61" t="s">
        <v>16</v>
      </c>
      <c r="E20" s="13"/>
      <c r="F20" s="13"/>
      <c r="G20" s="13"/>
      <c r="H20" s="14"/>
      <c r="J20" s="15"/>
      <c r="K20" s="124">
        <f>ABS(K5+K7)</f>
        <v>432.7</v>
      </c>
      <c r="L20" s="125"/>
      <c r="M20" s="13"/>
      <c r="N20" s="13"/>
      <c r="O20" s="113">
        <f>ABS((9*O5))+(11*O8)</f>
        <v>6685.3</v>
      </c>
      <c r="P20" s="113"/>
      <c r="Q20" s="13"/>
      <c r="R20" s="13"/>
      <c r="S20" s="14"/>
    </row>
    <row r="21" spans="2:25" x14ac:dyDescent="0.3">
      <c r="B21" s="80" t="s">
        <v>17</v>
      </c>
      <c r="C21" s="37">
        <f>3.76*C20</f>
        <v>77.08</v>
      </c>
      <c r="D21" s="61" t="s">
        <v>18</v>
      </c>
      <c r="E21" s="13"/>
      <c r="F21" s="13"/>
      <c r="G21" s="13"/>
      <c r="H21" s="14"/>
      <c r="J21" s="15"/>
      <c r="K21" s="13"/>
      <c r="L21" s="13"/>
      <c r="M21" s="13"/>
      <c r="N21" s="13"/>
      <c r="O21" s="13"/>
      <c r="P21" s="13"/>
      <c r="Q21" s="13"/>
      <c r="R21" s="13"/>
      <c r="S21" s="14"/>
    </row>
    <row r="22" spans="2:25" x14ac:dyDescent="0.3">
      <c r="B22" s="12"/>
      <c r="C22" s="13"/>
      <c r="D22" s="13"/>
      <c r="E22" s="13"/>
      <c r="F22" s="13"/>
      <c r="G22" s="13"/>
      <c r="H22" s="14"/>
      <c r="J22" s="15"/>
      <c r="K22" s="13"/>
      <c r="L22" s="102" t="s">
        <v>40</v>
      </c>
      <c r="M22" s="102"/>
      <c r="N22" s="102"/>
      <c r="O22" s="13"/>
      <c r="P22" s="13"/>
      <c r="Q22" s="13"/>
      <c r="R22" s="13"/>
      <c r="S22" s="14"/>
    </row>
    <row r="23" spans="2:25" x14ac:dyDescent="0.3">
      <c r="B23" s="12"/>
      <c r="C23" s="13"/>
      <c r="D23" s="13"/>
      <c r="E23" s="13"/>
      <c r="F23" s="13"/>
      <c r="G23" s="13"/>
      <c r="H23" s="14"/>
      <c r="J23" s="15"/>
      <c r="K23" s="13"/>
      <c r="L23" s="13"/>
      <c r="M23" s="84">
        <f>O20-K20</f>
        <v>6252.6</v>
      </c>
      <c r="N23" s="13"/>
      <c r="O23" s="13"/>
      <c r="P23" s="13"/>
      <c r="Q23" s="13"/>
      <c r="R23" s="13"/>
      <c r="S23" s="14"/>
    </row>
    <row r="24" spans="2:25" x14ac:dyDescent="0.3">
      <c r="B24" s="12"/>
      <c r="C24" s="30" t="s">
        <v>5</v>
      </c>
      <c r="D24" s="70"/>
      <c r="E24" s="70"/>
      <c r="F24" s="70"/>
      <c r="G24" s="13"/>
      <c r="H24" s="14"/>
      <c r="J24" s="15"/>
      <c r="K24" s="13"/>
      <c r="L24" s="13"/>
      <c r="M24" s="13"/>
      <c r="N24" s="13"/>
      <c r="O24" s="13"/>
      <c r="P24" s="13"/>
      <c r="Q24" s="13"/>
      <c r="R24" s="13"/>
      <c r="S24" s="14"/>
    </row>
    <row r="25" spans="2:25" x14ac:dyDescent="0.3">
      <c r="B25" s="80" t="s">
        <v>4</v>
      </c>
      <c r="C25" s="37">
        <v>12.010999999999999</v>
      </c>
      <c r="D25" s="37" t="s">
        <v>8</v>
      </c>
      <c r="E25" s="13"/>
      <c r="F25" s="40" t="str">
        <f>B8</f>
        <v xml:space="preserve"> iso-Octane</v>
      </c>
      <c r="G25" s="37">
        <f>(C9*C25)+(C10*C26)+(C11*C27)</f>
        <v>114.23146</v>
      </c>
      <c r="H25" s="37" t="s">
        <v>8</v>
      </c>
      <c r="J25" s="87" t="s">
        <v>43</v>
      </c>
      <c r="K25" s="37">
        <f>((M23/G27)*10^6)</f>
        <v>33547212.956609037</v>
      </c>
      <c r="L25" s="37" t="s">
        <v>45</v>
      </c>
      <c r="M25" s="37">
        <f>K25*10^-6</f>
        <v>33.547212956609037</v>
      </c>
      <c r="N25" s="37" t="s">
        <v>42</v>
      </c>
      <c r="O25" s="13"/>
      <c r="P25" s="13"/>
      <c r="Q25" s="13"/>
      <c r="R25" s="13"/>
      <c r="S25" s="14"/>
    </row>
    <row r="26" spans="2:25" x14ac:dyDescent="0.3">
      <c r="B26" s="80" t="s">
        <v>3</v>
      </c>
      <c r="C26" s="37">
        <v>1.00797</v>
      </c>
      <c r="D26" s="37" t="s">
        <v>8</v>
      </c>
      <c r="E26" s="13"/>
      <c r="F26" s="40" t="str">
        <f>B4</f>
        <v xml:space="preserve"> n-Pentane</v>
      </c>
      <c r="G26" s="37">
        <f>(C5*C25)+(C6*C26)+(C7*C27)</f>
        <v>72.150639999999996</v>
      </c>
      <c r="H26" s="37" t="s">
        <v>8</v>
      </c>
      <c r="J26" s="87" t="s">
        <v>44</v>
      </c>
      <c r="K26" s="37">
        <f>M17*10^6</f>
        <v>30950397.060661945</v>
      </c>
      <c r="L26" s="37" t="s">
        <v>45</v>
      </c>
      <c r="M26" s="37">
        <f>$M$15/$G$27</f>
        <v>30.950397060661945</v>
      </c>
      <c r="N26" s="37" t="s">
        <v>42</v>
      </c>
      <c r="O26" s="13"/>
      <c r="P26" s="13"/>
      <c r="Q26" s="13"/>
      <c r="R26" s="13"/>
      <c r="S26" s="14"/>
    </row>
    <row r="27" spans="2:25" x14ac:dyDescent="0.3">
      <c r="B27" s="80" t="s">
        <v>6</v>
      </c>
      <c r="C27" s="37">
        <v>15.9994</v>
      </c>
      <c r="D27" s="37" t="s">
        <v>8</v>
      </c>
      <c r="E27" s="13"/>
      <c r="F27" s="40" t="s">
        <v>19</v>
      </c>
      <c r="G27" s="37">
        <f>G25+G26</f>
        <v>186.38209999999998</v>
      </c>
      <c r="H27" s="37" t="s">
        <v>8</v>
      </c>
      <c r="J27" s="15"/>
      <c r="K27" s="13"/>
      <c r="L27" s="13"/>
      <c r="M27" s="13"/>
      <c r="N27" s="13"/>
      <c r="O27" s="13"/>
      <c r="P27" s="13"/>
      <c r="Q27" s="13"/>
      <c r="R27" s="13"/>
      <c r="S27" s="14"/>
    </row>
    <row r="28" spans="2:25" x14ac:dyDescent="0.3">
      <c r="B28" s="80" t="s">
        <v>7</v>
      </c>
      <c r="C28" s="37">
        <v>14.0067</v>
      </c>
      <c r="D28" s="37" t="s">
        <v>8</v>
      </c>
      <c r="E28" s="13"/>
      <c r="F28" s="13"/>
      <c r="G28" s="13"/>
      <c r="H28" s="14"/>
      <c r="J28" s="15"/>
      <c r="K28" s="13"/>
      <c r="L28" s="13"/>
      <c r="M28" s="13"/>
      <c r="N28" s="13"/>
      <c r="O28" s="13"/>
      <c r="P28" s="13"/>
      <c r="Q28" s="13"/>
      <c r="R28" s="13"/>
      <c r="S28" s="14"/>
    </row>
    <row r="29" spans="2:25" x14ac:dyDescent="0.3">
      <c r="B29" s="72"/>
      <c r="C29" s="13"/>
      <c r="D29" s="13"/>
      <c r="E29" s="13"/>
      <c r="F29" s="13"/>
      <c r="G29" s="13"/>
      <c r="H29" s="14"/>
      <c r="J29" s="15"/>
      <c r="K29" s="13"/>
      <c r="L29" s="13"/>
      <c r="M29" s="13"/>
      <c r="N29" s="13"/>
      <c r="O29" s="13"/>
      <c r="P29" s="13"/>
      <c r="Q29" s="13"/>
      <c r="R29" s="13"/>
      <c r="S29" s="14"/>
    </row>
    <row r="30" spans="2:25" x14ac:dyDescent="0.3">
      <c r="B30" s="80" t="str">
        <f>F25</f>
        <v xml:space="preserve"> iso-Octane</v>
      </c>
      <c r="C30" s="55">
        <f>G25/G27</f>
        <v>0.6128885767463722</v>
      </c>
      <c r="D30" s="37" t="s">
        <v>244</v>
      </c>
      <c r="E30" s="13"/>
      <c r="F30" s="13"/>
      <c r="G30" s="13"/>
      <c r="H30" s="14"/>
      <c r="J30" s="15"/>
      <c r="K30" s="13"/>
      <c r="L30" s="13"/>
      <c r="M30" s="13"/>
      <c r="N30" s="13"/>
      <c r="O30" s="13"/>
      <c r="P30" s="13"/>
      <c r="Q30" s="13"/>
      <c r="R30" s="13"/>
      <c r="S30" s="14"/>
    </row>
    <row r="31" spans="2:25" x14ac:dyDescent="0.3">
      <c r="B31" s="80" t="str">
        <f>F26</f>
        <v xml:space="preserve"> n-Pentane</v>
      </c>
      <c r="C31" s="55">
        <f>G26/G27</f>
        <v>0.38711142325362791</v>
      </c>
      <c r="D31" s="37" t="s">
        <v>244</v>
      </c>
      <c r="E31" s="13"/>
      <c r="F31" s="13"/>
      <c r="G31" s="13"/>
      <c r="H31" s="14"/>
      <c r="J31" s="15"/>
      <c r="K31" s="13"/>
      <c r="L31" s="13"/>
      <c r="M31" s="13"/>
      <c r="N31" s="13"/>
      <c r="O31" s="13"/>
      <c r="P31" s="13"/>
      <c r="Q31" s="13"/>
      <c r="R31" s="13"/>
      <c r="S31" s="14"/>
    </row>
    <row r="32" spans="2:25" x14ac:dyDescent="0.3">
      <c r="B32" s="12"/>
      <c r="C32" s="13"/>
      <c r="D32" s="13"/>
      <c r="E32" s="13"/>
      <c r="F32" s="13"/>
      <c r="G32" s="13"/>
      <c r="H32" s="14"/>
      <c r="J32" s="15"/>
      <c r="K32" s="13"/>
      <c r="L32" s="13"/>
      <c r="M32" s="13"/>
      <c r="N32" s="13"/>
      <c r="O32" s="13"/>
      <c r="P32" s="13"/>
      <c r="Q32" s="13"/>
      <c r="R32" s="13"/>
      <c r="S32" s="14"/>
    </row>
    <row r="33" spans="2:19" x14ac:dyDescent="0.3">
      <c r="B33" s="80" t="s">
        <v>22</v>
      </c>
      <c r="C33" s="37" t="s">
        <v>23</v>
      </c>
      <c r="D33" s="13"/>
      <c r="E33" s="13"/>
      <c r="F33" s="13"/>
      <c r="G33" s="13"/>
      <c r="H33" s="14"/>
      <c r="J33" s="16"/>
      <c r="K33" s="17"/>
      <c r="L33" s="17"/>
      <c r="M33" s="17"/>
      <c r="N33" s="17"/>
      <c r="O33" s="17"/>
      <c r="P33" s="17"/>
      <c r="Q33" s="17"/>
      <c r="R33" s="17"/>
      <c r="S33" s="18"/>
    </row>
    <row r="34" spans="2:19" x14ac:dyDescent="0.3">
      <c r="B34" s="12"/>
      <c r="C34" s="37">
        <f>C20*((C27*2)+3.76*(2*C28))</f>
        <v>2815.2482719999998</v>
      </c>
      <c r="D34" s="37" t="s">
        <v>8</v>
      </c>
      <c r="E34" s="13"/>
      <c r="F34" s="13"/>
      <c r="G34" s="13"/>
      <c r="H34" s="14"/>
      <c r="J34" s="76"/>
      <c r="K34" s="76"/>
      <c r="L34" s="76"/>
      <c r="M34" s="76"/>
      <c r="N34" s="76"/>
      <c r="O34" s="76"/>
      <c r="P34" s="76"/>
      <c r="Q34" s="76"/>
      <c r="R34" s="76"/>
      <c r="S34" s="76"/>
    </row>
    <row r="35" spans="2:19" x14ac:dyDescent="0.3">
      <c r="B35" s="12"/>
      <c r="C35" s="13"/>
      <c r="D35" s="13"/>
      <c r="E35" s="13"/>
      <c r="F35" s="13"/>
      <c r="G35" s="13"/>
      <c r="H35" s="14"/>
      <c r="J35" s="76"/>
      <c r="K35" s="76"/>
      <c r="L35" s="76"/>
      <c r="M35" s="76"/>
      <c r="N35" s="76"/>
      <c r="O35" s="76"/>
      <c r="P35" s="76"/>
      <c r="Q35" s="76"/>
      <c r="R35" s="76"/>
      <c r="S35" s="76"/>
    </row>
    <row r="36" spans="2:19" x14ac:dyDescent="0.3">
      <c r="B36" s="80" t="s">
        <v>24</v>
      </c>
      <c r="C36" s="37">
        <f>C34/G27</f>
        <v>15.104713768113999</v>
      </c>
      <c r="D36" s="17"/>
      <c r="E36" s="17"/>
      <c r="F36" s="17"/>
      <c r="G36" s="17"/>
      <c r="H36" s="18"/>
      <c r="J36" s="76"/>
      <c r="K36" s="76"/>
      <c r="L36" s="76"/>
      <c r="M36" s="76"/>
      <c r="N36" s="76"/>
      <c r="O36" s="76"/>
      <c r="P36" s="76"/>
      <c r="Q36" s="76"/>
      <c r="R36" s="76"/>
      <c r="S36" s="76"/>
    </row>
  </sheetData>
  <mergeCells count="26">
    <mergeCell ref="J19:M19"/>
    <mergeCell ref="N19:Q19"/>
    <mergeCell ref="L22:N22"/>
    <mergeCell ref="O20:P20"/>
    <mergeCell ref="K20:L20"/>
    <mergeCell ref="U2:X2"/>
    <mergeCell ref="U3:X3"/>
    <mergeCell ref="J2:S2"/>
    <mergeCell ref="AA2:AC2"/>
    <mergeCell ref="U7:X7"/>
    <mergeCell ref="U6:X6"/>
    <mergeCell ref="U4:X4"/>
    <mergeCell ref="O12:P12"/>
    <mergeCell ref="Z9:AC9"/>
    <mergeCell ref="Z10:AC10"/>
    <mergeCell ref="Z6:AA6"/>
    <mergeCell ref="Z7:AA7"/>
    <mergeCell ref="J10:Q10"/>
    <mergeCell ref="J11:M11"/>
    <mergeCell ref="N11:Q11"/>
    <mergeCell ref="U9:X9"/>
    <mergeCell ref="B13:F13"/>
    <mergeCell ref="B14:F14"/>
    <mergeCell ref="J17:L17"/>
    <mergeCell ref="L14:N14"/>
    <mergeCell ref="K12:L1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'Fuel Tables'!$C$3:$C$23</xm:f>
          </x14:formula1>
          <xm:sqref>B4 B8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AC36"/>
  <sheetViews>
    <sheetView zoomScale="85" zoomScaleNormal="85" workbookViewId="0">
      <selection activeCell="K9" sqref="K9"/>
    </sheetView>
  </sheetViews>
  <sheetFormatPr defaultColWidth="9.109375" defaultRowHeight="14.4" x14ac:dyDescent="0.3"/>
  <cols>
    <col min="1" max="1" width="9.109375" style="8"/>
    <col min="2" max="2" width="18.33203125" style="19" customWidth="1"/>
    <col min="3" max="3" width="14.109375" style="8" customWidth="1"/>
    <col min="4" max="4" width="9.109375" style="8"/>
    <col min="5" max="5" width="14.33203125" style="8" customWidth="1"/>
    <col min="6" max="6" width="16" style="8" customWidth="1"/>
    <col min="7" max="9" width="9.109375" style="8"/>
    <col min="10" max="10" width="12.33203125" style="8" customWidth="1"/>
    <col min="11" max="11" width="10.109375" style="8" customWidth="1"/>
    <col min="12" max="16" width="9.109375" style="8"/>
    <col min="17" max="17" width="11.109375" style="8" customWidth="1"/>
    <col min="18" max="20" width="9.109375" style="8"/>
    <col min="21" max="21" width="10.44140625" style="8" customWidth="1"/>
    <col min="22" max="23" width="12.5546875" style="8" customWidth="1"/>
    <col min="24" max="24" width="14.33203125" style="8" customWidth="1"/>
    <col min="25" max="16384" width="9.109375" style="8"/>
  </cols>
  <sheetData>
    <row r="2" spans="2:29" ht="15" thickBot="1" x14ac:dyDescent="0.35">
      <c r="B2" s="77" t="s">
        <v>0</v>
      </c>
      <c r="C2" s="10"/>
      <c r="D2" s="10"/>
      <c r="E2" s="10"/>
      <c r="F2" s="10"/>
      <c r="G2" s="10"/>
      <c r="H2" s="11"/>
      <c r="J2" s="105" t="s">
        <v>25</v>
      </c>
      <c r="K2" s="105"/>
      <c r="L2" s="105"/>
      <c r="M2" s="10"/>
      <c r="N2" s="10"/>
      <c r="O2" s="10"/>
      <c r="P2" s="128"/>
      <c r="Q2" s="128"/>
      <c r="R2" s="128"/>
      <c r="S2" s="11"/>
      <c r="U2" s="105" t="s">
        <v>46</v>
      </c>
      <c r="V2" s="105"/>
      <c r="W2" s="105"/>
      <c r="X2" s="105"/>
      <c r="Y2" s="78" t="s">
        <v>47</v>
      </c>
      <c r="Z2" s="113" t="s">
        <v>50</v>
      </c>
      <c r="AA2" s="113"/>
      <c r="AB2" s="113"/>
      <c r="AC2" s="113"/>
    </row>
    <row r="3" spans="2:29" ht="15.6" thickTop="1" thickBot="1" x14ac:dyDescent="0.35">
      <c r="B3" s="12"/>
      <c r="C3" s="13"/>
      <c r="D3" s="13"/>
      <c r="E3" s="13"/>
      <c r="F3" s="13"/>
      <c r="G3" s="13"/>
      <c r="H3" s="14"/>
      <c r="J3" s="15"/>
      <c r="K3" s="13"/>
      <c r="L3" s="13"/>
      <c r="M3" s="13"/>
      <c r="N3" s="13"/>
      <c r="O3" s="13"/>
      <c r="P3" s="107"/>
      <c r="Q3" s="107"/>
      <c r="R3" s="107"/>
      <c r="S3" s="14"/>
      <c r="U3" s="105" t="s">
        <v>48</v>
      </c>
      <c r="V3" s="105"/>
      <c r="W3" s="105"/>
      <c r="X3" s="105"/>
      <c r="Y3" s="78" t="s">
        <v>47</v>
      </c>
      <c r="Z3" s="113" t="s">
        <v>49</v>
      </c>
      <c r="AA3" s="113"/>
      <c r="AB3" s="113"/>
      <c r="AC3" s="113"/>
    </row>
    <row r="4" spans="2:29" ht="15.6" thickTop="1" thickBot="1" x14ac:dyDescent="0.35">
      <c r="B4" s="77" t="s">
        <v>31</v>
      </c>
      <c r="C4" s="13"/>
      <c r="D4" s="13"/>
      <c r="E4" s="13"/>
      <c r="F4" s="13"/>
      <c r="G4" s="13"/>
      <c r="H4" s="14"/>
      <c r="J4" s="2"/>
      <c r="K4" s="126" t="s">
        <v>29</v>
      </c>
      <c r="L4" s="126"/>
      <c r="M4" s="126"/>
      <c r="N4" s="126"/>
      <c r="O4" s="126"/>
      <c r="P4" s="126" t="s">
        <v>30</v>
      </c>
      <c r="Q4" s="126"/>
      <c r="R4" s="126"/>
      <c r="S4" s="14"/>
      <c r="U4" s="105" t="s">
        <v>51</v>
      </c>
      <c r="V4" s="105"/>
      <c r="W4" s="105"/>
      <c r="X4" s="105"/>
      <c r="Y4" s="78" t="s">
        <v>47</v>
      </c>
      <c r="Z4" s="113" t="s">
        <v>52</v>
      </c>
      <c r="AA4" s="113"/>
      <c r="AB4" s="113"/>
      <c r="AC4" s="113"/>
    </row>
    <row r="5" spans="2:29" ht="15" thickTop="1" x14ac:dyDescent="0.3">
      <c r="B5" s="71" t="s">
        <v>10</v>
      </c>
      <c r="C5" s="62">
        <v>8</v>
      </c>
      <c r="D5" s="13"/>
      <c r="E5" s="13"/>
      <c r="F5" s="13"/>
      <c r="G5" s="13"/>
      <c r="H5" s="14"/>
      <c r="J5" s="80" t="s">
        <v>26</v>
      </c>
      <c r="K5" s="113" t="s">
        <v>27</v>
      </c>
      <c r="L5" s="113"/>
      <c r="M5" s="113"/>
      <c r="N5" s="113"/>
      <c r="O5" s="113"/>
      <c r="P5" s="37">
        <v>-726.1</v>
      </c>
      <c r="Q5" s="129" t="s">
        <v>254</v>
      </c>
      <c r="R5" s="113"/>
      <c r="S5" s="14"/>
      <c r="U5" s="15"/>
      <c r="V5" s="13"/>
      <c r="W5" s="13"/>
      <c r="X5" s="13"/>
      <c r="Y5" s="13"/>
      <c r="Z5" s="13"/>
      <c r="AA5" s="13"/>
      <c r="AB5" s="13"/>
      <c r="AC5" s="14"/>
    </row>
    <row r="6" spans="2:29" ht="15" thickBot="1" x14ac:dyDescent="0.35">
      <c r="B6" s="71" t="s">
        <v>11</v>
      </c>
      <c r="C6" s="62">
        <v>18</v>
      </c>
      <c r="D6" s="13"/>
      <c r="E6" s="13"/>
      <c r="F6" s="13"/>
      <c r="G6" s="13"/>
      <c r="H6" s="14"/>
      <c r="J6" s="80" t="s">
        <v>31</v>
      </c>
      <c r="K6" s="113" t="s">
        <v>28</v>
      </c>
      <c r="L6" s="113"/>
      <c r="M6" s="113"/>
      <c r="N6" s="113"/>
      <c r="O6" s="113"/>
      <c r="P6" s="37">
        <v>-5461</v>
      </c>
      <c r="Q6" s="129" t="s">
        <v>254</v>
      </c>
      <c r="R6" s="113"/>
      <c r="S6" s="14"/>
      <c r="U6" s="105" t="s">
        <v>51</v>
      </c>
      <c r="V6" s="105"/>
      <c r="W6" s="105"/>
      <c r="X6" s="105"/>
      <c r="Y6" s="78" t="s">
        <v>47</v>
      </c>
      <c r="Z6" s="113" t="s">
        <v>98</v>
      </c>
      <c r="AA6" s="113"/>
      <c r="AB6" s="113"/>
      <c r="AC6" s="113"/>
    </row>
    <row r="7" spans="2:29" ht="15.6" thickTop="1" thickBot="1" x14ac:dyDescent="0.35">
      <c r="B7" s="72"/>
      <c r="C7" s="72"/>
      <c r="D7" s="13"/>
      <c r="E7" s="13"/>
      <c r="F7" s="13"/>
      <c r="G7" s="13"/>
      <c r="H7" s="14"/>
      <c r="J7" s="15"/>
      <c r="K7" s="13"/>
      <c r="L7" s="13"/>
      <c r="M7" s="13"/>
      <c r="N7" s="13"/>
      <c r="O7" s="13"/>
      <c r="P7" s="13"/>
      <c r="Q7" s="13"/>
      <c r="R7" s="13"/>
      <c r="S7" s="14"/>
      <c r="U7" s="105" t="s">
        <v>53</v>
      </c>
      <c r="V7" s="105"/>
      <c r="W7" s="105"/>
      <c r="X7" s="105"/>
      <c r="Y7" s="78" t="s">
        <v>47</v>
      </c>
      <c r="Z7" s="113" t="s">
        <v>97</v>
      </c>
      <c r="AA7" s="113"/>
      <c r="AB7" s="113"/>
      <c r="AC7" s="113"/>
    </row>
    <row r="8" spans="2:29" ht="15" thickTop="1" x14ac:dyDescent="0.3">
      <c r="B8" s="79" t="s">
        <v>1</v>
      </c>
      <c r="C8" s="13"/>
      <c r="D8" s="13"/>
      <c r="E8" s="13"/>
      <c r="F8" s="13"/>
      <c r="G8" s="13"/>
      <c r="H8" s="14"/>
      <c r="J8" s="77" t="s">
        <v>31</v>
      </c>
      <c r="K8" s="13"/>
      <c r="L8" s="13"/>
      <c r="M8" s="13"/>
      <c r="N8" s="4" t="s">
        <v>33</v>
      </c>
      <c r="O8" s="13"/>
      <c r="P8" s="13"/>
      <c r="Q8" s="13"/>
      <c r="R8" s="13"/>
      <c r="S8" s="14"/>
      <c r="U8" s="15"/>
      <c r="V8" s="13"/>
      <c r="W8" s="13"/>
      <c r="X8" s="13"/>
      <c r="Y8" s="13"/>
      <c r="Z8" s="13"/>
      <c r="AA8" s="13"/>
      <c r="AB8" s="13"/>
      <c r="AC8" s="14"/>
    </row>
    <row r="9" spans="2:29" ht="15" thickBot="1" x14ac:dyDescent="0.35">
      <c r="B9" s="73" t="s">
        <v>10</v>
      </c>
      <c r="C9" s="37">
        <v>1</v>
      </c>
      <c r="D9" s="13"/>
      <c r="E9" s="13"/>
      <c r="F9" s="13"/>
      <c r="G9" s="13"/>
      <c r="H9" s="14"/>
      <c r="J9" s="73" t="s">
        <v>32</v>
      </c>
      <c r="K9" s="37">
        <v>-259.2</v>
      </c>
      <c r="L9" s="97" t="s">
        <v>253</v>
      </c>
      <c r="M9" s="13"/>
      <c r="N9" s="40" t="s">
        <v>32</v>
      </c>
      <c r="O9" s="37">
        <v>-393.5</v>
      </c>
      <c r="P9" s="97" t="s">
        <v>253</v>
      </c>
      <c r="Q9" s="13"/>
      <c r="R9" s="13"/>
      <c r="S9" s="14"/>
      <c r="U9" s="4" t="s">
        <v>54</v>
      </c>
      <c r="V9" s="4"/>
      <c r="W9" s="4"/>
      <c r="X9" s="4"/>
      <c r="Y9" s="78" t="s">
        <v>47</v>
      </c>
      <c r="Z9" s="113">
        <f>396/146</f>
        <v>2.7123287671232879</v>
      </c>
      <c r="AA9" s="113"/>
      <c r="AB9" s="113"/>
      <c r="AC9" s="113"/>
    </row>
    <row r="10" spans="2:29" ht="15" thickTop="1" x14ac:dyDescent="0.3">
      <c r="B10" s="73" t="s">
        <v>11</v>
      </c>
      <c r="C10" s="37">
        <v>4</v>
      </c>
      <c r="D10" s="13"/>
      <c r="E10" s="13"/>
      <c r="F10" s="13"/>
      <c r="G10" s="13"/>
      <c r="H10" s="14"/>
      <c r="J10" s="77" t="s">
        <v>1</v>
      </c>
      <c r="K10" s="13"/>
      <c r="L10" s="13"/>
      <c r="M10" s="13"/>
      <c r="N10" s="4" t="s">
        <v>34</v>
      </c>
      <c r="O10" s="13"/>
      <c r="P10" s="13"/>
      <c r="Q10" s="13"/>
      <c r="R10" s="13"/>
      <c r="S10" s="14"/>
      <c r="U10" s="16"/>
      <c r="V10" s="17"/>
      <c r="W10" s="17"/>
      <c r="X10" s="17"/>
      <c r="Y10" s="17"/>
      <c r="Z10" s="113" t="s">
        <v>55</v>
      </c>
      <c r="AA10" s="113"/>
      <c r="AB10" s="113"/>
      <c r="AC10" s="113"/>
    </row>
    <row r="11" spans="2:29" x14ac:dyDescent="0.3">
      <c r="B11" s="73" t="s">
        <v>6</v>
      </c>
      <c r="C11" s="37">
        <v>1</v>
      </c>
      <c r="D11" s="13"/>
      <c r="E11" s="13"/>
      <c r="F11" s="13"/>
      <c r="G11" s="13"/>
      <c r="H11" s="14"/>
      <c r="J11" s="73" t="s">
        <v>32</v>
      </c>
      <c r="K11" s="37">
        <v>-201.5</v>
      </c>
      <c r="L11" s="97" t="s">
        <v>253</v>
      </c>
      <c r="M11" s="13"/>
      <c r="N11" s="40" t="s">
        <v>32</v>
      </c>
      <c r="O11" s="37">
        <v>-241.8</v>
      </c>
      <c r="P11" s="97" t="s">
        <v>253</v>
      </c>
      <c r="Q11" s="61" t="s">
        <v>35</v>
      </c>
      <c r="R11" s="13"/>
      <c r="S11" s="14"/>
    </row>
    <row r="12" spans="2:29" x14ac:dyDescent="0.3">
      <c r="B12" s="12"/>
      <c r="C12" s="13"/>
      <c r="D12" s="13"/>
      <c r="E12" s="13"/>
      <c r="F12" s="13"/>
      <c r="G12" s="13"/>
      <c r="H12" s="14"/>
      <c r="J12" s="15"/>
      <c r="K12" s="13"/>
      <c r="L12" s="13"/>
      <c r="M12" s="13"/>
      <c r="N12" s="13"/>
      <c r="O12" s="37">
        <v>285.8</v>
      </c>
      <c r="P12" s="97" t="s">
        <v>253</v>
      </c>
      <c r="Q12" s="61" t="s">
        <v>36</v>
      </c>
      <c r="R12" s="13"/>
      <c r="S12" s="14"/>
    </row>
    <row r="13" spans="2:29" x14ac:dyDescent="0.3">
      <c r="B13" s="102" t="s">
        <v>2</v>
      </c>
      <c r="C13" s="102"/>
      <c r="D13" s="102"/>
      <c r="E13" s="102"/>
      <c r="F13" s="102"/>
      <c r="G13" s="13"/>
      <c r="H13" s="14"/>
      <c r="J13" s="15"/>
      <c r="K13" s="13"/>
      <c r="L13" s="13"/>
      <c r="M13" s="13"/>
      <c r="N13" s="13"/>
      <c r="O13" s="13"/>
      <c r="P13" s="13"/>
      <c r="Q13" s="13"/>
      <c r="R13" s="13"/>
      <c r="S13" s="14"/>
    </row>
    <row r="14" spans="2:29" x14ac:dyDescent="0.3">
      <c r="B14" s="106"/>
      <c r="C14" s="107"/>
      <c r="D14" s="107"/>
      <c r="E14" s="107"/>
      <c r="F14" s="107"/>
      <c r="G14" s="13"/>
      <c r="H14" s="14"/>
      <c r="J14" s="102" t="s">
        <v>37</v>
      </c>
      <c r="K14" s="102"/>
      <c r="L14" s="102"/>
      <c r="M14" s="102"/>
      <c r="N14" s="102"/>
      <c r="O14" s="102"/>
      <c r="P14" s="102"/>
      <c r="Q14" s="102"/>
      <c r="R14" s="13"/>
      <c r="S14" s="14"/>
    </row>
    <row r="15" spans="2:29" x14ac:dyDescent="0.3">
      <c r="B15" s="80" t="s">
        <v>10</v>
      </c>
      <c r="C15" s="37">
        <f>C5+C9</f>
        <v>9</v>
      </c>
      <c r="D15" s="61" t="s">
        <v>9</v>
      </c>
      <c r="E15" s="13"/>
      <c r="F15" s="13"/>
      <c r="G15" s="13"/>
      <c r="H15" s="14"/>
      <c r="J15" s="102" t="s">
        <v>39</v>
      </c>
      <c r="K15" s="102"/>
      <c r="L15" s="102"/>
      <c r="M15" s="102"/>
      <c r="N15" s="102" t="s">
        <v>38</v>
      </c>
      <c r="O15" s="102"/>
      <c r="P15" s="102"/>
      <c r="Q15" s="102"/>
      <c r="R15" s="13"/>
      <c r="S15" s="14"/>
    </row>
    <row r="16" spans="2:29" x14ac:dyDescent="0.3">
      <c r="B16" s="80" t="s">
        <v>11</v>
      </c>
      <c r="C16" s="37">
        <f>C6+C10</f>
        <v>22</v>
      </c>
      <c r="D16" s="61" t="s">
        <v>12</v>
      </c>
      <c r="E16" s="13"/>
      <c r="F16" s="13"/>
      <c r="G16" s="13"/>
      <c r="H16" s="14"/>
      <c r="J16" s="15"/>
      <c r="K16" s="127">
        <f>ABS(K9+K11)</f>
        <v>460.7</v>
      </c>
      <c r="L16" s="127"/>
      <c r="M16"/>
      <c r="N16"/>
      <c r="O16" s="127">
        <f>ABS((9*O9)+(11*O11))</f>
        <v>6201.3</v>
      </c>
      <c r="P16" s="127"/>
      <c r="Q16" s="13"/>
      <c r="R16" s="13"/>
      <c r="S16" s="14"/>
    </row>
    <row r="17" spans="2:19" x14ac:dyDescent="0.3">
      <c r="B17" s="12"/>
      <c r="C17" s="37">
        <f>C16/2</f>
        <v>11</v>
      </c>
      <c r="D17" s="61" t="s">
        <v>13</v>
      </c>
      <c r="E17" s="13"/>
      <c r="F17" s="13"/>
      <c r="G17" s="13"/>
      <c r="H17" s="14"/>
      <c r="J17" s="15"/>
      <c r="K17" s="13"/>
      <c r="L17" s="13"/>
      <c r="M17" s="13"/>
      <c r="N17" s="13"/>
      <c r="O17" s="13"/>
      <c r="P17" s="13"/>
      <c r="Q17" s="13"/>
      <c r="R17" s="13"/>
      <c r="S17" s="14"/>
    </row>
    <row r="18" spans="2:19" x14ac:dyDescent="0.3">
      <c r="B18" s="80" t="s">
        <v>6</v>
      </c>
      <c r="C18" s="37" t="s">
        <v>14</v>
      </c>
      <c r="D18" s="13"/>
      <c r="E18" s="13"/>
      <c r="F18" s="24"/>
      <c r="G18" s="13"/>
      <c r="H18" s="14"/>
      <c r="J18" s="15"/>
      <c r="K18" s="13"/>
      <c r="L18" s="105" t="s">
        <v>40</v>
      </c>
      <c r="M18" s="126"/>
      <c r="N18" s="105"/>
      <c r="O18" s="13"/>
      <c r="P18" s="13"/>
      <c r="Q18" s="13"/>
      <c r="R18" s="13"/>
      <c r="S18" s="14"/>
    </row>
    <row r="19" spans="2:19" x14ac:dyDescent="0.3">
      <c r="B19" s="12"/>
      <c r="C19" s="37">
        <f>(C15*2)+C17-1</f>
        <v>28</v>
      </c>
      <c r="D19" s="61" t="s">
        <v>15</v>
      </c>
      <c r="E19" s="13"/>
      <c r="F19" s="13"/>
      <c r="G19" s="13"/>
      <c r="H19" s="14"/>
      <c r="J19" s="15"/>
      <c r="K19" s="13"/>
      <c r="L19" s="13"/>
      <c r="M19" s="37">
        <f>O16-K16</f>
        <v>5740.6</v>
      </c>
      <c r="N19" s="13"/>
      <c r="O19" s="13"/>
      <c r="P19" s="13"/>
      <c r="Q19" s="13"/>
      <c r="R19" s="13"/>
      <c r="S19" s="14"/>
    </row>
    <row r="20" spans="2:19" x14ac:dyDescent="0.3">
      <c r="B20" s="12"/>
      <c r="C20" s="37">
        <f>C19/2</f>
        <v>14</v>
      </c>
      <c r="D20" s="61" t="s">
        <v>16</v>
      </c>
      <c r="E20" s="13"/>
      <c r="F20" s="13"/>
      <c r="G20" s="13"/>
      <c r="H20" s="14"/>
      <c r="J20" s="15"/>
      <c r="K20" s="13"/>
      <c r="L20" s="13"/>
      <c r="M20" s="13"/>
      <c r="N20" s="13"/>
      <c r="O20" s="13"/>
      <c r="P20" s="13"/>
      <c r="Q20" s="13"/>
      <c r="R20" s="13"/>
      <c r="S20" s="14"/>
    </row>
    <row r="21" spans="2:19" x14ac:dyDescent="0.3">
      <c r="B21" s="80" t="s">
        <v>17</v>
      </c>
      <c r="C21" s="37">
        <f>3.76*C20</f>
        <v>52.64</v>
      </c>
      <c r="D21" s="61" t="s">
        <v>18</v>
      </c>
      <c r="E21" s="13"/>
      <c r="F21" s="13"/>
      <c r="G21" s="13"/>
      <c r="H21" s="14"/>
      <c r="J21" s="105" t="s">
        <v>41</v>
      </c>
      <c r="K21" s="105"/>
      <c r="L21" s="121"/>
      <c r="M21" s="37">
        <f>$M$19/$G$27</f>
        <v>39.245595279097948</v>
      </c>
      <c r="N21" s="37" t="s">
        <v>42</v>
      </c>
      <c r="O21" s="98" t="s">
        <v>255</v>
      </c>
      <c r="P21" s="13"/>
      <c r="Q21" s="13"/>
      <c r="R21" s="13"/>
      <c r="S21" s="14"/>
    </row>
    <row r="22" spans="2:19" x14ac:dyDescent="0.3">
      <c r="B22" s="12"/>
      <c r="C22" s="13"/>
      <c r="D22" s="13"/>
      <c r="E22" s="13"/>
      <c r="F22" s="13"/>
      <c r="G22" s="13"/>
      <c r="H22" s="14"/>
      <c r="J22" s="15"/>
      <c r="K22" s="13"/>
      <c r="L22" s="13"/>
      <c r="M22" s="13"/>
      <c r="N22" s="13"/>
      <c r="O22" s="13"/>
      <c r="P22" s="13"/>
      <c r="Q22" s="13"/>
      <c r="R22" s="13"/>
      <c r="S22" s="14"/>
    </row>
    <row r="23" spans="2:19" x14ac:dyDescent="0.3">
      <c r="B23" s="12"/>
      <c r="C23" s="13"/>
      <c r="D23" s="13"/>
      <c r="E23" s="13"/>
      <c r="F23" s="13"/>
      <c r="G23" s="13"/>
      <c r="H23" s="14"/>
      <c r="J23" s="105" t="s">
        <v>39</v>
      </c>
      <c r="K23" s="126"/>
      <c r="L23" s="126"/>
      <c r="M23" s="105"/>
      <c r="N23" s="105" t="s">
        <v>38</v>
      </c>
      <c r="O23" s="126"/>
      <c r="P23" s="126"/>
      <c r="Q23" s="105"/>
      <c r="R23" s="13"/>
      <c r="S23" s="14"/>
    </row>
    <row r="24" spans="2:19" x14ac:dyDescent="0.3">
      <c r="B24" s="12"/>
      <c r="C24" s="30" t="s">
        <v>5</v>
      </c>
      <c r="D24" s="70"/>
      <c r="E24" s="70"/>
      <c r="F24" s="70"/>
      <c r="G24" s="13"/>
      <c r="H24" s="14"/>
      <c r="J24" s="15"/>
      <c r="K24" s="113">
        <f>ABS(K9+K11)</f>
        <v>460.7</v>
      </c>
      <c r="L24" s="113"/>
      <c r="M24" s="13"/>
      <c r="N24" s="13"/>
      <c r="O24" s="113">
        <f>ABS((9*O9))+(11*O12)</f>
        <v>6685.3</v>
      </c>
      <c r="P24" s="113"/>
      <c r="Q24" s="13"/>
      <c r="R24" s="13"/>
      <c r="S24" s="14"/>
    </row>
    <row r="25" spans="2:19" x14ac:dyDescent="0.3">
      <c r="B25" s="80" t="s">
        <v>4</v>
      </c>
      <c r="C25" s="37">
        <v>12.010999999999999</v>
      </c>
      <c r="D25" s="97" t="s">
        <v>8</v>
      </c>
      <c r="E25" s="13"/>
      <c r="F25" s="40" t="s">
        <v>1</v>
      </c>
      <c r="G25" s="37">
        <f>(C9*C25)+(C10*C26)+(C11*C27)</f>
        <v>32.042279999999998</v>
      </c>
      <c r="H25" s="37" t="s">
        <v>8</v>
      </c>
      <c r="J25" s="15"/>
      <c r="K25" s="13"/>
      <c r="L25" s="13"/>
      <c r="M25" s="13"/>
      <c r="N25" s="13"/>
      <c r="O25" s="13"/>
      <c r="P25" s="13"/>
      <c r="Q25" s="13"/>
      <c r="R25" s="13"/>
      <c r="S25" s="14"/>
    </row>
    <row r="26" spans="2:19" x14ac:dyDescent="0.3">
      <c r="B26" s="80" t="s">
        <v>3</v>
      </c>
      <c r="C26" s="37">
        <v>1.00797</v>
      </c>
      <c r="D26" s="37" t="s">
        <v>8</v>
      </c>
      <c r="E26" s="13"/>
      <c r="F26" s="40" t="s">
        <v>31</v>
      </c>
      <c r="G26" s="37">
        <f>(C5*C25)+(C6*C26)</f>
        <v>114.23146</v>
      </c>
      <c r="H26" s="37" t="s">
        <v>8</v>
      </c>
      <c r="J26" s="15"/>
      <c r="K26" s="13"/>
      <c r="L26" s="105" t="s">
        <v>40</v>
      </c>
      <c r="M26" s="126"/>
      <c r="N26" s="105"/>
      <c r="O26" s="13"/>
      <c r="P26" s="13"/>
      <c r="Q26" s="13"/>
      <c r="R26" s="13"/>
      <c r="S26" s="14"/>
    </row>
    <row r="27" spans="2:19" x14ac:dyDescent="0.3">
      <c r="B27" s="80" t="s">
        <v>6</v>
      </c>
      <c r="C27" s="37">
        <v>15.9994</v>
      </c>
      <c r="D27" s="37" t="s">
        <v>8</v>
      </c>
      <c r="E27" s="13"/>
      <c r="F27" s="40" t="s">
        <v>19</v>
      </c>
      <c r="G27" s="37">
        <f>G25+G26</f>
        <v>146.27374</v>
      </c>
      <c r="H27" s="37" t="s">
        <v>8</v>
      </c>
      <c r="J27" s="15"/>
      <c r="K27" s="13"/>
      <c r="L27" s="13"/>
      <c r="M27" s="37">
        <f>O24-K24</f>
        <v>6224.6</v>
      </c>
      <c r="N27" s="13"/>
      <c r="O27" s="13"/>
      <c r="P27" s="13"/>
      <c r="Q27" s="13"/>
      <c r="R27" s="13"/>
      <c r="S27" s="14"/>
    </row>
    <row r="28" spans="2:19" x14ac:dyDescent="0.3">
      <c r="B28" s="80" t="s">
        <v>7</v>
      </c>
      <c r="C28" s="37">
        <v>14.0067</v>
      </c>
      <c r="D28" s="37" t="s">
        <v>8</v>
      </c>
      <c r="E28" s="13"/>
      <c r="F28" s="13"/>
      <c r="G28" s="13"/>
      <c r="H28" s="14"/>
      <c r="J28" s="15"/>
      <c r="K28" s="13"/>
      <c r="L28" s="13"/>
      <c r="M28" s="13"/>
      <c r="N28" s="13"/>
      <c r="O28" s="13"/>
      <c r="P28" s="13"/>
      <c r="Q28" s="13"/>
      <c r="R28" s="13"/>
      <c r="S28" s="14"/>
    </row>
    <row r="29" spans="2:19" x14ac:dyDescent="0.3">
      <c r="B29" s="72"/>
      <c r="C29" s="13"/>
      <c r="D29" s="13"/>
      <c r="E29" s="13"/>
      <c r="F29" s="13"/>
      <c r="G29" s="13"/>
      <c r="H29" s="14"/>
      <c r="J29" s="73" t="s">
        <v>43</v>
      </c>
      <c r="K29" s="37">
        <f>((M27/G27)*10^6)</f>
        <v>42554459.877760701</v>
      </c>
      <c r="L29" s="37" t="s">
        <v>45</v>
      </c>
      <c r="M29" s="37">
        <f>K29*10^-6</f>
        <v>42.554459877760699</v>
      </c>
      <c r="N29" s="37" t="s">
        <v>42</v>
      </c>
      <c r="O29" s="13"/>
      <c r="P29" s="13"/>
      <c r="Q29" s="13"/>
      <c r="R29" s="13"/>
      <c r="S29" s="14"/>
    </row>
    <row r="30" spans="2:19" x14ac:dyDescent="0.3">
      <c r="B30" s="80" t="s">
        <v>20</v>
      </c>
      <c r="C30" s="55">
        <f>G25/G27</f>
        <v>0.2190569544471892</v>
      </c>
      <c r="D30" s="37"/>
      <c r="E30" s="13"/>
      <c r="F30" s="13"/>
      <c r="G30" s="13"/>
      <c r="H30" s="14"/>
      <c r="J30" s="73" t="s">
        <v>44</v>
      </c>
      <c r="K30" s="37">
        <f>M21*10^6</f>
        <v>39245595.279097944</v>
      </c>
      <c r="L30" s="37" t="s">
        <v>45</v>
      </c>
      <c r="M30" s="37">
        <f>$M$19/$G$27</f>
        <v>39.245595279097948</v>
      </c>
      <c r="N30" s="37" t="s">
        <v>42</v>
      </c>
      <c r="O30" s="13"/>
      <c r="P30" s="13"/>
      <c r="Q30" s="13"/>
      <c r="R30" s="13"/>
      <c r="S30" s="14"/>
    </row>
    <row r="31" spans="2:19" x14ac:dyDescent="0.3">
      <c r="B31" s="80" t="s">
        <v>21</v>
      </c>
      <c r="C31" s="55">
        <f>G26/G27</f>
        <v>0.7809430455528108</v>
      </c>
      <c r="D31" s="37"/>
      <c r="E31" s="13"/>
      <c r="F31" s="13"/>
      <c r="G31" s="13"/>
      <c r="H31" s="14"/>
      <c r="J31" s="15"/>
      <c r="K31" s="13"/>
      <c r="L31" s="13"/>
      <c r="M31" s="13"/>
      <c r="N31" s="13"/>
      <c r="O31" s="13"/>
      <c r="P31" s="13"/>
      <c r="Q31" s="13"/>
      <c r="R31" s="13"/>
      <c r="S31" s="14"/>
    </row>
    <row r="32" spans="2:19" x14ac:dyDescent="0.3">
      <c r="B32" s="12"/>
      <c r="C32" s="13"/>
      <c r="D32" s="13"/>
      <c r="E32" s="13"/>
      <c r="F32" s="13"/>
      <c r="G32" s="13"/>
      <c r="H32" s="14"/>
      <c r="J32" s="15"/>
      <c r="K32" s="13"/>
      <c r="L32" s="13"/>
      <c r="M32" s="13"/>
      <c r="N32" s="13"/>
      <c r="O32" s="13"/>
      <c r="P32" s="13"/>
      <c r="Q32" s="13"/>
      <c r="R32" s="13"/>
      <c r="S32" s="14"/>
    </row>
    <row r="33" spans="2:19" x14ac:dyDescent="0.3">
      <c r="B33" s="80" t="s">
        <v>22</v>
      </c>
      <c r="C33" s="37" t="s">
        <v>23</v>
      </c>
      <c r="D33" s="13"/>
      <c r="E33" s="13"/>
      <c r="F33" s="13"/>
      <c r="G33" s="13"/>
      <c r="H33" s="14"/>
      <c r="J33" s="15"/>
      <c r="K33" s="13"/>
      <c r="L33" s="13"/>
      <c r="M33" s="13"/>
      <c r="N33" s="13"/>
      <c r="O33" s="13"/>
      <c r="P33" s="13"/>
      <c r="Q33" s="13"/>
      <c r="R33" s="13"/>
      <c r="S33" s="14"/>
    </row>
    <row r="34" spans="2:19" x14ac:dyDescent="0.3">
      <c r="B34" s="12"/>
      <c r="C34" s="37">
        <f>C20*((C27*2)+3.76*(2*C28))</f>
        <v>1922.6085760000001</v>
      </c>
      <c r="D34" s="37" t="s">
        <v>8</v>
      </c>
      <c r="E34" s="13"/>
      <c r="F34" s="13"/>
      <c r="G34" s="13"/>
      <c r="H34" s="14"/>
      <c r="J34" s="15"/>
      <c r="K34" s="13"/>
      <c r="L34" s="13"/>
      <c r="M34" s="13"/>
      <c r="N34" s="13"/>
      <c r="O34" s="13"/>
      <c r="P34" s="13"/>
      <c r="Q34" s="13"/>
      <c r="R34" s="13"/>
      <c r="S34" s="14"/>
    </row>
    <row r="35" spans="2:19" x14ac:dyDescent="0.3">
      <c r="B35" s="12"/>
      <c r="C35" s="13"/>
      <c r="D35" s="13"/>
      <c r="E35" s="13"/>
      <c r="F35" s="13"/>
      <c r="G35" s="13"/>
      <c r="H35" s="14"/>
      <c r="J35" s="15"/>
      <c r="K35" s="13"/>
      <c r="L35" s="13"/>
      <c r="M35" s="13"/>
      <c r="N35" s="13"/>
      <c r="O35" s="13"/>
      <c r="P35" s="13"/>
      <c r="Q35" s="13"/>
      <c r="R35" s="13"/>
      <c r="S35" s="14"/>
    </row>
    <row r="36" spans="2:19" x14ac:dyDescent="0.3">
      <c r="B36" s="80" t="s">
        <v>24</v>
      </c>
      <c r="C36" s="37">
        <f>C34/G27</f>
        <v>13.143907963247539</v>
      </c>
      <c r="D36" s="17"/>
      <c r="E36" s="17"/>
      <c r="F36" s="17"/>
      <c r="G36" s="17"/>
      <c r="H36" s="18"/>
      <c r="J36" s="16"/>
      <c r="K36" s="17"/>
      <c r="L36" s="17"/>
      <c r="M36" s="17"/>
      <c r="N36" s="17"/>
      <c r="O36" s="17"/>
      <c r="P36" s="17"/>
      <c r="Q36" s="17"/>
      <c r="R36" s="17"/>
      <c r="S36" s="18"/>
    </row>
  </sheetData>
  <mergeCells count="34">
    <mergeCell ref="Z6:AC6"/>
    <mergeCell ref="U7:X7"/>
    <mergeCell ref="Z7:AC7"/>
    <mergeCell ref="Z9:AC9"/>
    <mergeCell ref="Z10:AC10"/>
    <mergeCell ref="U6:X6"/>
    <mergeCell ref="Z2:AC2"/>
    <mergeCell ref="U3:X3"/>
    <mergeCell ref="Z3:AC3"/>
    <mergeCell ref="U4:X4"/>
    <mergeCell ref="Z4:AC4"/>
    <mergeCell ref="U2:X2"/>
    <mergeCell ref="P2:R3"/>
    <mergeCell ref="N15:Q15"/>
    <mergeCell ref="J14:Q14"/>
    <mergeCell ref="J15:M15"/>
    <mergeCell ref="Q5:R5"/>
    <mergeCell ref="J2:L2"/>
    <mergeCell ref="K4:O4"/>
    <mergeCell ref="K5:O5"/>
    <mergeCell ref="K6:O6"/>
    <mergeCell ref="Q6:R6"/>
    <mergeCell ref="P4:R4"/>
    <mergeCell ref="B13:F13"/>
    <mergeCell ref="B14:F14"/>
    <mergeCell ref="K24:L24"/>
    <mergeCell ref="O24:P24"/>
    <mergeCell ref="L26:N26"/>
    <mergeCell ref="J21:L21"/>
    <mergeCell ref="J23:M23"/>
    <mergeCell ref="N23:Q23"/>
    <mergeCell ref="K16:L16"/>
    <mergeCell ref="O16:P16"/>
    <mergeCell ref="L18:N1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R26"/>
  <sheetViews>
    <sheetView zoomScale="85" zoomScaleNormal="85" workbookViewId="0">
      <selection activeCell="B10" sqref="B10"/>
    </sheetView>
  </sheetViews>
  <sheetFormatPr defaultRowHeight="14.4" x14ac:dyDescent="0.3"/>
  <cols>
    <col min="2" max="2" width="18" customWidth="1"/>
    <col min="3" max="3" width="18.33203125" customWidth="1"/>
    <col min="4" max="4" width="11" customWidth="1"/>
    <col min="5" max="5" width="10.6640625" customWidth="1"/>
    <col min="6" max="6" width="11.6640625" customWidth="1"/>
    <col min="7" max="10" width="11.5546875" customWidth="1"/>
    <col min="11" max="11" width="21" customWidth="1"/>
    <col min="12" max="12" width="13" customWidth="1"/>
    <col min="13" max="13" width="15.88671875" customWidth="1"/>
    <col min="14" max="14" width="14.109375" customWidth="1"/>
    <col min="15" max="15" width="13.109375" customWidth="1"/>
    <col min="16" max="16" width="13.88671875" customWidth="1"/>
    <col min="17" max="17" width="13" customWidth="1"/>
  </cols>
  <sheetData>
    <row r="2" spans="2:18" x14ac:dyDescent="0.3">
      <c r="C2" s="7" t="s">
        <v>76</v>
      </c>
    </row>
    <row r="3" spans="2:18" x14ac:dyDescent="0.3">
      <c r="B3" s="4" t="s">
        <v>258</v>
      </c>
      <c r="C3" s="62">
        <v>1705.3029159244034</v>
      </c>
      <c r="D3" s="6" t="s">
        <v>78</v>
      </c>
      <c r="E3" s="6"/>
      <c r="F3" s="6"/>
      <c r="M3" s="95"/>
      <c r="N3" s="95"/>
      <c r="O3" s="95"/>
      <c r="P3" s="1"/>
      <c r="Q3" s="1"/>
      <c r="R3" s="1"/>
    </row>
    <row r="4" spans="2:18" x14ac:dyDescent="0.3">
      <c r="B4" s="4" t="s">
        <v>259</v>
      </c>
      <c r="C4" s="62">
        <f>Q12*N20*(0.0000035719219468973*C3^2+0.046058346211035*C3-15.6735718562136)+Q13*N20*(0.0000046753533595565*C3^2+0.0319430102821999*C3-10.3342650859682)+Q11*(1-N20)*(0.0000017067648137467*C3^2+0.0310161671834927*C3-9.85669915518637)+Q14*(0.0000016769215315847*C3^2+0.0291628051342973*C3-9.16433772147539)</f>
        <v>3039.2460000873307</v>
      </c>
      <c r="D4" s="6" t="s">
        <v>79</v>
      </c>
      <c r="E4" s="6"/>
      <c r="F4" s="6"/>
      <c r="M4" s="95"/>
      <c r="N4" s="95"/>
      <c r="O4" s="95"/>
      <c r="P4" s="1"/>
      <c r="Q4" s="1"/>
      <c r="R4" s="1"/>
    </row>
    <row r="5" spans="2:18" x14ac:dyDescent="0.3">
      <c r="M5" s="95"/>
      <c r="N5" s="95"/>
      <c r="O5" s="95"/>
      <c r="P5" s="1"/>
      <c r="Q5" s="1"/>
      <c r="R5" s="1"/>
    </row>
    <row r="6" spans="2:18" x14ac:dyDescent="0.3">
      <c r="M6" s="95"/>
      <c r="N6" s="95"/>
      <c r="O6" s="95"/>
      <c r="P6" s="59"/>
      <c r="Q6" s="59"/>
      <c r="R6" s="1"/>
    </row>
    <row r="7" spans="2:18" x14ac:dyDescent="0.3">
      <c r="B7" s="95"/>
      <c r="C7" s="113" t="s">
        <v>197</v>
      </c>
      <c r="D7" s="113"/>
      <c r="E7" s="113"/>
      <c r="F7" s="113"/>
      <c r="G7" s="113"/>
      <c r="M7" s="95"/>
      <c r="N7" s="95"/>
      <c r="O7" s="95"/>
      <c r="P7" s="59"/>
      <c r="Q7" s="59"/>
      <c r="R7" s="1"/>
    </row>
    <row r="8" spans="2:18" x14ac:dyDescent="0.3">
      <c r="M8" s="95"/>
      <c r="N8" s="95"/>
      <c r="O8" s="95"/>
      <c r="P8" s="1"/>
      <c r="Q8" s="1"/>
      <c r="R8" s="1"/>
    </row>
    <row r="9" spans="2:18" ht="18" customHeight="1" x14ac:dyDescent="0.3">
      <c r="M9" s="95"/>
      <c r="N9" s="95"/>
      <c r="O9" s="95"/>
      <c r="P9" s="82"/>
      <c r="Q9" s="82"/>
      <c r="R9" s="1"/>
    </row>
    <row r="10" spans="2:18" ht="18" customHeight="1" x14ac:dyDescent="0.3">
      <c r="B10" s="22" t="s">
        <v>106</v>
      </c>
      <c r="C10" s="22" t="s">
        <v>264</v>
      </c>
      <c r="D10" s="22" t="s">
        <v>33</v>
      </c>
      <c r="E10" s="22" t="s">
        <v>59</v>
      </c>
      <c r="F10" s="22" t="s">
        <v>57</v>
      </c>
      <c r="G10" s="22" t="s">
        <v>58</v>
      </c>
      <c r="H10" s="22" t="s">
        <v>91</v>
      </c>
      <c r="I10" s="22" t="s">
        <v>92</v>
      </c>
      <c r="J10" s="22" t="s">
        <v>93</v>
      </c>
      <c r="K10" s="22" t="s">
        <v>167</v>
      </c>
      <c r="L10" s="3"/>
      <c r="M10" s="82"/>
      <c r="N10" s="82"/>
      <c r="O10" s="82"/>
      <c r="P10" s="82"/>
      <c r="Q10" s="82"/>
      <c r="R10" s="1"/>
    </row>
    <row r="11" spans="2:18" x14ac:dyDescent="0.3">
      <c r="B11" s="37">
        <v>1</v>
      </c>
      <c r="C11" s="64">
        <f>((D11*(ABS('CO2'!$D$3)))+(E11*(ABS(H2O!$D$3)))-(B11*(ABS('Task 1'!$K$9))))</f>
        <v>5065.41</v>
      </c>
      <c r="D11" s="44">
        <v>8</v>
      </c>
      <c r="E11" s="44">
        <v>9</v>
      </c>
      <c r="F11" s="44">
        <v>0</v>
      </c>
      <c r="G11" s="37">
        <v>47</v>
      </c>
      <c r="H11" s="37">
        <f>(F11*J11)/(40*10^-6)</f>
        <v>0</v>
      </c>
      <c r="I11" s="37">
        <f>($Q$14*J11)/(40*10^-6)</f>
        <v>0.3189075805899303</v>
      </c>
      <c r="J11" s="37">
        <f>(($N$23)/(B11+(12.5*(1+3.76))))</f>
        <v>2.7141070688504703E-7</v>
      </c>
      <c r="K11" s="67">
        <v>2396.2588740000001</v>
      </c>
      <c r="M11" s="1"/>
      <c r="N11" s="1"/>
      <c r="O11" s="1"/>
      <c r="P11" s="23" t="s">
        <v>56</v>
      </c>
      <c r="Q11" s="37">
        <f>(($Q$12*2)+$Q$13)/2</f>
        <v>12.5</v>
      </c>
      <c r="R11" s="1"/>
    </row>
    <row r="12" spans="2:18" x14ac:dyDescent="0.3">
      <c r="B12" s="37">
        <v>0.99</v>
      </c>
      <c r="C12" s="64">
        <f>((D12*(ABS('CO2'!$D$3)))+(E12*(ABS(H2O!$D$3)))-(B12*(ABS('Task 1'!$K$9))))</f>
        <v>5014.7559000000001</v>
      </c>
      <c r="D12" s="44">
        <f>D11*B12</f>
        <v>7.92</v>
      </c>
      <c r="E12" s="44">
        <f>$E$11*B12</f>
        <v>8.91</v>
      </c>
      <c r="F12" s="44">
        <f>F11+($Q$11/100)</f>
        <v>0.125</v>
      </c>
      <c r="G12" s="37">
        <v>47</v>
      </c>
      <c r="H12" s="37">
        <f t="shared" ref="H12:H23" si="0">(F12*J12)/(40*10^-6)</f>
        <v>8.482986736725774E-4</v>
      </c>
      <c r="I12" s="37">
        <f t="shared" ref="I12:I23" si="1">($Q$14*J12)/(40*10^-6)</f>
        <v>0.31896030130088909</v>
      </c>
      <c r="J12" s="37">
        <f t="shared" ref="J12:J23" si="2">(($N$23)/(B12+(12.5*(1+3.76))))</f>
        <v>2.7145557557522475E-7</v>
      </c>
      <c r="K12" s="67">
        <v>2380.7792420000001</v>
      </c>
      <c r="M12" s="23" t="s">
        <v>82</v>
      </c>
      <c r="N12" s="37">
        <v>8</v>
      </c>
      <c r="O12" s="1"/>
      <c r="P12" s="23" t="s">
        <v>33</v>
      </c>
      <c r="Q12" s="37">
        <f>$N$12</f>
        <v>8</v>
      </c>
      <c r="R12" s="1"/>
    </row>
    <row r="13" spans="2:18" x14ac:dyDescent="0.3">
      <c r="B13" s="37">
        <v>0.98</v>
      </c>
      <c r="C13" s="64">
        <f>((D13*(ABS('CO2'!$D$3)))+(E13*(ABS(H2O!$D$3)))-(B13*(ABS('Task 1'!$K$9))))</f>
        <v>4964.1018000000004</v>
      </c>
      <c r="D13" s="44">
        <f>$D$11*B13</f>
        <v>7.84</v>
      </c>
      <c r="E13" s="44">
        <f t="shared" ref="E13:E23" si="3">$E$11*B13</f>
        <v>8.82</v>
      </c>
      <c r="F13" s="44">
        <f t="shared" ref="F13:F16" si="4">F12+($Q$11/100)</f>
        <v>0.25</v>
      </c>
      <c r="G13" s="37">
        <v>47</v>
      </c>
      <c r="H13" s="37">
        <f t="shared" si="0"/>
        <v>1.6968778693933271E-3</v>
      </c>
      <c r="I13" s="37">
        <f t="shared" si="1"/>
        <v>0.3190130394459455</v>
      </c>
      <c r="J13" s="37">
        <f t="shared" si="2"/>
        <v>2.7150045910293233E-7</v>
      </c>
      <c r="K13" s="67">
        <v>2349.5691459999998</v>
      </c>
      <c r="M13" s="23" t="s">
        <v>83</v>
      </c>
      <c r="N13" s="37">
        <v>18</v>
      </c>
      <c r="O13" s="1"/>
      <c r="P13" s="23" t="s">
        <v>59</v>
      </c>
      <c r="Q13" s="37">
        <f>$N$13/2</f>
        <v>9</v>
      </c>
      <c r="R13" s="1"/>
    </row>
    <row r="14" spans="2:18" x14ac:dyDescent="0.3">
      <c r="B14" s="37">
        <v>0.97</v>
      </c>
      <c r="C14" s="64">
        <f>((D14*(ABS('CO2'!$D$3)))+(E14*(ABS(H2O!$D$3)))-(B14*(ABS('Task 1'!$K$9))))</f>
        <v>4913.4476999999997</v>
      </c>
      <c r="D14" s="44">
        <f t="shared" ref="D14:D23" si="5">$D$11*B14</f>
        <v>7.76</v>
      </c>
      <c r="E14" s="44">
        <f t="shared" si="3"/>
        <v>8.73</v>
      </c>
      <c r="F14" s="44">
        <f t="shared" si="4"/>
        <v>0.375</v>
      </c>
      <c r="G14" s="37">
        <v>47</v>
      </c>
      <c r="H14" s="37">
        <f t="shared" si="0"/>
        <v>2.5457377263331015E-3</v>
      </c>
      <c r="I14" s="37">
        <f t="shared" si="1"/>
        <v>0.31906579503374871</v>
      </c>
      <c r="J14" s="37">
        <f t="shared" si="2"/>
        <v>2.7154535747553082E-7</v>
      </c>
      <c r="K14" s="67">
        <v>2340.6895100000002</v>
      </c>
      <c r="M14" s="1"/>
      <c r="N14" s="1"/>
      <c r="O14" s="1"/>
      <c r="P14" s="23" t="s">
        <v>58</v>
      </c>
      <c r="Q14" s="37">
        <f>3.76*$Q$11</f>
        <v>47</v>
      </c>
      <c r="R14" s="1"/>
    </row>
    <row r="15" spans="2:18" x14ac:dyDescent="0.3">
      <c r="B15" s="37">
        <v>0.96</v>
      </c>
      <c r="C15" s="64">
        <f>((D15*(ABS('CO2'!$D$3)))+(E15*(ABS(H2O!$D$3)))-(B15*(ABS('Task 1'!$K$9))))</f>
        <v>4862.7935999999991</v>
      </c>
      <c r="D15" s="44">
        <f t="shared" si="5"/>
        <v>7.68</v>
      </c>
      <c r="E15" s="44">
        <f t="shared" si="3"/>
        <v>8.64</v>
      </c>
      <c r="F15" s="44">
        <f t="shared" si="4"/>
        <v>0.5</v>
      </c>
      <c r="G15" s="37">
        <v>47</v>
      </c>
      <c r="H15" s="37">
        <f t="shared" si="0"/>
        <v>3.3948783837548274E-3</v>
      </c>
      <c r="I15" s="37">
        <f t="shared" si="1"/>
        <v>0.31911856807295375</v>
      </c>
      <c r="J15" s="37">
        <f t="shared" si="2"/>
        <v>2.7159027070038617E-7</v>
      </c>
      <c r="K15" s="67">
        <v>2333.837403</v>
      </c>
      <c r="M15" s="23" t="s">
        <v>260</v>
      </c>
      <c r="N15" s="37">
        <f>$Q$11*(($Q$20*2)+3.76*(2*$Q$21))</f>
        <v>1716.6148000000001</v>
      </c>
      <c r="O15" s="1"/>
      <c r="P15" s="9"/>
      <c r="Q15" s="1"/>
      <c r="R15" s="1"/>
    </row>
    <row r="16" spans="2:18" x14ac:dyDescent="0.3">
      <c r="B16" s="37">
        <v>0.95</v>
      </c>
      <c r="C16" s="64">
        <f>((D16*(ABS('CO2'!$D$3)))+(E16*(ABS(H2O!$D$3)))-(B16*(ABS('Task 1'!$K$9))))</f>
        <v>4812.1394999999993</v>
      </c>
      <c r="D16" s="44">
        <f t="shared" si="5"/>
        <v>7.6</v>
      </c>
      <c r="E16" s="44">
        <f t="shared" si="3"/>
        <v>8.5499999999999989</v>
      </c>
      <c r="F16" s="44">
        <f t="shared" si="4"/>
        <v>0.625</v>
      </c>
      <c r="G16" s="37">
        <v>47</v>
      </c>
      <c r="H16" s="37">
        <f t="shared" si="0"/>
        <v>4.2442999810135829E-3</v>
      </c>
      <c r="I16" s="37">
        <f t="shared" si="1"/>
        <v>0.31917135857222145</v>
      </c>
      <c r="J16" s="37">
        <f t="shared" si="2"/>
        <v>2.7163519878486927E-7</v>
      </c>
      <c r="K16" s="67">
        <v>2318.0203670000001</v>
      </c>
      <c r="M16" s="23" t="s">
        <v>261</v>
      </c>
      <c r="N16" s="37">
        <f>($Q$18*$N$12)+($Q$19*$N$13)</f>
        <v>114.23146</v>
      </c>
      <c r="O16" s="1"/>
      <c r="P16" s="130" t="s">
        <v>87</v>
      </c>
      <c r="Q16" s="130"/>
      <c r="R16" s="1"/>
    </row>
    <row r="17" spans="2:18" x14ac:dyDescent="0.3">
      <c r="B17" s="37">
        <v>0.9</v>
      </c>
      <c r="C17" s="64">
        <f>((D17*(ABS('CO2'!$D$3)))+(E17*(ABS(H2O!$D$3)))-(B17*(ABS('Task 1'!$K$9))))</f>
        <v>4558.8689999999997</v>
      </c>
      <c r="D17" s="44">
        <f t="shared" si="5"/>
        <v>7.2</v>
      </c>
      <c r="E17" s="44">
        <f t="shared" si="3"/>
        <v>8.1</v>
      </c>
      <c r="F17" s="44">
        <f>F16+(($Q$11/100)*5)</f>
        <v>1.25</v>
      </c>
      <c r="G17" s="37">
        <v>47</v>
      </c>
      <c r="H17" s="37">
        <f t="shared" si="0"/>
        <v>8.4956269487506987E-3</v>
      </c>
      <c r="I17" s="37">
        <f t="shared" si="1"/>
        <v>0.31943557327302624</v>
      </c>
      <c r="J17" s="37">
        <f t="shared" si="2"/>
        <v>2.7186006236002232E-7</v>
      </c>
      <c r="K17" s="67">
        <v>2237.6327339999998</v>
      </c>
      <c r="M17" s="1"/>
      <c r="N17" s="1"/>
      <c r="O17" s="1"/>
      <c r="P17" s="23" t="s">
        <v>263</v>
      </c>
      <c r="Q17" s="37">
        <v>28.97</v>
      </c>
      <c r="R17" s="37" t="s">
        <v>8</v>
      </c>
    </row>
    <row r="18" spans="2:18" x14ac:dyDescent="0.3">
      <c r="B18" s="37">
        <v>0.85</v>
      </c>
      <c r="C18" s="64">
        <f>((D18*(ABS('CO2'!$D$3)))+(E18*(ABS(H2O!$D$3)))-(B18*(ABS('Task 1'!$K$9))))</f>
        <v>4305.5985000000001</v>
      </c>
      <c r="D18" s="44">
        <f t="shared" si="5"/>
        <v>6.8</v>
      </c>
      <c r="E18" s="44">
        <f t="shared" si="3"/>
        <v>7.6499999999999995</v>
      </c>
      <c r="F18" s="44">
        <f t="shared" ref="F18:F23" si="6">F17+(($Q$11/100)*5)</f>
        <v>1.875</v>
      </c>
      <c r="G18" s="37">
        <v>47</v>
      </c>
      <c r="H18" s="37">
        <f t="shared" si="0"/>
        <v>1.2753998368795578E-2</v>
      </c>
      <c r="I18" s="37">
        <f t="shared" si="1"/>
        <v>0.31970022577780921</v>
      </c>
      <c r="J18" s="37">
        <f t="shared" si="2"/>
        <v>2.7208529853430567E-7</v>
      </c>
      <c r="K18" s="67">
        <v>2155.0143659999999</v>
      </c>
      <c r="M18" s="23" t="s">
        <v>84</v>
      </c>
      <c r="N18" s="37">
        <f>$N$15/$N$16</f>
        <v>15.027513436316056</v>
      </c>
      <c r="O18" s="1"/>
      <c r="P18" s="23" t="s">
        <v>4</v>
      </c>
      <c r="Q18" s="37">
        <v>12.010999999999999</v>
      </c>
      <c r="R18" s="37" t="s">
        <v>8</v>
      </c>
    </row>
    <row r="19" spans="2:18" x14ac:dyDescent="0.3">
      <c r="B19" s="37">
        <v>0.8</v>
      </c>
      <c r="C19" s="64">
        <f>((D19*(ABS('CO2'!$D$3)))+(E19*(ABS(H2O!$D$3)))-(B19*(ABS('Task 1'!$K$9))))</f>
        <v>4052.328</v>
      </c>
      <c r="D19" s="44">
        <f t="shared" si="5"/>
        <v>6.4</v>
      </c>
      <c r="E19" s="44">
        <f t="shared" si="3"/>
        <v>7.2</v>
      </c>
      <c r="F19" s="44">
        <f t="shared" si="6"/>
        <v>2.5</v>
      </c>
      <c r="G19" s="37">
        <v>47</v>
      </c>
      <c r="H19" s="37">
        <f t="shared" si="0"/>
        <v>1.7019431764661429E-2</v>
      </c>
      <c r="I19" s="37">
        <f t="shared" si="1"/>
        <v>0.31996531717563487</v>
      </c>
      <c r="J19" s="37">
        <f t="shared" si="2"/>
        <v>2.7231090823458286E-7</v>
      </c>
      <c r="K19" s="67">
        <v>2070.0783470000001</v>
      </c>
      <c r="M19" s="1"/>
      <c r="N19" s="1"/>
      <c r="O19" s="1"/>
      <c r="P19" s="23" t="s">
        <v>3</v>
      </c>
      <c r="Q19" s="37">
        <v>1.00797</v>
      </c>
      <c r="R19" s="37" t="s">
        <v>8</v>
      </c>
    </row>
    <row r="20" spans="2:18" x14ac:dyDescent="0.3">
      <c r="B20" s="37">
        <v>0.75</v>
      </c>
      <c r="C20" s="64">
        <f>((D20*(ABS('CO2'!$D$3)))+(E20*(ABS(H2O!$D$3)))-(B20*(ABS('Task 1'!$K$9))))</f>
        <v>3799.0574999999999</v>
      </c>
      <c r="D20" s="44">
        <f t="shared" si="5"/>
        <v>6</v>
      </c>
      <c r="E20" s="44">
        <f t="shared" si="3"/>
        <v>6.75</v>
      </c>
      <c r="F20" s="44">
        <f t="shared" si="6"/>
        <v>3.125</v>
      </c>
      <c r="G20" s="37">
        <v>47</v>
      </c>
      <c r="H20" s="37">
        <f t="shared" si="0"/>
        <v>2.1291944718030795E-2</v>
      </c>
      <c r="I20" s="37">
        <f t="shared" si="1"/>
        <v>0.32023084855918316</v>
      </c>
      <c r="J20" s="37">
        <f t="shared" si="2"/>
        <v>2.7253689239079414E-7</v>
      </c>
      <c r="K20" s="67">
        <v>1982.735494</v>
      </c>
      <c r="M20" s="23" t="s">
        <v>85</v>
      </c>
      <c r="N20" s="37">
        <v>0.6</v>
      </c>
      <c r="O20" s="99" t="s">
        <v>90</v>
      </c>
      <c r="P20" s="23" t="s">
        <v>262</v>
      </c>
      <c r="Q20" s="37">
        <v>15.9994</v>
      </c>
      <c r="R20" s="37" t="s">
        <v>8</v>
      </c>
    </row>
    <row r="21" spans="2:18" x14ac:dyDescent="0.3">
      <c r="B21" s="37">
        <v>0.7</v>
      </c>
      <c r="C21" s="64">
        <f>((D21*(ABS('CO2'!$D$3)))+(E21*(ABS(H2O!$D$3)))-(B21*(ABS('Task 1'!$K$9))))</f>
        <v>3545.7869999999998</v>
      </c>
      <c r="D21" s="44">
        <f t="shared" si="5"/>
        <v>5.6</v>
      </c>
      <c r="E21" s="44">
        <f t="shared" si="3"/>
        <v>6.3</v>
      </c>
      <c r="F21" s="44">
        <f t="shared" si="6"/>
        <v>3.75</v>
      </c>
      <c r="G21" s="37">
        <v>47</v>
      </c>
      <c r="H21" s="37">
        <f t="shared" si="0"/>
        <v>2.5571554868997117E-2</v>
      </c>
      <c r="I21" s="37">
        <f t="shared" si="1"/>
        <v>0.32049682102476384</v>
      </c>
      <c r="J21" s="37">
        <f t="shared" si="2"/>
        <v>2.7276325193596919E-7</v>
      </c>
      <c r="K21" s="67">
        <v>1892.8910900000001</v>
      </c>
      <c r="M21" s="23" t="s">
        <v>86</v>
      </c>
      <c r="N21" s="37">
        <v>1</v>
      </c>
      <c r="O21" s="1"/>
      <c r="P21" s="23" t="s">
        <v>17</v>
      </c>
      <c r="Q21" s="37">
        <v>14.0067</v>
      </c>
      <c r="R21" s="37" t="s">
        <v>8</v>
      </c>
    </row>
    <row r="22" spans="2:18" x14ac:dyDescent="0.3">
      <c r="B22" s="37">
        <v>0.65</v>
      </c>
      <c r="C22" s="64">
        <f>((D22*(ABS('CO2'!$D$3)))+(E22*(ABS(H2O!$D$3)))-(B22*(ABS('Task 1'!$K$9))))</f>
        <v>3292.5165000000002</v>
      </c>
      <c r="D22" s="44">
        <f t="shared" si="5"/>
        <v>5.2</v>
      </c>
      <c r="E22" s="44">
        <f t="shared" si="3"/>
        <v>5.8500000000000005</v>
      </c>
      <c r="F22" s="44">
        <f t="shared" si="6"/>
        <v>4.375</v>
      </c>
      <c r="G22" s="37">
        <v>47</v>
      </c>
      <c r="H22" s="37">
        <f t="shared" si="0"/>
        <v>2.9858279916307521E-2</v>
      </c>
      <c r="I22" s="37">
        <f t="shared" si="1"/>
        <v>0.32076323567233223</v>
      </c>
      <c r="J22" s="37">
        <f t="shared" si="2"/>
        <v>2.7298998780624018E-7</v>
      </c>
      <c r="K22" s="67">
        <v>1800.4479200000001</v>
      </c>
      <c r="M22" s="1"/>
      <c r="N22" s="1"/>
      <c r="O22" s="1"/>
      <c r="P22" s="1"/>
      <c r="Q22" s="1"/>
      <c r="R22" s="1"/>
    </row>
    <row r="23" spans="2:18" x14ac:dyDescent="0.3">
      <c r="B23" s="37">
        <v>0.6</v>
      </c>
      <c r="C23" s="64">
        <f>((D23*(ABS('CO2'!$D$3)))+(E23*(ABS(H2O!$D$3)))-(B23*(ABS('Task 1'!$K$9))))</f>
        <v>3039.2459999999996</v>
      </c>
      <c r="D23" s="44">
        <f t="shared" si="5"/>
        <v>4.8</v>
      </c>
      <c r="E23" s="44">
        <f t="shared" si="3"/>
        <v>5.3999999999999995</v>
      </c>
      <c r="F23" s="44">
        <f t="shared" si="6"/>
        <v>5</v>
      </c>
      <c r="G23" s="37">
        <v>47</v>
      </c>
      <c r="H23" s="37">
        <f t="shared" si="0"/>
        <v>3.4152137617606798E-2</v>
      </c>
      <c r="I23" s="37">
        <f t="shared" si="1"/>
        <v>0.32103009360550394</v>
      </c>
      <c r="J23" s="37">
        <f t="shared" si="2"/>
        <v>2.7321710094085436E-7</v>
      </c>
      <c r="K23" s="67">
        <v>1705.3029160000001</v>
      </c>
      <c r="M23" s="4" t="s">
        <v>60</v>
      </c>
      <c r="N23" s="62">
        <f>(10^5*((400)*10^-6))/(8314*293)</f>
        <v>1.6420347766545347E-5</v>
      </c>
    </row>
    <row r="24" spans="2:18" x14ac:dyDescent="0.3">
      <c r="M24" s="4" t="s">
        <v>94</v>
      </c>
      <c r="N24" s="62">
        <v>0.9</v>
      </c>
    </row>
    <row r="25" spans="2:18" x14ac:dyDescent="0.3">
      <c r="M25" s="4" t="s">
        <v>95</v>
      </c>
      <c r="N25" s="62">
        <f>1/N24</f>
        <v>1.1111111111111112</v>
      </c>
    </row>
    <row r="26" spans="2:18" x14ac:dyDescent="0.3">
      <c r="M26" s="4" t="s">
        <v>96</v>
      </c>
      <c r="N26" s="62">
        <v>1.17</v>
      </c>
    </row>
  </sheetData>
  <mergeCells count="2">
    <mergeCell ref="P16:Q16"/>
    <mergeCell ref="C7:G7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T31"/>
  <sheetViews>
    <sheetView zoomScale="85" zoomScaleNormal="85" workbookViewId="0">
      <selection activeCell="L14" sqref="L14"/>
    </sheetView>
  </sheetViews>
  <sheetFormatPr defaultRowHeight="14.4" x14ac:dyDescent="0.3"/>
  <cols>
    <col min="2" max="2" width="18" customWidth="1"/>
    <col min="3" max="3" width="21.33203125" customWidth="1"/>
    <col min="4" max="4" width="13.88671875" customWidth="1"/>
    <col min="5" max="5" width="21.109375" customWidth="1"/>
    <col min="6" max="6" width="10.6640625" customWidth="1"/>
    <col min="7" max="7" width="11.6640625" customWidth="1"/>
    <col min="8" max="11" width="11.5546875" customWidth="1"/>
    <col min="12" max="12" width="20.6640625" customWidth="1"/>
    <col min="13" max="13" width="20.88671875" customWidth="1"/>
    <col min="14" max="14" width="13" customWidth="1"/>
    <col min="15" max="15" width="19.33203125" customWidth="1"/>
    <col min="16" max="16" width="14.109375" customWidth="1"/>
    <col min="17" max="17" width="13.109375" customWidth="1"/>
    <col min="18" max="18" width="13.88671875" customWidth="1"/>
    <col min="19" max="19" width="13" customWidth="1"/>
  </cols>
  <sheetData>
    <row r="2" spans="2:20" x14ac:dyDescent="0.3">
      <c r="C2" s="7" t="s">
        <v>76</v>
      </c>
    </row>
    <row r="3" spans="2:20" x14ac:dyDescent="0.3">
      <c r="B3" s="4" t="s">
        <v>258</v>
      </c>
      <c r="C3" s="62">
        <v>2385.7566738726809</v>
      </c>
      <c r="D3" s="6" t="s">
        <v>78</v>
      </c>
      <c r="E3" s="6"/>
      <c r="F3" s="6"/>
      <c r="G3" s="6"/>
      <c r="O3" s="1"/>
      <c r="P3" s="1"/>
      <c r="Q3" s="1"/>
      <c r="R3" s="1"/>
      <c r="S3" s="1"/>
      <c r="T3" s="1"/>
    </row>
    <row r="4" spans="2:20" x14ac:dyDescent="0.3">
      <c r="B4" s="4" t="s">
        <v>259</v>
      </c>
      <c r="C4" s="62">
        <f>S12*P20*((0*C3^6)+(-0.0000000000000001772*C3^5)+(0.0000000000026421182*C3^4)+(-0.0000000124627120457*C3^3)+(0.0000296635365075066*C3^2)+(0.022887287040501*C3)-9.16331627135478)+S13*P20*((-0.0000000000000000001*C3^6)+(0.0000000000000007567*C3^5)+(-0.0000000000037287389*C3^4)+(0.0000000082065984485*C3^3)+(-0.0000025862295728548*C3^2)+(0.0332742206220155*C3)-9.88071424688911)+S11*(1-P20)*((0*C3^6)+(0.0000000000000000151*C3^5)+(0.0000000000006480384*C3^4)-(0.0000000037470426353*C3^3)+(0.0000098189461073622*C3^2)+(0.0238524349087728*C3)-7.87103036786887)+S14*((-0.0000000000000000001*C3^6)+(0.0000000000000011254*C3^5)+(-0.0000000000045328333*C3^4)+(0.0000000082869697929*C3^3)+(-0.0000043902754023995*C3^2)+(0.0297231162501513*C3)-8.64611192150597)</f>
        <v>5065.4100000327526</v>
      </c>
      <c r="D4" s="6"/>
      <c r="E4" s="6"/>
      <c r="F4" s="6"/>
      <c r="G4" s="6"/>
      <c r="O4" s="96"/>
      <c r="P4" s="96"/>
      <c r="Q4" s="1"/>
      <c r="R4" s="1"/>
      <c r="S4" s="1"/>
      <c r="T4" s="1"/>
    </row>
    <row r="5" spans="2:20" x14ac:dyDescent="0.3">
      <c r="O5" s="96"/>
      <c r="P5" s="96"/>
      <c r="Q5" s="1"/>
      <c r="R5" s="1"/>
      <c r="S5" s="1"/>
      <c r="T5" s="1"/>
    </row>
    <row r="6" spans="2:20" x14ac:dyDescent="0.3">
      <c r="O6" s="96"/>
      <c r="P6" s="96"/>
      <c r="Q6" s="1"/>
      <c r="R6" s="3"/>
      <c r="S6" s="3"/>
      <c r="T6" s="1"/>
    </row>
    <row r="7" spans="2:20" x14ac:dyDescent="0.3">
      <c r="B7" s="95"/>
      <c r="C7" s="37" t="s">
        <v>197</v>
      </c>
      <c r="D7" s="37"/>
      <c r="E7" s="37"/>
      <c r="F7" s="96"/>
      <c r="O7" s="96"/>
      <c r="P7" s="96"/>
      <c r="Q7" s="1"/>
      <c r="R7" s="3"/>
      <c r="S7" s="3"/>
      <c r="T7" s="1"/>
    </row>
    <row r="8" spans="2:20" x14ac:dyDescent="0.3">
      <c r="O8" s="96"/>
      <c r="P8" s="96"/>
      <c r="Q8" s="1"/>
      <c r="R8" s="1"/>
      <c r="S8" s="1"/>
      <c r="T8" s="1"/>
    </row>
    <row r="9" spans="2:20" ht="18" customHeight="1" x14ac:dyDescent="0.3">
      <c r="O9" s="82"/>
      <c r="P9" s="82"/>
      <c r="Q9" s="82"/>
      <c r="R9" s="82"/>
      <c r="S9" s="82"/>
      <c r="T9" s="1"/>
    </row>
    <row r="10" spans="2:20" ht="18" customHeight="1" x14ac:dyDescent="0.3">
      <c r="B10" s="22" t="s">
        <v>106</v>
      </c>
      <c r="C10" s="22" t="s">
        <v>160</v>
      </c>
      <c r="D10" s="22" t="s">
        <v>33</v>
      </c>
      <c r="E10" s="22" t="s">
        <v>110</v>
      </c>
      <c r="F10" s="22" t="s">
        <v>59</v>
      </c>
      <c r="G10" s="22" t="s">
        <v>57</v>
      </c>
      <c r="H10" s="22" t="s">
        <v>58</v>
      </c>
      <c r="I10" s="22" t="s">
        <v>91</v>
      </c>
      <c r="J10" s="22" t="s">
        <v>92</v>
      </c>
      <c r="K10" s="22" t="s">
        <v>93</v>
      </c>
      <c r="L10" s="32" t="s">
        <v>167</v>
      </c>
      <c r="M10" s="33" t="s">
        <v>109</v>
      </c>
      <c r="N10" s="3"/>
      <c r="O10" s="82"/>
      <c r="P10" s="82"/>
      <c r="Q10" s="82"/>
      <c r="R10" s="82"/>
      <c r="S10" s="82"/>
      <c r="T10" s="1"/>
    </row>
    <row r="11" spans="2:20" x14ac:dyDescent="0.3">
      <c r="B11" s="37">
        <v>1</v>
      </c>
      <c r="C11" s="64">
        <f>((D11*(ABS('CO2'!$D$3)))+(F11*(ABS(H2O!$D$3)))-(B11*(ABS('Fuel Tables'!$H$16))))</f>
        <v>5065.41</v>
      </c>
      <c r="D11" s="44">
        <v>8</v>
      </c>
      <c r="E11" s="44">
        <v>0</v>
      </c>
      <c r="F11" s="44">
        <v>9</v>
      </c>
      <c r="G11" s="44">
        <f>$S$11*(1-B11)</f>
        <v>0</v>
      </c>
      <c r="H11" s="37">
        <v>47</v>
      </c>
      <c r="I11" s="37">
        <f>(G11*K11)/(40*10^-6)</f>
        <v>0</v>
      </c>
      <c r="J11" s="37">
        <f>(H11*K11)/(40*10^-6)</f>
        <v>0.12756303223597212</v>
      </c>
      <c r="K11" s="37">
        <f>(($P$23)/(B11+(12.5*(1+3.76))))</f>
        <v>1.0856428275401881E-7</v>
      </c>
      <c r="L11" s="65">
        <v>2385.7566740000002</v>
      </c>
      <c r="M11" s="50">
        <f>K11*(D11+F11+G11+H11)</f>
        <v>6.948114096257204E-6</v>
      </c>
      <c r="O11" s="1"/>
      <c r="P11" s="1"/>
      <c r="Q11" s="1"/>
      <c r="R11" s="23" t="s">
        <v>56</v>
      </c>
      <c r="S11" s="37">
        <f>(($S$12*2)+$S$13)/2</f>
        <v>12.5</v>
      </c>
      <c r="T11" s="1"/>
    </row>
    <row r="12" spans="2:20" x14ac:dyDescent="0.3">
      <c r="B12" s="37">
        <v>0.99</v>
      </c>
      <c r="C12" s="64">
        <f>((D12*(ABS('CO2'!$D$3)))+(F12*(ABS(H2O!$D$3)))-(B12*(ABS('Fuel Tables'!$H$16))))</f>
        <v>5014.7559000000001</v>
      </c>
      <c r="D12" s="44">
        <f>D11*B12</f>
        <v>7.92</v>
      </c>
      <c r="E12" s="44">
        <v>0</v>
      </c>
      <c r="F12" s="44">
        <f>$F$11*B12</f>
        <v>8.91</v>
      </c>
      <c r="G12" s="44">
        <f t="shared" ref="G12:G23" si="0">$S$11*(1-B12)</f>
        <v>0.12500000000000011</v>
      </c>
      <c r="H12" s="37">
        <v>47</v>
      </c>
      <c r="I12" s="37">
        <f t="shared" ref="I12:I23" si="1">(G12*K12)/(40*10^-6)</f>
        <v>3.3931946946903129E-4</v>
      </c>
      <c r="J12" s="37">
        <f>(H12*K12)/(40*10^-6)</f>
        <v>0.12758412052035564</v>
      </c>
      <c r="K12" s="37">
        <f t="shared" ref="K12:K23" si="2">(($P$23)/(B12+(12.5*(1+3.76))))</f>
        <v>1.0858223023008991E-7</v>
      </c>
      <c r="L12" s="65">
        <v>2369.8936779999999</v>
      </c>
      <c r="M12" s="50">
        <f t="shared" ref="M12:M23" si="3">K12*(D12+F12+G12+H12)</f>
        <v>6.9443765343653996E-6</v>
      </c>
      <c r="O12" s="23" t="s">
        <v>82</v>
      </c>
      <c r="P12" s="37">
        <v>8</v>
      </c>
      <c r="Q12" s="1"/>
      <c r="R12" s="23" t="s">
        <v>33</v>
      </c>
      <c r="S12" s="37">
        <f>$P$12</f>
        <v>8</v>
      </c>
      <c r="T12" s="1"/>
    </row>
    <row r="13" spans="2:20" x14ac:dyDescent="0.3">
      <c r="B13" s="37">
        <v>0.98</v>
      </c>
      <c r="C13" s="64">
        <f>((D13*(ABS('CO2'!$D$3)))+(F13*(ABS(H2O!$D$3)))-(B13*(ABS('Fuel Tables'!$H$16))))</f>
        <v>4964.1018000000004</v>
      </c>
      <c r="D13" s="44">
        <f>$D$11*B13</f>
        <v>7.84</v>
      </c>
      <c r="E13" s="44">
        <v>0</v>
      </c>
      <c r="F13" s="44">
        <f t="shared" ref="F13:F23" si="4">$F$11*B13</f>
        <v>8.82</v>
      </c>
      <c r="G13" s="44">
        <f t="shared" si="0"/>
        <v>0.25000000000000022</v>
      </c>
      <c r="H13" s="37">
        <v>47</v>
      </c>
      <c r="I13" s="37">
        <f t="shared" si="1"/>
        <v>6.7875114775733144E-4</v>
      </c>
      <c r="J13" s="37">
        <f t="shared" ref="J13:J23" si="5">(H13*K13)/(40*10^-6)</f>
        <v>0.12760521577837822</v>
      </c>
      <c r="K13" s="37">
        <f t="shared" si="2"/>
        <v>1.0860018364117293E-7</v>
      </c>
      <c r="L13" s="65">
        <v>2353.976525</v>
      </c>
      <c r="M13" s="50">
        <f t="shared" si="3"/>
        <v>6.9406377365073615E-6</v>
      </c>
      <c r="O13" s="23" t="s">
        <v>83</v>
      </c>
      <c r="P13" s="37">
        <v>18</v>
      </c>
      <c r="Q13" s="1"/>
      <c r="R13" s="23" t="s">
        <v>59</v>
      </c>
      <c r="S13" s="37">
        <f>$P$13/2</f>
        <v>9</v>
      </c>
      <c r="T13" s="1"/>
    </row>
    <row r="14" spans="2:20" x14ac:dyDescent="0.3">
      <c r="B14" s="37">
        <v>0.97</v>
      </c>
      <c r="C14" s="64">
        <f>((D14*(ABS('CO2'!$D$3)))+(F14*(ABS(H2O!$D$3)))-(B14*(ABS('Fuel Tables'!$H$16))))</f>
        <v>4913.4476999999997</v>
      </c>
      <c r="D14" s="44">
        <f t="shared" ref="D14:D23" si="6">$D$11*B14</f>
        <v>7.76</v>
      </c>
      <c r="E14" s="44">
        <v>0</v>
      </c>
      <c r="F14" s="44">
        <f t="shared" si="4"/>
        <v>8.73</v>
      </c>
      <c r="G14" s="44">
        <f t="shared" si="0"/>
        <v>0.37500000000000033</v>
      </c>
      <c r="H14" s="37">
        <v>47</v>
      </c>
      <c r="I14" s="37">
        <f t="shared" si="1"/>
        <v>1.0182950905332415E-3</v>
      </c>
      <c r="J14" s="37">
        <f t="shared" si="5"/>
        <v>0.12762631801349947</v>
      </c>
      <c r="K14" s="37">
        <f t="shared" si="2"/>
        <v>1.0861814299021231E-7</v>
      </c>
      <c r="L14" s="65">
        <v>2338.0392200000001</v>
      </c>
      <c r="M14" s="50">
        <f t="shared" si="3"/>
        <v>6.9368977020699098E-6</v>
      </c>
      <c r="O14" s="1"/>
      <c r="P14" s="1"/>
      <c r="Q14" s="1"/>
      <c r="R14" s="23" t="s">
        <v>58</v>
      </c>
      <c r="S14" s="37">
        <f>3.76*$S$11</f>
        <v>47</v>
      </c>
      <c r="T14" s="1"/>
    </row>
    <row r="15" spans="2:20" x14ac:dyDescent="0.3">
      <c r="B15" s="37">
        <v>0.96</v>
      </c>
      <c r="C15" s="64">
        <f>((D15*(ABS('CO2'!$D$3)))+(F15*(ABS(H2O!$D$3)))-(B15*(ABS('Fuel Tables'!$H$16))))</f>
        <v>4862.7935999999991</v>
      </c>
      <c r="D15" s="44">
        <f t="shared" si="6"/>
        <v>7.68</v>
      </c>
      <c r="E15" s="44">
        <v>0</v>
      </c>
      <c r="F15" s="44">
        <f t="shared" si="4"/>
        <v>8.64</v>
      </c>
      <c r="G15" s="44">
        <f t="shared" si="0"/>
        <v>0.50000000000000044</v>
      </c>
      <c r="H15" s="37">
        <v>47</v>
      </c>
      <c r="I15" s="37">
        <f t="shared" si="1"/>
        <v>1.357951353501932E-3</v>
      </c>
      <c r="J15" s="37">
        <f t="shared" si="5"/>
        <v>0.12764742722918151</v>
      </c>
      <c r="K15" s="37">
        <f t="shared" si="2"/>
        <v>1.0863610828015446E-7</v>
      </c>
      <c r="L15" s="65">
        <v>2321.974588</v>
      </c>
      <c r="M15" s="50">
        <f t="shared" si="3"/>
        <v>6.9331564304394573E-6</v>
      </c>
      <c r="O15" s="23" t="s">
        <v>260</v>
      </c>
      <c r="P15" s="37">
        <f>$S$11*(($S$20*2)+3.76*(2*$S$21))</f>
        <v>1716.6148000000001</v>
      </c>
      <c r="Q15" s="1"/>
      <c r="R15" s="9"/>
      <c r="S15" s="1"/>
      <c r="T15" s="1"/>
    </row>
    <row r="16" spans="2:20" x14ac:dyDescent="0.3">
      <c r="B16" s="37">
        <v>0.95</v>
      </c>
      <c r="C16" s="64">
        <f>((D16*(ABS('CO2'!$D$3)))+(F16*(ABS(H2O!$D$3)))-(B16*(ABS('Fuel Tables'!$H$16))))</f>
        <v>4812.1394999999993</v>
      </c>
      <c r="D16" s="44">
        <f t="shared" si="6"/>
        <v>7.6</v>
      </c>
      <c r="E16" s="44">
        <v>0</v>
      </c>
      <c r="F16" s="44">
        <f t="shared" si="4"/>
        <v>8.5499999999999989</v>
      </c>
      <c r="G16" s="44">
        <f t="shared" si="0"/>
        <v>0.62500000000000056</v>
      </c>
      <c r="H16" s="37">
        <v>47</v>
      </c>
      <c r="I16" s="37">
        <f t="shared" si="1"/>
        <v>1.6977199924054344E-3</v>
      </c>
      <c r="J16" s="37">
        <f t="shared" si="5"/>
        <v>0.12766854342888853</v>
      </c>
      <c r="K16" s="37">
        <f t="shared" si="2"/>
        <v>1.0865407951394769E-7</v>
      </c>
      <c r="L16" s="65">
        <v>2305.8872550000001</v>
      </c>
      <c r="M16" s="50">
        <f t="shared" si="3"/>
        <v>6.9294139210020143E-6</v>
      </c>
      <c r="O16" s="23" t="s">
        <v>261</v>
      </c>
      <c r="P16" s="37">
        <f>($S$18*$P$12)+($S$19*$P$13)</f>
        <v>114.23146</v>
      </c>
      <c r="Q16" s="1"/>
      <c r="R16" s="130" t="s">
        <v>87</v>
      </c>
      <c r="S16" s="130"/>
      <c r="T16" s="1"/>
    </row>
    <row r="17" spans="2:20" x14ac:dyDescent="0.3">
      <c r="B17" s="37">
        <v>0.9</v>
      </c>
      <c r="C17" s="64">
        <f>((D17*(ABS('CO2'!$D$3)))+(F17*(ABS(H2O!$D$3)))-(B17*(ABS('Fuel Tables'!$H$16))))</f>
        <v>4558.8689999999997</v>
      </c>
      <c r="D17" s="44">
        <f t="shared" si="6"/>
        <v>7.2</v>
      </c>
      <c r="E17" s="44">
        <v>0</v>
      </c>
      <c r="F17" s="44">
        <f t="shared" si="4"/>
        <v>8.1</v>
      </c>
      <c r="G17" s="44">
        <f t="shared" si="0"/>
        <v>1.2499999999999998</v>
      </c>
      <c r="H17" s="37">
        <v>47</v>
      </c>
      <c r="I17" s="37">
        <f t="shared" si="1"/>
        <v>3.3982507795002788E-3</v>
      </c>
      <c r="J17" s="37">
        <f t="shared" si="5"/>
        <v>0.12777422930921048</v>
      </c>
      <c r="K17" s="37">
        <f t="shared" si="2"/>
        <v>1.0874402494400892E-7</v>
      </c>
      <c r="L17" s="65">
        <v>2224.537323</v>
      </c>
      <c r="M17" s="50">
        <f t="shared" si="3"/>
        <v>6.9106827851917669E-6</v>
      </c>
      <c r="O17" s="1"/>
      <c r="P17" s="1"/>
      <c r="Q17" s="1"/>
      <c r="R17" s="23" t="s">
        <v>88</v>
      </c>
      <c r="S17" s="37">
        <v>28.97</v>
      </c>
      <c r="T17" s="37" t="s">
        <v>8</v>
      </c>
    </row>
    <row r="18" spans="2:20" x14ac:dyDescent="0.3">
      <c r="B18" s="37">
        <v>0.85</v>
      </c>
      <c r="C18" s="64">
        <f>((D18*(ABS('CO2'!$D$3)))+(F18*(ABS(H2O!$D$3)))-(B18*(ABS('Fuel Tables'!$H$16))))</f>
        <v>4305.5985000000001</v>
      </c>
      <c r="D18" s="44">
        <f t="shared" si="6"/>
        <v>6.8</v>
      </c>
      <c r="E18" s="44">
        <v>0</v>
      </c>
      <c r="F18" s="44">
        <f t="shared" si="4"/>
        <v>7.6499999999999995</v>
      </c>
      <c r="G18" s="44">
        <f t="shared" si="0"/>
        <v>1.8750000000000002</v>
      </c>
      <c r="H18" s="37">
        <v>47</v>
      </c>
      <c r="I18" s="37">
        <f t="shared" si="1"/>
        <v>5.1015993475182321E-3</v>
      </c>
      <c r="J18" s="37">
        <f t="shared" si="5"/>
        <v>0.12788009031112366</v>
      </c>
      <c r="K18" s="37">
        <f t="shared" si="2"/>
        <v>1.0883411941372226E-7</v>
      </c>
      <c r="L18" s="65">
        <v>2141.557898</v>
      </c>
      <c r="M18" s="50">
        <f t="shared" si="3"/>
        <v>6.8919206118739622E-6</v>
      </c>
      <c r="O18" s="23" t="s">
        <v>84</v>
      </c>
      <c r="P18" s="37">
        <f>$P$15/$P$16</f>
        <v>15.027513436316056</v>
      </c>
      <c r="Q18" s="1"/>
      <c r="R18" s="23" t="s">
        <v>10</v>
      </c>
      <c r="S18" s="37">
        <v>12.010999999999999</v>
      </c>
      <c r="T18" s="37" t="s">
        <v>8</v>
      </c>
    </row>
    <row r="19" spans="2:20" x14ac:dyDescent="0.3">
      <c r="B19" s="37">
        <v>0.8</v>
      </c>
      <c r="C19" s="64">
        <f>((D19*(ABS('CO2'!$D$3)))+(F19*(ABS(H2O!$D$3)))-(B19*(ABS('Fuel Tables'!$H$16))))</f>
        <v>4052.328</v>
      </c>
      <c r="D19" s="44">
        <f t="shared" si="6"/>
        <v>6.4</v>
      </c>
      <c r="E19" s="44">
        <v>0</v>
      </c>
      <c r="F19" s="44">
        <f t="shared" si="4"/>
        <v>7.2</v>
      </c>
      <c r="G19" s="44">
        <f t="shared" si="0"/>
        <v>2.4999999999999996</v>
      </c>
      <c r="H19" s="37">
        <v>47</v>
      </c>
      <c r="I19" s="37">
        <f t="shared" si="1"/>
        <v>6.8077727058645709E-3</v>
      </c>
      <c r="J19" s="37">
        <f t="shared" si="5"/>
        <v>0.12798612687025396</v>
      </c>
      <c r="K19" s="37">
        <f t="shared" si="2"/>
        <v>1.0892436329383315E-7</v>
      </c>
      <c r="L19" s="65">
        <v>2056.806055</v>
      </c>
      <c r="M19" s="50">
        <f t="shared" si="3"/>
        <v>6.8731273238408712E-6</v>
      </c>
      <c r="O19" s="1"/>
      <c r="P19" s="1"/>
      <c r="Q19" s="1"/>
      <c r="R19" s="23" t="s">
        <v>11</v>
      </c>
      <c r="S19" s="37">
        <v>1.00797</v>
      </c>
      <c r="T19" s="37" t="s">
        <v>8</v>
      </c>
    </row>
    <row r="20" spans="2:20" x14ac:dyDescent="0.3">
      <c r="B20" s="37">
        <v>0.75</v>
      </c>
      <c r="C20" s="64">
        <f>((D20*(ABS('CO2'!$D$3)))+(F20*(ABS(H2O!$D$3)))-(B20*(ABS('Fuel Tables'!$H$16))))</f>
        <v>3799.0574999999999</v>
      </c>
      <c r="D20" s="44">
        <f t="shared" si="6"/>
        <v>6</v>
      </c>
      <c r="E20" s="44">
        <v>0</v>
      </c>
      <c r="F20" s="44">
        <f t="shared" si="4"/>
        <v>6.75</v>
      </c>
      <c r="G20" s="44">
        <f t="shared" si="0"/>
        <v>3.125</v>
      </c>
      <c r="H20" s="37">
        <v>47</v>
      </c>
      <c r="I20" s="37">
        <f t="shared" si="1"/>
        <v>8.5167778872123189E-3</v>
      </c>
      <c r="J20" s="37">
        <f t="shared" si="5"/>
        <v>0.12809233942367326</v>
      </c>
      <c r="K20" s="37">
        <f t="shared" si="2"/>
        <v>1.0901475695631766E-7</v>
      </c>
      <c r="L20" s="65">
        <v>1970.1445040000001</v>
      </c>
      <c r="M20" s="50">
        <f t="shared" si="3"/>
        <v>6.854302843628473E-6</v>
      </c>
      <c r="O20" s="23" t="s">
        <v>85</v>
      </c>
      <c r="P20" s="37">
        <v>1</v>
      </c>
      <c r="Q20" s="99" t="s">
        <v>90</v>
      </c>
      <c r="R20" s="23" t="s">
        <v>6</v>
      </c>
      <c r="S20" s="37">
        <v>15.9994</v>
      </c>
      <c r="T20" s="37" t="s">
        <v>8</v>
      </c>
    </row>
    <row r="21" spans="2:20" x14ac:dyDescent="0.3">
      <c r="B21" s="37">
        <v>0.7</v>
      </c>
      <c r="C21" s="64">
        <f>((D21*(ABS('CO2'!$D$3)))+(F21*(ABS(H2O!$D$3)))-(B21*(ABS('Fuel Tables'!$H$16))))</f>
        <v>3545.7869999999998</v>
      </c>
      <c r="D21" s="44">
        <f t="shared" si="6"/>
        <v>5.6</v>
      </c>
      <c r="E21" s="44">
        <v>0</v>
      </c>
      <c r="F21" s="44">
        <f t="shared" si="4"/>
        <v>6.3</v>
      </c>
      <c r="G21" s="44">
        <f t="shared" si="0"/>
        <v>3.7500000000000004</v>
      </c>
      <c r="H21" s="37">
        <v>47</v>
      </c>
      <c r="I21" s="37">
        <f t="shared" si="1"/>
        <v>1.0228621947598847E-2</v>
      </c>
      <c r="J21" s="37">
        <f t="shared" si="5"/>
        <v>0.12819872840990554</v>
      </c>
      <c r="K21" s="37">
        <f t="shared" si="2"/>
        <v>1.0910530077438768E-7</v>
      </c>
      <c r="L21" s="65">
        <v>1881.434573</v>
      </c>
      <c r="M21" s="50">
        <f>K21*(D21+F21+G21+H21)</f>
        <v>6.8354470935153885E-6</v>
      </c>
      <c r="O21" s="23" t="s">
        <v>86</v>
      </c>
      <c r="P21" s="37">
        <v>1</v>
      </c>
      <c r="Q21" s="1"/>
      <c r="R21" s="23" t="s">
        <v>7</v>
      </c>
      <c r="S21" s="37">
        <v>14.0067</v>
      </c>
      <c r="T21" s="37" t="s">
        <v>8</v>
      </c>
    </row>
    <row r="22" spans="2:20" x14ac:dyDescent="0.3">
      <c r="B22" s="37">
        <v>0.65</v>
      </c>
      <c r="C22" s="64">
        <f>((D22*(ABS('CO2'!$D$3)))+(F22*(ABS(H2O!$D$3)))-(B22*(ABS('Fuel Tables'!$H$16))))</f>
        <v>3292.5165000000002</v>
      </c>
      <c r="D22" s="44">
        <f t="shared" si="6"/>
        <v>5.2</v>
      </c>
      <c r="E22" s="44">
        <v>0</v>
      </c>
      <c r="F22" s="44">
        <f t="shared" si="4"/>
        <v>5.8500000000000005</v>
      </c>
      <c r="G22" s="44">
        <f t="shared" si="0"/>
        <v>4.375</v>
      </c>
      <c r="H22" s="37">
        <v>47</v>
      </c>
      <c r="I22" s="37">
        <f t="shared" si="1"/>
        <v>1.1943311966523009E-2</v>
      </c>
      <c r="J22" s="37">
        <f t="shared" si="5"/>
        <v>0.12830529426893289</v>
      </c>
      <c r="K22" s="37">
        <f t="shared" si="2"/>
        <v>1.0919599512249607E-7</v>
      </c>
      <c r="L22" s="65">
        <v>1790.534723</v>
      </c>
      <c r="M22" s="50">
        <f t="shared" si="3"/>
        <v>6.8165599955218171E-6</v>
      </c>
      <c r="O22" s="1"/>
      <c r="P22" s="1"/>
      <c r="Q22" s="1"/>
      <c r="R22" s="1"/>
      <c r="S22" s="1"/>
      <c r="T22" s="1"/>
    </row>
    <row r="23" spans="2:20" x14ac:dyDescent="0.3">
      <c r="B23" s="37">
        <v>0.6</v>
      </c>
      <c r="C23" s="64">
        <f>((D23*(ABS('CO2'!$D$3)))+(F23*(ABS(H2O!$D$3)))-(B23*(ABS('Fuel Tables'!$H$16))))</f>
        <v>3039.2459999999996</v>
      </c>
      <c r="D23" s="44">
        <f t="shared" si="6"/>
        <v>4.8</v>
      </c>
      <c r="E23" s="44">
        <v>0</v>
      </c>
      <c r="F23" s="44">
        <f t="shared" si="4"/>
        <v>5.3999999999999995</v>
      </c>
      <c r="G23" s="44">
        <f t="shared" si="0"/>
        <v>5</v>
      </c>
      <c r="H23" s="37">
        <v>47</v>
      </c>
      <c r="I23" s="37">
        <f t="shared" si="1"/>
        <v>1.3660855047042716E-2</v>
      </c>
      <c r="J23" s="37">
        <f t="shared" si="5"/>
        <v>0.12841203744220156</v>
      </c>
      <c r="K23" s="37">
        <f t="shared" si="2"/>
        <v>1.0928684037634173E-7</v>
      </c>
      <c r="L23" s="65">
        <v>1687.1130169999999</v>
      </c>
      <c r="M23" s="50">
        <f t="shared" si="3"/>
        <v>6.7976414714084564E-6</v>
      </c>
      <c r="O23" s="4" t="s">
        <v>60</v>
      </c>
      <c r="P23" s="62">
        <f>(10^5*((400*0.4)*10^-6))/(8314*293)</f>
        <v>6.5681391066181384E-6</v>
      </c>
    </row>
    <row r="24" spans="2:20" x14ac:dyDescent="0.3">
      <c r="O24" s="4" t="s">
        <v>94</v>
      </c>
      <c r="P24" s="62">
        <v>0.9</v>
      </c>
    </row>
    <row r="25" spans="2:20" x14ac:dyDescent="0.3">
      <c r="O25" s="31" t="s">
        <v>95</v>
      </c>
      <c r="P25" s="63">
        <f>1/P24</f>
        <v>1.1111111111111112</v>
      </c>
    </row>
    <row r="26" spans="2:20" x14ac:dyDescent="0.3">
      <c r="B26" s="26"/>
      <c r="C26" s="26"/>
      <c r="O26" s="23" t="s">
        <v>96</v>
      </c>
      <c r="P26" s="37">
        <v>1.17</v>
      </c>
    </row>
    <row r="27" spans="2:20" x14ac:dyDescent="0.3">
      <c r="D27" s="29" t="s">
        <v>117</v>
      </c>
      <c r="O27" s="51" t="s">
        <v>174</v>
      </c>
      <c r="P27" s="61">
        <v>1800</v>
      </c>
    </row>
    <row r="28" spans="2:20" x14ac:dyDescent="0.3">
      <c r="D28" s="58" t="s">
        <v>257</v>
      </c>
      <c r="E28" s="58" t="s">
        <v>265</v>
      </c>
      <c r="O28" s="51" t="s">
        <v>196</v>
      </c>
      <c r="P28" s="61">
        <v>40</v>
      </c>
    </row>
    <row r="29" spans="2:20" x14ac:dyDescent="0.3">
      <c r="B29" s="69" t="s">
        <v>112</v>
      </c>
      <c r="C29" s="4" t="s">
        <v>111</v>
      </c>
      <c r="D29" s="37">
        <f>(8*'CO2'!E134)+(9*H2O!E134)+(47*'N2'!E134)</f>
        <v>4802.759459061529</v>
      </c>
      <c r="E29" s="37">
        <v>2288.9653109999999</v>
      </c>
    </row>
    <row r="30" spans="2:20" x14ac:dyDescent="0.3">
      <c r="B30" s="69" t="s">
        <v>116</v>
      </c>
      <c r="C30" s="4" t="s">
        <v>115</v>
      </c>
      <c r="D30" s="37">
        <f>(8*'CO2'!E136)+(9*H2O!E136)+(47*'N2'!E136)</f>
        <v>5075.670118790691</v>
      </c>
      <c r="E30" s="37">
        <v>2389.5232980000001</v>
      </c>
    </row>
    <row r="31" spans="2:20" x14ac:dyDescent="0.3">
      <c r="B31" s="69" t="s">
        <v>114</v>
      </c>
      <c r="C31" s="4" t="s">
        <v>113</v>
      </c>
      <c r="D31" s="37">
        <f>(8*'CO2'!E138)+(9*H2O!E138)+(47*'N2'!E138)</f>
        <v>5351.5701440313569</v>
      </c>
      <c r="E31" s="37">
        <v>2490.403104</v>
      </c>
    </row>
  </sheetData>
  <mergeCells count="1">
    <mergeCell ref="R16:S16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2:BC107"/>
  <sheetViews>
    <sheetView zoomScale="85" zoomScaleNormal="85" workbookViewId="0">
      <selection activeCell="O13" sqref="O13"/>
    </sheetView>
  </sheetViews>
  <sheetFormatPr defaultRowHeight="14.4" x14ac:dyDescent="0.3"/>
  <cols>
    <col min="4" max="4" width="14" customWidth="1"/>
    <col min="5" max="5" width="16" customWidth="1"/>
    <col min="6" max="8" width="14" customWidth="1"/>
    <col min="9" max="9" width="15.88671875" customWidth="1"/>
    <col min="10" max="10" width="14" customWidth="1"/>
    <col min="11" max="11" width="14" style="3" customWidth="1"/>
    <col min="12" max="12" width="14" customWidth="1"/>
    <col min="13" max="13" width="15.6640625" customWidth="1"/>
    <col min="14" max="14" width="14" customWidth="1"/>
    <col min="15" max="15" width="14" style="3" customWidth="1"/>
    <col min="16" max="16" width="14" customWidth="1"/>
    <col min="17" max="17" width="15.5546875" customWidth="1"/>
    <col min="18" max="18" width="14" customWidth="1"/>
    <col min="19" max="19" width="14" style="3" customWidth="1"/>
    <col min="20" max="20" width="14" customWidth="1"/>
    <col min="21" max="21" width="16.44140625" customWidth="1"/>
    <col min="22" max="22" width="14" customWidth="1"/>
    <col min="23" max="23" width="14" style="3" customWidth="1"/>
    <col min="24" max="24" width="14" customWidth="1"/>
    <col min="25" max="25" width="16.6640625" customWidth="1"/>
    <col min="26" max="26" width="14" customWidth="1"/>
    <col min="27" max="27" width="14" style="3" customWidth="1"/>
    <col min="28" max="28" width="14" customWidth="1"/>
    <col min="29" max="29" width="17.109375" customWidth="1"/>
    <col min="30" max="30" width="14" customWidth="1"/>
    <col min="31" max="31" width="14" style="3" customWidth="1"/>
    <col min="32" max="32" width="14" customWidth="1"/>
    <col min="33" max="33" width="15.88671875" customWidth="1"/>
    <col min="34" max="34" width="14" customWidth="1"/>
    <col min="35" max="35" width="14" style="3" customWidth="1"/>
    <col min="36" max="36" width="14" customWidth="1"/>
    <col min="37" max="37" width="17" customWidth="1"/>
    <col min="38" max="38" width="14" customWidth="1"/>
    <col min="39" max="39" width="14" style="3" customWidth="1"/>
    <col min="40" max="40" width="14" customWidth="1"/>
    <col min="41" max="41" width="17" customWidth="1"/>
    <col min="42" max="42" width="14" customWidth="1"/>
    <col min="43" max="43" width="14" style="3" customWidth="1"/>
    <col min="44" max="44" width="14" customWidth="1"/>
    <col min="45" max="45" width="16.88671875" customWidth="1"/>
    <col min="46" max="46" width="14" customWidth="1"/>
    <col min="47" max="47" width="14" style="3" customWidth="1"/>
    <col min="48" max="48" width="14" customWidth="1"/>
    <col min="49" max="49" width="17.6640625" customWidth="1"/>
    <col min="50" max="50" width="14" customWidth="1"/>
    <col min="51" max="51" width="14" style="3" customWidth="1"/>
    <col min="52" max="52" width="14" customWidth="1"/>
    <col min="53" max="53" width="16.5546875" customWidth="1"/>
    <col min="54" max="54" width="14" customWidth="1"/>
  </cols>
  <sheetData>
    <row r="2" spans="2:55" x14ac:dyDescent="0.3">
      <c r="B2" s="132" t="s">
        <v>119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2"/>
      <c r="AT2" s="132"/>
      <c r="AU2" s="132"/>
      <c r="AV2" s="132"/>
      <c r="AW2" s="132"/>
      <c r="AX2" s="132"/>
      <c r="AY2" s="132"/>
      <c r="AZ2" s="132"/>
      <c r="BA2" s="132"/>
      <c r="BB2" s="132"/>
    </row>
    <row r="3" spans="2:55" x14ac:dyDescent="0.3">
      <c r="W3" s="59"/>
      <c r="AA3" s="59"/>
      <c r="AE3" s="59"/>
      <c r="AI3" s="59"/>
      <c r="AM3" s="59"/>
      <c r="AQ3" s="59"/>
      <c r="AU3" s="59"/>
      <c r="AY3" s="59"/>
      <c r="BC3" s="59"/>
    </row>
    <row r="4" spans="2:55" x14ac:dyDescent="0.3">
      <c r="C4" s="29" t="s">
        <v>106</v>
      </c>
      <c r="D4" s="102">
        <v>1</v>
      </c>
      <c r="E4" s="102"/>
      <c r="F4" s="102"/>
      <c r="G4" s="3"/>
      <c r="H4" s="118">
        <v>0.99</v>
      </c>
      <c r="I4" s="119"/>
      <c r="J4" s="120"/>
      <c r="L4" s="118">
        <v>0.98</v>
      </c>
      <c r="M4" s="119"/>
      <c r="N4" s="120"/>
      <c r="P4" s="118">
        <v>0.97</v>
      </c>
      <c r="Q4" s="119"/>
      <c r="R4" s="120"/>
      <c r="T4" s="118">
        <v>0.96</v>
      </c>
      <c r="U4" s="119"/>
      <c r="V4" s="120"/>
      <c r="W4" s="59"/>
      <c r="X4" s="118">
        <v>0.95</v>
      </c>
      <c r="Y4" s="119"/>
      <c r="Z4" s="120"/>
      <c r="AA4" s="59"/>
      <c r="AB4" s="118">
        <v>0.9</v>
      </c>
      <c r="AC4" s="119"/>
      <c r="AD4" s="120"/>
      <c r="AE4" s="59"/>
      <c r="AF4" s="118">
        <v>0.85</v>
      </c>
      <c r="AG4" s="119"/>
      <c r="AH4" s="120"/>
      <c r="AI4" s="59"/>
      <c r="AJ4" s="118">
        <v>0.8</v>
      </c>
      <c r="AK4" s="119"/>
      <c r="AL4" s="120"/>
      <c r="AM4" s="59"/>
      <c r="AN4" s="118">
        <v>0.75</v>
      </c>
      <c r="AO4" s="119"/>
      <c r="AP4" s="120"/>
      <c r="AQ4" s="59"/>
      <c r="AR4" s="118">
        <v>0.7</v>
      </c>
      <c r="AS4" s="119"/>
      <c r="AT4" s="120"/>
      <c r="AU4" s="59"/>
      <c r="AV4" s="118">
        <v>0.65</v>
      </c>
      <c r="AW4" s="119"/>
      <c r="AX4" s="120"/>
      <c r="AY4" s="59"/>
      <c r="AZ4" s="118">
        <v>0.6</v>
      </c>
      <c r="BA4" s="119"/>
      <c r="BB4" s="120"/>
      <c r="BC4" s="59"/>
    </row>
    <row r="5" spans="2:55" x14ac:dyDescent="0.3">
      <c r="B5" s="28" t="s">
        <v>107</v>
      </c>
      <c r="C5" s="30" t="s">
        <v>105</v>
      </c>
      <c r="D5" s="58" t="s">
        <v>103</v>
      </c>
      <c r="E5" s="58" t="s">
        <v>104</v>
      </c>
      <c r="F5" s="58" t="s">
        <v>108</v>
      </c>
      <c r="G5" s="3"/>
      <c r="H5" s="58" t="s">
        <v>103</v>
      </c>
      <c r="I5" s="58" t="s">
        <v>104</v>
      </c>
      <c r="J5" s="58" t="s">
        <v>108</v>
      </c>
      <c r="L5" s="58" t="s">
        <v>103</v>
      </c>
      <c r="M5" s="58" t="s">
        <v>104</v>
      </c>
      <c r="N5" s="58" t="s">
        <v>108</v>
      </c>
      <c r="P5" s="58" t="s">
        <v>103</v>
      </c>
      <c r="Q5" s="58" t="s">
        <v>104</v>
      </c>
      <c r="R5" s="58" t="s">
        <v>108</v>
      </c>
      <c r="T5" s="58" t="s">
        <v>103</v>
      </c>
      <c r="U5" s="58" t="s">
        <v>104</v>
      </c>
      <c r="V5" s="58" t="s">
        <v>108</v>
      </c>
      <c r="W5" s="59"/>
      <c r="X5" s="58" t="s">
        <v>103</v>
      </c>
      <c r="Y5" s="58" t="s">
        <v>104</v>
      </c>
      <c r="Z5" s="58" t="s">
        <v>108</v>
      </c>
      <c r="AA5" s="59"/>
      <c r="AB5" s="58" t="s">
        <v>103</v>
      </c>
      <c r="AC5" s="58" t="s">
        <v>104</v>
      </c>
      <c r="AD5" s="58" t="s">
        <v>108</v>
      </c>
      <c r="AE5" s="59"/>
      <c r="AF5" s="58" t="s">
        <v>103</v>
      </c>
      <c r="AG5" s="58" t="s">
        <v>104</v>
      </c>
      <c r="AH5" s="58" t="s">
        <v>108</v>
      </c>
      <c r="AI5" s="59"/>
      <c r="AJ5" s="58" t="s">
        <v>103</v>
      </c>
      <c r="AK5" s="58" t="s">
        <v>104</v>
      </c>
      <c r="AL5" s="58" t="s">
        <v>108</v>
      </c>
      <c r="AM5" s="59"/>
      <c r="AN5" s="58" t="s">
        <v>103</v>
      </c>
      <c r="AO5" s="58" t="s">
        <v>104</v>
      </c>
      <c r="AP5" s="58" t="s">
        <v>108</v>
      </c>
      <c r="AQ5" s="59"/>
      <c r="AR5" s="58" t="s">
        <v>103</v>
      </c>
      <c r="AS5" s="58" t="s">
        <v>104</v>
      </c>
      <c r="AT5" s="58" t="s">
        <v>108</v>
      </c>
      <c r="AU5" s="59"/>
      <c r="AV5" s="58" t="s">
        <v>103</v>
      </c>
      <c r="AW5" s="58" t="s">
        <v>104</v>
      </c>
      <c r="AX5" s="58" t="s">
        <v>108</v>
      </c>
      <c r="AY5" s="59"/>
      <c r="AZ5" s="58" t="s">
        <v>103</v>
      </c>
      <c r="BA5" s="58" t="s">
        <v>104</v>
      </c>
      <c r="BB5" s="58" t="s">
        <v>108</v>
      </c>
      <c r="BC5" s="59"/>
    </row>
    <row r="6" spans="2:55" x14ac:dyDescent="0.3">
      <c r="B6" s="42">
        <v>0</v>
      </c>
      <c r="C6" s="42">
        <v>10</v>
      </c>
      <c r="D6" s="37">
        <f>'Goal Seek 6th order'!L11</f>
        <v>2385.7566740000002</v>
      </c>
      <c r="E6" s="97">
        <f>(((4.7*10^13)*'Goal Seek 6th order'!$J$11*('Goal Seek 6th order'!$I$11^0.5)*(EXP(-67837/D6))/('Goal Seek 6th order'!$P$27*6))*('Goal Seek 6th order'!$P$28*10^-6))</f>
        <v>0</v>
      </c>
      <c r="F6" s="37">
        <f>(SUM(E6:E21)/'Goal Seek 6th order'!M11)*10^6</f>
        <v>0</v>
      </c>
      <c r="G6" s="3"/>
      <c r="H6" s="37">
        <f>'Goal Seek 6th order'!L12</f>
        <v>2369.8936779999999</v>
      </c>
      <c r="I6" s="97">
        <f>(((4.7*10^13)*'Goal Seek 6th order'!$J$12*('Goal Seek 6th order'!$I$12^0.5)*(EXP(-67837/H6))/('Goal Seek 6th order'!$P$27*6))*('Goal Seek 6th order'!$P$28*10^-6))</f>
        <v>1.5148745383880445E-10</v>
      </c>
      <c r="J6" s="37">
        <f>(SUM(I6:I21)/'Goal Seek 6th order'!M12)*10^6</f>
        <v>19993.740482036883</v>
      </c>
      <c r="L6" s="37">
        <f>'Goal Seek 6th order'!L13</f>
        <v>2353.976525</v>
      </c>
      <c r="M6" s="97">
        <f>(((4.7*10^13)*'Goal Seek 6th order'!$J$13*('Goal Seek 6th order'!$I$13^0.5)*(EXP(-67837/L6))/('Goal Seek 6th order'!$P$27*6))*('Goal Seek 6th order'!$P$28*10^-6))</f>
        <v>1.7657944559540417E-10</v>
      </c>
      <c r="N6" s="37">
        <f>(SUM(M6:M21)/'Goal Seek 6th order'!M13)*10^6</f>
        <v>24046.514288941093</v>
      </c>
      <c r="P6" s="37">
        <f>'Goal Seek 6th order'!L14</f>
        <v>2338.0392200000001</v>
      </c>
      <c r="Q6" s="97">
        <f>(((4.7*10^13)*'Goal Seek 6th order'!$J$14*('Goal Seek 6th order'!$I$14^0.5)*(EXP(-67837/P6))/('Goal Seek 6th order'!$P$27*6))*('Goal Seek 6th order'!$P$28*10^-6))</f>
        <v>1.777383517641379E-10</v>
      </c>
      <c r="R6" s="37">
        <f>(SUM(Q6:Q21)/'Goal Seek 6th order'!M14)*10^6</f>
        <v>24986.096891175293</v>
      </c>
      <c r="T6" s="37">
        <f>'Goal Seek 6th order'!L15</f>
        <v>2321.974588</v>
      </c>
      <c r="U6" s="97">
        <f>(((4.7*10^13)*'Goal Seek 6th order'!$J$15*('Goal Seek 6th order'!$I$15^0.5)*(EXP(-67837/T6))/('Goal Seek 6th order'!$P$27*6))*('Goal Seek 6th order'!$P$28*10^-6))</f>
        <v>1.679496631939459E-10</v>
      </c>
      <c r="V6" s="37">
        <f>(SUM(U6:U21)/'Goal Seek 6th order'!M15)*10^6</f>
        <v>24389.927913861513</v>
      </c>
      <c r="W6" s="59"/>
      <c r="X6" s="37">
        <f>'Goal Seek 6th order'!L16</f>
        <v>2305.8872550000001</v>
      </c>
      <c r="Y6" s="97">
        <f>(((4.7*10^13)*'Goal Seek 6th order'!$J$16*('Goal Seek 6th order'!$I$16^0.5)*(EXP(-67837/X6))/('Goal Seek 6th order'!$P$27*6))*('Goal Seek 6th order'!$P$28*10^-6))</f>
        <v>1.5318713565660322E-10</v>
      </c>
      <c r="Z6" s="37">
        <f>(SUM(Y6:Y21)/'Goal Seek 6th order'!M16)*10^6</f>
        <v>22992.878493989869</v>
      </c>
      <c r="AA6" s="59"/>
      <c r="AB6" s="37">
        <f>'Goal Seek 6th order'!L17</f>
        <v>2224.537323</v>
      </c>
      <c r="AC6" s="97">
        <f>(((4.7*10^13)*'Goal Seek 6th order'!$J$17*('Goal Seek 6th order'!$I$17^0.5)*(EXP(-67837/AB6))/('Goal Seek 6th order'!$P$27*6))*('Goal Seek 6th order'!$P$28*10^-6))</f>
        <v>7.3968483751370997E-11</v>
      </c>
      <c r="AD6" s="37">
        <f>(SUM(AC6:AC21)/'Goal Seek 6th order'!M17)*10^6</f>
        <v>13220.220166754832</v>
      </c>
      <c r="AE6" s="59"/>
      <c r="AF6" s="37">
        <f>'Goal Seek 6th order'!L18</f>
        <v>2141.557898</v>
      </c>
      <c r="AG6" s="97">
        <f>(((4.7*10^13)*'Goal Seek 6th order'!$J$18*('Goal Seek 6th order'!$I$18^0.5)*(EXP(-67837/AF6))/('Goal Seek 6th order'!$P$27*6))*('Goal Seek 6th order'!$P$28*10^-6))</f>
        <v>2.7827421201426861E-11</v>
      </c>
      <c r="AH6" s="37">
        <f>(SUM(AG6:AG21)/'Goal Seek 6th order'!M18)*10^6</f>
        <v>6028.2484346555384</v>
      </c>
      <c r="AI6" s="59"/>
      <c r="AJ6" s="37">
        <f>'Goal Seek 6th order'!L19</f>
        <v>2056.806055</v>
      </c>
      <c r="AK6" s="97">
        <f>(((4.7*10^13)*'Goal Seek 6th order'!$J$19*('Goal Seek 6th order'!$I$19^0.5)*(EXP(-67837/AJ6))/('Goal Seek 6th order'!$P$27*6))*('Goal Seek 6th order'!$P$28*10^-6))</f>
        <v>8.7220949477030673E-12</v>
      </c>
      <c r="AL6" s="37">
        <f>(SUM(AK6:AK21)/'Goal Seek 6th order'!M19)*10^6</f>
        <v>2338.3243359300282</v>
      </c>
      <c r="AM6" s="59"/>
      <c r="AN6" s="37">
        <f>'Goal Seek 6th order'!L20</f>
        <v>1970.1445040000001</v>
      </c>
      <c r="AO6" s="37">
        <f>(((4.7*10^13)*'Goal Seek 6th order'!$J$20*('Goal Seek 6th order'!$I$20^0.5)*(EXP(-67837/AN6))/('Goal Seek 6th order'!$P$27*6))*('Goal Seek 6th order'!$P$28*10^-6))</f>
        <v>2.2884967684695673E-12</v>
      </c>
      <c r="AP6" s="37">
        <f>(SUM(AO6:AO21)/'Goal Seek 6th order'!M20)*10^6</f>
        <v>778.17457378531128</v>
      </c>
      <c r="AQ6" s="59"/>
      <c r="AR6" s="37">
        <f>'Goal Seek 6th order'!L21</f>
        <v>1881.434573</v>
      </c>
      <c r="AS6" s="37">
        <f>(((4.7*10^13)*'Goal Seek 6th order'!$J$21*('Goal Seek 6th order'!$I$21^0.5)*(EXP(-67837/AR6))/('Goal Seek 6th order'!$P$27*6))*('Goal Seek 6th order'!$P$28*10^-6))</f>
        <v>4.9500054974568308E-13</v>
      </c>
      <c r="AT6" s="37">
        <f>(SUM(AS6:AS21)/'Goal Seek 6th order'!M21)*10^6</f>
        <v>219.83365695815331</v>
      </c>
      <c r="AU6" s="59"/>
      <c r="AV6" s="37">
        <f>'Goal Seek 6th order'!L22</f>
        <v>1790.534723</v>
      </c>
      <c r="AW6" s="37">
        <f>(((4.7*10^13)*'Goal Seek 6th order'!$J$22*('Goal Seek 6th order'!$I$22^0.5)*(EXP(-67837/AV6))/('Goal Seek 6th order'!$P$27*6))*('Goal Seek 6th order'!$P$28*10^-6))</f>
        <v>8.5835297658735066E-14</v>
      </c>
      <c r="AX6" s="37">
        <f>(SUM(AW6:AW21)/'Goal Seek 6th order'!M22)*10^6</f>
        <v>51.572248472555742</v>
      </c>
      <c r="AY6" s="59"/>
      <c r="AZ6" s="37">
        <f>'Goal Seek 6th order'!L23</f>
        <v>1687.1130169999999</v>
      </c>
      <c r="BA6" s="37">
        <f>(((4.7*10^13)*'Goal Seek 6th order'!$J$23*('Goal Seek 6th order'!$I$23^0.5)*(EXP(-67837/AZ6))/('Goal Seek 6th order'!$P$27*6))*('Goal Seek 6th order'!$P$28*10^-6))</f>
        <v>9.0066797074018889E-15</v>
      </c>
      <c r="BB6" s="37">
        <f>(SUM(BA6:BA21)/'Goal Seek 6th order'!M23)*10^6</f>
        <v>7.9520033138841857</v>
      </c>
      <c r="BC6" s="59"/>
    </row>
    <row r="7" spans="2:55" x14ac:dyDescent="0.3">
      <c r="B7" s="42">
        <v>1</v>
      </c>
      <c r="C7" s="42">
        <v>12</v>
      </c>
      <c r="D7" s="37">
        <f>D6*(C7/C6)^(('Goal Seek 6th order'!$P$26-1)/'Goal Seek 6th order'!$P$26)</f>
        <v>2449.8027328876456</v>
      </c>
      <c r="E7" s="97">
        <f>(((4.7*10^13)*'Goal Seek 6th order'!$J$11*('Goal Seek 6th order'!$I$11^0.5)*(EXP(-67837/D7))/('Goal Seek 6th order'!$P$27*6))*('Goal Seek 6th order'!$P$28*10^-6))</f>
        <v>0</v>
      </c>
      <c r="F7" s="3"/>
      <c r="G7" s="3"/>
      <c r="H7" s="37">
        <f>H6*(C7/C6)^(('Goal Seek 6th order'!$P$26-1)/'Goal Seek 6th order'!$P$26)</f>
        <v>2433.5138919609508</v>
      </c>
      <c r="I7" s="97">
        <f>(((4.7*10^13)*'Goal Seek 6th order'!$J$12*('Goal Seek 6th order'!$I$12^0.5)*(EXP(-67837/H7))/('Goal Seek 6th order'!$P$27*6))*('Goal Seek 6th order'!$P$28*10^-6))</f>
        <v>3.2016708275488136E-10</v>
      </c>
      <c r="L7" s="37">
        <f>L6*(C7/C6)^(('Goal Seek 6th order'!$P$26-1)/'Goal Seek 6th order'!$P$26)</f>
        <v>2417.1694401800351</v>
      </c>
      <c r="M7" s="97">
        <f>(((4.7*10^13)*'Goal Seek 6th order'!$J$13*('Goal Seek 6th order'!$I$13^0.5)*(EXP(-67837/L7))/('Goal Seek 6th order'!$P$27*6))*('Goal Seek 6th order'!$P$28*10^-6))</f>
        <v>3.7509195678050804E-10</v>
      </c>
      <c r="P7" s="37">
        <f>P6*(C7/C6)^(('Goal Seek 6th order'!$P$26-1)/'Goal Seek 6th order'!$P$26)</f>
        <v>2400.8042954151238</v>
      </c>
      <c r="Q7" s="97">
        <f>(((4.7*10^13)*'Goal Seek 6th order'!$J$14*('Goal Seek 6th order'!$I$14^0.5)*(EXP(-67837/P7))/('Goal Seek 6th order'!$P$27*6))*('Goal Seek 6th order'!$P$28*10^-6))</f>
        <v>3.7949765969831327E-10</v>
      </c>
      <c r="T7" s="37">
        <f>T6*(C7/C6)^(('Goal Seek 6th order'!$P$26-1)/'Goal Seek 6th order'!$P$26)</f>
        <v>2384.3084055344298</v>
      </c>
      <c r="U7" s="97">
        <f>(((4.7*10^13)*'Goal Seek 6th order'!$J$15*('Goal Seek 6th order'!$I$15^0.5)*(EXP(-67837/T7))/('Goal Seek 6th order'!$P$27*6))*('Goal Seek 6th order'!$P$28*10^-6))</f>
        <v>3.6048420906497775E-10</v>
      </c>
      <c r="W7" s="59"/>
      <c r="X7" s="37">
        <f>X6*(C7/C6)^(('Goal Seek 6th order'!$P$26-1)/'Goal Seek 6th order'!$P$26)</f>
        <v>2367.7892052413854</v>
      </c>
      <c r="Y7" s="97">
        <f>(((4.7*10^13)*'Goal Seek 6th order'!$J$16*('Goal Seek 6th order'!$I$16^0.5)*(EXP(-67837/X7))/('Goal Seek 6th order'!$P$27*6))*('Goal Seek 6th order'!$P$28*10^-6))</f>
        <v>3.3055490280978874E-10</v>
      </c>
      <c r="AA7" s="59"/>
      <c r="AB7" s="37">
        <f>AB6*(C7/C6)^(('Goal Seek 6th order'!$P$26-1)/'Goal Seek 6th order'!$P$26)</f>
        <v>2284.2554199623992</v>
      </c>
      <c r="AC7" s="97">
        <f>(((4.7*10^13)*'Goal Seek 6th order'!$J$17*('Goal Seek 6th order'!$I$17^0.5)*(EXP(-67837/AB7))/('Goal Seek 6th order'!$P$27*6))*('Goal Seek 6th order'!$P$28*10^-6))</f>
        <v>1.641659079823116E-10</v>
      </c>
      <c r="AE7" s="59"/>
      <c r="AF7" s="37">
        <f>AF6*(C7/C6)^(('Goal Seek 6th order'!$P$26-1)/'Goal Seek 6th order'!$P$26)</f>
        <v>2199.0483976562987</v>
      </c>
      <c r="AG7" s="97">
        <f>(((4.7*10^13)*'Goal Seek 6th order'!$J$18*('Goal Seek 6th order'!$I$18^0.5)*(EXP(-67837/AF7))/('Goal Seek 6th order'!$P$27*6))*('Goal Seek 6th order'!$P$28*10^-6))</f>
        <v>6.3697870319498016E-11</v>
      </c>
      <c r="AI7" s="59"/>
      <c r="AJ7" s="37">
        <f>AJ6*(C7/C6)^(('Goal Seek 6th order'!$P$26-1)/'Goal Seek 6th order'!$P$26)</f>
        <v>2112.0213764762402</v>
      </c>
      <c r="AK7" s="97">
        <f>(((4.7*10^13)*'Goal Seek 6th order'!$J$19*('Goal Seek 6th order'!$I$19^0.5)*(EXP(-67837/AJ7))/('Goal Seek 6th order'!$P$27*6))*('Goal Seek 6th order'!$P$28*10^-6))</f>
        <v>2.0658197273864666E-11</v>
      </c>
      <c r="AM7" s="59"/>
      <c r="AN7" s="37">
        <f>AN6*(C7/C6)^(('Goal Seek 6th order'!$P$26-1)/'Goal Seek 6th order'!$P$26)</f>
        <v>2023.0333808479475</v>
      </c>
      <c r="AO7" s="37">
        <f>(((4.7*10^13)*'Goal Seek 6th order'!$J$20*('Goal Seek 6th order'!$I$20^0.5)*(EXP(-67837/AN7))/('Goal Seek 6th order'!$P$27*6))*('Goal Seek 6th order'!$P$28*10^-6))</f>
        <v>5.6298127401617499E-12</v>
      </c>
      <c r="AQ7" s="59"/>
      <c r="AR7" s="37">
        <f>AR6*(C7/C6)^(('Goal Seek 6th order'!$P$26-1)/'Goal Seek 6th order'!$P$26)</f>
        <v>1931.9420160971117</v>
      </c>
      <c r="AS7" s="37">
        <f>(((4.7*10^13)*'Goal Seek 6th order'!$J$21*('Goal Seek 6th order'!$I$21^0.5)*(EXP(-67837/AR7))/('Goal Seek 6th order'!$P$27*6))*('Goal Seek 6th order'!$P$28*10^-6))</f>
        <v>1.2705225588936014E-12</v>
      </c>
      <c r="AU7" s="59"/>
      <c r="AV7" s="37">
        <f>AV6*(C7/C6)^(('Goal Seek 6th order'!$P$26-1)/'Goal Seek 6th order'!$P$26)</f>
        <v>1838.6019435843032</v>
      </c>
      <c r="AW7" s="37">
        <f>(((4.7*10^13)*'Goal Seek 6th order'!$J$22*('Goal Seek 6th order'!$I$22^0.5)*(EXP(-67837/AV7))/('Goal Seek 6th order'!$P$27*6))*('Goal Seek 6th order'!$P$28*10^-6))</f>
        <v>2.31113541208554E-13</v>
      </c>
      <c r="AY7" s="59"/>
      <c r="AZ7" s="37">
        <f>AZ6*(C7/C6)^(('Goal Seek 6th order'!$P$26-1)/'Goal Seek 6th order'!$P$26)</f>
        <v>1732.4038636376545</v>
      </c>
      <c r="BA7" s="37">
        <f>(((4.7*10^13)*'Goal Seek 6th order'!$J$23*('Goal Seek 6th order'!$I$23^0.5)*(EXP(-67837/AZ7))/('Goal Seek 6th order'!$P$27*6))*('Goal Seek 6th order'!$P$28*10^-6))</f>
        <v>2.5768752657540657E-14</v>
      </c>
      <c r="BC7" s="59"/>
    </row>
    <row r="8" spans="2:55" x14ac:dyDescent="0.3">
      <c r="B8" s="42">
        <v>2</v>
      </c>
      <c r="C8" s="42">
        <v>14</v>
      </c>
      <c r="D8" s="37">
        <f>D7*(C8/C7)^(('Goal Seek 6th order'!$P$26-1)/'Goal Seek 6th order'!$P$26)</f>
        <v>2505.2924297646236</v>
      </c>
      <c r="E8" s="97">
        <f>(((4.7*10^13)*'Goal Seek 6th order'!$J$11*('Goal Seek 6th order'!$I$11^0.5)*(EXP(-67837/D8))/('Goal Seek 6th order'!$P$27*6))*('Goal Seek 6th order'!$P$28*10^-6))</f>
        <v>0</v>
      </c>
      <c r="F8" s="3"/>
      <c r="G8" s="3"/>
      <c r="H8" s="37">
        <f>H7*(C8/C7)^(('Goal Seek 6th order'!$P$26-1)/'Goal Seek 6th order'!$P$26)</f>
        <v>2488.6346355204369</v>
      </c>
      <c r="I8" s="97">
        <f>(((4.7*10^13)*'Goal Seek 6th order'!$J$12*('Goal Seek 6th order'!$I$12^0.5)*(EXP(-67837/H8))/('Goal Seek 6th order'!$P$27*6))*('Goal Seek 6th order'!$P$28*10^-6))</f>
        <v>5.9363910970745051E-10</v>
      </c>
      <c r="L8" s="37">
        <f>L7*(C8/C7)^(('Goal Seek 6th order'!$P$26-1)/'Goal Seek 6th order'!$P$26)</f>
        <v>2471.9199707983862</v>
      </c>
      <c r="M8" s="97">
        <f>(((4.7*10^13)*'Goal Seek 6th order'!$J$13*('Goal Seek 6th order'!$I$13^0.5)*(EXP(-67837/L8))/('Goal Seek 6th order'!$P$27*6))*('Goal Seek 6th order'!$P$28*10^-6))</f>
        <v>6.9838793823341666E-10</v>
      </c>
      <c r="P8" s="37">
        <f>P7*(C8/C7)^(('Goal Seek 6th order'!$P$26-1)/'Goal Seek 6th order'!$P$26)</f>
        <v>2455.1841443821886</v>
      </c>
      <c r="Q8" s="97">
        <f>(((4.7*10^13)*'Goal Seek 6th order'!$J$14*('Goal Seek 6th order'!$I$14^0.5)*(EXP(-67837/P8))/('Goal Seek 6th order'!$P$27*6))*('Goal Seek 6th order'!$P$28*10^-6))</f>
        <v>7.0959126867594719E-10</v>
      </c>
      <c r="T8" s="37">
        <f>T7*(C8/C7)^(('Goal Seek 6th order'!$P$26-1)/'Goal Seek 6th order'!$P$26)</f>
        <v>2438.3146113844764</v>
      </c>
      <c r="U8" s="97">
        <f>(((4.7*10^13)*'Goal Seek 6th order'!$J$15*('Goal Seek 6th order'!$I$15^0.5)*(EXP(-67837/T8))/('Goal Seek 6th order'!$P$27*6))*('Goal Seek 6th order'!$P$28*10^-6))</f>
        <v>6.7696443735883261E-10</v>
      </c>
      <c r="W8" s="59"/>
      <c r="X8" s="37">
        <f>X7*(C8/C7)^(('Goal Seek 6th order'!$P$26-1)/'Goal Seek 6th order'!$P$26)</f>
        <v>2421.4212399777311</v>
      </c>
      <c r="Y8" s="97">
        <f>(((4.7*10^13)*'Goal Seek 6th order'!$J$16*('Goal Seek 6th order'!$I$16^0.5)*(EXP(-67837/X8))/('Goal Seek 6th order'!$P$27*6))*('Goal Seek 6th order'!$P$28*10^-6))</f>
        <v>6.2349442574964458E-10</v>
      </c>
      <c r="AA8" s="59"/>
      <c r="AB8" s="37">
        <f>AB7*(C8/C7)^(('Goal Seek 6th order'!$P$26-1)/'Goal Seek 6th order'!$P$26)</f>
        <v>2335.9953576895082</v>
      </c>
      <c r="AC8" s="97">
        <f>(((4.7*10^13)*'Goal Seek 6th order'!$J$17*('Goal Seek 6th order'!$I$17^0.5)*(EXP(-67837/AB8))/('Goal Seek 6th order'!$P$27*6))*('Goal Seek 6th order'!$P$28*10^-6))</f>
        <v>3.1692030166472902E-10</v>
      </c>
      <c r="AE8" s="59"/>
      <c r="AF8" s="37">
        <f>AF7*(C8/C7)^(('Goal Seek 6th order'!$P$26-1)/'Goal Seek 6th order'!$P$26)</f>
        <v>2248.8583384183121</v>
      </c>
      <c r="AG8" s="97">
        <f>(((4.7*10^13)*'Goal Seek 6th order'!$J$18*('Goal Seek 6th order'!$I$18^0.5)*(EXP(-67837/AF8))/('Goal Seek 6th order'!$P$27*6))*('Goal Seek 6th order'!$P$28*10^-6))</f>
        <v>1.2614231782461992E-10</v>
      </c>
      <c r="AI8" s="59"/>
      <c r="AJ8" s="37">
        <f>AJ7*(C8/C7)^(('Goal Seek 6th order'!$P$26-1)/'Goal Seek 6th order'!$P$26)</f>
        <v>2159.8600960617246</v>
      </c>
      <c r="AK8" s="97">
        <f>(((4.7*10^13)*'Goal Seek 6th order'!$J$19*('Goal Seek 6th order'!$I$19^0.5)*(EXP(-67837/AJ8))/('Goal Seek 6th order'!$P$27*6))*('Goal Seek 6th order'!$P$28*10^-6))</f>
        <v>4.2078038161585438E-11</v>
      </c>
      <c r="AM8" s="59"/>
      <c r="AN8" s="37">
        <f>AN7*(C8/C7)^(('Goal Seek 6th order'!$P$26-1)/'Goal Seek 6th order'!$P$26)</f>
        <v>2068.8564618528985</v>
      </c>
      <c r="AO8" s="37">
        <f>(((4.7*10^13)*'Goal Seek 6th order'!$J$20*('Goal Seek 6th order'!$I$20^0.5)*(EXP(-67837/AN8))/('Goal Seek 6th order'!$P$27*6))*('Goal Seek 6th order'!$P$28*10^-6))</f>
        <v>1.183170946461468E-11</v>
      </c>
      <c r="AQ8" s="59"/>
      <c r="AR8" s="37">
        <f>AR7*(C8/C7)^(('Goal Seek 6th order'!$P$26-1)/'Goal Seek 6th order'!$P$26)</f>
        <v>1975.7018157813761</v>
      </c>
      <c r="AS8" s="37">
        <f>(((4.7*10^13)*'Goal Seek 6th order'!$J$21*('Goal Seek 6th order'!$I$21^0.5)*(EXP(-67837/AR8))/('Goal Seek 6th order'!$P$27*6))*('Goal Seek 6th order'!$P$28*10^-6))</f>
        <v>2.7653135230855701E-12</v>
      </c>
      <c r="AU8" s="59"/>
      <c r="AV8" s="37">
        <f>AV7*(C8/C7)^(('Goal Seek 6th order'!$P$26-1)/'Goal Seek 6th order'!$P$26)</f>
        <v>1880.2475271887668</v>
      </c>
      <c r="AW8" s="37">
        <f>(((4.7*10^13)*'Goal Seek 6th order'!$J$22*('Goal Seek 6th order'!$I$22^0.5)*(EXP(-67837/AV8))/('Goal Seek 6th order'!$P$27*6))*('Goal Seek 6th order'!$P$28*10^-6))</f>
        <v>5.2328044986845842E-13</v>
      </c>
      <c r="AY8" s="59"/>
      <c r="AZ8" s="37">
        <f>AZ7*(C8/C7)^(('Goal Seek 6th order'!$P$26-1)/'Goal Seek 6th order'!$P$26)</f>
        <v>1771.6439885551606</v>
      </c>
      <c r="BA8" s="37">
        <f>(((4.7*10^13)*'Goal Seek 6th order'!$J$23*('Goal Seek 6th order'!$I$23^0.5)*(EXP(-67837/AZ8))/('Goal Seek 6th order'!$P$27*6))*('Goal Seek 6th order'!$P$28*10^-6))</f>
        <v>6.1342122125994557E-14</v>
      </c>
      <c r="BC8" s="59"/>
    </row>
    <row r="9" spans="2:55" x14ac:dyDescent="0.3">
      <c r="B9" s="42">
        <v>3</v>
      </c>
      <c r="C9" s="42">
        <v>16</v>
      </c>
      <c r="D9" s="37">
        <f>D8*(C9/C8)^(('Goal Seek 6th order'!$P$26-1)/'Goal Seek 6th order'!$P$26)</f>
        <v>2554.3747139993229</v>
      </c>
      <c r="E9" s="97">
        <f>(((4.7*10^13)*'Goal Seek 6th order'!$J$11*('Goal Seek 6th order'!$I$11^0.5)*(EXP(-67837/D9))/('Goal Seek 6th order'!$P$27*6))*('Goal Seek 6th order'!$P$28*10^-6))</f>
        <v>0</v>
      </c>
      <c r="F9" s="3"/>
      <c r="G9" s="3"/>
      <c r="H9" s="37">
        <f>H8*(C9/C8)^(('Goal Seek 6th order'!$P$26-1)/'Goal Seek 6th order'!$P$26)</f>
        <v>2537.3905695925355</v>
      </c>
      <c r="I9" s="97">
        <f>(((4.7*10^13)*'Goal Seek 6th order'!$J$12*('Goal Seek 6th order'!$I$12^0.5)*(EXP(-67837/H9))/('Goal Seek 6th order'!$P$27*6))*('Goal Seek 6th order'!$P$28*10^-6))</f>
        <v>1.0022949951014846E-9</v>
      </c>
      <c r="L9" s="37">
        <f>L8*(C9/C8)^(('Goal Seek 6th order'!$P$26-1)/'Goal Seek 6th order'!$P$26)</f>
        <v>2520.3484405333766</v>
      </c>
      <c r="M9" s="97">
        <f>(((4.7*10^13)*'Goal Seek 6th order'!$J$13*('Goal Seek 6th order'!$I$13^0.5)*(EXP(-67837/L9))/('Goal Seek 6th order'!$P$27*6))*('Goal Seek 6th order'!$P$28*10^-6))</f>
        <v>1.1833355651134333E-9</v>
      </c>
      <c r="P9" s="37">
        <f>P8*(C9/C8)^(('Goal Seek 6th order'!$P$26-1)/'Goal Seek 6th order'!$P$26)</f>
        <v>2503.2847351920268</v>
      </c>
      <c r="Q9" s="97">
        <f>(((4.7*10^13)*'Goal Seek 6th order'!$J$14*('Goal Seek 6th order'!$I$14^0.5)*(EXP(-67837/P9))/('Goal Seek 6th order'!$P$27*6))*('Goal Seek 6th order'!$P$28*10^-6))</f>
        <v>1.2066477599141075E-9</v>
      </c>
      <c r="T9" s="37">
        <f>T8*(C9/C8)^(('Goal Seek 6th order'!$P$26-1)/'Goal Seek 6th order'!$P$26)</f>
        <v>2486.084703764805</v>
      </c>
      <c r="U9" s="97">
        <f>(((4.7*10^13)*'Goal Seek 6th order'!$J$15*('Goal Seek 6th order'!$I$15^0.5)*(EXP(-67837/T9))/('Goal Seek 6th order'!$P$27*6))*('Goal Seek 6th order'!$P$28*10^-6))</f>
        <v>1.1554025503821071E-9</v>
      </c>
      <c r="W9" s="59"/>
      <c r="X9" s="37">
        <f>X8*(C9/C8)^(('Goal Seek 6th order'!$P$26-1)/'Goal Seek 6th order'!$P$26)</f>
        <v>2468.8603668998094</v>
      </c>
      <c r="Y9" s="97">
        <f>(((4.7*10^13)*'Goal Seek 6th order'!$J$16*('Goal Seek 6th order'!$I$16^0.5)*(EXP(-67837/X9))/('Goal Seek 6th order'!$P$27*6))*('Goal Seek 6th order'!$P$28*10^-6))</f>
        <v>1.0681193673230079E-9</v>
      </c>
      <c r="AA9" s="59"/>
      <c r="AB9" s="37">
        <f>AB8*(C9/C8)^(('Goal Seek 6th order'!$P$26-1)/'Goal Seek 6th order'!$P$26)</f>
        <v>2381.760868635401</v>
      </c>
      <c r="AC9" s="97">
        <f>(((4.7*10^13)*'Goal Seek 6th order'!$J$17*('Goal Seek 6th order'!$I$17^0.5)*(EXP(-67837/AB9))/('Goal Seek 6th order'!$P$27*6))*('Goal Seek 6th order'!$P$28*10^-6))</f>
        <v>5.5371555885000946E-10</v>
      </c>
      <c r="AE9" s="59"/>
      <c r="AF9" s="37">
        <f>AF8*(C9/C8)^(('Goal Seek 6th order'!$P$26-1)/'Goal Seek 6th order'!$P$26)</f>
        <v>2292.9167097519098</v>
      </c>
      <c r="AG9" s="97">
        <f>(((4.7*10^13)*'Goal Seek 6th order'!$J$18*('Goal Seek 6th order'!$I$18^0.5)*(EXP(-67837/AF9))/('Goal Seek 6th order'!$P$27*6))*('Goal Seek 6th order'!$P$28*10^-6))</f>
        <v>2.2520983182733354E-10</v>
      </c>
      <c r="AI9" s="59"/>
      <c r="AJ9" s="37">
        <f>AJ8*(C9/C8)^(('Goal Seek 6th order'!$P$26-1)/'Goal Seek 6th order'!$P$26)</f>
        <v>2202.1748637441729</v>
      </c>
      <c r="AK9" s="97">
        <f>(((4.7*10^13)*'Goal Seek 6th order'!$J$19*('Goal Seek 6th order'!$I$19^0.5)*(EXP(-67837/AJ9))/('Goal Seek 6th order'!$P$27*6))*('Goal Seek 6th order'!$P$28*10^-6))</f>
        <v>7.6940420485347001E-11</v>
      </c>
      <c r="AM9" s="59"/>
      <c r="AN9" s="37">
        <f>AN8*(C9/C8)^(('Goal Seek 6th order'!$P$26-1)/'Goal Seek 6th order'!$P$26)</f>
        <v>2109.3883373717172</v>
      </c>
      <c r="AO9" s="37">
        <f>(((4.7*10^13)*'Goal Seek 6th order'!$J$20*('Goal Seek 6th order'!$I$20^0.5)*(EXP(-67837/AN9))/('Goal Seek 6th order'!$P$27*6))*('Goal Seek 6th order'!$P$28*10^-6))</f>
        <v>2.2216499332970185E-11</v>
      </c>
      <c r="AQ9" s="59"/>
      <c r="AR9" s="37">
        <f>AR8*(C9/C8)^(('Goal Seek 6th order'!$P$26-1)/'Goal Seek 6th order'!$P$26)</f>
        <v>2014.4086577185085</v>
      </c>
      <c r="AS9" s="37">
        <f>(((4.7*10^13)*'Goal Seek 6th order'!$J$21*('Goal Seek 6th order'!$I$21^0.5)*(EXP(-67837/AR9))/('Goal Seek 6th order'!$P$27*6))*('Goal Seek 6th order'!$P$28*10^-6))</f>
        <v>5.3490187147173875E-12</v>
      </c>
      <c r="AU9" s="59"/>
      <c r="AV9" s="37">
        <f>AV8*(C9/C8)^(('Goal Seek 6th order'!$P$26-1)/'Goal Seek 6th order'!$P$26)</f>
        <v>1917.0842822376535</v>
      </c>
      <c r="AW9" s="37">
        <f>(((4.7*10^13)*'Goal Seek 6th order'!$J$22*('Goal Seek 6th order'!$I$22^0.5)*(EXP(-67837/AV9))/('Goal Seek 6th order'!$P$27*6))*('Goal Seek 6th order'!$P$28*10^-6))</f>
        <v>1.0466716678615248E-12</v>
      </c>
      <c r="AY9" s="59"/>
      <c r="AZ9" s="37">
        <f>AZ8*(C9/C8)^(('Goal Seek 6th order'!$P$26-1)/'Goal Seek 6th order'!$P$26)</f>
        <v>1806.3530439835247</v>
      </c>
      <c r="BA9" s="37">
        <f>(((4.7*10^13)*'Goal Seek 6th order'!$J$23*('Goal Seek 6th order'!$I$23^0.5)*(EXP(-67837/AZ9))/('Goal Seek 6th order'!$P$27*6))*('Goal Seek 6th order'!$P$28*10^-6))</f>
        <v>1.280238876324873E-13</v>
      </c>
      <c r="BC9" s="59"/>
    </row>
    <row r="10" spans="2:55" x14ac:dyDescent="0.3">
      <c r="B10" s="42">
        <v>4</v>
      </c>
      <c r="C10" s="42">
        <v>18</v>
      </c>
      <c r="D10" s="37">
        <f>D9*(C10/C9)^(('Goal Seek 6th order'!$P$26-1)/'Goal Seek 6th order'!$P$26)</f>
        <v>2598.4659139232999</v>
      </c>
      <c r="E10" s="97">
        <f>(((4.7*10^13)*'Goal Seek 6th order'!$J$11*('Goal Seek 6th order'!$I$11^0.5)*(EXP(-67837/D10))/('Goal Seek 6th order'!$P$27*6))*('Goal Seek 6th order'!$P$28*10^-6))</f>
        <v>0</v>
      </c>
      <c r="F10" s="3"/>
      <c r="G10" s="3"/>
      <c r="H10" s="37">
        <f>H9*(C10/C9)^(('Goal Seek 6th order'!$P$26-1)/'Goal Seek 6th order'!$P$26)</f>
        <v>2581.1886052824348</v>
      </c>
      <c r="I10" s="97">
        <f>(((4.7*10^13)*'Goal Seek 6th order'!$J$12*('Goal Seek 6th order'!$I$12^0.5)*(EXP(-67837/H10))/('Goal Seek 6th order'!$P$27*6))*('Goal Seek 6th order'!$P$28*10^-6))</f>
        <v>1.5776483583420668E-9</v>
      </c>
      <c r="L10" s="37">
        <f>L9*(C10/C9)^(('Goal Seek 6th order'!$P$26-1)/'Goal Seek 6th order'!$P$26)</f>
        <v>2563.8523111129812</v>
      </c>
      <c r="M10" s="97">
        <f>(((4.7*10^13)*'Goal Seek 6th order'!$J$13*('Goal Seek 6th order'!$I$13^0.5)*(EXP(-67837/L10))/('Goal Seek 6th order'!$P$27*6))*('Goal Seek 6th order'!$P$28*10^-6))</f>
        <v>1.8683349675492966E-9</v>
      </c>
      <c r="P10" s="37">
        <f>P9*(C10/C9)^(('Goal Seek 6th order'!$P$26-1)/'Goal Seek 6th order'!$P$26)</f>
        <v>2546.4940682319643</v>
      </c>
      <c r="Q10" s="97">
        <f>(((4.7*10^13)*'Goal Seek 6th order'!$J$14*('Goal Seek 6th order'!$I$14^0.5)*(EXP(-67837/P10))/('Goal Seek 6th order'!$P$27*6))*('Goal Seek 6th order'!$P$28*10^-6))</f>
        <v>1.9110822196820503E-9</v>
      </c>
      <c r="T10" s="37">
        <f>T9*(C10/C9)^(('Goal Seek 6th order'!$P$26-1)/'Goal Seek 6th order'!$P$26)</f>
        <v>2528.9971461331429</v>
      </c>
      <c r="U10" s="97">
        <f>(((4.7*10^13)*'Goal Seek 6th order'!$J$15*('Goal Seek 6th order'!$I$15^0.5)*(EXP(-67837/T10))/('Goal Seek 6th order'!$P$27*6))*('Goal Seek 6th order'!$P$28*10^-6))</f>
        <v>1.8357511279667994E-9</v>
      </c>
      <c r="W10" s="59"/>
      <c r="X10" s="37">
        <f>X9*(C10/C9)^(('Goal Seek 6th order'!$P$26-1)/'Goal Seek 6th order'!$P$26)</f>
        <v>2511.4754990590732</v>
      </c>
      <c r="Y10" s="97">
        <f>(((4.7*10^13)*'Goal Seek 6th order'!$J$16*('Goal Seek 6th order'!$I$16^0.5)*(EXP(-67837/X10))/('Goal Seek 6th order'!$P$27*6))*('Goal Seek 6th order'!$P$28*10^-6))</f>
        <v>1.7025627870838264E-9</v>
      </c>
      <c r="AA10" s="59"/>
      <c r="AB10" s="37">
        <f>AB9*(C10/C9)^(('Goal Seek 6th order'!$P$26-1)/'Goal Seek 6th order'!$P$26)</f>
        <v>2422.8725716500653</v>
      </c>
      <c r="AC10" s="97">
        <f>(((4.7*10^13)*'Goal Seek 6th order'!$J$17*('Goal Seek 6th order'!$I$17^0.5)*(EXP(-67837/AB10))/('Goal Seek 6th order'!$P$27*6))*('Goal Seek 6th order'!$P$28*10^-6))</f>
        <v>8.9778999773482706E-10</v>
      </c>
      <c r="AE10" s="59"/>
      <c r="AF10" s="37">
        <f>AF9*(C10/C9)^(('Goal Seek 6th order'!$P$26-1)/'Goal Seek 6th order'!$P$26)</f>
        <v>2332.4948689407834</v>
      </c>
      <c r="AG10" s="97">
        <f>(((4.7*10^13)*'Goal Seek 6th order'!$J$18*('Goal Seek 6th order'!$I$18^0.5)*(EXP(-67837/AF10))/('Goal Seek 6th order'!$P$27*6))*('Goal Seek 6th order'!$P$28*10^-6))</f>
        <v>3.720556986443984E-10</v>
      </c>
      <c r="AI10" s="59"/>
      <c r="AJ10" s="37">
        <f>AJ9*(C10/C9)^(('Goal Seek 6th order'!$P$26-1)/'Goal Seek 6th order'!$P$26)</f>
        <v>2240.1867230272924</v>
      </c>
      <c r="AK10" s="97">
        <f>(((4.7*10^13)*'Goal Seek 6th order'!$J$19*('Goal Seek 6th order'!$I$19^0.5)*(EXP(-67837/AJ10))/('Goal Seek 6th order'!$P$27*6))*('Goal Seek 6th order'!$P$28*10^-6))</f>
        <v>1.2976537654304472E-10</v>
      </c>
      <c r="AM10" s="59"/>
      <c r="AN10" s="37">
        <f>AN9*(C10/C9)^(('Goal Seek 6th order'!$P$26-1)/'Goal Seek 6th order'!$P$26)</f>
        <v>2145.7986034108549</v>
      </c>
      <c r="AO10" s="37">
        <f>(((4.7*10^13)*'Goal Seek 6th order'!$J$20*('Goal Seek 6th order'!$I$20^0.5)*(EXP(-67837/AN10))/('Goal Seek 6th order'!$P$27*6))*('Goal Seek 6th order'!$P$28*10^-6))</f>
        <v>3.8341158712524781E-11</v>
      </c>
      <c r="AQ10" s="59"/>
      <c r="AR10" s="37">
        <f>AR9*(C10/C9)^(('Goal Seek 6th order'!$P$26-1)/'Goal Seek 6th order'!$P$26)</f>
        <v>2049.1794743764126</v>
      </c>
      <c r="AS10" s="37">
        <f>(((4.7*10^13)*'Goal Seek 6th order'!$J$21*('Goal Seek 6th order'!$I$21^0.5)*(EXP(-67837/AR10))/('Goal Seek 6th order'!$P$27*6))*('Goal Seek 6th order'!$P$28*10^-6))</f>
        <v>9.4719155994403814E-12</v>
      </c>
      <c r="AU10" s="59"/>
      <c r="AV10" s="37">
        <f>AV9*(C10/C9)^(('Goal Seek 6th order'!$P$26-1)/'Goal Seek 6th order'!$P$26)</f>
        <v>1950.1751775929843</v>
      </c>
      <c r="AW10" s="37">
        <f>(((4.7*10^13)*'Goal Seek 6th order'!$J$22*('Goal Seek 6th order'!$I$22^0.5)*(EXP(-67837/AV10))/('Goal Seek 6th order'!$P$27*6))*('Goal Seek 6th order'!$P$28*10^-6))</f>
        <v>1.9079749389840961E-12</v>
      </c>
      <c r="AY10" s="59"/>
      <c r="AZ10" s="37">
        <f>AZ9*(C10/C9)^(('Goal Seek 6th order'!$P$26-1)/'Goal Seek 6th order'!$P$26)</f>
        <v>1837.5326014537225</v>
      </c>
      <c r="BA10" s="37">
        <f>(((4.7*10^13)*'Goal Seek 6th order'!$J$23*('Goal Seek 6th order'!$I$23^0.5)*(EXP(-67837/AZ10))/('Goal Seek 6th order'!$P$27*6))*('Goal Seek 6th order'!$P$28*10^-6))</f>
        <v>2.4212419544844694E-13</v>
      </c>
      <c r="BC10" s="59"/>
    </row>
    <row r="11" spans="2:55" x14ac:dyDescent="0.3">
      <c r="B11" s="42">
        <v>5</v>
      </c>
      <c r="C11" s="42">
        <v>20</v>
      </c>
      <c r="D11" s="37">
        <f>D10*(C11/C10)^(('Goal Seek 6th order'!$P$26-1)/'Goal Seek 6th order'!$P$26)</f>
        <v>2638.5513372471041</v>
      </c>
      <c r="E11" s="97">
        <f>(((4.7*10^13)*'Goal Seek 6th order'!$J$11*('Goal Seek 6th order'!$I$11^0.5)*(EXP(-67837/D11))/('Goal Seek 6th order'!$P$27*6))*('Goal Seek 6th order'!$P$28*10^-6))</f>
        <v>0</v>
      </c>
      <c r="F11" s="3"/>
      <c r="G11" s="3"/>
      <c r="H11" s="37">
        <f>H10*(C11/C10)^(('Goal Seek 6th order'!$P$26-1)/'Goal Seek 6th order'!$P$26)</f>
        <v>2621.0074989484692</v>
      </c>
      <c r="I11" s="97">
        <f>(((4.7*10^13)*'Goal Seek 6th order'!$J$12*('Goal Seek 6th order'!$I$12^0.5)*(EXP(-67837/H11))/('Goal Seek 6th order'!$P$27*6))*('Goal Seek 6th order'!$P$28*10^-6))</f>
        <v>2.3518597683363452E-9</v>
      </c>
      <c r="L11" s="37">
        <f>L10*(C11/C10)^(('Goal Seek 6th order'!$P$26-1)/'Goal Seek 6th order'!$P$26)</f>
        <v>2603.4037651767003</v>
      </c>
      <c r="M11" s="97">
        <f>(((4.7*10^13)*'Goal Seek 6th order'!$J$13*('Goal Seek 6th order'!$I$13^0.5)*(EXP(-67837/L11))/('Goal Seek 6th order'!$P$27*6))*('Goal Seek 6th order'!$P$28*10^-6))</f>
        <v>2.7927268603765469E-9</v>
      </c>
      <c r="P11" s="37">
        <f>P10*(C11/C10)^(('Goal Seek 6th order'!$P$26-1)/'Goal Seek 6th order'!$P$26)</f>
        <v>2585.7777440999744</v>
      </c>
      <c r="Q11" s="97">
        <f>(((4.7*10^13)*'Goal Seek 6th order'!$J$14*('Goal Seek 6th order'!$I$14^0.5)*(EXP(-67837/P11))/('Goal Seek 6th order'!$P$27*6))*('Goal Seek 6th order'!$P$28*10^-6))</f>
        <v>2.8644620853609667E-9</v>
      </c>
      <c r="T11" s="37">
        <f>T10*(C11/C10)^(('Goal Seek 6th order'!$P$26-1)/'Goal Seek 6th order'!$P$26)</f>
        <v>2568.0109044604083</v>
      </c>
      <c r="U11" s="97">
        <f>(((4.7*10^13)*'Goal Seek 6th order'!$J$15*('Goal Seek 6th order'!$I$15^0.5)*(EXP(-67837/T11))/('Goal Seek 6th order'!$P$27*6))*('Goal Seek 6th order'!$P$28*10^-6))</f>
        <v>2.7592657808839247E-9</v>
      </c>
      <c r="W11" s="59"/>
      <c r="X11" s="37">
        <f>X10*(C11/C10)^(('Goal Seek 6th order'!$P$26-1)/'Goal Seek 6th order'!$P$26)</f>
        <v>2550.2189584239654</v>
      </c>
      <c r="Y11" s="97">
        <f>(((4.7*10^13)*'Goal Seek 6th order'!$J$16*('Goal Seek 6th order'!$I$16^0.5)*(EXP(-67837/X11))/('Goal Seek 6th order'!$P$27*6))*('Goal Seek 6th order'!$P$28*10^-6))</f>
        <v>2.5663600793400271E-9</v>
      </c>
      <c r="AA11" s="59"/>
      <c r="AB11" s="37">
        <f>AB10*(C11/C10)^(('Goal Seek 6th order'!$P$26-1)/'Goal Seek 6th order'!$P$26)</f>
        <v>2460.2491915140477</v>
      </c>
      <c r="AC11" s="97">
        <f>(((4.7*10^13)*'Goal Seek 6th order'!$J$17*('Goal Seek 6th order'!$I$17^0.5)*(EXP(-67837/AB11))/('Goal Seek 6th order'!$P$27*6))*('Goal Seek 6th order'!$P$28*10^-6))</f>
        <v>1.3737458943877817E-9</v>
      </c>
      <c r="AE11" s="59"/>
      <c r="AF11" s="37">
        <f>AF10*(C11/C10)^(('Goal Seek 6th order'!$P$26-1)/'Goal Seek 6th order'!$P$26)</f>
        <v>2368.4772706036642</v>
      </c>
      <c r="AG11" s="97">
        <f>(((4.7*10^13)*'Goal Seek 6th order'!$J$18*('Goal Seek 6th order'!$I$18^0.5)*(EXP(-67837/AF11))/('Goal Seek 6th order'!$P$27*6))*('Goal Seek 6th order'!$P$28*10^-6))</f>
        <v>5.7875858246830163E-10</v>
      </c>
      <c r="AI11" s="59"/>
      <c r="AJ11" s="37">
        <f>AJ10*(C11/C10)^(('Goal Seek 6th order'!$P$26-1)/'Goal Seek 6th order'!$P$26)</f>
        <v>2274.7451263666426</v>
      </c>
      <c r="AK11" s="97">
        <f>(((4.7*10^13)*'Goal Seek 6th order'!$J$19*('Goal Seek 6th order'!$I$19^0.5)*(EXP(-67837/AJ11))/('Goal Seek 6th order'!$P$27*6))*('Goal Seek 6th order'!$P$28*10^-6))</f>
        <v>2.0556786628424107E-10</v>
      </c>
      <c r="AM11" s="59"/>
      <c r="AN11" s="37">
        <f>AN10*(C11/C10)^(('Goal Seek 6th order'!$P$26-1)/'Goal Seek 6th order'!$P$26)</f>
        <v>2178.9009215611368</v>
      </c>
      <c r="AO11" s="37">
        <f>(((4.7*10^13)*'Goal Seek 6th order'!$J$20*('Goal Seek 6th order'!$I$20^0.5)*(EXP(-67837/AN11))/('Goal Seek 6th order'!$P$27*6))*('Goal Seek 6th order'!$P$28*10^-6))</f>
        <v>6.1979797950061518E-11</v>
      </c>
      <c r="AQ11" s="59"/>
      <c r="AR11" s="37">
        <f>AR10*(C11/C10)^(('Goal Seek 6th order'!$P$26-1)/'Goal Seek 6th order'!$P$26)</f>
        <v>2080.79129050865</v>
      </c>
      <c r="AS11" s="37">
        <f>(((4.7*10^13)*'Goal Seek 6th order'!$J$21*('Goal Seek 6th order'!$I$21^0.5)*(EXP(-67837/AR11))/('Goal Seek 6th order'!$P$27*6))*('Goal Seek 6th order'!$P$28*10^-6))</f>
        <v>1.5662372673637021E-11</v>
      </c>
      <c r="AU11" s="59"/>
      <c r="AV11" s="37">
        <f>AV10*(C11/C10)^(('Goal Seek 6th order'!$P$26-1)/'Goal Seek 6th order'!$P$26)</f>
        <v>1980.2596967435009</v>
      </c>
      <c r="AW11" s="37">
        <f>(((4.7*10^13)*'Goal Seek 6th order'!$J$22*('Goal Seek 6th order'!$I$22^0.5)*(EXP(-67837/AV11))/('Goal Seek 6th order'!$P$27*6))*('Goal Seek 6th order'!$P$28*10^-6))</f>
        <v>3.23653931531735E-12</v>
      </c>
      <c r="AY11" s="59"/>
      <c r="AZ11" s="37">
        <f>AZ10*(C11/C10)^(('Goal Seek 6th order'!$P$26-1)/'Goal Seek 6th order'!$P$26)</f>
        <v>1865.879431714563</v>
      </c>
      <c r="BA11" s="37">
        <f>(((4.7*10^13)*'Goal Seek 6th order'!$J$23*('Goal Seek 6th order'!$I$23^0.5)*(EXP(-67837/AZ11))/('Goal Seek 6th order'!$P$27*6))*('Goal Seek 6th order'!$P$28*10^-6))</f>
        <v>4.2424378982770733E-13</v>
      </c>
      <c r="BC11" s="59"/>
    </row>
    <row r="12" spans="2:55" x14ac:dyDescent="0.3">
      <c r="B12" s="42">
        <v>6</v>
      </c>
      <c r="C12" s="42">
        <v>22</v>
      </c>
      <c r="D12" s="37">
        <f>D11*(C12/C11)^(('Goal Seek 6th order'!$P$26-1)/'Goal Seek 6th order'!$P$26)</f>
        <v>2675.3454663816869</v>
      </c>
      <c r="E12" s="97">
        <f>(((4.7*10^13)*'Goal Seek 6th order'!$J$11*('Goal Seek 6th order'!$I$11^0.5)*(EXP(-67837/D12))/('Goal Seek 6th order'!$P$27*6))*('Goal Seek 6th order'!$P$28*10^-6))</f>
        <v>0</v>
      </c>
      <c r="F12" s="3"/>
      <c r="G12" s="3"/>
      <c r="H12" s="37">
        <f>H11*(C12/C11)^(('Goal Seek 6th order'!$P$26-1)/'Goal Seek 6th order'!$P$26)</f>
        <v>2657.5569823781293</v>
      </c>
      <c r="I12" s="97">
        <f>(((4.7*10^13)*'Goal Seek 6th order'!$J$12*('Goal Seek 6th order'!$I$12^0.5)*(EXP(-67837/H12))/('Goal Seek 6th order'!$P$27*6))*('Goal Seek 6th order'!$P$28*10^-6))</f>
        <v>3.357386983984337E-9</v>
      </c>
      <c r="L12" s="37">
        <f>L11*(C12/C11)^(('Goal Seek 6th order'!$P$26-1)/'Goal Seek 6th order'!$P$26)</f>
        <v>2639.7077676697168</v>
      </c>
      <c r="M12" s="97">
        <f>(((4.7*10^13)*'Goal Seek 6th order'!$J$13*('Goal Seek 6th order'!$I$13^0.5)*(EXP(-67837/L12))/('Goal Seek 6th order'!$P$27*6))*('Goal Seek 6th order'!$P$28*10^-6))</f>
        <v>3.9963521494844874E-9</v>
      </c>
      <c r="P12" s="37">
        <f>P11*(C12/C11)^(('Goal Seek 6th order'!$P$26-1)/'Goal Seek 6th order'!$P$26)</f>
        <v>2621.8359548638437</v>
      </c>
      <c r="Q12" s="97">
        <f>(((4.7*10^13)*'Goal Seek 6th order'!$J$14*('Goal Seek 6th order'!$I$14^0.5)*(EXP(-67837/P12))/('Goal Seek 6th order'!$P$27*6))*('Goal Seek 6th order'!$P$28*10^-6))</f>
        <v>4.1090294923109625E-9</v>
      </c>
      <c r="T12" s="37">
        <f>T11*(C12/C11)^(('Goal Seek 6th order'!$P$26-1)/'Goal Seek 6th order'!$P$26)</f>
        <v>2603.8213598053158</v>
      </c>
      <c r="U12" s="97">
        <f>(((4.7*10^13)*'Goal Seek 6th order'!$J$15*('Goal Seek 6th order'!$I$15^0.5)*(EXP(-67837/T12))/('Goal Seek 6th order'!$P$27*6))*('Goal Seek 6th order'!$P$28*10^-6))</f>
        <v>3.9680197143814151E-9</v>
      </c>
      <c r="W12" s="59"/>
      <c r="X12" s="37">
        <f>X11*(C12/C11)^(('Goal Seek 6th order'!$P$26-1)/'Goal Seek 6th order'!$P$26)</f>
        <v>2585.7813082456719</v>
      </c>
      <c r="Y12" s="97">
        <f>(((4.7*10^13)*'Goal Seek 6th order'!$J$16*('Goal Seek 6th order'!$I$16^0.5)*(EXP(-67837/X12))/('Goal Seek 6th order'!$P$27*6))*('Goal Seek 6th order'!$P$28*10^-6))</f>
        <v>3.6999738325686521E-9</v>
      </c>
      <c r="AA12" s="59"/>
      <c r="AB12" s="37">
        <f>AB11*(C12/C11)^(('Goal Seek 6th order'!$P$26-1)/'Goal Seek 6th order'!$P$26)</f>
        <v>2494.5569289372152</v>
      </c>
      <c r="AC12" s="97">
        <f>(((4.7*10^13)*'Goal Seek 6th order'!$J$17*('Goal Seek 6th order'!$I$17^0.5)*(EXP(-67837/AB12))/('Goal Seek 6th order'!$P$27*6))*('Goal Seek 6th order'!$P$28*10^-6))</f>
        <v>2.0072323585989228E-9</v>
      </c>
      <c r="AE12" s="59"/>
      <c r="AF12" s="37">
        <f>AF11*(C12/C11)^(('Goal Seek 6th order'!$P$26-1)/'Goal Seek 6th order'!$P$26)</f>
        <v>2401.5052649112672</v>
      </c>
      <c r="AG12" s="97">
        <f>(((4.7*10^13)*'Goal Seek 6th order'!$J$18*('Goal Seek 6th order'!$I$18^0.5)*(EXP(-67837/AF12))/('Goal Seek 6th order'!$P$27*6))*('Goal Seek 6th order'!$P$28*10^-6))</f>
        <v>8.5816345274665232E-10</v>
      </c>
      <c r="AI12" s="59"/>
      <c r="AJ12" s="37">
        <f>AJ11*(C12/C11)^(('Goal Seek 6th order'!$P$26-1)/'Goal Seek 6th order'!$P$26)</f>
        <v>2306.4660425930147</v>
      </c>
      <c r="AK12" s="97">
        <f>(((4.7*10^13)*'Goal Seek 6th order'!$J$19*('Goal Seek 6th order'!$I$19^0.5)*(EXP(-67837/AJ12))/('Goal Seek 6th order'!$P$27*6))*('Goal Seek 6th order'!$P$28*10^-6))</f>
        <v>3.0979680870823248E-10</v>
      </c>
      <c r="AM12" s="59"/>
      <c r="AN12" s="37">
        <f>AN11*(C12/C11)^(('Goal Seek 6th order'!$P$26-1)/'Goal Seek 6th order'!$P$26)</f>
        <v>2209.2853073972778</v>
      </c>
      <c r="AO12" s="37">
        <f>(((4.7*10^13)*'Goal Seek 6th order'!$J$20*('Goal Seek 6th order'!$I$20^0.5)*(EXP(-67837/AN12))/('Goal Seek 6th order'!$P$27*6))*('Goal Seek 6th order'!$P$28*10^-6))</f>
        <v>9.5105794990586611E-11</v>
      </c>
      <c r="AQ12" s="59"/>
      <c r="AR12" s="37">
        <f>AR11*(C12/C11)^(('Goal Seek 6th order'!$P$26-1)/'Goal Seek 6th order'!$P$26)</f>
        <v>2109.8075549884497</v>
      </c>
      <c r="AS12" s="37">
        <f>(((4.7*10^13)*'Goal Seek 6th order'!$J$21*('Goal Seek 6th order'!$I$21^0.5)*(EXP(-67837/AR12))/('Goal Seek 6th order'!$P$27*6))*('Goal Seek 6th order'!$P$28*10^-6))</f>
        <v>2.4523489701617265E-11</v>
      </c>
      <c r="AU12" s="59"/>
      <c r="AV12" s="37">
        <f>AV11*(C12/C11)^(('Goal Seek 6th order'!$P$26-1)/'Goal Seek 6th order'!$P$26)</f>
        <v>2007.874066027674</v>
      </c>
      <c r="AW12" s="37">
        <f>(((4.7*10^13)*'Goal Seek 6th order'!$J$22*('Goal Seek 6th order'!$I$22^0.5)*(EXP(-67837/AV12))/('Goal Seek 6th order'!$P$27*6))*('Goal Seek 6th order'!$P$28*10^-6))</f>
        <v>5.1843124643866039E-12</v>
      </c>
      <c r="AY12" s="59"/>
      <c r="AZ12" s="37">
        <f>AZ11*(C12/C11)^(('Goal Seek 6th order'!$P$26-1)/'Goal Seek 6th order'!$P$26)</f>
        <v>1891.8987885453064</v>
      </c>
      <c r="BA12" s="37">
        <f>(((4.7*10^13)*'Goal Seek 6th order'!$J$23*('Goal Seek 6th order'!$I$23^0.5)*(EXP(-67837/AZ12))/('Goal Seek 6th order'!$P$27*6))*('Goal Seek 6th order'!$P$28*10^-6))</f>
        <v>6.9946919021524074E-13</v>
      </c>
      <c r="BC12" s="59"/>
    </row>
    <row r="13" spans="2:55" x14ac:dyDescent="0.3">
      <c r="B13" s="42">
        <v>7</v>
      </c>
      <c r="C13" s="42">
        <v>24</v>
      </c>
      <c r="D13" s="37">
        <f>D12*(C13/C12)^(('Goal Seek 6th order'!$P$26-1)/'Goal Seek 6th order'!$P$26)</f>
        <v>2709.3837134760151</v>
      </c>
      <c r="E13" s="97">
        <f>(((4.7*10^13)*'Goal Seek 6th order'!$J$11*('Goal Seek 6th order'!$I$11^0.5)*(EXP(-67837/D13))/('Goal Seek 6th order'!$P$27*6))*('Goal Seek 6th order'!$P$28*10^-6))</f>
        <v>0</v>
      </c>
      <c r="F13" s="3"/>
      <c r="G13" s="3"/>
      <c r="H13" s="37">
        <f>H12*(C13/C12)^(('Goal Seek 6th order'!$P$26-1)/'Goal Seek 6th order'!$P$26)</f>
        <v>2691.3689077425893</v>
      </c>
      <c r="I13" s="97">
        <f>(((4.7*10^13)*'Goal Seek 6th order'!$J$12*('Goal Seek 6th order'!$I$12^0.5)*(EXP(-67837/H13))/('Goal Seek 6th order'!$P$27*6))*('Goal Seek 6th order'!$P$28*10^-6))</f>
        <v>4.6267261298988405E-9</v>
      </c>
      <c r="L13" s="37">
        <f>L12*(C13/C12)^(('Goal Seek 6th order'!$P$26-1)/'Goal Seek 6th order'!$P$26)</f>
        <v>2673.292598631484</v>
      </c>
      <c r="M13" s="97">
        <f>(((4.7*10^13)*'Goal Seek 6th order'!$J$13*('Goal Seek 6th order'!$I$13^0.5)*(EXP(-67837/L13))/('Goal Seek 6th order'!$P$27*6))*('Goal Seek 6th order'!$P$28*10^-6))</f>
        <v>5.5192221517068658E-9</v>
      </c>
      <c r="P13" s="37">
        <f>P12*(C13/C12)^(('Goal Seek 6th order'!$P$26-1)/'Goal Seek 6th order'!$P$26)</f>
        <v>2655.1934039087878</v>
      </c>
      <c r="Q13" s="97">
        <f>(((4.7*10^13)*'Goal Seek 6th order'!$J$14*('Goal Seek 6th order'!$I$14^0.5)*(EXP(-67837/P13))/('Goal Seek 6th order'!$P$27*6))*('Goal Seek 6th order'!$P$28*10^-6))</f>
        <v>5.6873395332569369E-9</v>
      </c>
      <c r="T13" s="37">
        <f>T12*(C13/C12)^(('Goal Seek 6th order'!$P$26-1)/'Goal Seek 6th order'!$P$26)</f>
        <v>2636.949610324084</v>
      </c>
      <c r="U13" s="97">
        <f>(((4.7*10^13)*'Goal Seek 6th order'!$J$15*('Goal Seek 6th order'!$I$15^0.5)*(EXP(-67837/T13))/('Goal Seek 6th order'!$P$27*6))*('Goal Seek 6th order'!$P$28*10^-6))</f>
        <v>5.5045320681835831E-9</v>
      </c>
      <c r="W13" s="59"/>
      <c r="X13" s="37">
        <f>X12*(C13/C12)^(('Goal Seek 6th order'!$P$26-1)/'Goal Seek 6th order'!$P$26)</f>
        <v>2618.6800363568491</v>
      </c>
      <c r="Y13" s="97">
        <f>(((4.7*10^13)*'Goal Seek 6th order'!$J$16*('Goal Seek 6th order'!$I$16^0.5)*(EXP(-67837/X13))/('Goal Seek 6th order'!$P$27*6))*('Goal Seek 6th order'!$P$28*10^-6))</f>
        <v>5.1444262117374826E-9</v>
      </c>
      <c r="AA13" s="59"/>
      <c r="AB13" s="37">
        <f>AB12*(C13/C12)^(('Goal Seek 6th order'!$P$26-1)/'Goal Seek 6th order'!$P$26)</f>
        <v>2526.2950151787918</v>
      </c>
      <c r="AC13" s="97">
        <f>(((4.7*10^13)*'Goal Seek 6th order'!$J$17*('Goal Seek 6th order'!$I$17^0.5)*(EXP(-67837/AB13))/('Goal Seek 6th order'!$P$27*6))*('Goal Seek 6th order'!$P$28*10^-6))</f>
        <v>2.8246875561010002E-9</v>
      </c>
      <c r="AE13" s="59"/>
      <c r="AF13" s="37">
        <f>AF12*(C13/C12)^(('Goal Seek 6th order'!$P$26-1)/'Goal Seek 6th order'!$P$26)</f>
        <v>2432.0594608581309</v>
      </c>
      <c r="AG13" s="97">
        <f>(((4.7*10^13)*'Goal Seek 6th order'!$J$18*('Goal Seek 6th order'!$I$18^0.5)*(EXP(-67837/AF13))/('Goal Seek 6th order'!$P$27*6))*('Goal Seek 6th order'!$P$28*10^-6))</f>
        <v>1.223747492637173E-9</v>
      </c>
      <c r="AI13" s="59"/>
      <c r="AJ13" s="37">
        <f>AJ12*(C13/C12)^(('Goal Seek 6th order'!$P$26-1)/'Goal Seek 6th order'!$P$26)</f>
        <v>2335.811060669741</v>
      </c>
      <c r="AK13" s="97">
        <f>(((4.7*10^13)*'Goal Seek 6th order'!$J$19*('Goal Seek 6th order'!$I$19^0.5)*(EXP(-67837/AJ13))/('Goal Seek 6th order'!$P$27*6))*('Goal Seek 6th order'!$P$28*10^-6))</f>
        <v>4.482800529825385E-10</v>
      </c>
      <c r="AM13" s="59"/>
      <c r="AN13" s="37">
        <f>AN12*(C13/C12)^(('Goal Seek 6th order'!$P$26-1)/'Goal Seek 6th order'!$P$26)</f>
        <v>2237.3939012742262</v>
      </c>
      <c r="AO13" s="37">
        <f>(((4.7*10^13)*'Goal Seek 6th order'!$J$20*('Goal Seek 6th order'!$I$20^0.5)*(EXP(-67837/AN13))/('Goal Seek 6th order'!$P$27*6))*('Goal Seek 6th order'!$P$28*10^-6))</f>
        <v>1.3987439574984643E-10</v>
      </c>
      <c r="AQ13" s="59"/>
      <c r="AR13" s="37">
        <f>AR12*(C13/C12)^(('Goal Seek 6th order'!$P$26-1)/'Goal Seek 6th order'!$P$26)</f>
        <v>2136.6504998643891</v>
      </c>
      <c r="AS13" s="37">
        <f>(((4.7*10^13)*'Goal Seek 6th order'!$J$21*('Goal Seek 6th order'!$I$21^0.5)*(EXP(-67837/AR13))/('Goal Seek 6th order'!$P$27*6))*('Goal Seek 6th order'!$P$28*10^-6))</f>
        <v>3.6729298837785553E-11</v>
      </c>
      <c r="AU13" s="59"/>
      <c r="AV13" s="37">
        <f>AV12*(C13/C12)^(('Goal Seek 6th order'!$P$26-1)/'Goal Seek 6th order'!$P$26)</f>
        <v>2033.4201177255045</v>
      </c>
      <c r="AW13" s="37">
        <f>(((4.7*10^13)*'Goal Seek 6th order'!$J$22*('Goal Seek 6th order'!$I$22^0.5)*(EXP(-67837/AV13))/('Goal Seek 6th order'!$P$27*6))*('Goal Seek 6th order'!$P$28*10^-6))</f>
        <v>7.9255167396245642E-12</v>
      </c>
      <c r="AY13" s="59"/>
      <c r="AZ13" s="37">
        <f>AZ12*(C13/C12)^(('Goal Seek 6th order'!$P$26-1)/'Goal Seek 6th order'!$P$26)</f>
        <v>1915.9692942991146</v>
      </c>
      <c r="BA13" s="37">
        <f>(((4.7*10^13)*'Goal Seek 6th order'!$J$23*('Goal Seek 6th order'!$I$23^0.5)*(EXP(-67837/AZ13))/('Goal Seek 6th order'!$P$27*6))*('Goal Seek 6th order'!$P$28*10^-6))</f>
        <v>1.0975012259457146E-12</v>
      </c>
      <c r="BC13" s="59"/>
    </row>
    <row r="14" spans="2:55" x14ac:dyDescent="0.3">
      <c r="B14" s="42">
        <v>8</v>
      </c>
      <c r="C14" s="42">
        <v>26</v>
      </c>
      <c r="D14" s="37">
        <f>D13*(C14/C13)^(('Goal Seek 6th order'!$P$26-1)/'Goal Seek 6th order'!$P$26)</f>
        <v>2741.0781654436264</v>
      </c>
      <c r="E14" s="97">
        <f>(((4.7*10^13)*'Goal Seek 6th order'!$J$11*('Goal Seek 6th order'!$I$11^0.5)*(EXP(-67837/D14))/('Goal Seek 6th order'!$P$27*6))*('Goal Seek 6th order'!$P$28*10^-6))</f>
        <v>0</v>
      </c>
      <c r="F14" s="3"/>
      <c r="G14" s="3"/>
      <c r="H14" s="37">
        <f>H13*(C14/C13)^(('Goal Seek 6th order'!$P$26-1)/'Goal Seek 6th order'!$P$26)</f>
        <v>2722.8526219722476</v>
      </c>
      <c r="I14" s="97">
        <f>(((4.7*10^13)*'Goal Seek 6th order'!$J$12*('Goal Seek 6th order'!$I$12^0.5)*(EXP(-67837/H14))/('Goal Seek 6th order'!$P$27*6))*('Goal Seek 6th order'!$P$28*10^-6))</f>
        <v>6.1922195499231291E-9</v>
      </c>
      <c r="L14" s="37">
        <f>L13*(C14/C13)^(('Goal Seek 6th order'!$P$26-1)/'Goal Seek 6th order'!$P$26)</f>
        <v>2704.5648556548322</v>
      </c>
      <c r="M14" s="97">
        <f>(((4.7*10^13)*'Goal Seek 6th order'!$J$13*('Goal Seek 6th order'!$I$13^0.5)*(EXP(-67837/L14))/('Goal Seek 6th order'!$P$27*6))*('Goal Seek 6th order'!$P$28*10^-6))</f>
        <v>7.4012706927525427E-9</v>
      </c>
      <c r="P14" s="37">
        <f>P13*(C14/C13)^(('Goal Seek 6th order'!$P$26-1)/'Goal Seek 6th order'!$P$26)</f>
        <v>2686.2539360092551</v>
      </c>
      <c r="Q14" s="97">
        <f>(((4.7*10^13)*'Goal Seek 6th order'!$J$14*('Goal Seek 6th order'!$I$14^0.5)*(EXP(-67837/P14))/('Goal Seek 6th order'!$P$27*6))*('Goal Seek 6th order'!$P$28*10^-6))</f>
        <v>7.641985137626671E-9</v>
      </c>
      <c r="T14" s="37">
        <f>T13*(C14/C13)^(('Goal Seek 6th order'!$P$26-1)/'Goal Seek 6th order'!$P$26)</f>
        <v>2667.7967259798443</v>
      </c>
      <c r="U14" s="97">
        <f>(((4.7*10^13)*'Goal Seek 6th order'!$J$15*('Goal Seek 6th order'!$I$15^0.5)*(EXP(-67837/T14))/('Goal Seek 6th order'!$P$27*6))*('Goal Seek 6th order'!$P$28*10^-6))</f>
        <v>7.411482105667868E-9</v>
      </c>
      <c r="W14" s="59"/>
      <c r="X14" s="37">
        <f>X13*(C14/C13)^(('Goal Seek 6th order'!$P$26-1)/'Goal Seek 6th order'!$P$26)</f>
        <v>2649.313433988214</v>
      </c>
      <c r="Y14" s="97">
        <f>(((4.7*10^13)*'Goal Seek 6th order'!$J$16*('Goal Seek 6th order'!$I$16^0.5)*(EXP(-67837/X14))/('Goal Seek 6th order'!$P$27*6))*('Goal Seek 6th order'!$P$28*10^-6))</f>
        <v>6.9410132708143416E-9</v>
      </c>
      <c r="AA14" s="59"/>
      <c r="AB14" s="37">
        <f>AB13*(C14/C13)^(('Goal Seek 6th order'!$P$26-1)/'Goal Seek 6th order'!$P$26)</f>
        <v>2555.8476900606652</v>
      </c>
      <c r="AC14" s="97">
        <f>(((4.7*10^13)*'Goal Seek 6th order'!$J$17*('Goal Seek 6th order'!$I$17^0.5)*(EXP(-67837/AB14))/('Goal Seek 6th order'!$P$27*6))*('Goal Seek 6th order'!$P$28*10^-6))</f>
        <v>3.8531286518104985E-9</v>
      </c>
      <c r="AE14" s="59"/>
      <c r="AF14" s="37">
        <f>AF13*(C14/C13)^(('Goal Seek 6th order'!$P$26-1)/'Goal Seek 6th order'!$P$26)</f>
        <v>2460.5097653982907</v>
      </c>
      <c r="AG14" s="97">
        <f>(((4.7*10^13)*'Goal Seek 6th order'!$J$18*('Goal Seek 6th order'!$I$18^0.5)*(EXP(-67837/AF14))/('Goal Seek 6th order'!$P$27*6))*('Goal Seek 6th order'!$P$28*10^-6))</f>
        <v>1.6895058651831181E-9</v>
      </c>
      <c r="AI14" s="59"/>
      <c r="AJ14" s="37">
        <f>AJ13*(C14/C13)^(('Goal Seek 6th order'!$P$26-1)/'Goal Seek 6th order'!$P$26)</f>
        <v>2363.135448536837</v>
      </c>
      <c r="AK14" s="97">
        <f>(((4.7*10^13)*'Goal Seek 6th order'!$J$19*('Goal Seek 6th order'!$I$19^0.5)*(EXP(-67837/AJ14))/('Goal Seek 6th order'!$P$27*6))*('Goal Seek 6th order'!$P$28*10^-6))</f>
        <v>6.2717520297222395E-10</v>
      </c>
      <c r="AM14" s="59"/>
      <c r="AN14" s="37">
        <f>AN13*(C14/C13)^(('Goal Seek 6th order'!$P$26-1)/'Goal Seek 6th order'!$P$26)</f>
        <v>2263.5670022579861</v>
      </c>
      <c r="AO14" s="37">
        <f>(((4.7*10^13)*'Goal Seek 6th order'!$J$20*('Goal Seek 6th order'!$I$20^0.5)*(EXP(-67837/AN14))/('Goal Seek 6th order'!$P$27*6))*('Goal Seek 6th order'!$P$28*10^-6))</f>
        <v>1.9860619358118572E-10</v>
      </c>
      <c r="AQ14" s="59"/>
      <c r="AR14" s="37">
        <f>AR13*(C14/C13)^(('Goal Seek 6th order'!$P$26-1)/'Goal Seek 6th order'!$P$26)</f>
        <v>2161.6451015159369</v>
      </c>
      <c r="AS14" s="37">
        <f>(((4.7*10^13)*'Goal Seek 6th order'!$J$21*('Goal Seek 6th order'!$I$21^0.5)*(EXP(-67837/AR14))/('Goal Seek 6th order'!$P$27*6))*('Goal Seek 6th order'!$P$28*10^-6))</f>
        <v>5.3020769756437367E-11</v>
      </c>
      <c r="AU14" s="59"/>
      <c r="AV14" s="37">
        <f>AV13*(C14/C13)^(('Goal Seek 6th order'!$P$26-1)/'Goal Seek 6th order'!$P$26)</f>
        <v>2057.2071272696571</v>
      </c>
      <c r="AW14" s="37">
        <f>(((4.7*10^13)*'Goal Seek 6th order'!$J$22*('Goal Seek 6th order'!$I$22^0.5)*(EXP(-67837/AV14))/('Goal Seek 6th order'!$P$27*6))*('Goal Seek 6th order'!$P$28*10^-6))</f>
        <v>1.1656144244681405E-11</v>
      </c>
      <c r="AY14" s="59"/>
      <c r="AZ14" s="37">
        <f>AZ13*(C14/C13)^(('Goal Seek 6th order'!$P$26-1)/'Goal Seek 6th order'!$P$26)</f>
        <v>1938.3823605870466</v>
      </c>
      <c r="BA14" s="37">
        <f>(((4.7*10^13)*'Goal Seek 6th order'!$J$23*('Goal Seek 6th order'!$I$23^0.5)*(EXP(-67837/AZ14))/('Goal Seek 6th order'!$P$27*6))*('Goal Seek 6th order'!$P$28*10^-6))</f>
        <v>1.6527300796641449E-12</v>
      </c>
      <c r="BC14" s="59"/>
    </row>
    <row r="15" spans="2:55" x14ac:dyDescent="0.3">
      <c r="B15" s="42">
        <v>9</v>
      </c>
      <c r="C15" s="42">
        <v>28</v>
      </c>
      <c r="D15" s="37">
        <f>D14*(C15/C14)^(('Goal Seek 6th order'!$P$26-1)/'Goal Seek 6th order'!$P$26)</f>
        <v>2770.7530959842111</v>
      </c>
      <c r="E15" s="97">
        <f>(((4.7*10^13)*'Goal Seek 6th order'!$J$11*('Goal Seek 6th order'!$I$11^0.5)*(EXP(-67837/D15))/('Goal Seek 6th order'!$P$27*6))*('Goal Seek 6th order'!$P$28*10^-6))</f>
        <v>0</v>
      </c>
      <c r="F15" s="3"/>
      <c r="G15" s="3"/>
      <c r="H15" s="37">
        <f>H14*(C15/C14)^(('Goal Seek 6th order'!$P$26-1)/'Goal Seek 6th order'!$P$26)</f>
        <v>2752.3302426573905</v>
      </c>
      <c r="I15" s="97">
        <f>(((4.7*10^13)*'Goal Seek 6th order'!$J$12*('Goal Seek 6th order'!$I$12^0.5)*(EXP(-67837/H15))/('Goal Seek 6th order'!$P$27*6))*('Goal Seek 6th order'!$P$28*10^-6))</f>
        <v>8.0859131015769082E-9</v>
      </c>
      <c r="L15" s="37">
        <f>L14*(C15/C14)^(('Goal Seek 6th order'!$P$26-1)/'Goal Seek 6th order'!$P$26)</f>
        <v>2733.8444928595868</v>
      </c>
      <c r="M15" s="97">
        <f>(((4.7*10^13)*'Goal Seek 6th order'!$J$13*('Goal Seek 6th order'!$I$13^0.5)*(EXP(-67837/L15))/('Goal Seek 6th order'!$P$27*6))*('Goal Seek 6th order'!$P$28*10^-6))</f>
        <v>9.6821674492804934E-9</v>
      </c>
      <c r="P15" s="37">
        <f>P14*(C15/C14)^(('Goal Seek 6th order'!$P$26-1)/'Goal Seek 6th order'!$P$26)</f>
        <v>2715.3353390755356</v>
      </c>
      <c r="Q15" s="97">
        <f>(((4.7*10^13)*'Goal Seek 6th order'!$J$14*('Goal Seek 6th order'!$I$14^0.5)*(EXP(-67837/P15))/('Goal Seek 6th order'!$P$27*6))*('Goal Seek 6th order'!$P$28*10^-6))</f>
        <v>1.0015387306160148E-8</v>
      </c>
      <c r="T15" s="37">
        <f>T14*(C15/C14)^(('Goal Seek 6th order'!$P$26-1)/'Goal Seek 6th order'!$P$26)</f>
        <v>2696.6783111669774</v>
      </c>
      <c r="U15" s="97">
        <f>(((4.7*10^13)*'Goal Seek 6th order'!$J$15*('Goal Seek 6th order'!$I$15^0.5)*(EXP(-67837/T15))/('Goal Seek 6th order'!$P$27*6))*('Goal Seek 6th order'!$P$28*10^-6))</f>
        <v>9.731488743667005E-9</v>
      </c>
      <c r="W15" s="59"/>
      <c r="X15" s="37">
        <f>X14*(C15/C14)^(('Goal Seek 6th order'!$P$26-1)/'Goal Seek 6th order'!$P$26)</f>
        <v>2677.9949189327026</v>
      </c>
      <c r="Y15" s="97">
        <f>(((4.7*10^13)*'Goal Seek 6th order'!$J$16*('Goal Seek 6th order'!$I$16^0.5)*(EXP(-67837/X15))/('Goal Seek 6th order'!$P$27*6))*('Goal Seek 6th order'!$P$28*10^-6))</f>
        <v>9.1310821709332825E-9</v>
      </c>
      <c r="AA15" s="59"/>
      <c r="AB15" s="37">
        <f>AB14*(C15/C14)^(('Goal Seek 6th order'!$P$26-1)/'Goal Seek 6th order'!$P$26)</f>
        <v>2583.5173142366648</v>
      </c>
      <c r="AC15" s="97">
        <f>(((4.7*10^13)*'Goal Seek 6th order'!$J$17*('Goal Seek 6th order'!$I$17^0.5)*(EXP(-67837/AB15))/('Goal Seek 6th order'!$P$27*6))*('Goal Seek 6th order'!$P$28*10^-6))</f>
        <v>5.1199801296691661E-9</v>
      </c>
      <c r="AE15" s="59"/>
      <c r="AF15" s="37">
        <f>AF14*(C15/C14)^(('Goal Seek 6th order'!$P$26-1)/'Goal Seek 6th order'!$P$26)</f>
        <v>2487.1472605646527</v>
      </c>
      <c r="AG15" s="97">
        <f>(((4.7*10^13)*'Goal Seek 6th order'!$J$18*('Goal Seek 6th order'!$I$18^0.5)*(EXP(-67837/AF15))/('Goal Seek 6th order'!$P$27*6))*('Goal Seek 6th order'!$P$28*10^-6))</f>
        <v>2.2698543933151905E-9</v>
      </c>
      <c r="AI15" s="59"/>
      <c r="AJ15" s="37">
        <f>AJ14*(C15/C14)^(('Goal Seek 6th order'!$P$26-1)/'Goal Seek 6th order'!$P$26)</f>
        <v>2388.7187686980023</v>
      </c>
      <c r="AK15" s="97">
        <f>(((4.7*10^13)*'Goal Seek 6th order'!$J$19*('Goal Seek 6th order'!$I$19^0.5)*(EXP(-67837/AJ15))/('Goal Seek 6th order'!$P$27*6))*('Goal Seek 6th order'!$P$28*10^-6))</f>
        <v>8.5292590472157197E-10</v>
      </c>
      <c r="AM15" s="59"/>
      <c r="AN15" s="37">
        <f>AN14*(C15/C14)^(('Goal Seek 6th order'!$P$26-1)/'Goal Seek 6th order'!$P$26)</f>
        <v>2288.0723937542166</v>
      </c>
      <c r="AO15" s="37">
        <f>(((4.7*10^13)*'Goal Seek 6th order'!$J$20*('Goal Seek 6th order'!$I$20^0.5)*(EXP(-67837/AN15))/('Goal Seek 6th order'!$P$27*6))*('Goal Seek 6th order'!$P$28*10^-6))</f>
        <v>2.7377167886209449E-10</v>
      </c>
      <c r="AQ15" s="59"/>
      <c r="AR15" s="37">
        <f>AR14*(C15/C14)^(('Goal Seek 6th order'!$P$26-1)/'Goal Seek 6th order'!$P$26)</f>
        <v>2185.0470858334834</v>
      </c>
      <c r="AS15" s="37">
        <f>(((4.7*10^13)*'Goal Seek 6th order'!$J$21*('Goal Seek 6th order'!$I$21^0.5)*(EXP(-67837/AR15))/('Goal Seek 6th order'!$P$27*6))*('Goal Seek 6th order'!$P$28*10^-6))</f>
        <v>7.4201774284896619E-11</v>
      </c>
      <c r="AU15" s="59"/>
      <c r="AV15" s="37">
        <f>AV14*(C15/C14)^(('Goal Seek 6th order'!$P$26-1)/'Goal Seek 6th order'!$P$26)</f>
        <v>2079.4784653799452</v>
      </c>
      <c r="AW15" s="37">
        <f>(((4.7*10^13)*'Goal Seek 6th order'!$J$22*('Goal Seek 6th order'!$I$22^0.5)*(EXP(-67837/AV15))/('Goal Seek 6th order'!$P$27*6))*('Goal Seek 6th order'!$P$28*10^-6))</f>
        <v>1.6593329110314597E-11</v>
      </c>
      <c r="AY15" s="59"/>
      <c r="AZ15" s="37">
        <f>AZ14*(C15/C14)^(('Goal Seek 6th order'!$P$26-1)/'Goal Seek 6th order'!$P$26)</f>
        <v>1959.3673009789984</v>
      </c>
      <c r="BA15" s="37">
        <f>(((4.7*10^13)*'Goal Seek 6th order'!$J$23*('Goal Seek 6th order'!$I$23^0.5)*(EXP(-67837/AZ15))/('Goal Seek 6th order'!$P$27*6))*('Goal Seek 6th order'!$P$28*10^-6))</f>
        <v>2.4042676157124476E-12</v>
      </c>
      <c r="BC15" s="59"/>
    </row>
    <row r="16" spans="2:55" x14ac:dyDescent="0.3">
      <c r="B16" s="42">
        <v>10</v>
      </c>
      <c r="C16" s="42">
        <v>30</v>
      </c>
      <c r="D16" s="37">
        <f>D15*(C16/C15)^(('Goal Seek 6th order'!$P$26-1)/'Goal Seek 6th order'!$P$26)</f>
        <v>2798.6684886630769</v>
      </c>
      <c r="E16" s="97">
        <f>(((4.7*10^13)*'Goal Seek 6th order'!$J$11*('Goal Seek 6th order'!$I$11^0.5)*(EXP(-67837/D16))/('Goal Seek 6th order'!$P$27*6))*('Goal Seek 6th order'!$P$28*10^-6))</f>
        <v>0</v>
      </c>
      <c r="F16" s="3"/>
      <c r="G16" s="3"/>
      <c r="H16" s="37">
        <f>H15*(C16/C15)^(('Goal Seek 6th order'!$P$26-1)/'Goal Seek 6th order'!$P$26)</f>
        <v>2780.0600247217167</v>
      </c>
      <c r="I16" s="97">
        <f>(((4.7*10^13)*'Goal Seek 6th order'!$J$12*('Goal Seek 6th order'!$I$12^0.5)*(EXP(-67837/H16))/('Goal Seek 6th order'!$P$27*6))*('Goal Seek 6th order'!$P$28*10^-6))</f>
        <v>1.0339450486189211E-8</v>
      </c>
      <c r="L16" s="37">
        <f>L15*(C16/C15)^(('Goal Seek 6th order'!$P$26-1)/'Goal Seek 6th order'!$P$26)</f>
        <v>2761.3880306261744</v>
      </c>
      <c r="M16" s="97">
        <f>(((4.7*10^13)*'Goal Seek 6th order'!$J$13*('Goal Seek 6th order'!$I$13^0.5)*(EXP(-67837/L16))/('Goal Seek 6th order'!$P$27*6))*('Goal Seek 6th order'!$P$28*10^-6))</f>
        <v>1.240117755123702E-8</v>
      </c>
      <c r="P16" s="37">
        <f>P15*(C16/C15)^(('Goal Seek 6th order'!$P$26-1)/'Goal Seek 6th order'!$P$26)</f>
        <v>2742.6923967487564</v>
      </c>
      <c r="Q16" s="97">
        <f>(((4.7*10^13)*'Goal Seek 6th order'!$J$14*('Goal Seek 6th order'!$I$14^0.5)*(EXP(-67837/P16))/('Goal Seek 6th order'!$P$27*6))*('Goal Seek 6th order'!$P$28*10^-6))</f>
        <v>1.2849635115657744E-8</v>
      </c>
      <c r="T16" s="37">
        <f>T15*(C16/C15)^(('Goal Seek 6th order'!$P$26-1)/'Goal Seek 6th order'!$P$26)</f>
        <v>2723.8473989120794</v>
      </c>
      <c r="U16" s="97">
        <f>(((4.7*10^13)*'Goal Seek 6th order'!$J$15*('Goal Seek 6th order'!$I$15^0.5)*(EXP(-67837/T16))/('Goal Seek 6th order'!$P$27*6))*('Goal Seek 6th order'!$P$28*10^-6))</f>
        <v>1.2506940246662732E-8</v>
      </c>
      <c r="W16" s="59"/>
      <c r="X16" s="37">
        <f>X15*(C16/C15)^(('Goal Seek 6th order'!$P$26-1)/'Goal Seek 6th order'!$P$26)</f>
        <v>2704.9757711285779</v>
      </c>
      <c r="Y16" s="97">
        <f>(((4.7*10^13)*'Goal Seek 6th order'!$J$16*('Goal Seek 6th order'!$I$16^0.5)*(EXP(-67837/X16))/('Goal Seek 6th order'!$P$27*6))*('Goal Seek 6th order'!$P$28*10^-6))</f>
        <v>1.1755857084315377E-8</v>
      </c>
      <c r="AA16" s="59"/>
      <c r="AB16" s="37">
        <f>AB15*(C16/C15)^(('Goal Seek 6th order'!$P$26-1)/'Goal Seek 6th order'!$P$26)</f>
        <v>2609.5463026817533</v>
      </c>
      <c r="AC16" s="97">
        <f>(((4.7*10^13)*'Goal Seek 6th order'!$J$17*('Goal Seek 6th order'!$I$17^0.5)*(EXP(-67837/AB16))/('Goal Seek 6th order'!$P$27*6))*('Goal Seek 6th order'!$P$28*10^-6))</f>
        <v>6.6529330673550419E-9</v>
      </c>
      <c r="AE16" s="59"/>
      <c r="AF16" s="37">
        <f>AF15*(C16/C15)^(('Goal Seek 6th order'!$P$26-1)/'Goal Seek 6th order'!$P$26)</f>
        <v>2512.2053187977936</v>
      </c>
      <c r="AG16" s="97">
        <f>(((4.7*10^13)*'Goal Seek 6th order'!$J$18*('Goal Seek 6th order'!$I$18^0.5)*(EXP(-67837/AF16))/('Goal Seek 6th order'!$P$27*6))*('Goal Seek 6th order'!$P$28*10^-6))</f>
        <v>2.9795465577609388E-9</v>
      </c>
      <c r="AI16" s="59"/>
      <c r="AJ16" s="37">
        <f>AJ15*(C16/C15)^(('Goal Seek 6th order'!$P$26-1)/'Goal Seek 6th order'!$P$26)</f>
        <v>2412.7851579133489</v>
      </c>
      <c r="AK16" s="97">
        <f>(((4.7*10^13)*'Goal Seek 6th order'!$J$19*('Goal Seek 6th order'!$I$19^0.5)*(EXP(-67837/AJ16))/('Goal Seek 6th order'!$P$27*6))*('Goal Seek 6th order'!$P$28*10^-6))</f>
        <v>1.1322230924614525E-9</v>
      </c>
      <c r="AM16" s="59"/>
      <c r="AN16" s="37">
        <f>AN15*(C16/C15)^(('Goal Seek 6th order'!$P$26-1)/'Goal Seek 6th order'!$P$26)</f>
        <v>2311.1247687355512</v>
      </c>
      <c r="AO16" s="37">
        <f>(((4.7*10^13)*'Goal Seek 6th order'!$J$20*('Goal Seek 6th order'!$I$20^0.5)*(EXP(-67837/AN16))/('Goal Seek 6th order'!$P$27*6))*('Goal Seek 6th order'!$P$28*10^-6))</f>
        <v>3.6797692397656526E-10</v>
      </c>
      <c r="AQ16" s="59"/>
      <c r="AR16" s="37">
        <f>AR15*(C16/C15)^(('Goal Seek 6th order'!$P$26-1)/'Goal Seek 6th order'!$P$26)</f>
        <v>2207.061478783638</v>
      </c>
      <c r="AS16" s="37">
        <f>(((4.7*10^13)*'Goal Seek 6th order'!$J$21*('Goal Seek 6th order'!$I$21^0.5)*(EXP(-67837/AR16))/('Goal Seek 6th order'!$P$27*6))*('Goal Seek 6th order'!$P$28*10^-6))</f>
        <v>1.0113510910329882E-10</v>
      </c>
      <c r="AU16" s="59"/>
      <c r="AV16" s="37">
        <f>AV15*(C16/C15)^(('Goal Seek 6th order'!$P$26-1)/'Goal Seek 6th order'!$P$26)</f>
        <v>2100.4292523744489</v>
      </c>
      <c r="AW16" s="37">
        <f>(((4.7*10^13)*'Goal Seek 6th order'!$J$22*('Goal Seek 6th order'!$I$22^0.5)*(EXP(-67837/AV16))/('Goal Seek 6th order'!$P$27*6))*('Goal Seek 6th order'!$P$28*10^-6))</f>
        <v>2.297463932228407E-11</v>
      </c>
      <c r="AY16" s="59"/>
      <c r="AZ16" s="37">
        <f>AZ15*(C16/C15)^(('Goal Seek 6th order'!$P$26-1)/'Goal Seek 6th order'!$P$26)</f>
        <v>1979.1079655976657</v>
      </c>
      <c r="BA16" s="37">
        <f>(((4.7*10^13)*'Goal Seek 6th order'!$J$23*('Goal Seek 6th order'!$I$23^0.5)*(EXP(-67837/AZ16))/('Goal Seek 6th order'!$P$27*6))*('Goal Seek 6th order'!$P$28*10^-6))</f>
        <v>3.3959457410040133E-12</v>
      </c>
      <c r="BC16" s="59"/>
    </row>
    <row r="17" spans="2:55" x14ac:dyDescent="0.3">
      <c r="B17" s="42">
        <v>11</v>
      </c>
      <c r="C17" s="42">
        <v>32</v>
      </c>
      <c r="D17" s="37">
        <f>D16*(C17/C16)^(('Goal Seek 6th order'!$P$26-1)/'Goal Seek 6th order'!$P$26)</f>
        <v>2825.0361367125333</v>
      </c>
      <c r="E17" s="97">
        <f>(((4.7*10^13)*'Goal Seek 6th order'!$J$11*('Goal Seek 6th order'!$I$11^0.5)*(EXP(-67837/D17))/('Goal Seek 6th order'!$P$27*6))*('Goal Seek 6th order'!$P$28*10^-6))</f>
        <v>0</v>
      </c>
      <c r="F17" s="3"/>
      <c r="G17" s="3"/>
      <c r="H17" s="37">
        <f>H16*(C17/C16)^(('Goal Seek 6th order'!$P$26-1)/'Goal Seek 6th order'!$P$26)</f>
        <v>2806.2523531754673</v>
      </c>
      <c r="I17" s="97">
        <f>(((4.7*10^13)*'Goal Seek 6th order'!$J$12*('Goal Seek 6th order'!$I$12^0.5)*(EXP(-67837/H17))/('Goal Seek 6th order'!$P$27*6))*('Goal Seek 6th order'!$P$28*10^-6))</f>
        <v>1.2983995572183325E-8</v>
      </c>
      <c r="L17" s="37">
        <f>L16*(C17/C16)^(('Goal Seek 6th order'!$P$26-1)/'Goal Seek 6th order'!$P$26)</f>
        <v>2787.4044409350331</v>
      </c>
      <c r="M17" s="97">
        <f>(((4.7*10^13)*'Goal Seek 6th order'!$J$13*('Goal Seek 6th order'!$I$13^0.5)*(EXP(-67837/L17))/('Goal Seek 6th order'!$P$27*6))*('Goal Seek 6th order'!$P$28*10^-6))</f>
        <v>1.5597056434803372E-8</v>
      </c>
      <c r="P17" s="37">
        <f>P16*(C17/C16)^(('Goal Seek 6th order'!$P$26-1)/'Goal Seek 6th order'!$P$26)</f>
        <v>2768.5326661905788</v>
      </c>
      <c r="Q17" s="97">
        <f>(((4.7*10^13)*'Goal Seek 6th order'!$J$14*('Goal Seek 6th order'!$I$14^0.5)*(EXP(-67837/P17))/('Goal Seek 6th order'!$P$27*6))*('Goal Seek 6th order'!$P$28*10^-6))</f>
        <v>1.6186363949078362E-8</v>
      </c>
      <c r="T17" s="37">
        <f>T16*(C17/C16)^(('Goal Seek 6th order'!$P$26-1)/'Goal Seek 6th order'!$P$26)</f>
        <v>2749.5101202547025</v>
      </c>
      <c r="U17" s="97">
        <f>(((4.7*10^13)*'Goal Seek 6th order'!$J$15*('Goal Seek 6th order'!$I$15^0.5)*(EXP(-67837/T17))/('Goal Seek 6th order'!$P$27*6))*('Goal Seek 6th order'!$P$28*10^-6))</f>
        <v>1.5779862749006356E-8</v>
      </c>
      <c r="W17" s="59"/>
      <c r="X17" s="37">
        <f>X16*(C17/C16)^(('Goal Seek 6th order'!$P$26-1)/'Goal Seek 6th order'!$P$26)</f>
        <v>2730.4606934780259</v>
      </c>
      <c r="Y17" s="97">
        <f>(((4.7*10^13)*'Goal Seek 6th order'!$J$16*('Goal Seek 6th order'!$I$16^0.5)*(EXP(-67837/X17))/('Goal Seek 6th order'!$P$27*6))*('Goal Seek 6th order'!$P$28*10^-6))</f>
        <v>1.4856303069978874E-8</v>
      </c>
      <c r="AA17" s="59"/>
      <c r="AB17" s="37">
        <f>AB16*(C17/C16)^(('Goal Seek 6th order'!$P$26-1)/'Goal Seek 6th order'!$P$26)</f>
        <v>2634.1321365368885</v>
      </c>
      <c r="AC17" s="97">
        <f>(((4.7*10^13)*'Goal Seek 6th order'!$J$17*('Goal Seek 6th order'!$I$17^0.5)*(EXP(-67837/AB17))/('Goal Seek 6th order'!$P$27*6))*('Goal Seek 6th order'!$P$28*10^-6))</f>
        <v>8.4798294873135548E-9</v>
      </c>
      <c r="AE17" s="59"/>
      <c r="AF17" s="37">
        <f>AF16*(C17/C16)^(('Goal Seek 6th order'!$P$26-1)/'Goal Seek 6th order'!$P$26)</f>
        <v>2535.8740548207857</v>
      </c>
      <c r="AG17" s="97">
        <f>(((4.7*10^13)*'Goal Seek 6th order'!$J$18*('Goal Seek 6th order'!$I$18^0.5)*(EXP(-67837/AF17))/('Goal Seek 6th order'!$P$27*6))*('Goal Seek 6th order'!$P$28*10^-6))</f>
        <v>3.8336025924056578E-9</v>
      </c>
      <c r="AI17" s="59"/>
      <c r="AJ17" s="37">
        <f>AJ16*(C17/C16)^(('Goal Seek 6th order'!$P$26-1)/'Goal Seek 6th order'!$P$26)</f>
        <v>2435.5172071433749</v>
      </c>
      <c r="AK17" s="97">
        <f>(((4.7*10^13)*'Goal Seek 6th order'!$J$19*('Goal Seek 6th order'!$I$19^0.5)*(EXP(-67837/AJ17))/('Goal Seek 6th order'!$P$27*6))*('Goal Seek 6th order'!$P$28*10^-6))</f>
        <v>1.4719706674843135E-9</v>
      </c>
      <c r="AM17" s="59"/>
      <c r="AN17" s="37">
        <f>AN16*(C17/C16)^(('Goal Seek 6th order'!$P$26-1)/'Goal Seek 6th order'!$P$26)</f>
        <v>2332.8990248674418</v>
      </c>
      <c r="AO17" s="37">
        <f>(((4.7*10^13)*'Goal Seek 6th order'!$J$20*('Goal Seek 6th order'!$I$20^0.5)*(EXP(-67837/AN17))/('Goal Seek 6th order'!$P$27*6))*('Goal Seek 6th order'!$P$28*10^-6))</f>
        <v>4.8395039818453159E-10</v>
      </c>
      <c r="AQ17" s="59"/>
      <c r="AR17" s="37">
        <f>AR16*(C17/C16)^(('Goal Seek 6th order'!$P$26-1)/'Goal Seek 6th order'!$P$26)</f>
        <v>2227.8553028938595</v>
      </c>
      <c r="AS17" s="37">
        <f>(((4.7*10^13)*'Goal Seek 6th order'!$J$21*('Goal Seek 6th order'!$I$21^0.5)*(EXP(-67837/AR17))/('Goal Seek 6th order'!$P$27*6))*('Goal Seek 6th order'!$P$28*10^-6))</f>
        <v>1.3473863772819654E-10</v>
      </c>
      <c r="AU17" s="59"/>
      <c r="AV17" s="37">
        <f>AV16*(C17/C16)^(('Goal Seek 6th order'!$P$26-1)/'Goal Seek 6th order'!$P$26)</f>
        <v>2120.2184412347019</v>
      </c>
      <c r="AW17" s="37">
        <f>(((4.7*10^13)*'Goal Seek 6th order'!$J$22*('Goal Seek 6th order'!$I$22^0.5)*(EXP(-67837/AV17))/('Goal Seek 6th order'!$P$27*6))*('Goal Seek 6th order'!$P$28*10^-6))</f>
        <v>3.1057318947650444E-11</v>
      </c>
      <c r="AY17" s="59"/>
      <c r="AZ17" s="37">
        <f>AZ16*(C17/C16)^(('Goal Seek 6th order'!$P$26-1)/'Goal Seek 6th order'!$P$26)</f>
        <v>1997.7541262630482</v>
      </c>
      <c r="BA17" s="37">
        <f>(((4.7*10^13)*'Goal Seek 6th order'!$J$23*('Goal Seek 6th order'!$I$23^0.5)*(EXP(-67837/AZ17))/('Goal Seek 6th order'!$P$27*6))*('Goal Seek 6th order'!$P$28*10^-6))</f>
        <v>4.676287870199814E-12</v>
      </c>
      <c r="BC17" s="59"/>
    </row>
    <row r="18" spans="2:55" x14ac:dyDescent="0.3">
      <c r="B18" s="42">
        <v>12</v>
      </c>
      <c r="C18" s="42">
        <v>34</v>
      </c>
      <c r="D18" s="37">
        <f>D17*(C18/C17)^(('Goal Seek 6th order'!$P$26-1)/'Goal Seek 6th order'!$P$26)</f>
        <v>2850.0309731893767</v>
      </c>
      <c r="E18" s="97">
        <f>(((4.7*10^13)*'Goal Seek 6th order'!$J$11*('Goal Seek 6th order'!$I$11^0.5)*(EXP(-67837/D18))/('Goal Seek 6th order'!$P$27*6))*('Goal Seek 6th order'!$P$28*10^-6))</f>
        <v>0</v>
      </c>
      <c r="F18" s="3"/>
      <c r="G18" s="3"/>
      <c r="H18" s="37">
        <f>H17*(C18/C17)^(('Goal Seek 6th order'!$P$26-1)/'Goal Seek 6th order'!$P$26)</f>
        <v>2831.0809979382211</v>
      </c>
      <c r="I18" s="97">
        <f>(((4.7*10^13)*'Goal Seek 6th order'!$J$12*('Goal Seek 6th order'!$I$12^0.5)*(EXP(-67837/H18))/('Goal Seek 6th order'!$P$27*6))*('Goal Seek 6th order'!$P$28*10^-6))</f>
        <v>1.6050176040070228E-8</v>
      </c>
      <c r="L18" s="37">
        <f>L17*(C18/C17)^(('Goal Seek 6th order'!$P$26-1)/'Goal Seek 6th order'!$P$26)</f>
        <v>2812.0663265975199</v>
      </c>
      <c r="M18" s="97">
        <f>(((4.7*10^13)*'Goal Seek 6th order'!$J$13*('Goal Seek 6th order'!$I$13^0.5)*(EXP(-67837/L18))/('Goal Seek 6th order'!$P$27*6))*('Goal Seek 6th order'!$P$28*10^-6))</f>
        <v>1.9307971763711233E-8</v>
      </c>
      <c r="P18" s="37">
        <f>P17*(C18/C17)^(('Goal Seek 6th order'!$P$26-1)/'Goal Seek 6th order'!$P$26)</f>
        <v>2793.0275816265134</v>
      </c>
      <c r="Q18" s="97">
        <f>(((4.7*10^13)*'Goal Seek 6th order'!$J$14*('Goal Seek 6th order'!$I$14^0.5)*(EXP(-67837/P18))/('Goal Seek 6th order'!$P$27*6))*('Goal Seek 6th order'!$P$28*10^-6))</f>
        <v>2.0066663307688985E-8</v>
      </c>
      <c r="T18" s="37">
        <f>T17*(C18/C17)^(('Goal Seek 6th order'!$P$26-1)/'Goal Seek 6th order'!$P$26)</f>
        <v>2773.8367314983961</v>
      </c>
      <c r="U18" s="97">
        <f>(((4.7*10^13)*'Goal Seek 6th order'!$J$15*('Goal Seek 6th order'!$I$15^0.5)*(EXP(-67837/T18))/('Goal Seek 6th order'!$P$27*6))*('Goal Seek 6th order'!$P$28*10^-6))</f>
        <v>1.9591819053951809E-8</v>
      </c>
      <c r="W18" s="59"/>
      <c r="X18" s="37">
        <f>X17*(C18/C17)^(('Goal Seek 6th order'!$P$26-1)/'Goal Seek 6th order'!$P$26)</f>
        <v>2754.6187626981068</v>
      </c>
      <c r="Y18" s="97">
        <f>(((4.7*10^13)*'Goal Seek 6th order'!$J$16*('Goal Seek 6th order'!$I$16^0.5)*(EXP(-67837/X18))/('Goal Seek 6th order'!$P$27*6))*('Goal Seek 6th order'!$P$28*10^-6))</f>
        <v>1.8473019777391525E-8</v>
      </c>
      <c r="AA18" s="59"/>
      <c r="AB18" s="37">
        <f>AB17*(C18/C17)^(('Goal Seek 6th order'!$P$26-1)/'Goal Seek 6th order'!$P$26)</f>
        <v>2657.4379276223626</v>
      </c>
      <c r="AC18" s="97">
        <f>(((4.7*10^13)*'Goal Seek 6th order'!$J$17*('Goal Seek 6th order'!$I$17^0.5)*(EXP(-67837/AB18))/('Goal Seek 6th order'!$P$27*6))*('Goal Seek 6th order'!$P$28*10^-6))</f>
        <v>1.062856712002149E-8</v>
      </c>
      <c r="AE18" s="59"/>
      <c r="AF18" s="37">
        <f>AF17*(C18/C17)^(('Goal Seek 6th order'!$P$26-1)/'Goal Seek 6th order'!$P$26)</f>
        <v>2558.3104960763212</v>
      </c>
      <c r="AG18" s="97">
        <f>(((4.7*10^13)*'Goal Seek 6th order'!$J$18*('Goal Seek 6th order'!$I$18^0.5)*(EXP(-67837/AF18))/('Goal Seek 6th order'!$P$27*6))*('Goal Seek 6th order'!$P$28*10^-6))</f>
        <v>4.8472488052728606E-9</v>
      </c>
      <c r="AI18" s="59"/>
      <c r="AJ18" s="37">
        <f>AJ17*(C18/C17)^(('Goal Seek 6th order'!$P$26-1)/'Goal Seek 6th order'!$P$26)</f>
        <v>2457.0657294925181</v>
      </c>
      <c r="AK18" s="97">
        <f>(((4.7*10^13)*'Goal Seek 6th order'!$J$19*('Goal Seek 6th order'!$I$19^0.5)*(EXP(-67837/AJ18))/('Goal Seek 6th order'!$P$27*6))*('Goal Seek 6th order'!$P$28*10^-6))</f>
        <v>1.8792551067727548E-9</v>
      </c>
      <c r="AM18" s="59"/>
      <c r="AN18" s="37">
        <f>AN17*(C18/C17)^(('Goal Seek 6th order'!$P$26-1)/'Goal Seek 6th order'!$P$26)</f>
        <v>2353.5396208887742</v>
      </c>
      <c r="AO18" s="37">
        <f>(((4.7*10^13)*'Goal Seek 6th order'!$J$20*('Goal Seek 6th order'!$I$20^0.5)*(EXP(-67837/AN18))/('Goal Seek 6th order'!$P$27*6))*('Goal Seek 6th order'!$P$28*10^-6))</f>
        <v>6.2453086816350452E-10</v>
      </c>
      <c r="AQ18" s="59"/>
      <c r="AR18" s="37">
        <f>AR17*(C18/C17)^(('Goal Seek 6th order'!$P$26-1)/'Goal Seek 6th order'!$P$26)</f>
        <v>2247.5665123422104</v>
      </c>
      <c r="AS18" s="37">
        <f>(((4.7*10^13)*'Goal Seek 6th order'!$J$21*('Goal Seek 6th order'!$I$21^0.5)*(EXP(-67837/AR18))/('Goal Seek 6th order'!$P$27*6))*('Goal Seek 6th order'!$P$28*10^-6))</f>
        <v>1.759815883242986E-10</v>
      </c>
      <c r="AU18" s="59"/>
      <c r="AV18" s="37">
        <f>AV17*(C18/C17)^(('Goal Seek 6th order'!$P$26-1)/'Goal Seek 6th order'!$P$26)</f>
        <v>2138.9773210044732</v>
      </c>
      <c r="AW18" s="37">
        <f>(((4.7*10^13)*'Goal Seek 6th order'!$J$22*('Goal Seek 6th order'!$I$22^0.5)*(EXP(-67837/AV18))/('Goal Seek 6th order'!$P$27*6))*('Goal Seek 6th order'!$P$28*10^-6))</f>
        <v>4.1117503248773124E-11</v>
      </c>
      <c r="AY18" s="59"/>
      <c r="AZ18" s="37">
        <f>AZ17*(C18/C17)^(('Goal Seek 6th order'!$P$26-1)/'Goal Seek 6th order'!$P$26)</f>
        <v>2015.4294887329213</v>
      </c>
      <c r="BA18" s="37">
        <f>(((4.7*10^13)*'Goal Seek 6th order'!$J$23*('Goal Seek 6th order'!$I$23^0.5)*(EXP(-67837/AZ18))/('Goal Seek 6th order'!$P$27*6))*('Goal Seek 6th order'!$P$28*10^-6))</f>
        <v>6.298459204872745E-12</v>
      </c>
      <c r="BC18" s="59"/>
    </row>
    <row r="19" spans="2:55" x14ac:dyDescent="0.3">
      <c r="B19" s="42">
        <v>13</v>
      </c>
      <c r="C19" s="42">
        <v>36</v>
      </c>
      <c r="D19" s="37">
        <f>D18*(C19/C18)^(('Goal Seek 6th order'!$P$26-1)/'Goal Seek 6th order'!$P$26)</f>
        <v>2873.7992380749142</v>
      </c>
      <c r="E19" s="97">
        <f>(((4.7*10^13)*'Goal Seek 6th order'!$J$11*('Goal Seek 6th order'!$I$11^0.5)*(EXP(-67837/D19))/('Goal Seek 6th order'!$P$27*6))*('Goal Seek 6th order'!$P$28*10^-6))</f>
        <v>0</v>
      </c>
      <c r="F19" s="3"/>
      <c r="G19" s="3"/>
      <c r="H19" s="37">
        <f>H18*(C19/C18)^(('Goal Seek 6th order'!$P$26-1)/'Goal Seek 6th order'!$P$26)</f>
        <v>2854.6912266355275</v>
      </c>
      <c r="I19" s="97">
        <f>(((4.7*10^13)*'Goal Seek 6th order'!$J$12*('Goal Seek 6th order'!$I$12^0.5)*(EXP(-67837/H19))/('Goal Seek 6th order'!$P$27*6))*('Goal Seek 6th order'!$P$28*10^-6))</f>
        <v>1.9568043371897264E-8</v>
      </c>
      <c r="L19" s="37">
        <f>L18*(C19/C18)^(('Goal Seek 6th order'!$P$26-1)/'Goal Seek 6th order'!$P$26)</f>
        <v>2835.5179795637591</v>
      </c>
      <c r="M19" s="97">
        <f>(((4.7*10^13)*'Goal Seek 6th order'!$J$13*('Goal Seek 6th order'!$I$13^0.5)*(EXP(-67837/L19))/('Goal Seek 6th order'!$P$27*6))*('Goal Seek 6th order'!$P$28*10^-6))</f>
        <v>2.3571446272708061E-8</v>
      </c>
      <c r="P19" s="37">
        <f>P18*(C19/C18)^(('Goal Seek 6th order'!$P$26-1)/'Goal Seek 6th order'!$P$26)</f>
        <v>2816.320458096</v>
      </c>
      <c r="Q19" s="97">
        <f>(((4.7*10^13)*'Goal Seek 6th order'!$J$14*('Goal Seek 6th order'!$I$14^0.5)*(EXP(-67837/P19))/('Goal Seek 6th order'!$P$27*6))*('Goal Seek 6th order'!$P$28*10^-6))</f>
        <v>2.4531007668277687E-8</v>
      </c>
      <c r="T19" s="37">
        <f>T18*(C19/C18)^(('Goal Seek 6th order'!$P$26-1)/'Goal Seek 6th order'!$P$26)</f>
        <v>2796.9695629671392</v>
      </c>
      <c r="U19" s="97">
        <f>(((4.7*10^13)*'Goal Seek 6th order'!$J$15*('Goal Seek 6th order'!$I$15^0.5)*(EXP(-67837/T19))/('Goal Seek 6th order'!$P$27*6))*('Goal Seek 6th order'!$P$28*10^-6))</f>
        <v>2.3983831197378414E-8</v>
      </c>
      <c r="W19" s="59"/>
      <c r="X19" s="37">
        <f>X18*(C19/C18)^(('Goal Seek 6th order'!$P$26-1)/'Goal Seek 6th order'!$P$26)</f>
        <v>2777.5913230058327</v>
      </c>
      <c r="Y19" s="97">
        <f>(((4.7*10^13)*'Goal Seek 6th order'!$J$16*('Goal Seek 6th order'!$I$16^0.5)*(EXP(-67837/X19))/('Goal Seek 6th order'!$P$27*6))*('Goal Seek 6th order'!$P$28*10^-6))</f>
        <v>2.2646158732775826E-8</v>
      </c>
      <c r="AA19" s="59"/>
      <c r="AB19" s="37">
        <f>AB18*(C19/C18)^(('Goal Seek 6th order'!$P$26-1)/'Goal Seek 6th order'!$P$26)</f>
        <v>2679.6000336397292</v>
      </c>
      <c r="AC19" s="97">
        <f>(((4.7*10^13)*'Goal Seek 6th order'!$J$17*('Goal Seek 6th order'!$I$17^0.5)*(EXP(-67837/AB19))/('Goal Seek 6th order'!$P$27*6))*('Goal Seek 6th order'!$P$28*10^-6))</f>
        <v>1.3127020864639156E-8</v>
      </c>
      <c r="AE19" s="59"/>
      <c r="AF19" s="37">
        <f>AF18*(C19/C18)^(('Goal Seek 6th order'!$P$26-1)/'Goal Seek 6th order'!$P$26)</f>
        <v>2579.6459138672885</v>
      </c>
      <c r="AG19" s="97">
        <f>(((4.7*10^13)*'Goal Seek 6th order'!$J$18*('Goal Seek 6th order'!$I$18^0.5)*(EXP(-67837/AF19))/('Goal Seek 6th order'!$P$27*6))*('Goal Seek 6th order'!$P$28*10^-6))</f>
        <v>6.035865557582124E-9</v>
      </c>
      <c r="AI19" s="59"/>
      <c r="AJ19" s="37">
        <f>AJ18*(C19/C18)^(('Goal Seek 6th order'!$P$26-1)/'Goal Seek 6th order'!$P$26)</f>
        <v>2477.5568012209073</v>
      </c>
      <c r="AK19" s="97">
        <f>(((4.7*10^13)*'Goal Seek 6th order'!$J$19*('Goal Seek 6th order'!$I$19^0.5)*(EXP(-67837/AJ19))/('Goal Seek 6th order'!$P$27*6))*('Goal Seek 6th order'!$P$28*10^-6))</f>
        <v>2.361318539682485E-9</v>
      </c>
      <c r="AM19" s="59"/>
      <c r="AN19" s="37">
        <f>AN18*(C19/C18)^(('Goal Seek 6th order'!$P$26-1)/'Goal Seek 6th order'!$P$26)</f>
        <v>2373.1673209573428</v>
      </c>
      <c r="AO19" s="37">
        <f>(((4.7*10^13)*'Goal Seek 6th order'!$J$20*('Goal Seek 6th order'!$I$20^0.5)*(EXP(-67837/AN19))/('Goal Seek 6th order'!$P$27*6))*('Goal Seek 6th order'!$P$28*10^-6))</f>
        <v>7.9265632018703895E-10</v>
      </c>
      <c r="AQ19" s="59"/>
      <c r="AR19" s="37">
        <f>AR18*(C19/C18)^(('Goal Seek 6th order'!$P$26-1)/'Goal Seek 6th order'!$P$26)</f>
        <v>2266.3104336243823</v>
      </c>
      <c r="AS19" s="37">
        <f>(((4.7*10^13)*'Goal Seek 6th order'!$J$21*('Goal Seek 6th order'!$I$21^0.5)*(EXP(-67837/AR19))/('Goal Seek 6th order'!$P$27*6))*('Goal Seek 6th order'!$P$28*10^-6))</f>
        <v>2.258810275245112E-10</v>
      </c>
      <c r="AU19" s="59"/>
      <c r="AV19" s="37">
        <f>AV18*(C19/C18)^(('Goal Seek 6th order'!$P$26-1)/'Goal Seek 6th order'!$P$26)</f>
        <v>2156.8156462816537</v>
      </c>
      <c r="AW19" s="37">
        <f>(((4.7*10^13)*'Goal Seek 6th order'!$J$22*('Goal Seek 6th order'!$I$22^0.5)*(EXP(-67837/AV19))/('Goal Seek 6th order'!$P$27*6))*('Goal Seek 6th order'!$P$28*10^-6))</f>
        <v>5.3449423059492093E-11</v>
      </c>
      <c r="AY19" s="59"/>
      <c r="AZ19" s="37">
        <f>AZ18*(C19/C18)^(('Goal Seek 6th order'!$P$26-1)/'Goal Seek 6th order'!$P$26)</f>
        <v>2032.2374681538329</v>
      </c>
      <c r="BA19" s="37">
        <f>(((4.7*10^13)*'Goal Seek 6th order'!$J$23*('Goal Seek 6th order'!$I$23^0.5)*(EXP(-67837/AZ19))/('Goal Seek 6th order'!$P$27*6))*('Goal Seek 6th order'!$P$28*10^-6))</f>
        <v>8.3202004372573823E-12</v>
      </c>
      <c r="BC19" s="59"/>
    </row>
    <row r="20" spans="2:55" x14ac:dyDescent="0.3">
      <c r="B20" s="42">
        <v>14</v>
      </c>
      <c r="C20" s="42">
        <v>38</v>
      </c>
      <c r="D20" s="37">
        <f>D19*(C20/C19)^(('Goal Seek 6th order'!$P$26-1)/'Goal Seek 6th order'!$P$26)</f>
        <v>2896.4644896188643</v>
      </c>
      <c r="E20" s="97">
        <f>(((4.7*10^13)*'Goal Seek 6th order'!$J$11*('Goal Seek 6th order'!$I$11^0.5)*(EXP(-67837/D20))/('Goal Seek 6th order'!$P$27*6))*('Goal Seek 6th order'!$P$28*10^-6))</f>
        <v>0</v>
      </c>
      <c r="F20" s="3"/>
      <c r="G20" s="3"/>
      <c r="H20" s="37">
        <f>H19*(C20/C19)^(('Goal Seek 6th order'!$P$26-1)/'Goal Seek 6th order'!$P$26)</f>
        <v>2877.2057759731297</v>
      </c>
      <c r="I20" s="97">
        <f>(((4.7*10^13)*'Goal Seek 6th order'!$J$12*('Goal Seek 6th order'!$I$12^0.5)*(EXP(-67837/H20))/('Goal Seek 6th order'!$P$27*6))*('Goal Seek 6th order'!$P$28*10^-6))</f>
        <v>2.3567045433988097E-8</v>
      </c>
      <c r="L20" s="37">
        <f>L19*(C20/C19)^(('Goal Seek 6th order'!$P$26-1)/'Goal Seek 6th order'!$P$26)</f>
        <v>2857.8813121907301</v>
      </c>
      <c r="M20" s="97">
        <f>(((4.7*10^13)*'Goal Seek 6th order'!$J$13*('Goal Seek 6th order'!$I$13^0.5)*(EXP(-67837/L20))/('Goal Seek 6th order'!$P$27*6))*('Goal Seek 6th order'!$P$28*10^-6))</f>
        <v>2.8424316870744793E-8</v>
      </c>
      <c r="N20" s="59"/>
      <c r="P20" s="37">
        <f>P19*(C20/C19)^(('Goal Seek 6th order'!$P$26-1)/'Goal Seek 6th order'!$P$26)</f>
        <v>2838.5323825635833</v>
      </c>
      <c r="Q20" s="97">
        <f>(((4.7*10^13)*'Goal Seek 6th order'!$J$14*('Goal Seek 6th order'!$I$14^0.5)*(EXP(-67837/P20))/('Goal Seek 6th order'!$P$27*6))*('Goal Seek 6th order'!$P$28*10^-6))</f>
        <v>2.9619205394491912E-8</v>
      </c>
      <c r="T20" s="37">
        <f>T19*(C20/C19)^(('Goal Seek 6th order'!$P$26-1)/'Goal Seek 6th order'!$P$26)</f>
        <v>2819.0288696387797</v>
      </c>
      <c r="U20" s="97">
        <f>(((4.7*10^13)*'Goal Seek 6th order'!$J$15*('Goal Seek 6th order'!$I$15^0.5)*(EXP(-67837/T20))/('Goal Seek 6th order'!$P$27*6))*('Goal Seek 6th order'!$P$28*10^-6))</f>
        <v>2.8996321772001581E-8</v>
      </c>
      <c r="W20" s="59"/>
      <c r="X20" s="37">
        <f>X19*(C20/C19)^(('Goal Seek 6th order'!$P$26-1)/'Goal Seek 6th order'!$P$26)</f>
        <v>2799.4977962166722</v>
      </c>
      <c r="Y20" s="97">
        <f>(((4.7*10^13)*'Goal Seek 6th order'!$J$16*('Goal Seek 6th order'!$I$16^0.5)*(EXP(-67837/X20))/('Goal Seek 6th order'!$P$27*6))*('Goal Seek 6th order'!$P$28*10^-6))</f>
        <v>2.7415359377720257E-8</v>
      </c>
      <c r="AA20" s="59"/>
      <c r="AB20" s="37">
        <f>AB19*(C20/C19)^(('Goal Seek 6th order'!$P$26-1)/'Goal Seek 6th order'!$P$26)</f>
        <v>2700.7336632944944</v>
      </c>
      <c r="AC20" s="97">
        <f>(((4.7*10^13)*'Goal Seek 6th order'!$J$17*('Goal Seek 6th order'!$I$17^0.5)*(EXP(-67837/AB20))/('Goal Seek 6th order'!$P$27*6))*('Goal Seek 6th order'!$P$28*10^-6))</f>
        <v>1.6002977973704842E-8</v>
      </c>
      <c r="AE20" s="59"/>
      <c r="AF20" s="37">
        <f>AF19*(C20/C19)^(('Goal Seek 6th order'!$P$26-1)/'Goal Seek 6th order'!$P$26)</f>
        <v>2599.9912193978485</v>
      </c>
      <c r="AG20" s="97">
        <f>(((4.7*10^13)*'Goal Seek 6th order'!$J$18*('Goal Seek 6th order'!$I$18^0.5)*(EXP(-67837/AF20))/('Goal Seek 6th order'!$P$27*6))*('Goal Seek 6th order'!$P$28*10^-6))</f>
        <v>7.4149425911829475E-9</v>
      </c>
      <c r="AI20" s="59"/>
      <c r="AJ20" s="37">
        <f>AJ19*(C20/C19)^(('Goal Seek 6th order'!$P$26-1)/'Goal Seek 6th order'!$P$26)</f>
        <v>2497.0969442378955</v>
      </c>
      <c r="AK20" s="97">
        <f>(((4.7*10^13)*'Goal Seek 6th order'!$J$19*('Goal Seek 6th order'!$I$19^0.5)*(EXP(-67837/AJ20))/('Goal Seek 6th order'!$P$27*6))*('Goal Seek 6th order'!$P$28*10^-6))</f>
        <v>2.9255348786158441E-9</v>
      </c>
      <c r="AM20" s="59"/>
      <c r="AN20" s="37">
        <f>AN19*(C20/C19)^(('Goal Seek 6th order'!$P$26-1)/'Goal Seek 6th order'!$P$26)</f>
        <v>2391.8841587839861</v>
      </c>
      <c r="AO20" s="37">
        <f>(((4.7*10^13)*'Goal Seek 6th order'!$J$20*('Goal Seek 6th order'!$I$20^0.5)*(EXP(-67837/AN20))/('Goal Seek 6th order'!$P$27*6))*('Goal Seek 6th order'!$P$28*10^-6))</f>
        <v>9.9135383122086419E-10</v>
      </c>
      <c r="AQ20" s="59"/>
      <c r="AR20" s="37">
        <f>AR19*(C20/C19)^(('Goal Seek 6th order'!$P$26-1)/'Goal Seek 6th order'!$P$26)</f>
        <v>2284.1845061671756</v>
      </c>
      <c r="AS20" s="37">
        <f>(((4.7*10^13)*'Goal Seek 6th order'!$J$21*('Goal Seek 6th order'!$I$21^0.5)*(EXP(-67837/AR20))/('Goal Seek 6th order'!$P$27*6))*('Goal Seek 6th order'!$P$28*10^-6))</f>
        <v>2.8549851958555405E-10</v>
      </c>
      <c r="AU20" s="59"/>
      <c r="AV20" s="37">
        <f>AV19*(C20/C19)^(('Goal Seek 6th order'!$P$26-1)/'Goal Seek 6th order'!$P$26)</f>
        <v>2173.8261487931818</v>
      </c>
      <c r="AW20" s="37">
        <f>(((4.7*10^13)*'Goal Seek 6th order'!$J$22*('Goal Seek 6th order'!$I$22^0.5)*(EXP(-67837/AV20))/('Goal Seek 6th order'!$P$27*6))*('Goal Seek 6th order'!$P$28*10^-6))</f>
        <v>6.8364610298834928E-11</v>
      </c>
      <c r="AY20" s="59"/>
      <c r="AZ20" s="37">
        <f>AZ19*(C20/C19)^(('Goal Seek 6th order'!$P$26-1)/'Goal Seek 6th order'!$P$26)</f>
        <v>2048.2654400464003</v>
      </c>
      <c r="BA20" s="37">
        <f>(((4.7*10^13)*'Goal Seek 6th order'!$J$23*('Goal Seek 6th order'!$I$23^0.5)*(EXP(-67837/AZ20))/('Goal Seek 6th order'!$P$27*6))*('Goal Seek 6th order'!$P$28*10^-6))</f>
        <v>1.0803748604792377E-11</v>
      </c>
      <c r="BC20" s="59"/>
    </row>
    <row r="21" spans="2:55" x14ac:dyDescent="0.3">
      <c r="B21" s="42">
        <v>15</v>
      </c>
      <c r="C21" s="42">
        <v>40</v>
      </c>
      <c r="D21" s="37">
        <f>D20*(C21/C20)^(('Goal Seek 6th order'!$P$26-1)/'Goal Seek 6th order'!$P$26)</f>
        <v>2918.1321109398614</v>
      </c>
      <c r="E21" s="97">
        <f>(((4.7*10^13)*'Goal Seek 6th order'!$J$11*('Goal Seek 6th order'!$I$11^0.5)*(EXP(-67837/D21))/('Goal Seek 6th order'!$P$27*6))*('Goal Seek 6th order'!$P$28*10^-6))</f>
        <v>0</v>
      </c>
      <c r="F21" s="3"/>
      <c r="G21" s="3"/>
      <c r="H21" s="37">
        <f>H20*(C21/C20)^(('Goal Seek 6th order'!$P$26-1)/'Goal Seek 6th order'!$P$26)</f>
        <v>2898.729328372895</v>
      </c>
      <c r="I21" s="97">
        <f>(((4.7*10^13)*'Goal Seek 6th order'!$J$12*('Goal Seek 6th order'!$I$12^0.5)*(EXP(-67837/H21))/('Goal Seek 6th order'!$P$27*6))*('Goal Seek 6th order'!$P$28*10^-6))</f>
        <v>2.8076008799856089E-8</v>
      </c>
      <c r="L21" s="37">
        <f>L20*(C21/C20)^(('Goal Seek 6th order'!$P$26-1)/'Goal Seek 6th order'!$P$26)</f>
        <v>2879.2603038113216</v>
      </c>
      <c r="M21" s="97">
        <f>(((4.7*10^13)*'Goal Seek 6th order'!$J$13*('Goal Seek 6th order'!$I$13^0.5)*(EXP(-67837/L21))/('Goal Seek 6th order'!$P$27*6))*('Goal Seek 6th order'!$P$28*10^-6))</f>
        <v>3.3902706435210519E-8</v>
      </c>
      <c r="P21" s="37">
        <f>P20*(C21/C20)^(('Goal Seek 6th order'!$P$26-1)/'Goal Seek 6th order'!$P$26)</f>
        <v>2859.7666303830233</v>
      </c>
      <c r="Q21" s="97">
        <f>(((4.7*10^13)*'Goal Seek 6th order'!$J$14*('Goal Seek 6th order'!$I$14^0.5)*(EXP(-67837/P21))/('Goal Seek 6th order'!$P$27*6))*('Goal Seek 6th order'!$P$28*10^-6))</f>
        <v>3.5370361858445073E-8</v>
      </c>
      <c r="T21" s="37">
        <f>T20*(C21/C20)^(('Goal Seek 6th order'!$P$26-1)/'Goal Seek 6th order'!$P$26)</f>
        <v>2840.1172172636902</v>
      </c>
      <c r="U21" s="97">
        <f>(((4.7*10^13)*'Goal Seek 6th order'!$J$15*('Goal Seek 6th order'!$I$15^0.5)*(EXP(-67837/T21))/('Goal Seek 6th order'!$P$27*6))*('Goal Seek 6th order'!$P$28*10^-6))</f>
        <v>3.4669070134192399E-8</v>
      </c>
      <c r="W21" s="59"/>
      <c r="X21" s="37">
        <f>X20*(C21/C20)^(('Goal Seek 6th order'!$P$26-1)/'Goal Seek 6th order'!$P$26)</f>
        <v>2820.4400374748657</v>
      </c>
      <c r="Y21" s="97">
        <f>(((4.7*10^13)*'Goal Seek 6th order'!$J$16*('Goal Seek 6th order'!$I$16^0.5)*(EXP(-67837/X21))/('Goal Seek 6th order'!$P$27*6))*('Goal Seek 6th order'!$P$28*10^-6))</f>
        <v>3.2819700093962704E-8</v>
      </c>
      <c r="AA21" s="59"/>
      <c r="AB21" s="37">
        <f>AB20*(C21/C20)^(('Goal Seek 6th order'!$P$26-1)/'Goal Seek 6th order'!$P$26)</f>
        <v>2720.9370783596087</v>
      </c>
      <c r="AC21" s="97">
        <f>(((4.7*10^13)*'Goal Seek 6th order'!$J$17*('Goal Seek 6th order'!$I$17^0.5)*(EXP(-67837/AB21))/('Goal Seek 6th order'!$P$27*6))*('Goal Seek 6th order'!$P$28*10^-6))</f>
        <v>1.9284084569252945E-8</v>
      </c>
      <c r="AE21" s="59"/>
      <c r="AF21" s="37">
        <f>AF20*(C21/C20)^(('Goal Seek 6th order'!$P$26-1)/'Goal Seek 6th order'!$P$26)</f>
        <v>2619.4410090920569</v>
      </c>
      <c r="AG21" s="97">
        <f>(((4.7*10^13)*'Goal Seek 6th order'!$J$18*('Goal Seek 6th order'!$I$18^0.5)*(EXP(-67837/AF21))/('Goal Seek 6th order'!$P$27*6))*('Goal Seek 6th order'!$P$28*10^-6))</f>
        <v>9.0000406099272138E-9</v>
      </c>
      <c r="AI21" s="59"/>
      <c r="AJ21" s="37">
        <f>AJ20*(C21/C20)^(('Goal Seek 6th order'!$P$26-1)/'Goal Seek 6th order'!$P$26)</f>
        <v>2515.7770113277861</v>
      </c>
      <c r="AK21" s="97">
        <f>(((4.7*10^13)*'Goal Seek 6th order'!$J$19*('Goal Seek 6th order'!$I$19^0.5)*(EXP(-67837/AJ21))/('Goal Seek 6th order'!$P$27*6))*('Goal Seek 6th order'!$P$28*10^-6))</f>
        <v>3.5793886371855338E-9</v>
      </c>
      <c r="AM21" s="59"/>
      <c r="AN21" s="37">
        <f>AN20*(C21/C20)^(('Goal Seek 6th order'!$P$26-1)/'Goal Seek 6th order'!$P$26)</f>
        <v>2409.7771591580536</v>
      </c>
      <c r="AO21" s="37">
        <f>(((4.7*10^13)*'Goal Seek 6th order'!$J$20*('Goal Seek 6th order'!$I$20^0.5)*(EXP(-67837/AN21))/('Goal Seek 6th order'!$P$27*6))*('Goal Seek 6th order'!$P$28*10^-6))</f>
        <v>1.2237303140510143E-9</v>
      </c>
      <c r="AQ21" s="59"/>
      <c r="AR21" s="37">
        <f>AR20*(C21/C20)^(('Goal Seek 6th order'!$P$26-1)/'Goal Seek 6th order'!$P$26)</f>
        <v>2301.2718362843943</v>
      </c>
      <c r="AS21" s="37">
        <f>(((4.7*10^13)*'Goal Seek 6th order'!$J$21*('Goal Seek 6th order'!$I$21^0.5)*(EXP(-67837/AR21))/('Goal Seek 6th order'!$P$27*6))*('Goal Seek 6th order'!$P$28*10^-6))</f>
        <v>3.5593697304535224E-10</v>
      </c>
      <c r="AU21" s="59"/>
      <c r="AV21" s="37">
        <f>AV20*(C21/C20)^(('Goal Seek 6th order'!$P$26-1)/'Goal Seek 6th order'!$P$26)</f>
        <v>2190.0879196446967</v>
      </c>
      <c r="AW21" s="37">
        <f>(((4.7*10^13)*'Goal Seek 6th order'!$J$22*('Goal Seek 6th order'!$I$22^0.5)*(EXP(-67837/AV21))/('Goal Seek 6th order'!$P$27*6))*('Goal Seek 6th order'!$P$28*10^-6))</f>
        <v>8.6191113170194083E-11</v>
      </c>
      <c r="AY21" s="59"/>
      <c r="AZ21" s="37">
        <f>AZ20*(C21/C20)^(('Goal Seek 6th order'!$P$26-1)/'Goal Seek 6th order'!$P$26)</f>
        <v>2063.5879271954318</v>
      </c>
      <c r="BA21" s="37">
        <f>(((4.7*10^13)*'Goal Seek 6th order'!$J$23*('Goal Seek 6th order'!$I$23^0.5)*(EXP(-67837/AZ21))/('Goal Seek 6th order'!$P$27*6))*('Goal Seek 6th order'!$P$28*10^-6))</f>
        <v>1.3815748110173158E-11</v>
      </c>
      <c r="BC21" s="59"/>
    </row>
    <row r="22" spans="2:55" x14ac:dyDescent="0.3">
      <c r="W22" s="59"/>
      <c r="AA22" s="59"/>
      <c r="AE22" s="59"/>
      <c r="AI22" s="59"/>
      <c r="AM22" s="59"/>
      <c r="AQ22" s="59"/>
      <c r="AU22" s="59"/>
      <c r="AY22" s="59"/>
      <c r="BC22" s="59"/>
    </row>
    <row r="23" spans="2:55" s="3" customFormat="1" ht="13.2" x14ac:dyDescent="0.25">
      <c r="D23" s="131"/>
      <c r="E23" s="131"/>
      <c r="F23" s="131"/>
      <c r="H23" s="131"/>
      <c r="I23" s="131"/>
      <c r="J23" s="131"/>
      <c r="L23" s="131"/>
      <c r="M23" s="131"/>
      <c r="N23" s="131"/>
      <c r="P23" s="131"/>
      <c r="Q23" s="131"/>
      <c r="R23" s="131"/>
      <c r="T23" s="131"/>
      <c r="U23" s="131"/>
      <c r="V23" s="131"/>
      <c r="X23" s="131"/>
      <c r="Y23" s="131"/>
      <c r="Z23" s="131"/>
      <c r="AB23" s="131"/>
      <c r="AC23" s="131"/>
      <c r="AD23" s="131"/>
      <c r="AF23" s="131"/>
      <c r="AG23" s="131"/>
      <c r="AH23" s="131"/>
      <c r="AJ23" s="131"/>
      <c r="AK23" s="131"/>
      <c r="AL23" s="131"/>
      <c r="AN23" s="131"/>
      <c r="AO23" s="131"/>
      <c r="AP23" s="131"/>
      <c r="AR23" s="131"/>
      <c r="AS23" s="131"/>
      <c r="AT23" s="131"/>
      <c r="AV23" s="131"/>
      <c r="AW23" s="131"/>
      <c r="AX23" s="131"/>
      <c r="AZ23" s="131"/>
      <c r="BA23" s="131"/>
      <c r="BB23" s="131"/>
    </row>
    <row r="24" spans="2:55" x14ac:dyDescent="0.3">
      <c r="B24" s="132" t="s">
        <v>120</v>
      </c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2"/>
      <c r="W24" s="132"/>
      <c r="X24" s="132"/>
      <c r="Y24" s="132"/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  <c r="AJ24" s="132"/>
      <c r="AK24" s="132"/>
      <c r="AL24" s="132"/>
      <c r="AM24" s="132"/>
      <c r="AN24" s="132"/>
      <c r="AO24" s="132"/>
      <c r="AP24" s="132"/>
      <c r="AQ24" s="132"/>
      <c r="AR24" s="132"/>
      <c r="AS24" s="132"/>
      <c r="AT24" s="132"/>
      <c r="AU24" s="132"/>
      <c r="AV24" s="132"/>
      <c r="AW24" s="132"/>
      <c r="AX24" s="132"/>
      <c r="AY24" s="132"/>
      <c r="AZ24" s="132"/>
      <c r="BA24" s="132"/>
      <c r="BB24" s="132"/>
    </row>
    <row r="25" spans="2:55" x14ac:dyDescent="0.3">
      <c r="W25" s="59"/>
      <c r="AA25" s="59"/>
      <c r="AE25" s="59"/>
      <c r="AI25" s="59"/>
      <c r="AM25" s="59"/>
      <c r="AQ25" s="59"/>
      <c r="AU25" s="59"/>
      <c r="AY25" s="59"/>
      <c r="BC25" s="59"/>
    </row>
    <row r="26" spans="2:55" x14ac:dyDescent="0.3">
      <c r="C26" s="29" t="s">
        <v>106</v>
      </c>
      <c r="D26" s="102">
        <v>1</v>
      </c>
      <c r="E26" s="102"/>
      <c r="F26" s="102"/>
      <c r="G26" s="59"/>
      <c r="H26" s="118">
        <v>0.99</v>
      </c>
      <c r="I26" s="119"/>
      <c r="J26" s="120"/>
      <c r="K26" s="59"/>
      <c r="L26" s="118">
        <v>0.98</v>
      </c>
      <c r="M26" s="119"/>
      <c r="N26" s="120"/>
      <c r="O26" s="59"/>
      <c r="P26" s="118">
        <v>0.97</v>
      </c>
      <c r="Q26" s="119"/>
      <c r="R26" s="120"/>
      <c r="S26" s="59"/>
      <c r="T26" s="118">
        <v>0.96</v>
      </c>
      <c r="U26" s="119"/>
      <c r="V26" s="120"/>
      <c r="W26" s="59"/>
      <c r="X26" s="118">
        <v>0.95</v>
      </c>
      <c r="Y26" s="119"/>
      <c r="Z26" s="120"/>
      <c r="AA26" s="59"/>
      <c r="AB26" s="118">
        <v>0.9</v>
      </c>
      <c r="AC26" s="119"/>
      <c r="AD26" s="120"/>
      <c r="AE26" s="59"/>
      <c r="AF26" s="118">
        <v>0.85</v>
      </c>
      <c r="AG26" s="119"/>
      <c r="AH26" s="120"/>
      <c r="AI26" s="59"/>
      <c r="AJ26" s="118">
        <v>0.8</v>
      </c>
      <c r="AK26" s="119"/>
      <c r="AL26" s="120"/>
      <c r="AM26" s="59"/>
      <c r="AN26" s="118">
        <v>0.75</v>
      </c>
      <c r="AO26" s="119"/>
      <c r="AP26" s="120"/>
      <c r="AQ26" s="59"/>
      <c r="AR26" s="118">
        <v>0.7</v>
      </c>
      <c r="AS26" s="119"/>
      <c r="AT26" s="120"/>
      <c r="AU26" s="59"/>
      <c r="AV26" s="118">
        <v>0.65</v>
      </c>
      <c r="AW26" s="119"/>
      <c r="AX26" s="120"/>
      <c r="AY26" s="59"/>
      <c r="AZ26" s="118">
        <v>0.6</v>
      </c>
      <c r="BA26" s="119"/>
      <c r="BB26" s="120"/>
      <c r="BC26" s="59"/>
    </row>
    <row r="27" spans="2:55" x14ac:dyDescent="0.3">
      <c r="B27" s="58" t="s">
        <v>107</v>
      </c>
      <c r="C27" s="30" t="s">
        <v>105</v>
      </c>
      <c r="D27" s="58" t="s">
        <v>103</v>
      </c>
      <c r="E27" s="58" t="s">
        <v>104</v>
      </c>
      <c r="F27" s="58" t="s">
        <v>108</v>
      </c>
      <c r="G27" s="59"/>
      <c r="H27" s="58" t="s">
        <v>103</v>
      </c>
      <c r="I27" s="58" t="s">
        <v>104</v>
      </c>
      <c r="J27" s="58" t="s">
        <v>108</v>
      </c>
      <c r="K27" s="59"/>
      <c r="L27" s="58" t="s">
        <v>103</v>
      </c>
      <c r="M27" s="58" t="s">
        <v>104</v>
      </c>
      <c r="N27" s="58" t="s">
        <v>108</v>
      </c>
      <c r="O27" s="59"/>
      <c r="P27" s="58" t="s">
        <v>103</v>
      </c>
      <c r="Q27" s="58" t="s">
        <v>104</v>
      </c>
      <c r="R27" s="58" t="s">
        <v>108</v>
      </c>
      <c r="S27" s="59"/>
      <c r="T27" s="58" t="s">
        <v>103</v>
      </c>
      <c r="U27" s="58" t="s">
        <v>104</v>
      </c>
      <c r="V27" s="58" t="s">
        <v>108</v>
      </c>
      <c r="W27" s="59"/>
      <c r="X27" s="58" t="s">
        <v>103</v>
      </c>
      <c r="Y27" s="58" t="s">
        <v>104</v>
      </c>
      <c r="Z27" s="58" t="s">
        <v>108</v>
      </c>
      <c r="AA27" s="59"/>
      <c r="AB27" s="58" t="s">
        <v>103</v>
      </c>
      <c r="AC27" s="58" t="s">
        <v>104</v>
      </c>
      <c r="AD27" s="58" t="s">
        <v>108</v>
      </c>
      <c r="AE27" s="59"/>
      <c r="AF27" s="58" t="s">
        <v>103</v>
      </c>
      <c r="AG27" s="58" t="s">
        <v>104</v>
      </c>
      <c r="AH27" s="58" t="s">
        <v>108</v>
      </c>
      <c r="AI27" s="59"/>
      <c r="AJ27" s="58" t="s">
        <v>103</v>
      </c>
      <c r="AK27" s="58" t="s">
        <v>104</v>
      </c>
      <c r="AL27" s="58" t="s">
        <v>108</v>
      </c>
      <c r="AM27" s="59"/>
      <c r="AN27" s="58" t="s">
        <v>103</v>
      </c>
      <c r="AO27" s="58" t="s">
        <v>104</v>
      </c>
      <c r="AP27" s="58" t="s">
        <v>108</v>
      </c>
      <c r="AQ27" s="59"/>
      <c r="AR27" s="58" t="s">
        <v>103</v>
      </c>
      <c r="AS27" s="58" t="s">
        <v>104</v>
      </c>
      <c r="AT27" s="58" t="s">
        <v>108</v>
      </c>
      <c r="AU27" s="59"/>
      <c r="AV27" s="58" t="s">
        <v>103</v>
      </c>
      <c r="AW27" s="58" t="s">
        <v>104</v>
      </c>
      <c r="AX27" s="58" t="s">
        <v>108</v>
      </c>
      <c r="AY27" s="59"/>
      <c r="AZ27" s="58" t="s">
        <v>103</v>
      </c>
      <c r="BA27" s="58" t="s">
        <v>104</v>
      </c>
      <c r="BB27" s="58" t="s">
        <v>108</v>
      </c>
      <c r="BC27" s="59"/>
    </row>
    <row r="28" spans="2:55" x14ac:dyDescent="0.3">
      <c r="B28" s="42">
        <v>0</v>
      </c>
      <c r="C28" s="42">
        <v>10</v>
      </c>
      <c r="D28" s="37">
        <f>EGR!C$32</f>
        <v>2296.8931229999998</v>
      </c>
      <c r="E28" s="37">
        <f>(((4.7*10^13)*'O2N2 @ EGR'!$H$4*('O2N2 @ EGR'!$G$4^0.5)*(EXP(-67837/D28))/('Goal Seek 6th order'!$P$27*6))*('Goal Seek 6th order'!$P$28*10^-6))</f>
        <v>0</v>
      </c>
      <c r="F28" s="37">
        <f>(SUM(E28:E43)/'O2N2 @ EGR'!$J4)*10^6</f>
        <v>0</v>
      </c>
      <c r="G28" s="3"/>
      <c r="H28" s="37">
        <f>EGR!C$33</f>
        <v>2281.8723599999998</v>
      </c>
      <c r="I28" s="37">
        <f>(((4.7*10^13)*'O2N2 @ EGR'!$H$5*('O2N2 @ EGR'!$G$5^0.5)*(EXP(-67837/H28))/('Goal Seek 6th order'!$P$27*6))*('Goal Seek 6th order'!$P$28*10^-6))</f>
        <v>5.4029071175738437E-11</v>
      </c>
      <c r="J28" s="37">
        <f>(SUM(I28:I43)/'O2N2 @ EGR'!$J5)*10^6</f>
        <v>8096.9460710466465</v>
      </c>
      <c r="L28" s="37">
        <f>EGR!C$34</f>
        <v>2266.7652939999998</v>
      </c>
      <c r="M28" s="37">
        <f>(((4.7*10^13)*'O2N2 @ EGR'!$H$6*('O2N2 @ EGR'!$G$6^0.5)*(EXP(-67837/L28))/('Goal Seek 6th order'!$P$27*6))*('Goal Seek 6th order'!$P$28*10^-6))</f>
        <v>6.2690785359408813E-11</v>
      </c>
      <c r="N28" s="37">
        <f>(SUM(M28:M43)/'O2N2 @ EGR'!$J6)*10^6</f>
        <v>9702.2222892530735</v>
      </c>
      <c r="P28" s="37">
        <f>EGR!C$35</f>
        <v>2251.6608230000002</v>
      </c>
      <c r="Q28" s="37">
        <f>(((4.7*10^13)*'O2N2 @ EGR'!$H$7*('O2N2 @ EGR'!$G$7^0.5)*(EXP(-67837/P28))/('Goal Seek 6th order'!$P$27*6))*('Goal Seek 6th order'!$P$28*10^-6))</f>
        <v>6.28305734729825E-11</v>
      </c>
      <c r="R28" s="37">
        <f>(SUM(Q28:Q43)/'O2N2 @ EGR'!$J7)*10^6</f>
        <v>10046.288871288503</v>
      </c>
      <c r="T28" s="37">
        <f>EGR!C$36</f>
        <v>2236.467881</v>
      </c>
      <c r="U28" s="37">
        <f>(((4.7*10^13)*'O2N2 @ EGR'!$H$8*('O2N2 @ EGR'!$G$8^0.5)*(EXP(-67837/T28))/('Goal Seek 6th order'!$P$27*6))*('Goal Seek 6th order'!$P$28*10^-6))</f>
        <v>5.9137559010446563E-11</v>
      </c>
      <c r="V28" s="37">
        <f>(SUM(U28:U43)/'O2N2 @ EGR'!$J8)*10^6</f>
        <v>9775.7102372451391</v>
      </c>
      <c r="W28" s="59"/>
      <c r="X28" s="37">
        <f>EGR!C$37</f>
        <v>2221.2154030000002</v>
      </c>
      <c r="Y28" s="37">
        <f>(((4.7*10^13)*'O2N2 @ EGR'!$H$9*('O2N2 @ EGR'!$G$9^0.5)*(EXP(-67837/X28))/('Goal Seek 6th order'!$P$27*6))*('Goal Seek 6th order'!$P$28*10^-6))</f>
        <v>5.3699473288471974E-11</v>
      </c>
      <c r="Z28" s="37">
        <f>(SUM(Y28:Y43)/'O2N2 @ EGR'!$J9)*10^6</f>
        <v>9182.6612105315762</v>
      </c>
      <c r="AA28" s="59"/>
      <c r="AB28" s="37">
        <f>EGR!C$38</f>
        <v>2144.0230320000001</v>
      </c>
      <c r="AC28" s="37">
        <f>(((4.7*10^13)*'O2N2 @ EGR'!$H$10*('O2N2 @ EGR'!$G$10^0.5)*(EXP(-67837/AB28))/('Goal Seek 6th order'!$P$27*6))*('Goal Seek 6th order'!$P$28*10^-6))</f>
        <v>2.5321479612941135E-11</v>
      </c>
      <c r="AD28" s="37">
        <f>(SUM(AC28:AC43)/'O2N2 @ EGR'!$J10)*10^6</f>
        <v>5179.569106012148</v>
      </c>
      <c r="AE28" s="59"/>
      <c r="AF28" s="37">
        <f>EGR!C$39</f>
        <v>2065.1874680000001</v>
      </c>
      <c r="AG28" s="37">
        <f>(((4.7*10^13)*'O2N2 @ EGR'!$H$11*('O2N2 @ EGR'!$G$11^0.5)*(EXP(-67837/AF28))/('Goal Seek 6th order'!$P$27*6))*('Goal Seek 6th order'!$P$28*10^-6))</f>
        <v>9.2795616210478593E-12</v>
      </c>
      <c r="AH28" s="37">
        <f>(SUM(AG28:AG43)/'O2N2 @ EGR'!$J11)*10^6</f>
        <v>2312.3083761117459</v>
      </c>
      <c r="AI28" s="59"/>
      <c r="AJ28" s="37">
        <f>EGR!C$40</f>
        <v>1984.5811080000001</v>
      </c>
      <c r="AK28" s="37">
        <f>(((4.7*10^13)*'O2N2 @ EGR'!$H$12*('O2N2 @ EGR'!$G$12^0.5)*(EXP(-67837/AJ28))/('Goal Seek 6th order'!$P$27*6))*('Goal Seek 6th order'!$P$28*10^-6))</f>
        <v>2.825653171321464E-12</v>
      </c>
      <c r="AL28" s="37">
        <f>(SUM(AK28:AK43)/'O2N2 @ EGR'!$J12)*10^6</f>
        <v>876.21595073561684</v>
      </c>
      <c r="AM28" s="59"/>
      <c r="AN28" s="37">
        <f>EGR!C$41</f>
        <v>1902.077405</v>
      </c>
      <c r="AO28" s="37">
        <f>(((4.7*10^13)*'O2N2 @ EGR'!$H$13*('O2N2 @ EGR'!$G$13^0.5)*(EXP(-67837/AN28))/('Goal Seek 6th order'!$P$27*6))*('Goal Seek 6th order'!$P$28*10^-6))</f>
        <v>7.1812661752053108E-13</v>
      </c>
      <c r="AP28" s="37">
        <f>(SUM(AO28:AO43)/'O2N2 @ EGR'!$J13)*10^6</f>
        <v>284.17760930440579</v>
      </c>
      <c r="AQ28" s="59"/>
      <c r="AR28" s="37">
        <f>EGR!C$42</f>
        <v>1817.5446440000001</v>
      </c>
      <c r="AS28" s="37">
        <f>(((4.7*10^13)*'O2N2 @ EGR'!$H$14*('O2N2 @ EGR'!$G$14^0.5)*(EXP(-67837/AR28))/('Goal Seek 6th order'!$P$27*6))*('Goal Seek 6th order'!$P$28*10^-6))</f>
        <v>1.4995146000079792E-13</v>
      </c>
      <c r="AT28" s="37">
        <f>(SUM(AS28:AS43)/'O2N2 @ EGR'!$J14)*10^6</f>
        <v>78.024951386838652</v>
      </c>
      <c r="AU28" s="59"/>
      <c r="AV28" s="37">
        <f>EGR!C$43</f>
        <v>1730.8450760000001</v>
      </c>
      <c r="AW28" s="37">
        <f>(((4.7*10^13)*'O2N2 @ EGR'!$H$15*('O2N2 @ EGR'!$G$15^0.5)*(EXP(-67837/AV28))/('Goal Seek 6th order'!$P$27*6))*('Goal Seek 6th order'!$P$28*10^-6))</f>
        <v>2.5004844291995497E-14</v>
      </c>
      <c r="AX28" s="37">
        <f>(SUM(AW28:AW43)/'O2N2 @ EGR'!$J15)*10^6</f>
        <v>17.734640580749538</v>
      </c>
      <c r="AY28" s="59"/>
      <c r="AZ28" s="37">
        <f>EGR!C$44</f>
        <v>1641.82728</v>
      </c>
      <c r="BA28" s="37">
        <f>(((4.7*10^13)*'O2N2 @ EGR'!$H$16*('O2N2 @ EGR'!$G$16^0.5)*(EXP(-67837/AZ28))/('Goal Seek 6th order'!$P$27*6))*('Goal Seek 6th order'!$P$28*10^-6))</f>
        <v>3.1966014350456956E-15</v>
      </c>
      <c r="BB28" s="37">
        <f>(SUM(BA28:BA43)/'O2N2 @ EGR'!$J16)*10^6</f>
        <v>3.2285157744388626</v>
      </c>
      <c r="BC28" s="59"/>
    </row>
    <row r="29" spans="2:55" x14ac:dyDescent="0.3">
      <c r="B29" s="42">
        <v>1</v>
      </c>
      <c r="C29" s="42">
        <v>12</v>
      </c>
      <c r="D29" s="37">
        <f>D28*(C29/C28)^(('Goal Seek 6th order'!$P$26-1)/'Goal Seek 6th order'!$P$26)</f>
        <v>2358.5536241808027</v>
      </c>
      <c r="E29" s="37">
        <f>(((4.7*10^13)*'O2N2 @ EGR'!$H$4*('O2N2 @ EGR'!$G$4^0.5)*(EXP(-67837/D29))/('Goal Seek 6th order'!$P$27*6))*('Goal Seek 6th order'!$P$28*10^-6))</f>
        <v>0</v>
      </c>
      <c r="F29" s="3"/>
      <c r="G29" s="3"/>
      <c r="H29" s="37">
        <f>H28*(C29/C28)^(('Goal Seek 6th order'!$P$26-1)/'Goal Seek 6th order'!$P$26)</f>
        <v>2343.1296261476077</v>
      </c>
      <c r="I29" s="37">
        <f>(((4.7*10^13)*'O2N2 @ EGR'!$H$5*('O2N2 @ EGR'!$G$5^0.5)*(EXP(-67837/H29))/('Goal Seek 6th order'!$P$27*6))*('Goal Seek 6th order'!$P$28*10^-6))</f>
        <v>1.1753416275416589E-10</v>
      </c>
      <c r="L29" s="37">
        <f>L28*(C29/C28)^(('Goal Seek 6th order'!$P$26-1)/'Goal Seek 6th order'!$P$26)</f>
        <v>2327.6170082951494</v>
      </c>
      <c r="M29" s="37">
        <f>(((4.7*10^13)*'O2N2 @ EGR'!$H$6*('O2N2 @ EGR'!$G$6^0.5)*(EXP(-67837/L29))/('Goal Seek 6th order'!$P$27*6))*('Goal Seek 6th order'!$P$28*10^-6))</f>
        <v>1.3708497929913089E-10</v>
      </c>
      <c r="P29" s="37">
        <f>P28*(C29/C28)^(('Goal Seek 6th order'!$P$26-1)/'Goal Seek 6th order'!$P$26)</f>
        <v>2312.1070551059242</v>
      </c>
      <c r="Q29" s="37">
        <f>(((4.7*10^13)*'O2N2 @ EGR'!$H$7*('O2N2 @ EGR'!$G$7^0.5)*(EXP(-67837/P29))/('Goal Seek 6th order'!$P$27*6))*('Goal Seek 6th order'!$P$28*10^-6))</f>
        <v>1.3811362348281512E-10</v>
      </c>
      <c r="T29" s="37">
        <f>T28*(C29/C28)^(('Goal Seek 6th order'!$P$26-1)/'Goal Seek 6th order'!$P$26)</f>
        <v>2296.5062558970926</v>
      </c>
      <c r="U29" s="37">
        <f>(((4.7*10^13)*'O2N2 @ EGR'!$H$8*('O2N2 @ EGR'!$G$8^0.5)*(EXP(-67837/T29))/('Goal Seek 6th order'!$P$27*6))*('Goal Seek 6th order'!$P$28*10^-6))</f>
        <v>1.306930927093167E-10</v>
      </c>
      <c r="W29" s="59"/>
      <c r="X29" s="37">
        <f>X28*(C29/C28)^(('Goal Seek 6th order'!$P$26-1)/'Goal Seek 6th order'!$P$26)</f>
        <v>2280.8443224338362</v>
      </c>
      <c r="Y29" s="37">
        <f>(((4.7*10^13)*'O2N2 @ EGR'!$H$9*('O2N2 @ EGR'!$G$9^0.5)*(EXP(-67837/X29))/('Goal Seek 6th order'!$P$27*6))*('Goal Seek 6th order'!$P$28*10^-6))</f>
        <v>1.19322980642217E-10</v>
      </c>
      <c r="AA29" s="59"/>
      <c r="AB29" s="37">
        <f>AB28*(C29/C28)^(('Goal Seek 6th order'!$P$26-1)/'Goal Seek 6th order'!$P$26)</f>
        <v>2201.5797086135094</v>
      </c>
      <c r="AC29" s="37">
        <f>(((4.7*10^13)*'O2N2 @ EGR'!$H$10*('O2N2 @ EGR'!$G$10^0.5)*(EXP(-67837/AB29))/('Goal Seek 6th order'!$P$27*6))*('Goal Seek 6th order'!$P$28*10^-6))</f>
        <v>5.7906526246811904E-11</v>
      </c>
      <c r="AE29" s="59"/>
      <c r="AF29" s="37">
        <f>AF28*(C29/C28)^(('Goal Seek 6th order'!$P$26-1)/'Goal Seek 6th order'!$P$26)</f>
        <v>2120.6277899871511</v>
      </c>
      <c r="AG29" s="37">
        <f>(((4.7*10^13)*'O2N2 @ EGR'!$H$11*('O2N2 @ EGR'!$G$11^0.5)*(EXP(-67837/AF29))/('Goal Seek 6th order'!$P$27*6))*('Goal Seek 6th order'!$P$28*10^-6))</f>
        <v>2.1901774572649286E-11</v>
      </c>
      <c r="AI29" s="59"/>
      <c r="AJ29" s="37">
        <f>AJ28*(C29/C28)^(('Goal Seek 6th order'!$P$26-1)/'Goal Seek 6th order'!$P$26)</f>
        <v>2037.8575380297107</v>
      </c>
      <c r="AK29" s="37">
        <f>(((4.7*10^13)*'O2N2 @ EGR'!$H$12*('O2N2 @ EGR'!$G$12^0.5)*(EXP(-67837/AJ29))/('Goal Seek 6th order'!$P$27*6))*('Goal Seek 6th order'!$P$28*10^-6))</f>
        <v>6.9058736186962072E-12</v>
      </c>
      <c r="AM29" s="59"/>
      <c r="AN29" s="37">
        <f>AN28*(C29/C28)^(('Goal Seek 6th order'!$P$26-1)/'Goal Seek 6th order'!$P$26)</f>
        <v>1953.1390085646431</v>
      </c>
      <c r="AO29" s="37">
        <f>(((4.7*10^13)*'O2N2 @ EGR'!$H$13*('O2N2 @ EGR'!$G$13^0.5)*(EXP(-67837/AN29))/('Goal Seek 6th order'!$P$27*6))*('Goal Seek 6th order'!$P$28*10^-6))</f>
        <v>1.8244621055236505E-12</v>
      </c>
      <c r="AQ29" s="59"/>
      <c r="AR29" s="37">
        <f>AR28*(C29/C28)^(('Goal Seek 6th order'!$P$26-1)/'Goal Seek 6th order'!$P$26)</f>
        <v>1866.336950679532</v>
      </c>
      <c r="AS29" s="37">
        <f>(((4.7*10^13)*'O2N2 @ EGR'!$H$14*('O2N2 @ EGR'!$G$14^0.5)*(EXP(-67837/AR29))/('Goal Seek 6th order'!$P$27*6))*('Goal Seek 6th order'!$P$28*10^-6))</f>
        <v>3.9784849317928214E-13</v>
      </c>
      <c r="AU29" s="59"/>
      <c r="AV29" s="37">
        <f>AV28*(C29/C28)^(('Goal Seek 6th order'!$P$26-1)/'Goal Seek 6th order'!$P$26)</f>
        <v>1777.3099174781662</v>
      </c>
      <c r="AW29" s="37">
        <f>(((4.7*10^13)*'O2N2 @ EGR'!$H$15*('O2N2 @ EGR'!$G$15^0.5)*(EXP(-67837/AV29))/('Goal Seek 6th order'!$P$27*6))*('Goal Seek 6th order'!$P$28*10^-6))</f>
        <v>6.9665545159364994E-14</v>
      </c>
      <c r="AY29" s="59"/>
      <c r="AZ29" s="37">
        <f>AZ28*(C29/C28)^(('Goal Seek 6th order'!$P$26-1)/'Goal Seek 6th order'!$P$26)</f>
        <v>1685.9024230370817</v>
      </c>
      <c r="BA29" s="37">
        <f>(((4.7*10^13)*'O2N2 @ EGR'!$H$16*('O2N2 @ EGR'!$G$16^0.5)*(EXP(-67837/AZ29))/('Goal Seek 6th order'!$P$27*6))*('Goal Seek 6th order'!$P$28*10^-6))</f>
        <v>9.4147627536436368E-15</v>
      </c>
      <c r="BC29" s="59"/>
    </row>
    <row r="30" spans="2:55" x14ac:dyDescent="0.3">
      <c r="B30" s="42">
        <v>2</v>
      </c>
      <c r="C30" s="42">
        <v>14</v>
      </c>
      <c r="D30" s="37">
        <f>D29*(C30/C29)^(('Goal Seek 6th order'!$P$26-1)/'Goal Seek 6th order'!$P$26)</f>
        <v>2411.976466729282</v>
      </c>
      <c r="E30" s="37">
        <f>(((4.7*10^13)*'O2N2 @ EGR'!$H$4*('O2N2 @ EGR'!$G$4^0.5)*(EXP(-67837/D30))/('Goal Seek 6th order'!$P$27*6))*('Goal Seek 6th order'!$P$28*10^-6))</f>
        <v>0</v>
      </c>
      <c r="F30" s="3"/>
      <c r="G30" s="3"/>
      <c r="H30" s="37">
        <f>H29*(C30/C29)^(('Goal Seek 6th order'!$P$26-1)/'Goal Seek 6th order'!$P$26)</f>
        <v>2396.2031046579123</v>
      </c>
      <c r="I30" s="37">
        <f>(((4.7*10^13)*'O2N2 @ EGR'!$H$5*('O2N2 @ EGR'!$G$5^0.5)*(EXP(-67837/H30))/('Goal Seek 6th order'!$P$27*6))*('Goal Seek 6th order'!$P$28*10^-6))</f>
        <v>2.2317906059168232E-10</v>
      </c>
      <c r="L30" s="37">
        <f>L29*(C30/C29)^(('Goal Seek 6th order'!$P$26-1)/'Goal Seek 6th order'!$P$26)</f>
        <v>2380.3391154681435</v>
      </c>
      <c r="M30" s="37">
        <f>(((4.7*10^13)*'O2N2 @ EGR'!$H$6*('O2N2 @ EGR'!$G$6^0.5)*(EXP(-67837/L30))/('Goal Seek 6th order'!$P$27*6))*('Goal Seek 6th order'!$P$28*10^-6))</f>
        <v>2.6141783629842146E-10</v>
      </c>
      <c r="P30" s="37">
        <f>P29*(C30/C29)^(('Goal Seek 6th order'!$P$26-1)/'Goal Seek 6th order'!$P$26)</f>
        <v>2364.4778512980415</v>
      </c>
      <c r="Q30" s="37">
        <f>(((4.7*10^13)*'O2N2 @ EGR'!$H$7*('O2N2 @ EGR'!$G$7^0.5)*(EXP(-67837/P30))/('Goal Seek 6th order'!$P$27*6))*('Goal Seek 6th order'!$P$28*10^-6))</f>
        <v>2.6452240464544805E-10</v>
      </c>
      <c r="T30" s="37">
        <f>T29*(C30/C29)^(('Goal Seek 6th order'!$P$26-1)/'Goal Seek 6th order'!$P$26)</f>
        <v>2348.5236833842459</v>
      </c>
      <c r="U30" s="37">
        <f>(((4.7*10^13)*'O2N2 @ EGR'!$H$8*('O2N2 @ EGR'!$G$8^0.5)*(EXP(-67837/T30))/('Goal Seek 6th order'!$P$27*6))*('Goal Seek 6th order'!$P$28*10^-6))</f>
        <v>2.5141768105442166E-10</v>
      </c>
      <c r="W30" s="59"/>
      <c r="X30" s="37">
        <f>X29*(C30/C29)^(('Goal Seek 6th order'!$P$26-1)/'Goal Seek 6th order'!$P$26)</f>
        <v>2332.5069964836143</v>
      </c>
      <c r="Y30" s="37">
        <f>(((4.7*10^13)*'O2N2 @ EGR'!$H$9*('O2N2 @ EGR'!$G$9^0.5)*(EXP(-67837/X30))/('Goal Seek 6th order'!$P$27*6))*('Goal Seek 6th order'!$P$28*10^-6))</f>
        <v>2.3057828674281809E-10</v>
      </c>
      <c r="AA30" s="59"/>
      <c r="AB30" s="37">
        <f>AB29*(C30/C29)^(('Goal Seek 6th order'!$P$26-1)/'Goal Seek 6th order'!$P$26)</f>
        <v>2251.446985289077</v>
      </c>
      <c r="AC30" s="37">
        <f>(((4.7*10^13)*'O2N2 @ EGR'!$H$10*('O2N2 @ EGR'!$G$10^0.5)*(EXP(-67837/AB30))/('Goal Seek 6th order'!$P$27*6))*('Goal Seek 6th order'!$P$28*10^-6))</f>
        <v>1.1458353833914861E-10</v>
      </c>
      <c r="AE30" s="59"/>
      <c r="AF30" s="37">
        <f>AF29*(C30/C29)^(('Goal Seek 6th order'!$P$26-1)/'Goal Seek 6th order'!$P$26)</f>
        <v>2168.6614506878964</v>
      </c>
      <c r="AG30" s="37">
        <f>(((4.7*10^13)*'O2N2 @ EGR'!$H$11*('O2N2 @ EGR'!$G$11^0.5)*(EXP(-67837/AF30))/('Goal Seek 6th order'!$P$27*6))*('Goal Seek 6th order'!$P$28*10^-6))</f>
        <v>4.448242583099287E-11</v>
      </c>
      <c r="AI30" s="59"/>
      <c r="AJ30" s="37">
        <f>AJ29*(C30/C29)^(('Goal Seek 6th order'!$P$26-1)/'Goal Seek 6th order'!$P$26)</f>
        <v>2084.0163962698771</v>
      </c>
      <c r="AK30" s="37">
        <f>(((4.7*10^13)*'O2N2 @ EGR'!$H$12*('O2N2 @ EGR'!$G$12^0.5)*(EXP(-67837/AJ30))/('Goal Seek 6th order'!$P$27*6))*('Goal Seek 6th order'!$P$28*10^-6))</f>
        <v>1.4435299378520977E-11</v>
      </c>
      <c r="AM30" s="59"/>
      <c r="AN30" s="37">
        <f>AN29*(C30/C29)^(('Goal Seek 6th order'!$P$26-1)/'Goal Seek 6th order'!$P$26)</f>
        <v>1997.3789345345617</v>
      </c>
      <c r="AO30" s="37">
        <f>(((4.7*10^13)*'O2N2 @ EGR'!$H$13*('O2N2 @ EGR'!$G$13^0.5)*(EXP(-67837/AN30))/('Goal Seek 6th order'!$P$27*6))*('Goal Seek 6th order'!$P$28*10^-6))</f>
        <v>3.9375962868976732E-12</v>
      </c>
      <c r="AQ30" s="59"/>
      <c r="AR30" s="37">
        <f>AR29*(C30/C29)^(('Goal Seek 6th order'!$P$26-1)/'Goal Seek 6th order'!$P$26)</f>
        <v>1908.6107510444451</v>
      </c>
      <c r="AS30" s="37">
        <f>(((4.7*10^13)*'O2N2 @ EGR'!$H$14*('O2N2 @ EGR'!$G$14^0.5)*(EXP(-67837/AR30))/('Goal Seek 6th order'!$P$27*6))*('Goal Seek 6th order'!$P$28*10^-6))</f>
        <v>8.8992344768939504E-13</v>
      </c>
      <c r="AU30" s="59"/>
      <c r="AV30" s="37">
        <f>AV29*(C30/C29)^(('Goal Seek 6th order'!$P$26-1)/'Goal Seek 6th order'!$P$26)</f>
        <v>1817.5671950349847</v>
      </c>
      <c r="AW30" s="37">
        <f>(((4.7*10^13)*'O2N2 @ EGR'!$H$15*('O2N2 @ EGR'!$G$15^0.5)*(EXP(-67837/AV30))/('Goal Seek 6th order'!$P$27*6))*('Goal Seek 6th order'!$P$28*10^-6))</f>
        <v>1.6224319741033649E-13</v>
      </c>
      <c r="AY30" s="59"/>
      <c r="AZ30" s="37">
        <f>AZ29*(C30/C29)^(('Goal Seek 6th order'!$P$26-1)/'Goal Seek 6th order'!$P$26)</f>
        <v>1724.0892587208759</v>
      </c>
      <c r="BA30" s="37">
        <f>(((4.7*10^13)*'O2N2 @ EGR'!$H$16*('O2N2 @ EGR'!$G$16^0.5)*(EXP(-67837/AZ30))/('Goal Seek 6th order'!$P$27*6))*('Goal Seek 6th order'!$P$28*10^-6))</f>
        <v>2.2954305719072171E-14</v>
      </c>
      <c r="BC30" s="59"/>
    </row>
    <row r="31" spans="2:55" x14ac:dyDescent="0.3">
      <c r="B31" s="42">
        <v>3</v>
      </c>
      <c r="C31" s="42">
        <v>16</v>
      </c>
      <c r="D31" s="37">
        <f>D30*(C31/C30)^(('Goal Seek 6th order'!$P$26-1)/'Goal Seek 6th order'!$P$26)</f>
        <v>2459.2305569508117</v>
      </c>
      <c r="E31" s="37">
        <f>(((4.7*10^13)*'O2N2 @ EGR'!$H$4*('O2N2 @ EGR'!$G$4^0.5)*(EXP(-67837/D31))/('Goal Seek 6th order'!$P$27*6))*('Goal Seek 6th order'!$P$28*10^-6))</f>
        <v>0</v>
      </c>
      <c r="F31" s="3"/>
      <c r="G31" s="3"/>
      <c r="H31" s="37">
        <f>H30*(C31/C30)^(('Goal Seek 6th order'!$P$26-1)/'Goal Seek 6th order'!$P$26)</f>
        <v>2443.1481720159527</v>
      </c>
      <c r="I31" s="37">
        <f>(((4.7*10^13)*'O2N2 @ EGR'!$H$5*('O2N2 @ EGR'!$G$5^0.5)*(EXP(-67837/H31))/('Goal Seek 6th order'!$P$27*6))*('Goal Seek 6th order'!$P$28*10^-6))</f>
        <v>3.8450419712968148E-10</v>
      </c>
      <c r="L31" s="37">
        <f>L30*(C31/C30)^(('Goal Seek 6th order'!$P$26-1)/'Goal Seek 6th order'!$P$26)</f>
        <v>2426.9733844470175</v>
      </c>
      <c r="M31" s="37">
        <f>(((4.7*10^13)*'O2N2 @ EGR'!$H$6*('O2N2 @ EGR'!$G$6^0.5)*(EXP(-67837/L31))/('Goal Seek 6th order'!$P$27*6))*('Goal Seek 6th order'!$P$28*10^-6))</f>
        <v>4.5201968623001038E-10</v>
      </c>
      <c r="P31" s="37">
        <f>P30*(C31/C30)^(('Goal Seek 6th order'!$P$26-1)/'Goal Seek 6th order'!$P$26)</f>
        <v>2410.8013752848065</v>
      </c>
      <c r="Q31" s="37">
        <f>(((4.7*10^13)*'O2N2 @ EGR'!$H$7*('O2N2 @ EGR'!$G$7^0.5)*(EXP(-67837/P31))/('Goal Seek 6th order'!$P$27*6))*('Goal Seek 6th order'!$P$28*10^-6))</f>
        <v>4.5907108740842173E-10</v>
      </c>
      <c r="T31" s="37">
        <f>T30*(C31/C30)^(('Goal Seek 6th order'!$P$26-1)/'Goal Seek 6th order'!$P$26)</f>
        <v>2394.5346422608586</v>
      </c>
      <c r="U31" s="37">
        <f>(((4.7*10^13)*'O2N2 @ EGR'!$H$8*('O2N2 @ EGR'!$G$8^0.5)*(EXP(-67837/T31))/('Goal Seek 6th order'!$P$27*6))*('Goal Seek 6th order'!$P$28*10^-6))</f>
        <v>4.3796532216508474E-10</v>
      </c>
      <c r="W31" s="59"/>
      <c r="X31" s="37">
        <f>X30*(C31/C30)^(('Goal Seek 6th order'!$P$26-1)/'Goal Seek 6th order'!$P$26)</f>
        <v>2378.2041654131472</v>
      </c>
      <c r="Y31" s="37">
        <f>(((4.7*10^13)*'O2N2 @ EGR'!$H$9*('O2N2 @ EGR'!$G$9^0.5)*(EXP(-67837/X31))/('Goal Seek 6th order'!$P$27*6))*('Goal Seek 6th order'!$P$28*10^-6))</f>
        <v>4.0319719190819551E-10</v>
      </c>
      <c r="AA31" s="59"/>
      <c r="AB31" s="37">
        <f>AB30*(C31/C30)^(('Goal Seek 6th order'!$P$26-1)/'Goal Seek 6th order'!$P$26)</f>
        <v>2295.5560719403697</v>
      </c>
      <c r="AC31" s="37">
        <f>(((4.7*10^13)*'O2N2 @ EGR'!$H$10*('O2N2 @ EGR'!$G$10^0.5)*(EXP(-67837/AB31))/('Goal Seek 6th order'!$P$27*6))*('Goal Seek 6th order'!$P$28*10^-6))</f>
        <v>2.0443692546654584E-10</v>
      </c>
      <c r="AE31" s="59"/>
      <c r="AF31" s="37">
        <f>AF30*(C31/C30)^(('Goal Seek 6th order'!$P$26-1)/'Goal Seek 6th order'!$P$26)</f>
        <v>2211.1486495740955</v>
      </c>
      <c r="AG31" s="37">
        <f>(((4.7*10^13)*'O2N2 @ EGR'!$H$11*('O2N2 @ EGR'!$G$11^0.5)*(EXP(-67837/AF31))/('Goal Seek 6th order'!$P$27*6))*('Goal Seek 6th order'!$P$28*10^-6))</f>
        <v>8.1137911657952674E-11</v>
      </c>
      <c r="AI31" s="59"/>
      <c r="AJ31" s="37">
        <f>AJ30*(C31/C30)^(('Goal Seek 6th order'!$P$26-1)/'Goal Seek 6th order'!$P$26)</f>
        <v>2124.8452767216104</v>
      </c>
      <c r="AK31" s="37">
        <f>(((4.7*10^13)*'O2N2 @ EGR'!$H$12*('O2N2 @ EGR'!$G$12^0.5)*(EXP(-67837/AJ31))/('Goal Seek 6th order'!$P$27*6))*('Goal Seek 6th order'!$P$28*10^-6))</f>
        <v>2.6981336017976437E-11</v>
      </c>
      <c r="AM31" s="59"/>
      <c r="AN31" s="37">
        <f>AN30*(C31/C30)^(('Goal Seek 6th order'!$P$26-1)/'Goal Seek 6th order'!$P$26)</f>
        <v>2036.5104624250753</v>
      </c>
      <c r="AO31" s="37">
        <f>(((4.7*10^13)*'O2N2 @ EGR'!$H$13*('O2N2 @ EGR'!$G$13^0.5)*(EXP(-67837/AN31))/('Goal Seek 6th order'!$P$27*6))*('Goal Seek 6th order'!$P$28*10^-6))</f>
        <v>7.5622543752433956E-12</v>
      </c>
      <c r="AQ31" s="59"/>
      <c r="AR31" s="37">
        <f>AR30*(C31/C30)^(('Goal Seek 6th order'!$P$26-1)/'Goal Seek 6th order'!$P$26)</f>
        <v>1946.0031824680966</v>
      </c>
      <c r="AS31" s="37">
        <f>(((4.7*10^13)*'O2N2 @ EGR'!$H$14*('O2N2 @ EGR'!$G$14^0.5)*(EXP(-67837/AR31))/('Goal Seek 6th order'!$P$27*6))*('Goal Seek 6th order'!$P$28*10^-6))</f>
        <v>1.7617911332096807E-12</v>
      </c>
      <c r="AU31" s="59"/>
      <c r="AV31" s="37">
        <f>AV30*(C31/C30)^(('Goal Seek 6th order'!$P$26-1)/'Goal Seek 6th order'!$P$26)</f>
        <v>1853.1759521694778</v>
      </c>
      <c r="AW31" s="37">
        <f>(((4.7*10^13)*'O2N2 @ EGR'!$H$15*('O2N2 @ EGR'!$G$15^0.5)*(EXP(-67837/AV31))/('Goal Seek 6th order'!$P$27*6))*('Goal Seek 6th order'!$P$28*10^-6))</f>
        <v>3.3237267552286363E-13</v>
      </c>
      <c r="AY31" s="59"/>
      <c r="AZ31" s="37">
        <f>AZ30*(C31/C30)^(('Goal Seek 6th order'!$P$26-1)/'Goal Seek 6th order'!$P$26)</f>
        <v>1757.8666485525614</v>
      </c>
      <c r="BA31" s="37">
        <f>(((4.7*10^13)*'O2N2 @ EGR'!$H$16*('O2N2 @ EGR'!$G$16^0.5)*(EXP(-67837/AZ31))/('Goal Seek 6th order'!$P$27*6))*('Goal Seek 6th order'!$P$28*10^-6))</f>
        <v>4.8888856645696173E-14</v>
      </c>
      <c r="BC31" s="59"/>
    </row>
    <row r="32" spans="2:55" x14ac:dyDescent="0.3">
      <c r="B32" s="42">
        <v>4</v>
      </c>
      <c r="C32" s="42">
        <v>18</v>
      </c>
      <c r="D32" s="37">
        <f>D31*(C32/C31)^(('Goal Seek 6th order'!$P$26-1)/'Goal Seek 6th order'!$P$26)</f>
        <v>2501.6794684403499</v>
      </c>
      <c r="E32" s="37">
        <f>(((4.7*10^13)*'O2N2 @ EGR'!$H$4*('O2N2 @ EGR'!$G$4^0.5)*(EXP(-67837/D32))/('Goal Seek 6th order'!$P$27*6))*('Goal Seek 6th order'!$P$28*10^-6))</f>
        <v>0</v>
      </c>
      <c r="F32" s="3"/>
      <c r="G32" s="3"/>
      <c r="H32" s="37">
        <f>H31*(C32/C31)^(('Goal Seek 6th order'!$P$26-1)/'Goal Seek 6th order'!$P$26)</f>
        <v>2485.3194845903704</v>
      </c>
      <c r="I32" s="37">
        <f>(((4.7*10^13)*'O2N2 @ EGR'!$H$5*('O2N2 @ EGR'!$G$5^0.5)*(EXP(-67837/H32))/('Goal Seek 6th order'!$P$27*6))*('Goal Seek 6th order'!$P$28*10^-6))</f>
        <v>6.159073803276753E-10</v>
      </c>
      <c r="L32" s="37">
        <f>L31*(C32/C31)^(('Goal Seek 6th order'!$P$26-1)/'Goal Seek 6th order'!$P$26)</f>
        <v>2468.8655031394565</v>
      </c>
      <c r="M32" s="37">
        <f>(((4.7*10^13)*'O2N2 @ EGR'!$H$6*('O2N2 @ EGR'!$G$6^0.5)*(EXP(-67837/L32))/('Goal Seek 6th order'!$P$27*6))*('Goal Seek 6th order'!$P$28*10^-6))</f>
        <v>7.2633227698602055E-10</v>
      </c>
      <c r="P32" s="37">
        <f>P31*(C32/C31)^(('Goal Seek 6th order'!$P$26-1)/'Goal Seek 6th order'!$P$26)</f>
        <v>2452.4143480534954</v>
      </c>
      <c r="Q32" s="37">
        <f>(((4.7*10^13)*'O2N2 @ EGR'!$H$7*('O2N2 @ EGR'!$G$7^0.5)*(EXP(-67837/P32))/('Goal Seek 6th order'!$P$27*6))*('Goal Seek 6th order'!$P$28*10^-6))</f>
        <v>7.4001354071275223E-10</v>
      </c>
      <c r="T32" s="37">
        <f>T31*(C32/C31)^(('Goal Seek 6th order'!$P$26-1)/'Goal Seek 6th order'!$P$26)</f>
        <v>2435.8668340721028</v>
      </c>
      <c r="U32" s="37">
        <f>(((4.7*10^13)*'O2N2 @ EGR'!$H$8*('O2N2 @ EGR'!$G$8^0.5)*(EXP(-67837/T32))/('Goal Seek 6th order'!$P$27*6))*('Goal Seek 6th order'!$P$28*10^-6))</f>
        <v>7.0828509287552278E-10</v>
      </c>
      <c r="W32" s="59"/>
      <c r="X32" s="37">
        <f>X31*(C32/C31)^(('Goal Seek 6th order'!$P$26-1)/'Goal Seek 6th order'!$P$26)</f>
        <v>2419.2544759813613</v>
      </c>
      <c r="Y32" s="37">
        <f>(((4.7*10^13)*'O2N2 @ EGR'!$H$9*('O2N2 @ EGR'!$G$9^0.5)*(EXP(-67837/X32))/('Goal Seek 6th order'!$P$27*6))*('Goal Seek 6th order'!$P$28*10^-6))</f>
        <v>6.5421339306953559E-10</v>
      </c>
      <c r="AA32" s="59"/>
      <c r="AB32" s="37">
        <f>AB31*(C32/C31)^(('Goal Seek 6th order'!$P$26-1)/'Goal Seek 6th order'!$P$26)</f>
        <v>2335.179789302555</v>
      </c>
      <c r="AC32" s="37">
        <f>(((4.7*10^13)*'O2N2 @ EGR'!$H$10*('O2N2 @ EGR'!$G$10^0.5)*(EXP(-67837/AB32))/('Goal Seek 6th order'!$P$27*6))*('Goal Seek 6th order'!$P$28*10^-6))</f>
        <v>3.3754313674153842E-10</v>
      </c>
      <c r="AE32" s="59"/>
      <c r="AF32" s="37">
        <f>AF31*(C32/C31)^(('Goal Seek 6th order'!$P$26-1)/'Goal Seek 6th order'!$P$26)</f>
        <v>2249.3154058591836</v>
      </c>
      <c r="AG32" s="37">
        <f>(((4.7*10^13)*'O2N2 @ EGR'!$H$11*('O2N2 @ EGR'!$G$11^0.5)*(EXP(-67837/AF32))/('Goal Seek 6th order'!$P$27*6))*('Goal Seek 6th order'!$P$28*10^-6))</f>
        <v>1.3655475301558419E-10</v>
      </c>
      <c r="AI32" s="59"/>
      <c r="AJ32" s="37">
        <f>AJ31*(C32/C31)^(('Goal Seek 6th order'!$P$26-1)/'Goal Seek 6th order'!$P$26)</f>
        <v>2161.5223458258401</v>
      </c>
      <c r="AK32" s="37">
        <f>(((4.7*10^13)*'O2N2 @ EGR'!$H$12*('O2N2 @ EGR'!$G$12^0.5)*(EXP(-67837/AJ32))/('Goal Seek 6th order'!$P$27*6))*('Goal Seek 6th order'!$P$28*10^-6))</f>
        <v>4.637982471244926E-11</v>
      </c>
      <c r="AM32" s="59"/>
      <c r="AN32" s="37">
        <f>AN31*(C32/C31)^(('Goal Seek 6th order'!$P$26-1)/'Goal Seek 6th order'!$P$26)</f>
        <v>2071.6627795279446</v>
      </c>
      <c r="AO32" s="37">
        <f>(((4.7*10^13)*'O2N2 @ EGR'!$H$13*('O2N2 @ EGR'!$G$13^0.5)*(EXP(-67837/AN32))/('Goal Seek 6th order'!$P$27*6))*('Goal Seek 6th order'!$P$28*10^-6))</f>
        <v>1.3308273496254625E-11</v>
      </c>
      <c r="AQ32" s="59"/>
      <c r="AR32" s="37">
        <f>AR31*(C32/C31)^(('Goal Seek 6th order'!$P$26-1)/'Goal Seek 6th order'!$P$26)</f>
        <v>1979.5932485224848</v>
      </c>
      <c r="AS32" s="37">
        <f>(((4.7*10^13)*'O2N2 @ EGR'!$H$14*('O2N2 @ EGR'!$G$14^0.5)*(EXP(-67837/AR32))/('Goal Seek 6th order'!$P$27*6))*('Goal Seek 6th order'!$P$28*10^-6))</f>
        <v>3.1830357612157501E-12</v>
      </c>
      <c r="AU32" s="59"/>
      <c r="AV32" s="37">
        <f>AV31*(C32/C31)^(('Goal Seek 6th order'!$P$26-1)/'Goal Seek 6th order'!$P$26)</f>
        <v>1885.163722387216</v>
      </c>
      <c r="AW32" s="37">
        <f>(((4.7*10^13)*'O2N2 @ EGR'!$H$15*('O2N2 @ EGR'!$G$15^0.5)*(EXP(-67837/AV32))/('Goal Seek 6th order'!$P$27*6))*('Goal Seek 6th order'!$P$28*10^-6))</f>
        <v>6.1855755271687688E-13</v>
      </c>
      <c r="AY32" s="59"/>
      <c r="AZ32" s="37">
        <f>AZ31*(C32/C31)^(('Goal Seek 6th order'!$P$26-1)/'Goal Seek 6th order'!$P$26)</f>
        <v>1788.2092797320222</v>
      </c>
      <c r="BA32" s="37">
        <f>(((4.7*10^13)*'O2N2 @ EGR'!$H$16*('O2N2 @ EGR'!$G$16^0.5)*(EXP(-67837/AZ32))/('Goal Seek 6th order'!$P$27*6))*('Goal Seek 6th order'!$P$28*10^-6))</f>
        <v>9.4100178088600897E-14</v>
      </c>
      <c r="BC32" s="59"/>
    </row>
    <row r="33" spans="2:55" x14ac:dyDescent="0.3">
      <c r="B33" s="42">
        <v>5</v>
      </c>
      <c r="C33" s="42">
        <v>20</v>
      </c>
      <c r="D33" s="37">
        <f>D32*(C33/C32)^(('Goal Seek 6th order'!$P$26-1)/'Goal Seek 6th order'!$P$26)</f>
        <v>2540.2718086267532</v>
      </c>
      <c r="E33" s="37">
        <f>(((4.7*10^13)*'O2N2 @ EGR'!$H$4*('O2N2 @ EGR'!$G$4^0.5)*(EXP(-67837/D33))/('Goal Seek 6th order'!$P$27*6))*('Goal Seek 6th order'!$P$28*10^-6))</f>
        <v>0</v>
      </c>
      <c r="F33" s="3"/>
      <c r="G33" s="3"/>
      <c r="H33" s="37">
        <f>H32*(C33/C32)^(('Goal Seek 6th order'!$P$26-1)/'Goal Seek 6th order'!$P$26)</f>
        <v>2523.6594462965777</v>
      </c>
      <c r="I33" s="37">
        <f>(((4.7*10^13)*'O2N2 @ EGR'!$H$5*('O2N2 @ EGR'!$G$5^0.5)*(EXP(-67837/H33))/('Goal Seek 6th order'!$P$27*6))*('Goal Seek 6th order'!$P$28*10^-6))</f>
        <v>9.3240679134339576E-10</v>
      </c>
      <c r="L33" s="37">
        <f>L32*(C33/C32)^(('Goal Seek 6th order'!$P$26-1)/'Goal Seek 6th order'!$P$26)</f>
        <v>2506.9516363046437</v>
      </c>
      <c r="M33" s="37">
        <f>(((4.7*10^13)*'O2N2 @ EGR'!$H$6*('O2N2 @ EGR'!$G$6^0.5)*(EXP(-67837/L33))/('Goal Seek 6th order'!$P$27*6))*('Goal Seek 6th order'!$P$28*10^-6))</f>
        <v>1.1026193008438206E-9</v>
      </c>
      <c r="P33" s="37">
        <f>P32*(C33/C32)^(('Goal Seek 6th order'!$P$26-1)/'Goal Seek 6th order'!$P$26)</f>
        <v>2490.2466962787867</v>
      </c>
      <c r="Q33" s="37">
        <f>(((4.7*10^13)*'O2N2 @ EGR'!$H$7*('O2N2 @ EGR'!$G$7^0.5)*(EXP(-67837/P33))/('Goal Seek 6th order'!$P$27*6))*('Goal Seek 6th order'!$P$28*10^-6))</f>
        <v>1.1265384894686335E-9</v>
      </c>
      <c r="T33" s="37">
        <f>T32*(C33/C32)^(('Goal Seek 6th order'!$P$26-1)/'Goal Seek 6th order'!$P$26)</f>
        <v>2473.443910869993</v>
      </c>
      <c r="U33" s="37">
        <f>(((4.7*10^13)*'O2N2 @ EGR'!$H$8*('O2N2 @ EGR'!$G$8^0.5)*(EXP(-67837/T33))/('Goal Seek 6th order'!$P$27*6))*('Goal Seek 6th order'!$P$28*10^-6))</f>
        <v>1.0813201235984012E-9</v>
      </c>
      <c r="W33" s="59"/>
      <c r="X33" s="37">
        <f>X32*(C33/C32)^(('Goal Seek 6th order'!$P$26-1)/'Goal Seek 6th order'!$P$26)</f>
        <v>2456.575281029483</v>
      </c>
      <c r="Y33" s="37">
        <f>(((4.7*10^13)*'O2N2 @ EGR'!$H$9*('O2N2 @ EGR'!$G$9^0.5)*(EXP(-67837/X33))/('Goal Seek 6th order'!$P$27*6))*('Goal Seek 6th order'!$P$28*10^-6))</f>
        <v>1.0016761873214713E-9</v>
      </c>
      <c r="AA33" s="59"/>
      <c r="AB33" s="37">
        <f>AB32*(C33/C32)^(('Goal Seek 6th order'!$P$26-1)/'Goal Seek 6th order'!$P$26)</f>
        <v>2371.2036100845844</v>
      </c>
      <c r="AC33" s="37">
        <f>(((4.7*10^13)*'O2N2 @ EGR'!$H$10*('O2N2 @ EGR'!$G$10^0.5)*(EXP(-67837/AB33))/('Goal Seek 6th order'!$P$27*6))*('Goal Seek 6th order'!$P$28*10^-6))</f>
        <v>5.2480520837033129E-10</v>
      </c>
      <c r="AE33" s="59"/>
      <c r="AF33" s="37">
        <f>AF32*(C33/C32)^(('Goal Seek 6th order'!$P$26-1)/'Goal Seek 6th order'!$P$26)</f>
        <v>2284.014633487875</v>
      </c>
      <c r="AG33" s="37">
        <f>(((4.7*10^13)*'O2N2 @ EGR'!$H$11*('O2N2 @ EGR'!$G$11^0.5)*(EXP(-67837/AF33))/('Goal Seek 6th order'!$P$27*6))*('Goal Seek 6th order'!$P$28*10^-6))</f>
        <v>2.1591974505884792E-10</v>
      </c>
      <c r="AI33" s="59"/>
      <c r="AJ33" s="37">
        <f>AJ32*(C33/C32)^(('Goal Seek 6th order'!$P$26-1)/'Goal Seek 6th order'!$P$26)</f>
        <v>2194.8672274315677</v>
      </c>
      <c r="AK33" s="37">
        <f>(((4.7*10^13)*'O2N2 @ EGR'!$H$12*('O2N2 @ EGR'!$G$12^0.5)*(EXP(-67837/AJ33))/('Goal Seek 6th order'!$P$27*6))*('Goal Seek 6th order'!$P$28*10^-6))</f>
        <v>7.4713090056901877E-11</v>
      </c>
      <c r="AM33" s="59"/>
      <c r="AN33" s="37">
        <f>AN32*(C33/C32)^(('Goal Seek 6th order'!$P$26-1)/'Goal Seek 6th order'!$P$26)</f>
        <v>2103.6214360015879</v>
      </c>
      <c r="AO33" s="37">
        <f>(((4.7*10^13)*'O2N2 @ EGR'!$H$13*('O2N2 @ EGR'!$G$13^0.5)*(EXP(-67837/AN33))/('Goal Seek 6th order'!$P$27*6))*('Goal Seek 6th order'!$P$28*10^-6))</f>
        <v>2.1886231542014979E-11</v>
      </c>
      <c r="AQ33" s="59"/>
      <c r="AR33" s="37">
        <f>AR32*(C33/C32)^(('Goal Seek 6th order'!$P$26-1)/'Goal Seek 6th order'!$P$26)</f>
        <v>2010.1315876828232</v>
      </c>
      <c r="AS33" s="37">
        <f>(((4.7*10^13)*'O2N2 @ EGR'!$H$14*('O2N2 @ EGR'!$G$14^0.5)*(EXP(-67837/AR33))/('Goal Seek 6th order'!$P$27*6))*('Goal Seek 6th order'!$P$28*10^-6))</f>
        <v>5.3572152220671671E-12</v>
      </c>
      <c r="AU33" s="59"/>
      <c r="AV33" s="37">
        <f>AV32*(C33/C32)^(('Goal Seek 6th order'!$P$26-1)/'Goal Seek 6th order'!$P$26)</f>
        <v>1914.2453375978132</v>
      </c>
      <c r="AW33" s="37">
        <f>(((4.7*10^13)*'O2N2 @ EGR'!$H$15*('O2N2 @ EGR'!$G$15^0.5)*(EXP(-67837/AV33))/('Goal Seek 6th order'!$P$27*6))*('Goal Seek 6th order'!$P$28*10^-6))</f>
        <v>1.0685703484668809E-12</v>
      </c>
      <c r="AY33" s="59"/>
      <c r="AZ33" s="37">
        <f>AZ32*(C33/C32)^(('Goal Seek 6th order'!$P$26-1)/'Goal Seek 6th order'!$P$26)</f>
        <v>1815.7952201846276</v>
      </c>
      <c r="BA33" s="37">
        <f>(((4.7*10^13)*'O2N2 @ EGR'!$H$16*('O2N2 @ EGR'!$G$16^0.5)*(EXP(-67837/AZ33))/('Goal Seek 6th order'!$P$27*6))*('Goal Seek 6th order'!$P$28*10^-6))</f>
        <v>1.6745041367882355E-13</v>
      </c>
      <c r="BC33" s="59"/>
    </row>
    <row r="34" spans="2:55" x14ac:dyDescent="0.3">
      <c r="B34" s="42">
        <v>6</v>
      </c>
      <c r="C34" s="42">
        <v>22</v>
      </c>
      <c r="D34" s="37">
        <f>D33*(C34/C33)^(('Goal Seek 6th order'!$P$26-1)/'Goal Seek 6th order'!$P$26)</f>
        <v>2575.6954472136267</v>
      </c>
      <c r="E34" s="37">
        <f>(((4.7*10^13)*'O2N2 @ EGR'!$H$4*('O2N2 @ EGR'!$G$4^0.5)*(EXP(-67837/D34))/('Goal Seek 6th order'!$P$27*6))*('Goal Seek 6th order'!$P$28*10^-6))</f>
        <v>0</v>
      </c>
      <c r="F34" s="3"/>
      <c r="G34" s="3"/>
      <c r="H34" s="37">
        <f>H33*(C34/C33)^(('Goal Seek 6th order'!$P$26-1)/'Goal Seek 6th order'!$P$26)</f>
        <v>2558.8514284452463</v>
      </c>
      <c r="I34" s="37">
        <f>(((4.7*10^13)*'O2N2 @ EGR'!$H$5*('O2N2 @ EGR'!$G$5^0.5)*(EXP(-67837/H34))/('Goal Seek 6th order'!$P$27*6))*('Goal Seek 6th order'!$P$28*10^-6))</f>
        <v>1.349455559008096E-9</v>
      </c>
      <c r="L34" s="37">
        <f>L33*(C34/C33)^(('Goal Seek 6th order'!$P$26-1)/'Goal Seek 6th order'!$P$26)</f>
        <v>2541.9106310144398</v>
      </c>
      <c r="M34" s="37">
        <f>(((4.7*10^13)*'O2N2 @ EGR'!$H$6*('O2N2 @ EGR'!$G$6^0.5)*(EXP(-67837/L34))/('Goal Seek 6th order'!$P$27*6))*('Goal Seek 6th order'!$P$28*10^-6))</f>
        <v>1.5997376652526701E-9</v>
      </c>
      <c r="P34" s="37">
        <f>P33*(C34/C33)^(('Goal Seek 6th order'!$P$26-1)/'Goal Seek 6th order'!$P$26)</f>
        <v>2524.9727435708764</v>
      </c>
      <c r="Q34" s="37">
        <f>(((4.7*10^13)*'O2N2 @ EGR'!$H$7*('O2N2 @ EGR'!$G$7^0.5)*(EXP(-67837/P34))/('Goal Seek 6th order'!$P$27*6))*('Goal Seek 6th order'!$P$28*10^-6))</f>
        <v>1.6385262612575269E-9</v>
      </c>
      <c r="T34" s="37">
        <f>T33*(C34/C33)^(('Goal Seek 6th order'!$P$26-1)/'Goal Seek 6th order'!$P$26)</f>
        <v>2507.9356463079134</v>
      </c>
      <c r="U34" s="37">
        <f>(((4.7*10^13)*'O2N2 @ EGR'!$H$8*('O2N2 @ EGR'!$G$8^0.5)*(EXP(-67837/T34))/('Goal Seek 6th order'!$P$27*6))*('Goal Seek 6th order'!$P$28*10^-6))</f>
        <v>1.5767650074318722E-9</v>
      </c>
      <c r="W34" s="59"/>
      <c r="X34" s="37">
        <f>X33*(C34/C33)^(('Goal Seek 6th order'!$P$26-1)/'Goal Seek 6th order'!$P$26)</f>
        <v>2490.831786424344</v>
      </c>
      <c r="Y34" s="37">
        <f>(((4.7*10^13)*'O2N2 @ EGR'!$H$9*('O2N2 @ EGR'!$G$9^0.5)*(EXP(-67837/X34))/('Goal Seek 6th order'!$P$27*6))*('Goal Seek 6th order'!$P$28*10^-6))</f>
        <v>1.464417446393374E-9</v>
      </c>
      <c r="AA34" s="59"/>
      <c r="AB34" s="37">
        <f>AB33*(C34/C33)^(('Goal Seek 6th order'!$P$26-1)/'Goal Seek 6th order'!$P$26)</f>
        <v>2404.2696227113724</v>
      </c>
      <c r="AC34" s="37">
        <f>(((4.7*10^13)*'O2N2 @ EGR'!$H$10*('O2N2 @ EGR'!$G$10^0.5)*(EXP(-67837/AB34))/('Goal Seek 6th order'!$P$27*6))*('Goal Seek 6th order'!$P$28*10^-6))</f>
        <v>7.7781087870175369E-10</v>
      </c>
      <c r="AE34" s="59"/>
      <c r="AF34" s="37">
        <f>AF33*(C34/C33)^(('Goal Seek 6th order'!$P$26-1)/'Goal Seek 6th order'!$P$26)</f>
        <v>2315.8648113424815</v>
      </c>
      <c r="AG34" s="37">
        <f>(((4.7*10^13)*'O2N2 @ EGR'!$H$11*('O2N2 @ EGR'!$G$11^0.5)*(EXP(-67837/AF34))/('Goal Seek 6th order'!$P$27*6))*('Goal Seek 6th order'!$P$28*10^-6))</f>
        <v>3.2485621233955249E-10</v>
      </c>
      <c r="AI34" s="59"/>
      <c r="AJ34" s="37">
        <f>AJ33*(C34/C33)^(('Goal Seek 6th order'!$P$26-1)/'Goal Seek 6th order'!$P$26)</f>
        <v>2225.4742605634829</v>
      </c>
      <c r="AK34" s="37">
        <f>(((4.7*10^13)*'O2N2 @ EGR'!$H$12*('O2N2 @ EGR'!$G$12^0.5)*(EXP(-67837/AJ34))/('Goal Seek 6th order'!$P$27*6))*('Goal Seek 6th order'!$P$28*10^-6))</f>
        <v>1.1428804441799011E-10</v>
      </c>
      <c r="AM34" s="59"/>
      <c r="AN34" s="37">
        <f>AN33*(C34/C33)^(('Goal Seek 6th order'!$P$26-1)/'Goal Seek 6th order'!$P$26)</f>
        <v>2132.9560627999713</v>
      </c>
      <c r="AO34" s="37">
        <f>(((4.7*10^13)*'O2N2 @ EGR'!$H$13*('O2N2 @ EGR'!$G$13^0.5)*(EXP(-67837/AN34))/('Goal Seek 6th order'!$P$27*6))*('Goal Seek 6th order'!$P$28*10^-6))</f>
        <v>3.4102200351417131E-11</v>
      </c>
      <c r="AQ34" s="59"/>
      <c r="AR34" s="37">
        <f>AR33*(C34/C33)^(('Goal Seek 6th order'!$P$26-1)/'Goal Seek 6th order'!$P$26)</f>
        <v>2038.1625151734636</v>
      </c>
      <c r="AS34" s="37">
        <f>(((4.7*10^13)*'O2N2 @ EGR'!$H$14*('O2N2 @ EGR'!$G$14^0.5)*(EXP(-67837/AR34))/('Goal Seek 6th order'!$P$27*6))*('Goal Seek 6th order'!$P$28*10^-6))</f>
        <v>8.5213564361782929E-12</v>
      </c>
      <c r="AU34" s="59"/>
      <c r="AV34" s="37">
        <f>AV33*(C34/C33)^(('Goal Seek 6th order'!$P$26-1)/'Goal Seek 6th order'!$P$26)</f>
        <v>1940.9391483842778</v>
      </c>
      <c r="AW34" s="37">
        <f>(((4.7*10^13)*'O2N2 @ EGR'!$H$15*('O2N2 @ EGR'!$G$15^0.5)*(EXP(-67837/AV34))/('Goal Seek 6th order'!$P$27*6))*('Goal Seek 6th order'!$P$28*10^-6))</f>
        <v>1.7396807525881362E-12</v>
      </c>
      <c r="AY34" s="59"/>
      <c r="AZ34" s="37">
        <f>AZ33*(C34/C33)^(('Goal Seek 6th order'!$P$26-1)/'Goal Seek 6th order'!$P$26)</f>
        <v>1841.1161615930057</v>
      </c>
      <c r="BA34" s="37">
        <f>(((4.7*10^13)*'O2N2 @ EGR'!$H$16*('O2N2 @ EGR'!$G$16^0.5)*(EXP(-67837/AZ34))/('Goal Seek 6th order'!$P$27*6))*('Goal Seek 6th order'!$P$28*10^-6))</f>
        <v>2.7991679106251074E-13</v>
      </c>
      <c r="BC34" s="59"/>
    </row>
    <row r="35" spans="2:55" x14ac:dyDescent="0.3">
      <c r="B35" s="42">
        <v>7</v>
      </c>
      <c r="C35" s="42">
        <v>24</v>
      </c>
      <c r="D35" s="37">
        <f>D34*(C35/C34)^(('Goal Seek 6th order'!$P$26-1)/'Goal Seek 6th order'!$P$26)</f>
        <v>2608.4658535681256</v>
      </c>
      <c r="E35" s="37">
        <f>(((4.7*10^13)*'O2N2 @ EGR'!$H$4*('O2N2 @ EGR'!$G$4^0.5)*(EXP(-67837/D35))/('Goal Seek 6th order'!$P$27*6))*('Goal Seek 6th order'!$P$28*10^-6))</f>
        <v>0</v>
      </c>
      <c r="F35" s="3"/>
      <c r="G35" s="3"/>
      <c r="H35" s="37">
        <f>H34*(C35/C34)^(('Goal Seek 6th order'!$P$26-1)/'Goal Seek 6th order'!$P$26)</f>
        <v>2591.4075294398936</v>
      </c>
      <c r="I35" s="37">
        <f>(((4.7*10^13)*'O2N2 @ EGR'!$H$5*('O2N2 @ EGR'!$G$5^0.5)*(EXP(-67837/H35))/('Goal Seek 6th order'!$P$27*6))*('Goal Seek 6th order'!$P$28*10^-6))</f>
        <v>1.8827961142751391E-9</v>
      </c>
      <c r="L35" s="37">
        <f>L34*(C35/C34)^(('Goal Seek 6th order'!$P$26-1)/'Goal Seek 6th order'!$P$26)</f>
        <v>2574.2511953405819</v>
      </c>
      <c r="M35" s="37">
        <f>(((4.7*10^13)*'O2N2 @ EGR'!$H$6*('O2N2 @ EGR'!$G$6^0.5)*(EXP(-67837/L35))/('Goal Seek 6th order'!$P$27*6))*('Goal Seek 6th order'!$P$28*10^-6))</f>
        <v>2.2369561701696897E-9</v>
      </c>
      <c r="P35" s="37">
        <f>P34*(C35/C34)^(('Goal Seek 6th order'!$P$26-1)/'Goal Seek 6th order'!$P$26)</f>
        <v>2557.0978082520924</v>
      </c>
      <c r="Q35" s="37">
        <f>(((4.7*10^13)*'O2N2 @ EGR'!$H$7*('O2N2 @ EGR'!$G$7^0.5)*(EXP(-67837/P35))/('Goal Seek 6th order'!$P$27*6))*('Goal Seek 6th order'!$P$28*10^-6))</f>
        <v>2.2963541951219637E-9</v>
      </c>
      <c r="T35" s="37">
        <f>T34*(C35/C34)^(('Goal Seek 6th order'!$P$26-1)/'Goal Seek 6th order'!$P$26)</f>
        <v>2539.8439491040963</v>
      </c>
      <c r="U35" s="37">
        <f>(((4.7*10^13)*'O2N2 @ EGR'!$H$8*('O2N2 @ EGR'!$G$8^0.5)*(EXP(-67837/T35))/('Goal Seek 6th order'!$P$27*6))*('Goal Seek 6th order'!$P$28*10^-6))</f>
        <v>2.214869985085935E-9</v>
      </c>
      <c r="W35" s="59"/>
      <c r="X35" s="37">
        <f>X34*(C35/C34)^(('Goal Seek 6th order'!$P$26-1)/'Goal Seek 6th order'!$P$26)</f>
        <v>2522.5224779189962</v>
      </c>
      <c r="Y35" s="37">
        <f>(((4.7*10^13)*'O2N2 @ EGR'!$H$9*('O2N2 @ EGR'!$G$9^0.5)*(EXP(-67837/X35))/('Goal Seek 6th order'!$P$27*6))*('Goal Seek 6th order'!$P$28*10^-6))</f>
        <v>2.0618618303224034E-9</v>
      </c>
      <c r="AA35" s="59"/>
      <c r="AB35" s="37">
        <f>AB34*(C35/C34)^(('Goal Seek 6th order'!$P$26-1)/'Goal Seek 6th order'!$P$26)</f>
        <v>2434.8589894034876</v>
      </c>
      <c r="AC35" s="37">
        <f>(((4.7*10^13)*'O2N2 @ EGR'!$H$10*('O2N2 @ EGR'!$G$10^0.5)*(EXP(-67837/AB35))/('Goal Seek 6th order'!$P$27*6))*('Goal Seek 6th order'!$P$28*10^-6))</f>
        <v>1.108711643335305E-9</v>
      </c>
      <c r="AE35" s="59"/>
      <c r="AF35" s="37">
        <f>AF34*(C35/C34)^(('Goal Seek 6th order'!$P$26-1)/'Goal Seek 6th order'!$P$26)</f>
        <v>2345.329409345276</v>
      </c>
      <c r="AG35" s="37">
        <f>(((4.7*10^13)*'O2N2 @ EGR'!$H$11*('O2N2 @ EGR'!$G$11^0.5)*(EXP(-67837/AF35))/('Goal Seek 6th order'!$P$27*6))*('Goal Seek 6th order'!$P$28*10^-6))</f>
        <v>4.6936681974164027E-10</v>
      </c>
      <c r="AI35" s="59"/>
      <c r="AJ35" s="37">
        <f>AJ34*(C35/C34)^(('Goal Seek 6th order'!$P$26-1)/'Goal Seek 6th order'!$P$26)</f>
        <v>2253.7888254430527</v>
      </c>
      <c r="AK35" s="37">
        <f>(((4.7*10^13)*'O2N2 @ EGR'!$H$12*('O2N2 @ EGR'!$G$12^0.5)*(EXP(-67837/AJ35))/('Goal Seek 6th order'!$P$27*6))*('Goal Seek 6th order'!$P$28*10^-6))</f>
        <v>1.6761518405333355E-10</v>
      </c>
      <c r="AM35" s="59"/>
      <c r="AN35" s="37">
        <f>AN34*(C35/C34)^(('Goal Seek 6th order'!$P$26-1)/'Goal Seek 6th order'!$P$26)</f>
        <v>2160.0935246415338</v>
      </c>
      <c r="AO35" s="37">
        <f>(((4.7*10^13)*'O2N2 @ EGR'!$H$13*('O2N2 @ EGR'!$G$13^0.5)*(EXP(-67837/AN35))/('Goal Seek 6th order'!$P$27*6))*('Goal Seek 6th order'!$P$28*10^-6))</f>
        <v>5.0852096353715968E-11</v>
      </c>
      <c r="AQ35" s="59"/>
      <c r="AR35" s="37">
        <f>AR34*(C35/C34)^(('Goal Seek 6th order'!$P$26-1)/'Goal Seek 6th order'!$P$26)</f>
        <v>2064.0939248480804</v>
      </c>
      <c r="AS35" s="37">
        <f>(((4.7*10^13)*'O2N2 @ EGR'!$H$14*('O2N2 @ EGR'!$G$14^0.5)*(EXP(-67837/AR35))/('Goal Seek 6th order'!$P$27*6))*('Goal Seek 6th order'!$P$28*10^-6))</f>
        <v>1.2945111290692126E-11</v>
      </c>
      <c r="AU35" s="59"/>
      <c r="AV35" s="37">
        <f>AV34*(C35/C34)^(('Goal Seek 6th order'!$P$26-1)/'Goal Seek 6th order'!$P$26)</f>
        <v>1965.6335914601141</v>
      </c>
      <c r="AW35" s="37">
        <f>(((4.7*10^13)*'O2N2 @ EGR'!$H$15*('O2N2 @ EGR'!$G$15^0.5)*(EXP(-67837/AV35))/('Goal Seek 6th order'!$P$27*6))*('Goal Seek 6th order'!$P$28*10^-6))</f>
        <v>2.6987519763588226E-12</v>
      </c>
      <c r="AY35" s="59"/>
      <c r="AZ35" s="37">
        <f>AZ34*(C35/C34)^(('Goal Seek 6th order'!$P$26-1)/'Goal Seek 6th order'!$P$26)</f>
        <v>1864.5405632731449</v>
      </c>
      <c r="BA35" s="37">
        <f>(((4.7*10^13)*'O2N2 @ EGR'!$H$16*('O2N2 @ EGR'!$G$16^0.5)*(EXP(-67837/AZ35))/('Goal Seek 6th order'!$P$27*6))*('Goal Seek 6th order'!$P$28*10^-6))</f>
        <v>4.4469425729987534E-13</v>
      </c>
      <c r="BC35" s="59"/>
    </row>
    <row r="36" spans="2:55" x14ac:dyDescent="0.3">
      <c r="B36" s="42">
        <v>8</v>
      </c>
      <c r="C36" s="42">
        <v>26</v>
      </c>
      <c r="D36" s="37">
        <f>D35*(C36/C35)^(('Goal Seek 6th order'!$P$26-1)/'Goal Seek 6th order'!$P$26)</f>
        <v>2638.9797653827804</v>
      </c>
      <c r="E36" s="37">
        <f>(((4.7*10^13)*'O2N2 @ EGR'!$H$4*('O2N2 @ EGR'!$G$4^0.5)*(EXP(-67837/D36))/('Goal Seek 6th order'!$P$27*6))*('Goal Seek 6th order'!$P$28*10^-6))</f>
        <v>0</v>
      </c>
      <c r="F36" s="3"/>
      <c r="G36" s="3"/>
      <c r="H36" s="37">
        <f>H35*(C36/C35)^(('Goal Seek 6th order'!$P$26-1)/'Goal Seek 6th order'!$P$26)</f>
        <v>2621.7218924671097</v>
      </c>
      <c r="I36" s="37">
        <f>(((4.7*10^13)*'O2N2 @ EGR'!$H$5*('O2N2 @ EGR'!$G$5^0.5)*(EXP(-67837/H36))/('Goal Seek 6th order'!$P$27*6))*('Goal Seek 6th order'!$P$28*10^-6))</f>
        <v>2.5483453144350411E-9</v>
      </c>
      <c r="L36" s="37">
        <f>L35*(C36/C35)^(('Goal Seek 6th order'!$P$26-1)/'Goal Seek 6th order'!$P$26)</f>
        <v>2604.3648630567773</v>
      </c>
      <c r="M36" s="37">
        <f>(((4.7*10^13)*'O2N2 @ EGR'!$H$6*('O2N2 @ EGR'!$G$6^0.5)*(EXP(-67837/L36))/('Goal Seek 6th order'!$P$27*6))*('Goal Seek 6th order'!$P$28*10^-6))</f>
        <v>3.0338112133503666E-9</v>
      </c>
      <c r="P36" s="37">
        <f>P35*(C36/C35)^(('Goal Seek 6th order'!$P$26-1)/'Goal Seek 6th order'!$P$26)</f>
        <v>2587.0108151314876</v>
      </c>
      <c r="Q36" s="37">
        <f>(((4.7*10^13)*'O2N2 @ EGR'!$H$7*('O2N2 @ EGR'!$G$7^0.5)*(EXP(-67837/P36))/('Goal Seek 6th order'!$P$27*6))*('Goal Seek 6th order'!$P$28*10^-6))</f>
        <v>3.1207404427370158E-9</v>
      </c>
      <c r="T36" s="37">
        <f>T35*(C36/C35)^(('Goal Seek 6th order'!$P$26-1)/'Goal Seek 6th order'!$P$26)</f>
        <v>2569.5551198215253</v>
      </c>
      <c r="U36" s="37">
        <f>(((4.7*10^13)*'O2N2 @ EGR'!$H$8*('O2N2 @ EGR'!$G$8^0.5)*(EXP(-67837/T36))/('Goal Seek 6th order'!$P$27*6))*('Goal Seek 6th order'!$P$28*10^-6))</f>
        <v>3.0162824227596572E-9</v>
      </c>
      <c r="W36" s="59"/>
      <c r="X36" s="37">
        <f>X35*(C36/C35)^(('Goal Seek 6th order'!$P$26-1)/'Goal Seek 6th order'!$P$26)</f>
        <v>2552.0310215468203</v>
      </c>
      <c r="Y36" s="37">
        <f>(((4.7*10^13)*'O2N2 @ EGR'!$H$9*('O2N2 @ EGR'!$G$9^0.5)*(EXP(-67837/X36))/('Goal Seek 6th order'!$P$27*6))*('Goal Seek 6th order'!$P$28*10^-6))</f>
        <v>2.8138718549523019E-9</v>
      </c>
      <c r="AA36" s="59"/>
      <c r="AB36" s="37">
        <f>AB35*(C36/C35)^(('Goal Seek 6th order'!$P$26-1)/'Goal Seek 6th order'!$P$26)</f>
        <v>2463.3420429125631</v>
      </c>
      <c r="AC36" s="37">
        <f>(((4.7*10^13)*'O2N2 @ EGR'!$H$10*('O2N2 @ EGR'!$G$10^0.5)*(EXP(-67837/AB36))/('Goal Seek 6th order'!$P$27*6))*('Goal Seek 6th order'!$P$28*10^-6))</f>
        <v>1.5301198572684278E-9</v>
      </c>
      <c r="AE36" s="59"/>
      <c r="AF36" s="37">
        <f>AF35*(C36/C35)^(('Goal Seek 6th order'!$P$26-1)/'Goal Seek 6th order'!$P$26)</f>
        <v>2372.7651431407494</v>
      </c>
      <c r="AG36" s="37">
        <f>(((4.7*10^13)*'O2N2 @ EGR'!$H$11*('O2N2 @ EGR'!$G$11^0.5)*(EXP(-67837/AF36))/('Goal Seek 6th order'!$P$27*6))*('Goal Seek 6th order'!$P$28*10^-6))</f>
        <v>6.5578272341373882E-10</v>
      </c>
      <c r="AI36" s="59"/>
      <c r="AJ36" s="37">
        <f>AJ35*(C36/C35)^(('Goal Seek 6th order'!$P$26-1)/'Goal Seek 6th order'!$P$26)</f>
        <v>2280.1537147416225</v>
      </c>
      <c r="AK36" s="37">
        <f>(((4.7*10^13)*'O2N2 @ EGR'!$H$12*('O2N2 @ EGR'!$G$12^0.5)*(EXP(-67837/AJ36))/('Goal Seek 6th order'!$P$27*6))*('Goal Seek 6th order'!$P$28*10^-6))</f>
        <v>2.3738887632478719E-10</v>
      </c>
      <c r="AM36" s="59"/>
      <c r="AN36" s="37">
        <f>AN35*(C36/C35)^(('Goal Seek 6th order'!$P$26-1)/'Goal Seek 6th order'!$P$26)</f>
        <v>2185.3623635002659</v>
      </c>
      <c r="AO36" s="37">
        <f>(((4.7*10^13)*'O2N2 @ EGR'!$H$13*('O2N2 @ EGR'!$G$13^0.5)*(EXP(-67837/AN36))/('Goal Seek 6th order'!$P$27*6))*('Goal Seek 6th order'!$P$28*10^-6))</f>
        <v>7.3115921201539318E-11</v>
      </c>
      <c r="AQ36" s="59"/>
      <c r="AR36" s="37">
        <f>AR35*(C36/C35)^(('Goal Seek 6th order'!$P$26-1)/'Goal Seek 6th order'!$P$26)</f>
        <v>2088.2397575082332</v>
      </c>
      <c r="AS36" s="37">
        <f>(((4.7*10^13)*'O2N2 @ EGR'!$H$14*('O2N2 @ EGR'!$G$14^0.5)*(EXP(-67837/AR36))/('Goal Seek 6th order'!$P$27*6))*('Goal Seek 6th order'!$P$28*10^-6))</f>
        <v>1.8929691955056747E-11</v>
      </c>
      <c r="AU36" s="59"/>
      <c r="AV36" s="37">
        <f>AV35*(C36/C35)^(('Goal Seek 6th order'!$P$26-1)/'Goal Seek 6th order'!$P$26)</f>
        <v>1988.6276321862717</v>
      </c>
      <c r="AW36" s="37">
        <f>(((4.7*10^13)*'O2N2 @ EGR'!$H$15*('O2N2 @ EGR'!$G$15^0.5)*(EXP(-67837/AV36))/('Goal Seek 6th order'!$P$27*6))*('Goal Seek 6th order'!$P$28*10^-6))</f>
        <v>4.0222366562748973E-12</v>
      </c>
      <c r="AY36" s="59"/>
      <c r="AZ36" s="37">
        <f>AZ35*(C36/C35)^(('Goal Seek 6th order'!$P$26-1)/'Goal Seek 6th order'!$P$26)</f>
        <v>1886.352014722562</v>
      </c>
      <c r="BA36" s="37">
        <f>(((4.7*10^13)*'O2N2 @ EGR'!$H$16*('O2N2 @ EGR'!$G$16^0.5)*(EXP(-67837/AZ36))/('Goal Seek 6th order'!$P$27*6))*('Goal Seek 6th order'!$P$28*10^-6))</f>
        <v>6.7727107134757786E-13</v>
      </c>
      <c r="BC36" s="59"/>
    </row>
    <row r="37" spans="2:55" x14ac:dyDescent="0.3">
      <c r="B37" s="42">
        <v>9</v>
      </c>
      <c r="C37" s="42">
        <v>28</v>
      </c>
      <c r="D37" s="37">
        <f>D36*(C37/C36)^(('Goal Seek 6th order'!$P$26-1)/'Goal Seek 6th order'!$P$26)</f>
        <v>2667.549377961876</v>
      </c>
      <c r="E37" s="37">
        <f>(((4.7*10^13)*'O2N2 @ EGR'!$H$4*('O2N2 @ EGR'!$G$4^0.5)*(EXP(-67837/D37))/('Goal Seek 6th order'!$P$27*6))*('Goal Seek 6th order'!$P$28*10^-6))</f>
        <v>0</v>
      </c>
      <c r="F37" s="3"/>
      <c r="G37" s="3"/>
      <c r="H37" s="37">
        <f>H36*(C37/C36)^(('Goal Seek 6th order'!$P$26-1)/'Goal Seek 6th order'!$P$26)</f>
        <v>2650.1046711986678</v>
      </c>
      <c r="I37" s="37">
        <f>(((4.7*10^13)*'O2N2 @ EGR'!$H$5*('O2N2 @ EGR'!$G$5^0.5)*(EXP(-67837/H37))/('Goal Seek 6th order'!$P$27*6))*('Goal Seek 6th order'!$P$28*10^-6))</f>
        <v>3.3621035060435971E-9</v>
      </c>
      <c r="L37" s="37">
        <f>L36*(C37/C36)^(('Goal Seek 6th order'!$P$26-1)/'Goal Seek 6th order'!$P$26)</f>
        <v>2632.559734471924</v>
      </c>
      <c r="M37" s="37">
        <f>(((4.7*10^13)*'O2N2 @ EGR'!$H$6*('O2N2 @ EGR'!$G$6^0.5)*(EXP(-67837/L37))/('Goal Seek 6th order'!$P$27*6))*('Goal Seek 6th order'!$P$28*10^-6))</f>
        <v>4.0099915476461912E-9</v>
      </c>
      <c r="P37" s="37">
        <f>P36*(C37/C36)^(('Goal Seek 6th order'!$P$26-1)/'Goal Seek 6th order'!$P$26)</f>
        <v>2615.0178115077997</v>
      </c>
      <c r="Q37" s="37">
        <f>(((4.7*10^13)*'O2N2 @ EGR'!$H$7*('O2N2 @ EGR'!$G$7^0.5)*(EXP(-67837/P37))/('Goal Seek 6th order'!$P$27*6))*('Goal Seek 6th order'!$P$28*10^-6))</f>
        <v>4.1326181527582102E-9</v>
      </c>
      <c r="T37" s="37">
        <f>T36*(C37/C36)^(('Goal Seek 6th order'!$P$26-1)/'Goal Seek 6th order'!$P$26)</f>
        <v>2597.3731407237369</v>
      </c>
      <c r="U37" s="37">
        <f>(((4.7*10^13)*'O2N2 @ EGR'!$H$8*('O2N2 @ EGR'!$G$8^0.5)*(EXP(-67837/T37))/('Goal Seek 6th order'!$P$27*6))*('Goal Seek 6th order'!$P$28*10^-6))</f>
        <v>4.0019180664508716E-9</v>
      </c>
      <c r="W37" s="59"/>
      <c r="X37" s="37">
        <f>X36*(C37/C36)^(('Goal Seek 6th order'!$P$26-1)/'Goal Seek 6th order'!$P$26)</f>
        <v>2579.6593264439784</v>
      </c>
      <c r="Y37" s="37">
        <f>(((4.7*10^13)*'O2N2 @ EGR'!$H$9*('O2N2 @ EGR'!$G$9^0.5)*(EXP(-67837/X37))/('Goal Seek 6th order'!$P$27*6))*('Goal Seek 6th order'!$P$28*10^-6))</f>
        <v>3.7406210453145266E-9</v>
      </c>
      <c r="AA37" s="59"/>
      <c r="AB37" s="37">
        <f>AB36*(C37/C36)^(('Goal Seek 6th order'!$P$26-1)/'Goal Seek 6th order'!$P$26)</f>
        <v>2490.0102003342254</v>
      </c>
      <c r="AC37" s="37">
        <f>(((4.7*10^13)*'O2N2 @ EGR'!$H$10*('O2N2 @ EGR'!$G$10^0.5)*(EXP(-67837/AB37))/('Goal Seek 6th order'!$P$27*6))*('Goal Seek 6th order'!$P$28*10^-6))</f>
        <v>2.0550211780750453E-9</v>
      </c>
      <c r="AE37" s="59"/>
      <c r="AF37" s="37">
        <f>AF36*(C37/C36)^(('Goal Seek 6th order'!$P$26-1)/'Goal Seek 6th order'!$P$26)</f>
        <v>2398.4527144400618</v>
      </c>
      <c r="AG37" s="37">
        <f>(((4.7*10^13)*'O2N2 @ EGR'!$H$11*('O2N2 @ EGR'!$G$11^0.5)*(EXP(-67837/AF37))/('Goal Seek 6th order'!$P$27*6))*('Goal Seek 6th order'!$P$28*10^-6))</f>
        <v>8.9071856799092443E-10</v>
      </c>
      <c r="AI37" s="59"/>
      <c r="AJ37" s="37">
        <f>AJ36*(C37/C36)^(('Goal Seek 6th order'!$P$26-1)/'Goal Seek 6th order'!$P$26)</f>
        <v>2304.8386740980673</v>
      </c>
      <c r="AK37" s="37">
        <f>(((4.7*10^13)*'O2N2 @ EGR'!$H$12*('O2N2 @ EGR'!$G$12^0.5)*(EXP(-67837/AJ37))/('Goal Seek 6th order'!$P$27*6))*('Goal Seek 6th order'!$P$28*10^-6))</f>
        <v>3.264690970030723E-10</v>
      </c>
      <c r="AM37" s="59"/>
      <c r="AN37" s="37">
        <f>AN36*(C37/C36)^(('Goal Seek 6th order'!$P$26-1)/'Goal Seek 6th order'!$P$26)</f>
        <v>2209.021111054582</v>
      </c>
      <c r="AO37" s="37">
        <f>(((4.7*10^13)*'O2N2 @ EGR'!$H$13*('O2N2 @ EGR'!$G$13^0.5)*(EXP(-67837/AN37))/('Goal Seek 6th order'!$P$27*6))*('Goal Seek 6th order'!$P$28*10^-6))</f>
        <v>1.0195207186400551E-10</v>
      </c>
      <c r="AQ37" s="59"/>
      <c r="AR37" s="37">
        <f>AR36*(C37/C36)^(('Goal Seek 6th order'!$P$26-1)/'Goal Seek 6th order'!$P$26)</f>
        <v>2110.8470550809075</v>
      </c>
      <c r="AS37" s="37">
        <f>(((4.7*10^13)*'O2N2 @ EGR'!$H$14*('O2N2 @ EGR'!$G$14^0.5)*(EXP(-67837/AR37))/('Goal Seek 6th order'!$P$27*6))*('Goal Seek 6th order'!$P$28*10^-6))</f>
        <v>2.6806669035907111E-11</v>
      </c>
      <c r="AU37" s="59"/>
      <c r="AV37" s="37">
        <f>AV36*(C37/C36)^(('Goal Seek 6th order'!$P$26-1)/'Goal Seek 6th order'!$P$26)</f>
        <v>2010.1565282243985</v>
      </c>
      <c r="AW37" s="37">
        <f>(((4.7*10^13)*'O2N2 @ EGR'!$H$15*('O2N2 @ EGR'!$G$15^0.5)*(EXP(-67837/AV37))/('Goal Seek 6th order'!$P$27*6))*('Goal Seek 6th order'!$P$28*10^-6))</f>
        <v>5.7960967180088747E-12</v>
      </c>
      <c r="AY37" s="59"/>
      <c r="AZ37" s="37">
        <f>AZ36*(C37/C36)^(('Goal Seek 6th order'!$P$26-1)/'Goal Seek 6th order'!$P$26)</f>
        <v>1906.7736742424117</v>
      </c>
      <c r="BA37" s="37">
        <f>(((4.7*10^13)*'O2N2 @ EGR'!$H$16*('O2N2 @ EGR'!$G$16^0.5)*(EXP(-67837/AZ37))/('Goal Seek 6th order'!$P$27*6))*('Goal Seek 6th order'!$P$28*10^-6))</f>
        <v>9.9548176294574183E-13</v>
      </c>
      <c r="BC37" s="59"/>
    </row>
    <row r="38" spans="2:55" x14ac:dyDescent="0.3">
      <c r="B38" s="42">
        <v>10</v>
      </c>
      <c r="C38" s="42">
        <v>30</v>
      </c>
      <c r="D38" s="37">
        <f>D37*(C38/C37)^(('Goal Seek 6th order'!$P$26-1)/'Goal Seek 6th order'!$P$26)</f>
        <v>2694.4249911242314</v>
      </c>
      <c r="E38" s="37">
        <f>(((4.7*10^13)*'O2N2 @ EGR'!$H$4*('O2N2 @ EGR'!$G$4^0.5)*(EXP(-67837/D38))/('Goal Seek 6th order'!$P$27*6))*('Goal Seek 6th order'!$P$28*10^-6))</f>
        <v>0</v>
      </c>
      <c r="F38" s="3"/>
      <c r="G38" s="3"/>
      <c r="H38" s="37">
        <f>H37*(C38/C37)^(('Goal Seek 6th order'!$P$26-1)/'Goal Seek 6th order'!$P$26)</f>
        <v>2676.8045285926119</v>
      </c>
      <c r="I38" s="37">
        <f>(((4.7*10^13)*'O2N2 @ EGR'!$H$5*('O2N2 @ EGR'!$G$5^0.5)*(EXP(-67837/H38))/('Goal Seek 6th order'!$P$27*6))*('Goal Seek 6th order'!$P$28*10^-6))</f>
        <v>4.3400823388940681E-9</v>
      </c>
      <c r="L38" s="37">
        <f>L37*(C38/C37)^(('Goal Seek 6th order'!$P$26-1)/'Goal Seek 6th order'!$P$26)</f>
        <v>2659.0828262785762</v>
      </c>
      <c r="M38" s="37">
        <f>(((4.7*10^13)*'O2N2 @ EGR'!$H$6*('O2N2 @ EGR'!$G$6^0.5)*(EXP(-67837/L38))/('Goal Seek 6th order'!$P$27*6))*('Goal Seek 6th order'!$P$28*10^-6))</f>
        <v>5.1852459679401971E-9</v>
      </c>
      <c r="P38" s="37">
        <f>P37*(C38/C37)^(('Goal Seek 6th order'!$P$26-1)/'Goal Seek 6th order'!$P$26)</f>
        <v>2641.3641680908781</v>
      </c>
      <c r="Q38" s="37">
        <f>(((4.7*10^13)*'O2N2 @ EGR'!$H$7*('O2N2 @ EGR'!$G$7^0.5)*(EXP(-67837/P38))/('Goal Seek 6th order'!$P$27*6))*('Goal Seek 6th order'!$P$28*10^-6))</f>
        <v>5.3530338199404245E-9</v>
      </c>
      <c r="T38" s="37">
        <f>T37*(C38/C37)^(('Goal Seek 6th order'!$P$26-1)/'Goal Seek 6th order'!$P$26)</f>
        <v>2623.5417268969077</v>
      </c>
      <c r="U38" s="37">
        <f>(((4.7*10^13)*'O2N2 @ EGR'!$H$8*('O2N2 @ EGR'!$G$8^0.5)*(EXP(-67837/T38))/('Goal Seek 6th order'!$P$27*6))*('Goal Seek 6th order'!$P$28*10^-6))</f>
        <v>5.1928561644848683E-9</v>
      </c>
      <c r="W38" s="59"/>
      <c r="X38" s="37">
        <f>X37*(C38/C37)^(('Goal Seek 6th order'!$P$26-1)/'Goal Seek 6th order'!$P$26)</f>
        <v>2605.6494455851439</v>
      </c>
      <c r="Y38" s="37">
        <f>(((4.7*10^13)*'O2N2 @ EGR'!$H$9*('O2N2 @ EGR'!$G$9^0.5)*(EXP(-67837/X38))/('Goal Seek 6th order'!$P$27*6))*('Goal Seek 6th order'!$P$28*10^-6))</f>
        <v>4.8624897832319188E-9</v>
      </c>
      <c r="AA38" s="59"/>
      <c r="AB38" s="37">
        <f>AB37*(C38/C37)^(('Goal Seek 6th order'!$P$26-1)/'Goal Seek 6th order'!$P$26)</f>
        <v>2515.0971027426194</v>
      </c>
      <c r="AC38" s="37">
        <f>(((4.7*10^13)*'O2N2 @ EGR'!$H$10*('O2N2 @ EGR'!$G$10^0.5)*(EXP(-67837/AB38))/('Goal Seek 6th order'!$P$27*6))*('Goal Seek 6th order'!$P$28*10^-6))</f>
        <v>2.6966999746204031E-9</v>
      </c>
      <c r="AE38" s="59"/>
      <c r="AF38" s="37">
        <f>AF37*(C38/C37)^(('Goal Seek 6th order'!$P$26-1)/'Goal Seek 6th order'!$P$26)</f>
        <v>2422.6171733528122</v>
      </c>
      <c r="AG38" s="37">
        <f>(((4.7*10^13)*'O2N2 @ EGR'!$H$11*('O2N2 @ EGR'!$G$11^0.5)*(EXP(-67837/AF38))/('Goal Seek 6th order'!$P$27*6))*('Goal Seek 6th order'!$P$28*10^-6))</f>
        <v>1.1810327444769432E-9</v>
      </c>
      <c r="AI38" s="59"/>
      <c r="AJ38" s="37">
        <f>AJ37*(C38/C37)^(('Goal Seek 6th order'!$P$26-1)/'Goal Seek 6th order'!$P$26)</f>
        <v>2328.0599696881131</v>
      </c>
      <c r="AK38" s="37">
        <f>(((4.7*10^13)*'O2N2 @ EGR'!$H$12*('O2N2 @ EGR'!$G$12^0.5)*(EXP(-67837/AJ38))/('Goal Seek 6th order'!$P$27*6))*('Goal Seek 6th order'!$P$28*10^-6))</f>
        <v>4.3786464449898848E-10</v>
      </c>
      <c r="AM38" s="59"/>
      <c r="AN38" s="37">
        <f>AN37*(C38/C37)^(('Goal Seek 6th order'!$P$26-1)/'Goal Seek 6th order'!$P$26)</f>
        <v>2231.2770427867772</v>
      </c>
      <c r="AO38" s="37">
        <f>(((4.7*10^13)*'O2N2 @ EGR'!$H$13*('O2N2 @ EGR'!$G$13^0.5)*(EXP(-67837/AN38))/('Goal Seek 6th order'!$P$27*6))*('Goal Seek 6th order'!$P$28*10^-6))</f>
        <v>1.3849182805229948E-10</v>
      </c>
      <c r="AQ38" s="59"/>
      <c r="AR38" s="37">
        <f>AR37*(C38/C37)^(('Goal Seek 6th order'!$P$26-1)/'Goal Seek 6th order'!$P$26)</f>
        <v>2132.1138812420022</v>
      </c>
      <c r="AS38" s="37">
        <f>(((4.7*10^13)*'O2N2 @ EGR'!$H$14*('O2N2 @ EGR'!$G$14^0.5)*(EXP(-67837/AR38))/('Goal Seek 6th order'!$P$27*6))*('Goal Seek 6th order'!$P$28*10^-6))</f>
        <v>3.6936691331199227E-11</v>
      </c>
      <c r="AU38" s="59"/>
      <c r="AV38" s="37">
        <f>AV37*(C38/C37)^(('Goal Seek 6th order'!$P$26-1)/'Goal Seek 6th order'!$P$26)</f>
        <v>2030.4088953200805</v>
      </c>
      <c r="AW38" s="37">
        <f>(((4.7*10^13)*'O2N2 @ EGR'!$H$15*('O2N2 @ EGR'!$G$15^0.5)*(EXP(-67837/AV38))/('Goal Seek 6th order'!$P$27*6))*('Goal Seek 6th order'!$P$28*10^-6))</f>
        <v>8.1156661151363333E-12</v>
      </c>
      <c r="AY38" s="59"/>
      <c r="AZ38" s="37">
        <f>AZ37*(C38/C37)^(('Goal Seek 6th order'!$P$26-1)/'Goal Seek 6th order'!$P$26)</f>
        <v>1925.9844570232187</v>
      </c>
      <c r="BA38" s="37">
        <f>(((4.7*10^13)*'O2N2 @ EGR'!$H$16*('O2N2 @ EGR'!$G$16^0.5)*(EXP(-67837/AZ38))/('Goal Seek 6th order'!$P$27*6))*('Goal Seek 6th order'!$P$28*10^-6))</f>
        <v>1.4195412394969571E-12</v>
      </c>
      <c r="BC38" s="59"/>
    </row>
    <row r="39" spans="2:55" x14ac:dyDescent="0.3">
      <c r="B39" s="42">
        <v>11</v>
      </c>
      <c r="C39" s="42">
        <v>32</v>
      </c>
      <c r="D39" s="37">
        <f>D38*(C39/C38)^(('Goal Seek 6th order'!$P$26-1)/'Goal Seek 6th order'!$P$26)</f>
        <v>2719.8105093266968</v>
      </c>
      <c r="E39" s="37">
        <f>(((4.7*10^13)*'O2N2 @ EGR'!$H$4*('O2N2 @ EGR'!$G$4^0.5)*(EXP(-67837/D39))/('Goal Seek 6th order'!$P$27*6))*('Goal Seek 6th order'!$P$28*10^-6))</f>
        <v>0</v>
      </c>
      <c r="F39" s="3"/>
      <c r="G39" s="3"/>
      <c r="H39" s="37">
        <f>H38*(C39/C38)^(('Goal Seek 6th order'!$P$26-1)/'Goal Seek 6th order'!$P$26)</f>
        <v>2702.0240356521413</v>
      </c>
      <c r="I39" s="37">
        <f>(((4.7*10^13)*'O2N2 @ EGR'!$H$5*('O2N2 @ EGR'!$G$5^0.5)*(EXP(-67837/H39))/('Goal Seek 6th order'!$P$27*6))*('Goal Seek 6th order'!$P$28*10^-6))</f>
        <v>5.4982473694445149E-9</v>
      </c>
      <c r="L39" s="37">
        <f>L38*(C39/C38)^(('Goal Seek 6th order'!$P$26-1)/'Goal Seek 6th order'!$P$26)</f>
        <v>2684.1353683648167</v>
      </c>
      <c r="M39" s="37">
        <f>(((4.7*10^13)*'O2N2 @ EGR'!$H$6*('O2N2 @ EGR'!$G$6^0.5)*(EXP(-67837/L39))/('Goal Seek 6th order'!$P$27*6))*('Goal Seek 6th order'!$P$28*10^-6))</f>
        <v>6.5793092104365161E-9</v>
      </c>
      <c r="P39" s="37">
        <f>P38*(C39/C38)^(('Goal Seek 6th order'!$P$26-1)/'Goal Seek 6th order'!$P$26)</f>
        <v>2666.2497738840584</v>
      </c>
      <c r="Q39" s="37">
        <f>(((4.7*10^13)*'O2N2 @ EGR'!$H$7*('O2N2 @ EGR'!$G$7^0.5)*(EXP(-67837/P39))/('Goal Seek 6th order'!$P$27*6))*('Goal Seek 6th order'!$P$28*10^-6))</f>
        <v>6.803064962657927E-9</v>
      </c>
      <c r="T39" s="37">
        <f>T38*(C39/C38)^(('Goal Seek 6th order'!$P$26-1)/'Goal Seek 6th order'!$P$26)</f>
        <v>2648.2594186056981</v>
      </c>
      <c r="U39" s="37">
        <f>(((4.7*10^13)*'O2N2 @ EGR'!$H$8*('O2N2 @ EGR'!$G$8^0.5)*(EXP(-67837/T39))/('Goal Seek 6th order'!$P$27*6))*('Goal Seek 6th order'!$P$28*10^-6))</f>
        <v>6.6102538171250184E-9</v>
      </c>
      <c r="W39" s="59"/>
      <c r="X39" s="37">
        <f>X38*(C39/C38)^(('Goal Seek 6th order'!$P$26-1)/'Goal Seek 6th order'!$P$26)</f>
        <v>2630.1985652110525</v>
      </c>
      <c r="Y39" s="37">
        <f>(((4.7*10^13)*'O2N2 @ EGR'!$H$9*('O2N2 @ EGR'!$G$9^0.5)*(EXP(-67837/X39))/('Goal Seek 6th order'!$P$27*6))*('Goal Seek 6th order'!$P$28*10^-6))</f>
        <v>6.1999795683516026E-9</v>
      </c>
      <c r="AA39" s="59"/>
      <c r="AB39" s="37">
        <f>AB38*(C39/C38)^(('Goal Seek 6th order'!$P$26-1)/'Goal Seek 6th order'!$P$26)</f>
        <v>2538.7930837006943</v>
      </c>
      <c r="AC39" s="37">
        <f>(((4.7*10^13)*'O2N2 @ EGR'!$H$10*('O2N2 @ EGR'!$G$10^0.5)*(EXP(-67837/AB39))/('Goal Seek 6th order'!$P$27*6))*('Goal Seek 6th order'!$P$28*10^-6))</f>
        <v>3.4686756755908559E-9</v>
      </c>
      <c r="AE39" s="59"/>
      <c r="AF39" s="37">
        <f>AF38*(C39/C38)^(('Goal Seek 6th order'!$P$26-1)/'Goal Seek 6th order'!$P$26)</f>
        <v>2445.4418548913</v>
      </c>
      <c r="AG39" s="37">
        <f>(((4.7*10^13)*'O2N2 @ EGR'!$H$11*('O2N2 @ EGR'!$G$11^0.5)*(EXP(-67837/AF39))/('Goal Seek 6th order'!$P$27*6))*('Goal Seek 6th order'!$P$28*10^-6))</f>
        <v>1.5337923195616856E-9</v>
      </c>
      <c r="AI39" s="59"/>
      <c r="AJ39" s="37">
        <f>AJ38*(C39/C38)^(('Goal Seek 6th order'!$P$26-1)/'Goal Seek 6th order'!$P$26)</f>
        <v>2349.9937807727151</v>
      </c>
      <c r="AK39" s="37">
        <f>(((4.7*10^13)*'O2N2 @ EGR'!$H$12*('O2N2 @ EGR'!$G$12^0.5)*(EXP(-67837/AJ39))/('Goal Seek 6th order'!$P$27*6))*('Goal Seek 6th order'!$P$28*10^-6))</f>
        <v>5.7471778667703664E-10</v>
      </c>
      <c r="AM39" s="59"/>
      <c r="AN39" s="37">
        <f>AN38*(C39/C38)^(('Goal Seek 6th order'!$P$26-1)/'Goal Seek 6th order'!$P$26)</f>
        <v>2252.2990137716788</v>
      </c>
      <c r="AO39" s="37">
        <f>(((4.7*10^13)*'O2N2 @ EGR'!$H$13*('O2N2 @ EGR'!$G$13^0.5)*(EXP(-67837/AN39))/('Goal Seek 6th order'!$P$27*6))*('Goal Seek 6th order'!$P$28*10^-6))</f>
        <v>1.8393407910507591E-10</v>
      </c>
      <c r="AQ39" s="59"/>
      <c r="AR39" s="37">
        <f>AR38*(C39/C38)^(('Goal Seek 6th order'!$P$26-1)/'Goal Seek 6th order'!$P$26)</f>
        <v>2152.2015867525629</v>
      </c>
      <c r="AS39" s="37">
        <f>(((4.7*10^13)*'O2N2 @ EGR'!$H$14*('O2N2 @ EGR'!$G$14^0.5)*(EXP(-67837/AR39))/('Goal Seek 6th order'!$P$27*6))*('Goal Seek 6th order'!$P$28*10^-6))</f>
        <v>4.9708168564961629E-11</v>
      </c>
      <c r="AU39" s="59"/>
      <c r="AV39" s="37">
        <f>AV38*(C39/C38)^(('Goal Seek 6th order'!$P$26-1)/'Goal Seek 6th order'!$P$26)</f>
        <v>2049.5383875643943</v>
      </c>
      <c r="AW39" s="37">
        <f>(((4.7*10^13)*'O2N2 @ EGR'!$H$15*('O2N2 @ EGR'!$G$15^0.5)*(EXP(-67837/AV39))/('Goal Seek 6th order'!$P$27*6))*('Goal Seek 6th order'!$P$28*10^-6))</f>
        <v>1.1085471104422281E-11</v>
      </c>
      <c r="AY39" s="59"/>
      <c r="AZ39" s="37">
        <f>AZ38*(C39/C38)^(('Goal Seek 6th order'!$P$26-1)/'Goal Seek 6th order'!$P$26)</f>
        <v>1944.1301146876501</v>
      </c>
      <c r="BA39" s="37">
        <f>(((4.7*10^13)*'O2N2 @ EGR'!$H$16*('O2N2 @ EGR'!$G$16^0.5)*(EXP(-67837/AZ39))/('Goal Seek 6th order'!$P$27*6))*('Goal Seek 6th order'!$P$28*10^-6))</f>
        <v>1.9720632445778608E-12</v>
      </c>
      <c r="BC39" s="59"/>
    </row>
    <row r="40" spans="2:55" x14ac:dyDescent="0.3">
      <c r="B40" s="42">
        <v>12</v>
      </c>
      <c r="C40" s="42">
        <v>34</v>
      </c>
      <c r="D40" s="37">
        <f>D39*(C40/C39)^(('Goal Seek 6th order'!$P$26-1)/'Goal Seek 6th order'!$P$26)</f>
        <v>2743.8743498012227</v>
      </c>
      <c r="E40" s="37">
        <f>(((4.7*10^13)*'O2N2 @ EGR'!$H$4*('O2N2 @ EGR'!$G$4^0.5)*(EXP(-67837/D40))/('Goal Seek 6th order'!$P$27*6))*('Goal Seek 6th order'!$P$28*10^-6))</f>
        <v>0</v>
      </c>
      <c r="F40" s="3"/>
      <c r="G40" s="3"/>
      <c r="H40" s="37">
        <f>H39*(C40/C39)^(('Goal Seek 6th order'!$P$26-1)/'Goal Seek 6th order'!$P$26)</f>
        <v>2725.930508227822</v>
      </c>
      <c r="I40" s="37">
        <f>(((4.7*10^13)*'O2N2 @ EGR'!$H$5*('O2N2 @ EGR'!$G$5^0.5)*(EXP(-67837/H40))/('Goal Seek 6th order'!$P$27*6))*('Goal Seek 6th order'!$P$28*10^-6))</f>
        <v>6.8524724067059805E-9</v>
      </c>
      <c r="L40" s="37">
        <f>L39*(C40/C39)^(('Goal Seek 6th order'!$P$26-1)/'Goal Seek 6th order'!$P$26)</f>
        <v>2707.8835688717531</v>
      </c>
      <c r="M40" s="37">
        <f>(((4.7*10^13)*'O2N2 @ EGR'!$H$6*('O2N2 @ EGR'!$G$6^0.5)*(EXP(-67837/L40))/('Goal Seek 6th order'!$P$27*6))*('Goal Seek 6th order'!$P$28*10^-6))</f>
        <v>8.2118424079660508E-9</v>
      </c>
      <c r="P40" s="37">
        <f>P39*(C40/C39)^(('Goal Seek 6th order'!$P$26-1)/'Goal Seek 6th order'!$P$26)</f>
        <v>2689.8397295092645</v>
      </c>
      <c r="Q40" s="37">
        <f>(((4.7*10^13)*'O2N2 @ EGR'!$H$7*('O2N2 @ EGR'!$G$7^0.5)*(EXP(-67837/P40))/('Goal Seek 6th order'!$P$27*6))*('Goal Seek 6th order'!$P$28*10^-6))</f>
        <v>8.5037533500290237E-9</v>
      </c>
      <c r="T40" s="37">
        <f>T39*(C40/C39)^(('Goal Seek 6th order'!$P$26-1)/'Goal Seek 6th order'!$P$26)</f>
        <v>2671.6902024658075</v>
      </c>
      <c r="U40" s="37">
        <f>(((4.7*10^13)*'O2N2 @ EGR'!$H$8*('O2N2 @ EGR'!$G$8^0.5)*(EXP(-67837/T40))/('Goal Seek 6th order'!$P$27*6))*('Goal Seek 6th order'!$P$28*10^-6))</f>
        <v>8.2752758963399193E-9</v>
      </c>
      <c r="W40" s="59"/>
      <c r="X40" s="37">
        <f>X39*(C40/C39)^(('Goal Seek 6th order'!$P$26-1)/'Goal Seek 6th order'!$P$26)</f>
        <v>2653.4695535657647</v>
      </c>
      <c r="Y40" s="37">
        <f>(((4.7*10^13)*'O2N2 @ EGR'!$H$9*('O2N2 @ EGR'!$G$9^0.5)*(EXP(-67837/X40))/('Goal Seek 6th order'!$P$27*6))*('Goal Seek 6th order'!$P$28*10^-6))</f>
        <v>7.7736422894578552E-9</v>
      </c>
      <c r="AA40" s="59"/>
      <c r="AB40" s="37">
        <f>AB39*(C40/C39)^(('Goal Seek 6th order'!$P$26-1)/'Goal Seek 6th order'!$P$26)</f>
        <v>2561.2553514044566</v>
      </c>
      <c r="AC40" s="37">
        <f>(((4.7*10^13)*'O2N2 @ EGR'!$H$10*('O2N2 @ EGR'!$G$10^0.5)*(EXP(-67837/AB40))/('Goal Seek 6th order'!$P$27*6))*('Goal Seek 6th order'!$P$28*10^-6))</f>
        <v>4.3846483540582677E-9</v>
      </c>
      <c r="AE40" s="59"/>
      <c r="AF40" s="37">
        <f>AF39*(C40/C39)^(('Goal Seek 6th order'!$P$26-1)/'Goal Seek 6th order'!$P$26)</f>
        <v>2467.0781867181081</v>
      </c>
      <c r="AG40" s="37">
        <f>(((4.7*10^13)*'O2N2 @ EGR'!$H$11*('O2N2 @ EGR'!$G$11^0.5)*(EXP(-67837/AF40))/('Goal Seek 6th order'!$P$27*6))*('Goal Seek 6th order'!$P$28*10^-6))</f>
        <v>1.9562420834965297E-9</v>
      </c>
      <c r="AI40" s="59"/>
      <c r="AJ40" s="37">
        <f>AJ39*(C40/C39)^(('Goal Seek 6th order'!$P$26-1)/'Goal Seek 6th order'!$P$26)</f>
        <v>2370.7856246393089</v>
      </c>
      <c r="AK40" s="37">
        <f>(((4.7*10^13)*'O2N2 @ EGR'!$H$12*('O2N2 @ EGR'!$G$12^0.5)*(EXP(-67837/AJ40))/('Goal Seek 6th order'!$P$27*6))*('Goal Seek 6th order'!$P$28*10^-6))</f>
        <v>7.4029025954637648E-10</v>
      </c>
      <c r="AM40" s="59"/>
      <c r="AN40" s="37">
        <f>AN39*(C40/C39)^(('Goal Seek 6th order'!$P$26-1)/'Goal Seek 6th order'!$P$26)</f>
        <v>2272.2264918009296</v>
      </c>
      <c r="AO40" s="37">
        <f>(((4.7*10^13)*'O2N2 @ EGR'!$H$13*('O2N2 @ EGR'!$G$13^0.5)*(EXP(-67837/AN40))/('Goal Seek 6th order'!$P$27*6))*('Goal Seek 6th order'!$P$28*10^-6))</f>
        <v>2.395403230894131E-10</v>
      </c>
      <c r="AQ40" s="59"/>
      <c r="AR40" s="37">
        <f>AR39*(C40/C39)^(('Goal Seek 6th order'!$P$26-1)/'Goal Seek 6th order'!$P$26)</f>
        <v>2171.2434411299314</v>
      </c>
      <c r="AS40" s="37">
        <f>(((4.7*10^13)*'O2N2 @ EGR'!$H$14*('O2N2 @ EGR'!$G$14^0.5)*(EXP(-67837/AR40))/('Goal Seek 6th order'!$P$27*6))*('Goal Seek 6th order'!$P$28*10^-6))</f>
        <v>6.553594616963599E-11</v>
      </c>
      <c r="AU40" s="59"/>
      <c r="AV40" s="37">
        <f>AV39*(C40/C39)^(('Goal Seek 6th order'!$P$26-1)/'Goal Seek 6th order'!$P$26)</f>
        <v>2067.6719173215743</v>
      </c>
      <c r="AW40" s="37">
        <f>(((4.7*10^13)*'O2N2 @ EGR'!$H$15*('O2N2 @ EGR'!$G$15^0.5)*(EXP(-67837/AV40))/('Goal Seek 6th order'!$P$27*6))*('Goal Seek 6th order'!$P$28*10^-6))</f>
        <v>1.4819019437571516E-11</v>
      </c>
      <c r="AY40" s="59"/>
      <c r="AZ40" s="37">
        <f>AZ39*(C40/C39)^(('Goal Seek 6th order'!$P$26-1)/'Goal Seek 6th order'!$P$26)</f>
        <v>1961.3310324652443</v>
      </c>
      <c r="BA40" s="37">
        <f>(((4.7*10^13)*'O2N2 @ EGR'!$H$16*('O2N2 @ EGR'!$G$16^0.5)*(EXP(-67837/AZ40))/('Goal Seek 6th order'!$P$27*6))*('Goal Seek 6th order'!$P$28*10^-6))</f>
        <v>2.6780658643249755E-12</v>
      </c>
      <c r="BC40" s="59"/>
    </row>
    <row r="41" spans="2:55" x14ac:dyDescent="0.3">
      <c r="B41" s="42">
        <v>13</v>
      </c>
      <c r="C41" s="42">
        <v>36</v>
      </c>
      <c r="D41" s="37">
        <f>D40*(C41/C40)^(('Goal Seek 6th order'!$P$26-1)/'Goal Seek 6th order'!$P$26)</f>
        <v>2766.7573054505519</v>
      </c>
      <c r="E41" s="37">
        <f>(((4.7*10^13)*'O2N2 @ EGR'!$H$4*('O2N2 @ EGR'!$G$4^0.5)*(EXP(-67837/D41))/('Goal Seek 6th order'!$P$27*6))*('Goal Seek 6th order'!$P$28*10^-6))</f>
        <v>0</v>
      </c>
      <c r="F41" s="3"/>
      <c r="G41" s="3"/>
      <c r="H41" s="37">
        <f>H40*(C41/C40)^(('Goal Seek 6th order'!$P$26-1)/'Goal Seek 6th order'!$P$26)</f>
        <v>2748.6638184930862</v>
      </c>
      <c r="I41" s="37">
        <f>(((4.7*10^13)*'O2N2 @ EGR'!$H$5*('O2N2 @ EGR'!$G$5^0.5)*(EXP(-67837/H41))/('Goal Seek 6th order'!$P$27*6))*('Goal Seek 6th order'!$P$28*10^-6))</f>
        <v>8.4185032389929678E-9</v>
      </c>
      <c r="L41" s="37">
        <f>L40*(C41/C40)^(('Goal Seek 6th order'!$P$26-1)/'Goal Seek 6th order'!$P$26)</f>
        <v>2730.4663739533812</v>
      </c>
      <c r="M41" s="37">
        <f>(((4.7*10^13)*'O2N2 @ EGR'!$H$6*('O2N2 @ EGR'!$G$6^0.5)*(EXP(-67837/L41))/('Goal Seek 6th order'!$P$27*6))*('Goal Seek 6th order'!$P$28*10^-6))</f>
        <v>1.0102385247902304E-8</v>
      </c>
      <c r="P41" s="37">
        <f>P40*(C41/C40)^(('Goal Seek 6th order'!$P$26-1)/'Goal Seek 6th order'!$P$26)</f>
        <v>2712.2720552601222</v>
      </c>
      <c r="Q41" s="37">
        <f>(((4.7*10^13)*'O2N2 @ EGR'!$H$7*('O2N2 @ EGR'!$G$7^0.5)*(EXP(-67837/P41))/('Goal Seek 6th order'!$P$27*6))*('Goal Seek 6th order'!$P$28*10^-6))</f>
        <v>1.0476050808771971E-8</v>
      </c>
      <c r="T41" s="37">
        <f>T40*(C41/C40)^(('Goal Seek 6th order'!$P$26-1)/'Goal Seek 6th order'!$P$26)</f>
        <v>2693.9711674874752</v>
      </c>
      <c r="U41" s="37">
        <f>(((4.7*10^13)*'O2N2 @ EGR'!$H$8*('O2N2 @ EGR'!$G$8^0.5)*(EXP(-67837/T41))/('Goal Seek 6th order'!$P$27*6))*('Goal Seek 6th order'!$P$28*10^-6))</f>
        <v>1.0209037640434583E-8</v>
      </c>
      <c r="W41" s="59"/>
      <c r="X41" s="37">
        <f>X40*(C41/C40)^(('Goal Seek 6th order'!$P$26-1)/'Goal Seek 6th order'!$P$26)</f>
        <v>2675.5985647267494</v>
      </c>
      <c r="Y41" s="37">
        <f>(((4.7*10^13)*'O2N2 @ EGR'!$H$9*('O2N2 @ EGR'!$G$9^0.5)*(EXP(-67837/X41))/('Goal Seek 6th order'!$P$27*6))*('Goal Seek 6th order'!$P$28*10^-6))</f>
        <v>9.6040217909108963E-9</v>
      </c>
      <c r="AA41" s="59"/>
      <c r="AB41" s="37">
        <f>AB40*(C41/C40)^(('Goal Seek 6th order'!$P$26-1)/'Goal Seek 6th order'!$P$26)</f>
        <v>2582.6153282623768</v>
      </c>
      <c r="AC41" s="37">
        <f>(((4.7*10^13)*'O2N2 @ EGR'!$H$10*('O2N2 @ EGR'!$G$10^0.5)*(EXP(-67837/AB41))/('Goal Seek 6th order'!$P$27*6))*('Goal Seek 6th order'!$P$28*10^-6))</f>
        <v>5.4584521238517763E-9</v>
      </c>
      <c r="AE41" s="59"/>
      <c r="AF41" s="37">
        <f>AF40*(C41/C40)^(('Goal Seek 6th order'!$P$26-1)/'Goal Seek 6th order'!$P$26)</f>
        <v>2487.652758849732</v>
      </c>
      <c r="AG41" s="37">
        <f>(((4.7*10^13)*'O2N2 @ EGR'!$H$11*('O2N2 @ EGR'!$G$11^0.5)*(EXP(-67837/AF41))/('Goal Seek 6th order'!$P$27*6))*('Goal Seek 6th order'!$P$28*10^-6))</f>
        <v>2.4557772157786587E-9</v>
      </c>
      <c r="AI41" s="59"/>
      <c r="AJ41" s="37">
        <f>AJ40*(C41/C40)^(('Goal Seek 6th order'!$P$26-1)/'Goal Seek 6th order'!$P$26)</f>
        <v>2390.5571503677443</v>
      </c>
      <c r="AK41" s="37">
        <f>(((4.7*10^13)*'O2N2 @ EGR'!$H$12*('O2N2 @ EGR'!$G$12^0.5)*(EXP(-67837/AJ41))/('Goal Seek 6th order'!$P$27*6))*('Goal Seek 6th order'!$P$28*10^-6))</f>
        <v>9.3795052074355709E-10</v>
      </c>
      <c r="AM41" s="59"/>
      <c r="AN41" s="37">
        <f>AN40*(C41/C40)^(('Goal Seek 6th order'!$P$26-1)/'Goal Seek 6th order'!$P$26)</f>
        <v>2291.1760687160963</v>
      </c>
      <c r="AO41" s="37">
        <f>(((4.7*10^13)*'O2N2 @ EGR'!$H$13*('O2N2 @ EGR'!$G$13^0.5)*(EXP(-67837/AN41))/('Goal Seek 6th order'!$P$27*6))*('Goal Seek 6th order'!$P$28*10^-6))</f>
        <v>3.066299520139997E-10</v>
      </c>
      <c r="AQ41" s="59"/>
      <c r="AR41" s="37">
        <f>AR40*(C41/C40)^(('Goal Seek 6th order'!$P$26-1)/'Goal Seek 6th order'!$P$26)</f>
        <v>2189.3508546020071</v>
      </c>
      <c r="AS41" s="37">
        <f>(((4.7*10^13)*'O2N2 @ EGR'!$H$14*('O2N2 @ EGR'!$G$14^0.5)*(EXP(-67837/AR41))/('Goal Seek 6th order'!$P$27*6))*('Goal Seek 6th order'!$P$28*10^-6))</f>
        <v>8.4859992397964735E-11</v>
      </c>
      <c r="AU41" s="59"/>
      <c r="AV41" s="37">
        <f>AV40*(C41/C40)^(('Goal Seek 6th order'!$P$26-1)/'Goal Seek 6th order'!$P$26)</f>
        <v>2084.915580386853</v>
      </c>
      <c r="AW41" s="37">
        <f>(((4.7*10^13)*'O2N2 @ EGR'!$H$15*('O2N2 @ EGR'!$G$15^0.5)*(EXP(-67837/AV41))/('Goal Seek 6th order'!$P$27*6))*('Goal Seek 6th order'!$P$28*10^-6))</f>
        <v>1.9438567315313168E-11</v>
      </c>
      <c r="AY41" s="59"/>
      <c r="AZ41" s="37">
        <f>AZ40*(C41/C40)^(('Goal Seek 6th order'!$P$26-1)/'Goal Seek 6th order'!$P$26)</f>
        <v>1977.6878496178981</v>
      </c>
      <c r="BA41" s="37">
        <f>(((4.7*10^13)*'O2N2 @ EGR'!$H$16*('O2N2 @ EGR'!$G$16^0.5)*(EXP(-67837/AZ41))/('Goal Seek 6th order'!$P$27*6))*('Goal Seek 6th order'!$P$28*10^-6))</f>
        <v>3.5649663433333401E-12</v>
      </c>
      <c r="BC41" s="59"/>
    </row>
    <row r="42" spans="2:55" x14ac:dyDescent="0.3">
      <c r="B42" s="42">
        <v>14</v>
      </c>
      <c r="C42" s="42">
        <v>38</v>
      </c>
      <c r="D42" s="37">
        <f>D41*(C42/C41)^(('Goal Seek 6th order'!$P$26-1)/'Goal Seek 6th order'!$P$26)</f>
        <v>2788.5783322843904</v>
      </c>
      <c r="E42" s="37">
        <f>(((4.7*10^13)*'O2N2 @ EGR'!$H$4*('O2N2 @ EGR'!$G$4^0.5)*(EXP(-67837/D42))/('Goal Seek 6th order'!$P$27*6))*('Goal Seek 6th order'!$P$28*10^-6))</f>
        <v>0</v>
      </c>
      <c r="F42" s="3"/>
      <c r="G42" s="3"/>
      <c r="H42" s="37">
        <f>H41*(C42/C41)^(('Goal Seek 6th order'!$P$26-1)/'Goal Seek 6th order'!$P$26)</f>
        <v>2770.3421445328804</v>
      </c>
      <c r="I42" s="37">
        <f>(((4.7*10^13)*'O2N2 @ EGR'!$H$5*('O2N2 @ EGR'!$G$5^0.5)*(EXP(-67837/H42))/('Goal Seek 6th order'!$P$27*6))*('Goal Seek 6th order'!$P$28*10^-6))</f>
        <v>1.0211928897068369E-8</v>
      </c>
      <c r="L42" s="37">
        <f>L41*(C42/C41)^(('Goal Seek 6th order'!$P$26-1)/'Goal Seek 6th order'!$P$26)</f>
        <v>2752.0011793002595</v>
      </c>
      <c r="M42" s="37">
        <f>(((4.7*10^13)*'O2N2 @ EGR'!$H$6*('O2N2 @ EGR'!$G$6^0.5)*(EXP(-67837/L42))/('Goal Seek 6th order'!$P$27*6))*('Goal Seek 6th order'!$P$28*10^-6))</f>
        <v>1.2270317590139966E-8</v>
      </c>
      <c r="P42" s="37">
        <f>P41*(C42/C41)^(('Goal Seek 6th order'!$P$26-1)/'Goal Seek 6th order'!$P$26)</f>
        <v>2733.6633645671973</v>
      </c>
      <c r="Q42" s="37">
        <f>(((4.7*10^13)*'O2N2 @ EGR'!$H$7*('O2N2 @ EGR'!$G$7^0.5)*(EXP(-67837/P42))/('Goal Seek 6th order'!$P$27*6))*('Goal Seek 6th order'!$P$28*10^-6))</f>
        <v>1.274077526079252E-8</v>
      </c>
      <c r="T42" s="37">
        <f>T41*(C42/C41)^(('Goal Seek 6th order'!$P$26-1)/'Goal Seek 6th order'!$P$26)</f>
        <v>2715.2181402593637</v>
      </c>
      <c r="U42" s="37">
        <f>(((4.7*10^13)*'O2N2 @ EGR'!$H$8*('O2N2 @ EGR'!$G$8^0.5)*(EXP(-67837/T42))/('Goal Seek 6th order'!$P$27*6))*('Goal Seek 6th order'!$P$28*10^-6))</f>
        <v>1.243255761843053E-8</v>
      </c>
      <c r="W42" s="59"/>
      <c r="X42" s="37">
        <f>X41*(C42/C41)^(('Goal Seek 6th order'!$P$26-1)/'Goal Seek 6th order'!$P$26)</f>
        <v>2696.7006353573988</v>
      </c>
      <c r="Y42" s="37">
        <f>(((4.7*10^13)*'O2N2 @ EGR'!$H$9*('O2N2 @ EGR'!$G$9^0.5)*(EXP(-67837/X42))/('Goal Seek 6th order'!$P$27*6))*('Goal Seek 6th order'!$P$28*10^-6))</f>
        <v>1.1711605557743261E-8</v>
      </c>
      <c r="AA42" s="59"/>
      <c r="AB42" s="37">
        <f>AB41*(C42/C41)^(('Goal Seek 6th order'!$P$26-1)/'Goal Seek 6th order'!$P$26)</f>
        <v>2602.9840531478144</v>
      </c>
      <c r="AC42" s="37">
        <f>(((4.7*10^13)*'O2N2 @ EGR'!$H$10*('O2N2 @ EGR'!$G$10^0.5)*(EXP(-67837/AB42))/('Goal Seek 6th order'!$P$27*6))*('Goal Seek 6th order'!$P$28*10^-6))</f>
        <v>6.7040151595621664E-9</v>
      </c>
      <c r="AE42" s="59"/>
      <c r="AF42" s="37">
        <f>AF41*(C42/C41)^(('Goal Seek 6th order'!$P$26-1)/'Goal Seek 6th order'!$P$26)</f>
        <v>2507.2725272685934</v>
      </c>
      <c r="AG42" s="37">
        <f>(((4.7*10^13)*'O2N2 @ EGR'!$H$11*('O2N2 @ EGR'!$G$11^0.5)*(EXP(-67837/AF42))/('Goal Seek 6th order'!$P$27*6))*('Goal Seek 6th order'!$P$28*10^-6))</f>
        <v>3.0399191238305024E-9</v>
      </c>
      <c r="AI42" s="59"/>
      <c r="AJ42" s="37">
        <f>AJ41*(C42/C41)^(('Goal Seek 6th order'!$P$26-1)/'Goal Seek 6th order'!$P$26)</f>
        <v>2409.4111393400458</v>
      </c>
      <c r="AK42" s="37">
        <f>(((4.7*10^13)*'O2N2 @ EGR'!$H$12*('O2N2 @ EGR'!$G$12^0.5)*(EXP(-67837/AJ42))/('Goal Seek 6th order'!$P$27*6))*('Goal Seek 6th order'!$P$28*10^-6))</f>
        <v>1.1711621557530399E-9</v>
      </c>
      <c r="AM42" s="59"/>
      <c r="AN42" s="37">
        <f>AN41*(C42/C41)^(('Goal Seek 6th order'!$P$26-1)/'Goal Seek 6th order'!$P$26)</f>
        <v>2309.2462530354837</v>
      </c>
      <c r="AO42" s="37">
        <f>(((4.7*10^13)*'O2N2 @ EGR'!$H$13*('O2N2 @ EGR'!$G$13^0.5)*(EXP(-67837/AN42))/('Goal Seek 6th order'!$P$27*6))*('Goal Seek 6th order'!$P$28*10^-6))</f>
        <v>3.865758250195809E-10</v>
      </c>
      <c r="AQ42" s="59"/>
      <c r="AR42" s="37">
        <f>AR41*(C42/C41)^(('Goal Seek 6th order'!$P$26-1)/'Goal Seek 6th order'!$P$26)</f>
        <v>2206.6179577385356</v>
      </c>
      <c r="AS42" s="37">
        <f>(((4.7*10^13)*'O2N2 @ EGR'!$H$14*('O2N2 @ EGR'!$G$14^0.5)*(EXP(-67837/AR42))/('Goal Seek 6th order'!$P$27*6))*('Goal Seek 6th order'!$P$28*10^-6))</f>
        <v>1.0814411174248789E-10</v>
      </c>
      <c r="AU42" s="59"/>
      <c r="AV42" s="37">
        <f>AV41*(C42/C41)^(('Goal Seek 6th order'!$P$26-1)/'Goal Seek 6th order'!$P$26)</f>
        <v>2101.3590171625628</v>
      </c>
      <c r="AW42" s="37">
        <f>(((4.7*10^13)*'O2N2 @ EGR'!$H$15*('O2N2 @ EGR'!$G$15^0.5)*(EXP(-67837/AV42))/('Goal Seek 6th order'!$P$27*6))*('Goal Seek 6th order'!$P$28*10^-6))</f>
        <v>2.5074870988298346E-11</v>
      </c>
      <c r="AY42" s="59"/>
      <c r="AZ42" s="37">
        <f>AZ41*(C42/C41)^(('Goal Seek 6th order'!$P$26-1)/'Goal Seek 6th order'!$P$26)</f>
        <v>1993.2855963195884</v>
      </c>
      <c r="BA42" s="37">
        <f>(((4.7*10^13)*'O2N2 @ EGR'!$H$16*('O2N2 @ EGR'!$G$16^0.5)*(EXP(-67837/AZ42))/('Goal Seek 6th order'!$P$27*6))*('Goal Seek 6th order'!$P$28*10^-6))</f>
        <v>4.6625671044038283E-12</v>
      </c>
      <c r="BC42" s="59"/>
    </row>
    <row r="43" spans="2:55" x14ac:dyDescent="0.3">
      <c r="B43" s="42">
        <v>15</v>
      </c>
      <c r="C43" s="42">
        <v>40</v>
      </c>
      <c r="D43" s="37">
        <f>D42*(C43/C42)^(('Goal Seek 6th order'!$P$26-1)/'Goal Seek 6th order'!$P$26)</f>
        <v>2809.4388881601594</v>
      </c>
      <c r="E43" s="37">
        <f>(((4.7*10^13)*'O2N2 @ EGR'!$H$4*('O2N2 @ EGR'!$G$4^0.5)*(EXP(-67837/D43))/('Goal Seek 6th order'!$P$27*6))*('Goal Seek 6th order'!$P$28*10^-6))</f>
        <v>0</v>
      </c>
      <c r="F43" s="3"/>
      <c r="G43" s="3"/>
      <c r="H43" s="37">
        <f>H42*(C43/C42)^(('Goal Seek 6th order'!$P$26-1)/'Goal Seek 6th order'!$P$26)</f>
        <v>2791.0662807107888</v>
      </c>
      <c r="I43" s="37">
        <f>(((4.7*10^13)*'O2N2 @ EGR'!$H$5*('O2N2 @ EGR'!$G$5^0.5)*(EXP(-67837/H43))/('Goal Seek 6th order'!$P$27*6))*('Goal Seek 6th order'!$P$28*10^-6))</f>
        <v>1.2248159002398266E-8</v>
      </c>
      <c r="L43" s="37">
        <f>L42*(C43/C42)^(('Goal Seek 6th order'!$P$26-1)/'Goal Seek 6th order'!$P$26)</f>
        <v>2772.5881119699784</v>
      </c>
      <c r="M43" s="37">
        <f>(((4.7*10^13)*'O2N2 @ EGR'!$H$6*('O2N2 @ EGR'!$G$6^0.5)*(EXP(-67837/L43))/('Goal Seek 6th order'!$P$27*6))*('Goal Seek 6th order'!$P$28*10^-6))</f>
        <v>1.4734828770390599E-8</v>
      </c>
      <c r="P43" s="37">
        <f>P42*(C43/C42)^(('Goal Seek 6th order'!$P$26-1)/'Goal Seek 6th order'!$P$26)</f>
        <v>2754.1131172967116</v>
      </c>
      <c r="Q43" s="37">
        <f>(((4.7*10^13)*'O2N2 @ EGR'!$H$7*('O2N2 @ EGR'!$G$7^0.5)*(EXP(-67837/P43))/('Goal Seek 6th order'!$P$27*6))*('Goal Seek 6th order'!$P$28*10^-6))</f>
        <v>1.5318575121592678E-8</v>
      </c>
      <c r="T43" s="37">
        <f>T42*(C43/C42)^(('Goal Seek 6th order'!$P$26-1)/'Goal Seek 6th order'!$P$26)</f>
        <v>2735.5299095484061</v>
      </c>
      <c r="U43" s="37">
        <f>(((4.7*10^13)*'O2N2 @ EGR'!$H$8*('O2N2 @ EGR'!$G$8^0.5)*(EXP(-67837/T43))/('Goal Seek 6th order'!$P$27*6))*('Goal Seek 6th order'!$P$28*10^-6))</f>
        <v>1.4966719218185967E-8</v>
      </c>
      <c r="W43" s="59"/>
      <c r="X43" s="37">
        <f>X42*(C43/C42)^(('Goal Seek 6th order'!$P$26-1)/'Goal Seek 6th order'!$P$26)</f>
        <v>2716.8738804955447</v>
      </c>
      <c r="Y43" s="37">
        <f>(((4.7*10^13)*'O2N2 @ EGR'!$H$9*('O2N2 @ EGR'!$G$9^0.5)*(EXP(-67837/X43))/('Goal Seek 6th order'!$P$27*6))*('Goal Seek 6th order'!$P$28*10^-6))</f>
        <v>1.4116784765657005E-8</v>
      </c>
      <c r="AA43" s="59"/>
      <c r="AB43" s="37">
        <f>AB42*(C43/C42)^(('Goal Seek 6th order'!$P$26-1)/'Goal Seek 6th order'!$P$26)</f>
        <v>2622.4562313741812</v>
      </c>
      <c r="AC43" s="37">
        <f>(((4.7*10^13)*'O2N2 @ EGR'!$H$10*('O2N2 @ EGR'!$G$10^0.5)*(EXP(-67837/AB43))/('Goal Seek 6th order'!$P$27*6))*('Goal Seek 6th order'!$P$28*10^-6))</f>
        <v>8.1353253485694094E-9</v>
      </c>
      <c r="AE43" s="59"/>
      <c r="AF43" s="37">
        <f>AF42*(C43/C42)^(('Goal Seek 6th order'!$P$26-1)/'Goal Seek 6th order'!$P$26)</f>
        <v>2526.0287149809255</v>
      </c>
      <c r="AG43" s="37">
        <f>(((4.7*10^13)*'O2N2 @ EGR'!$H$11*('O2N2 @ EGR'!$G$11^0.5)*(EXP(-67837/AF43))/('Goal Seek 6th order'!$P$27*6))*('Goal Seek 6th order'!$P$28*10^-6))</f>
        <v>3.7162940638627685E-9</v>
      </c>
      <c r="AI43" s="59"/>
      <c r="AJ43" s="37">
        <f>AJ42*(C43/C42)^(('Goal Seek 6th order'!$P$26-1)/'Goal Seek 6th order'!$P$26)</f>
        <v>2427.4352540360564</v>
      </c>
      <c r="AK43" s="37">
        <f>(((4.7*10^13)*'O2N2 @ EGR'!$H$12*('O2N2 @ EGR'!$G$12^0.5)*(EXP(-67837/AJ43))/('Goal Seek 6th order'!$P$27*6))*('Goal Seek 6th order'!$P$28*10^-6))</f>
        <v>1.4434733362414348E-9</v>
      </c>
      <c r="AM43" s="59"/>
      <c r="AN43" s="37">
        <f>AN42*(C43/C42)^(('Goal Seek 6th order'!$P$26-1)/'Goal Seek 6th order'!$P$26)</f>
        <v>2326.5210629035269</v>
      </c>
      <c r="AO43" s="37">
        <f>(((4.7*10^13)*'O2N2 @ EGR'!$H$13*('O2N2 @ EGR'!$G$13^0.5)*(EXP(-67837/AN43))/('Goal Seek 6th order'!$P$27*6))*('Goal Seek 6th order'!$P$28*10^-6))</f>
        <v>4.8080012385376473E-10</v>
      </c>
      <c r="AQ43" s="59"/>
      <c r="AR43" s="37">
        <f>AR42*(C43/C42)^(('Goal Seek 6th order'!$P$26-1)/'Goal Seek 6th order'!$P$26)</f>
        <v>2223.1250347214409</v>
      </c>
      <c r="AS43" s="37">
        <f>(((4.7*10^13)*'O2N2 @ EGR'!$H$14*('O2N2 @ EGR'!$G$14^0.5)*(EXP(-67837/AR43))/('Goal Seek 6th order'!$P$27*6))*('Goal Seek 6th order'!$P$28*10^-6))</f>
        <v>1.3587469409634222E-10</v>
      </c>
      <c r="AU43" s="59"/>
      <c r="AV43" s="37">
        <f>AV42*(C43/C42)^(('Goal Seek 6th order'!$P$26-1)/'Goal Seek 6th order'!$P$26)</f>
        <v>2117.0786821563956</v>
      </c>
      <c r="AW43" s="37">
        <f>(((4.7*10^13)*'O2N2 @ EGR'!$H$15*('O2N2 @ EGR'!$G$15^0.5)*(EXP(-67837/AV43))/('Goal Seek 6th order'!$P$27*6))*('Goal Seek 6th order'!$P$28*10^-6))</f>
        <v>3.1866928366039182E-11</v>
      </c>
      <c r="AY43" s="59"/>
      <c r="AZ43" s="37">
        <f>AZ42*(C43/C42)^(('Goal Seek 6th order'!$P$26-1)/'Goal Seek 6th order'!$P$26)</f>
        <v>2008.1967950035171</v>
      </c>
      <c r="BA43" s="37">
        <f>(((4.7*10^13)*'O2N2 @ EGR'!$H$16*('O2N2 @ EGR'!$G$16^0.5)*(EXP(-67837/AZ43))/('Goal Seek 6th order'!$P$27*6))*('Goal Seek 6th order'!$P$28*10^-6))</f>
        <v>6.003034558279552E-12</v>
      </c>
      <c r="BC43" s="59"/>
    </row>
    <row r="44" spans="2:55" x14ac:dyDescent="0.3">
      <c r="W44" s="59"/>
      <c r="AA44" s="59"/>
      <c r="AE44" s="59"/>
      <c r="AI44" s="59"/>
      <c r="AM44" s="59"/>
      <c r="AQ44" s="59"/>
      <c r="AU44" s="59"/>
      <c r="AY44" s="59"/>
      <c r="BC44" s="59"/>
    </row>
    <row r="45" spans="2:55" x14ac:dyDescent="0.3">
      <c r="B45" s="132" t="s">
        <v>121</v>
      </c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2"/>
      <c r="AE45" s="132"/>
      <c r="AF45" s="132"/>
      <c r="AG45" s="132"/>
      <c r="AH45" s="132"/>
      <c r="AI45" s="132"/>
      <c r="AJ45" s="132"/>
      <c r="AK45" s="132"/>
      <c r="AL45" s="132"/>
      <c r="AM45" s="132"/>
      <c r="AN45" s="132"/>
      <c r="AO45" s="132"/>
      <c r="AP45" s="132"/>
      <c r="AQ45" s="132"/>
      <c r="AR45" s="132"/>
      <c r="AS45" s="132"/>
      <c r="AT45" s="132"/>
      <c r="AU45" s="132"/>
      <c r="AV45" s="132"/>
      <c r="AW45" s="132"/>
      <c r="AX45" s="132"/>
      <c r="AY45" s="132"/>
      <c r="AZ45" s="132"/>
      <c r="BA45" s="132"/>
      <c r="BB45" s="132"/>
    </row>
    <row r="46" spans="2:55" x14ac:dyDescent="0.3">
      <c r="W46" s="59"/>
      <c r="AA46" s="59"/>
      <c r="AE46" s="59"/>
      <c r="AI46" s="59"/>
      <c r="AM46" s="59"/>
      <c r="AQ46" s="59"/>
      <c r="AU46" s="59"/>
      <c r="AY46" s="59"/>
      <c r="BC46" s="59"/>
    </row>
    <row r="47" spans="2:55" x14ac:dyDescent="0.3">
      <c r="C47" s="29" t="s">
        <v>106</v>
      </c>
      <c r="D47" s="102">
        <v>1</v>
      </c>
      <c r="E47" s="102"/>
      <c r="F47" s="102"/>
      <c r="G47" s="59"/>
      <c r="H47" s="118">
        <v>0.99</v>
      </c>
      <c r="I47" s="119"/>
      <c r="J47" s="120"/>
      <c r="K47" s="59"/>
      <c r="L47" s="118">
        <v>0.98</v>
      </c>
      <c r="M47" s="119"/>
      <c r="N47" s="120"/>
      <c r="O47" s="59"/>
      <c r="P47" s="118">
        <v>0.97</v>
      </c>
      <c r="Q47" s="119"/>
      <c r="R47" s="120"/>
      <c r="S47" s="59"/>
      <c r="T47" s="118">
        <v>0.96</v>
      </c>
      <c r="U47" s="119"/>
      <c r="V47" s="120"/>
      <c r="W47" s="59"/>
      <c r="X47" s="118">
        <v>0.95</v>
      </c>
      <c r="Y47" s="119"/>
      <c r="Z47" s="120"/>
      <c r="AA47" s="59"/>
      <c r="AB47" s="118">
        <v>0.9</v>
      </c>
      <c r="AC47" s="119"/>
      <c r="AD47" s="120"/>
      <c r="AE47" s="59"/>
      <c r="AF47" s="118">
        <v>0.85</v>
      </c>
      <c r="AG47" s="119"/>
      <c r="AH47" s="120"/>
      <c r="AI47" s="59"/>
      <c r="AJ47" s="118">
        <v>0.8</v>
      </c>
      <c r="AK47" s="119"/>
      <c r="AL47" s="120"/>
      <c r="AM47" s="59"/>
      <c r="AN47" s="118">
        <v>0.75</v>
      </c>
      <c r="AO47" s="119"/>
      <c r="AP47" s="120"/>
      <c r="AQ47" s="59"/>
      <c r="AR47" s="118">
        <v>0.7</v>
      </c>
      <c r="AS47" s="119"/>
      <c r="AT47" s="120"/>
      <c r="AU47" s="59"/>
      <c r="AV47" s="118">
        <v>0.65</v>
      </c>
      <c r="AW47" s="119"/>
      <c r="AX47" s="120"/>
      <c r="AY47" s="59"/>
      <c r="AZ47" s="118">
        <v>0.6</v>
      </c>
      <c r="BA47" s="119"/>
      <c r="BB47" s="120"/>
      <c r="BC47" s="59"/>
    </row>
    <row r="48" spans="2:55" x14ac:dyDescent="0.3">
      <c r="B48" s="58" t="s">
        <v>107</v>
      </c>
      <c r="C48" s="30" t="s">
        <v>105</v>
      </c>
      <c r="D48" s="58" t="s">
        <v>103</v>
      </c>
      <c r="E48" s="58" t="s">
        <v>104</v>
      </c>
      <c r="F48" s="58" t="s">
        <v>108</v>
      </c>
      <c r="G48" s="59"/>
      <c r="H48" s="58" t="s">
        <v>103</v>
      </c>
      <c r="I48" s="58" t="s">
        <v>104</v>
      </c>
      <c r="J48" s="58" t="s">
        <v>108</v>
      </c>
      <c r="K48" s="59"/>
      <c r="L48" s="58" t="s">
        <v>103</v>
      </c>
      <c r="M48" s="58" t="s">
        <v>104</v>
      </c>
      <c r="N48" s="58" t="s">
        <v>108</v>
      </c>
      <c r="O48" s="59"/>
      <c r="P48" s="58" t="s">
        <v>103</v>
      </c>
      <c r="Q48" s="58" t="s">
        <v>104</v>
      </c>
      <c r="R48" s="58" t="s">
        <v>108</v>
      </c>
      <c r="S48" s="59"/>
      <c r="T48" s="58" t="s">
        <v>103</v>
      </c>
      <c r="U48" s="58" t="s">
        <v>104</v>
      </c>
      <c r="V48" s="58" t="s">
        <v>108</v>
      </c>
      <c r="W48" s="59"/>
      <c r="X48" s="58" t="s">
        <v>103</v>
      </c>
      <c r="Y48" s="58" t="s">
        <v>104</v>
      </c>
      <c r="Z48" s="58" t="s">
        <v>108</v>
      </c>
      <c r="AA48" s="59"/>
      <c r="AB48" s="58" t="s">
        <v>103</v>
      </c>
      <c r="AC48" s="58" t="s">
        <v>104</v>
      </c>
      <c r="AD48" s="58" t="s">
        <v>108</v>
      </c>
      <c r="AE48" s="59"/>
      <c r="AF48" s="58" t="s">
        <v>103</v>
      </c>
      <c r="AG48" s="58" t="s">
        <v>104</v>
      </c>
      <c r="AH48" s="58" t="s">
        <v>108</v>
      </c>
      <c r="AI48" s="59"/>
      <c r="AJ48" s="58" t="s">
        <v>103</v>
      </c>
      <c r="AK48" s="58" t="s">
        <v>104</v>
      </c>
      <c r="AL48" s="58" t="s">
        <v>108</v>
      </c>
      <c r="AM48" s="59"/>
      <c r="AN48" s="58" t="s">
        <v>103</v>
      </c>
      <c r="AO48" s="58" t="s">
        <v>104</v>
      </c>
      <c r="AP48" s="58" t="s">
        <v>108</v>
      </c>
      <c r="AQ48" s="59"/>
      <c r="AR48" s="58" t="s">
        <v>103</v>
      </c>
      <c r="AS48" s="58" t="s">
        <v>104</v>
      </c>
      <c r="AT48" s="58" t="s">
        <v>108</v>
      </c>
      <c r="AU48" s="59"/>
      <c r="AV48" s="58" t="s">
        <v>103</v>
      </c>
      <c r="AW48" s="58" t="s">
        <v>104</v>
      </c>
      <c r="AX48" s="58" t="s">
        <v>108</v>
      </c>
      <c r="AY48" s="59"/>
      <c r="AZ48" s="58" t="s">
        <v>103</v>
      </c>
      <c r="BA48" s="58" t="s">
        <v>104</v>
      </c>
      <c r="BB48" s="58" t="s">
        <v>108</v>
      </c>
      <c r="BC48" s="59"/>
    </row>
    <row r="49" spans="2:55" x14ac:dyDescent="0.3">
      <c r="B49" s="42">
        <v>0</v>
      </c>
      <c r="C49" s="42">
        <v>10</v>
      </c>
      <c r="D49" s="37">
        <f>EGR!D$32</f>
        <v>2215.5900499999998</v>
      </c>
      <c r="E49" s="37">
        <f>(((4.7*10^13)*'O2N2 @ EGR'!$R$4*('O2N2 @ EGR'!$Q$4^0.5)*(EXP(-67837/D49))/('Goal Seek 6th order'!$P$27*6))*('Goal Seek 6th order'!$P$28*10^-6))</f>
        <v>0</v>
      </c>
      <c r="F49" s="37">
        <f>(SUM(E49:E64)/'O2N2 @ EGR'!$T4)*10^6</f>
        <v>0</v>
      </c>
      <c r="G49" s="3"/>
      <c r="H49" s="37">
        <f>EGR!D$33</f>
        <v>2201.3235180000001</v>
      </c>
      <c r="I49" s="37">
        <f>(((4.7*10^13)*'O2N2 @ EGR'!$R$5*('O2N2 @ EGR'!$Q$5^0.5)*(EXP(-67837/H49))/('Goal Seek 6th order'!$P$27*6))*('Goal Seek 6th order'!$P$28*10^-6))</f>
        <v>1.9521142807220458E-11</v>
      </c>
      <c r="J49" s="37">
        <f>(SUM(I49:I64)/'O2N2 @ EGR'!$T5)*10^6</f>
        <v>3363.5095197348446</v>
      </c>
      <c r="L49" s="37">
        <f>EGR!D$34</f>
        <v>2186.9995749999998</v>
      </c>
      <c r="M49" s="37">
        <f>(((4.7*10^13)*'O2N2 @ EGR'!$R$6*('O2N2 @ EGR'!$Q$6^0.5)*(EXP(-67837/L49))/('Goal Seek 6th order'!$P$27*6))*('Goal Seek 6th order'!$P$28*10^-6))</f>
        <v>2.2566909071702492E-11</v>
      </c>
      <c r="N49" s="37">
        <f>(SUM(M49:M64)/'O2N2 @ EGR'!$T6)*10^6</f>
        <v>4017.9175107862102</v>
      </c>
      <c r="P49" s="37">
        <f>EGR!D$35</f>
        <v>2172.6172780000002</v>
      </c>
      <c r="Q49" s="37">
        <f>(((4.7*10^13)*'O2N2 @ EGR'!$R$7*('O2N2 @ EGR'!$Q$7^0.5)*(EXP(-67837/P49))/('Goal Seek 6th order'!$P$27*6))*('Goal Seek 6th order'!$P$28*10^-6))</f>
        <v>2.2513840075673215E-11</v>
      </c>
      <c r="R49" s="37">
        <f>(SUM(Q49:Q64)/'O2N2 @ EGR'!$T7)*10^6</f>
        <v>4144.5274185162834</v>
      </c>
      <c r="T49" s="37">
        <f>EGR!D$36</f>
        <v>2158.175698</v>
      </c>
      <c r="U49" s="37">
        <f>(((4.7*10^13)*'O2N2 @ EGR'!$R$8*('O2N2 @ EGR'!$Q$8^0.5)*(EXP(-67837/T49))/('Goal Seek 6th order'!$P$27*6))*('Goal Seek 6th order'!$P$28*10^-6))</f>
        <v>2.1100237379685111E-11</v>
      </c>
      <c r="V49" s="37">
        <f>(SUM(U49:U64)/'O2N2 @ EGR'!$T8)*10^6</f>
        <v>4018.5717126332893</v>
      </c>
      <c r="W49" s="59"/>
      <c r="X49" s="37">
        <f>EGR!D$37</f>
        <v>2143.6739050000001</v>
      </c>
      <c r="Y49" s="37">
        <f>(((4.7*10^13)*'O2N2 @ EGR'!$R$9*('O2N2 @ EGR'!$Q$9^0.5)*(EXP(-67837/X49))/('Goal Seek 6th order'!$P$27*6))*('Goal Seek 6th order'!$P$28*10^-6))</f>
        <v>1.9076653092769437E-11</v>
      </c>
      <c r="Z49" s="37">
        <f>(SUM(Y49:Y64)/'O2N2 @ EGR'!$T9)*10^6</f>
        <v>3761.106848864988</v>
      </c>
      <c r="AA49" s="59"/>
      <c r="AB49" s="37">
        <f>EGR!D$38</f>
        <v>2070.229296</v>
      </c>
      <c r="AC49" s="37">
        <f>(((4.7*10^13)*'O2N2 @ EGR'!$R$10*('O2N2 @ EGR'!$Q$10^0.5)*(EXP(-67837/AB49))/('Goal Seek 6th order'!$P$27*6))*('Goal Seek 6th order'!$P$28*10^-6))</f>
        <v>8.7900209719504269E-12</v>
      </c>
      <c r="AD49" s="37">
        <f>(SUM(AC49:AC64)/'O2N2 @ EGR'!$T10)*10^6</f>
        <v>2081.0996331305696</v>
      </c>
      <c r="AE49" s="59"/>
      <c r="AF49" s="37">
        <f>EGR!D$39</f>
        <v>1995.1401370000001</v>
      </c>
      <c r="AG49" s="37">
        <f>(((4.7*10^13)*'O2N2 @ EGR'!$R$11*('O2N2 @ EGR'!$Q$11^0.5)*(EXP(-67837/AF49))/('Goal Seek 6th order'!$P$27*6))*('Goal Seek 6th order'!$P$28*10^-6))</f>
        <v>3.140365984898483E-12</v>
      </c>
      <c r="AH49" s="37">
        <f>(SUM(AG49:AG64)/'O2N2 @ EGR'!$T11)*10^6</f>
        <v>909.6405845462217</v>
      </c>
      <c r="AI49" s="59"/>
      <c r="AJ49" s="37">
        <f>EGR!D$40</f>
        <v>1918.2899070000001</v>
      </c>
      <c r="AK49" s="37">
        <f>(((4.7*10^13)*'O2N2 @ EGR'!$R$12*('O2N2 @ EGR'!$Q$12^0.5)*(EXP(-67837/AJ49))/('Goal Seek 6th order'!$P$27*6))*('Goal Seek 6th order'!$P$28*10^-6))</f>
        <v>9.2985751661196492E-13</v>
      </c>
      <c r="AL49" s="37">
        <f>(SUM(AK49:AK64)/'O2N2 @ EGR'!$T12)*10^6</f>
        <v>336.79134917413637</v>
      </c>
      <c r="AM49" s="59"/>
      <c r="AN49" s="37">
        <f>EGR!D$41</f>
        <v>1839.5588399999999</v>
      </c>
      <c r="AO49" s="37">
        <f>(((4.7*10^13)*'O2N2 @ EGR'!$R$13*('O2N2 @ EGR'!$Q$13^0.5)*(EXP(-67837/AN49))/('Goal Seek 6th order'!$P$27*6))*('Goal Seek 6th order'!$P$28*10^-6))</f>
        <v>2.2914133700912408E-13</v>
      </c>
      <c r="AP49" s="37">
        <f>(SUM(AO49:AO64)/'O2N2 @ EGR'!$T13)*10^6</f>
        <v>106.47795067580186</v>
      </c>
      <c r="AQ49" s="59"/>
      <c r="AR49" s="37">
        <f>EGR!D$42</f>
        <v>1758.819933</v>
      </c>
      <c r="AS49" s="37">
        <f>(((4.7*10^13)*'O2N2 @ EGR'!$R$14*('O2N2 @ EGR'!$Q$14^0.5)*(EXP(-67837/AR49))/('Goal Seek 6th order'!$P$27*6))*('Goal Seek 6th order'!$P$28*10^-6))</f>
        <v>4.6243035339666236E-14</v>
      </c>
      <c r="AT49" s="37">
        <f>(SUM(AS49:AS64)/'O2N2 @ EGR'!$T14)*10^6</f>
        <v>28.423618121169046</v>
      </c>
      <c r="AU49" s="59"/>
      <c r="AV49" s="37">
        <f>EGR!D$43</f>
        <v>1675.9381679999999</v>
      </c>
      <c r="AW49" s="37">
        <f>(((4.7*10^13)*'O2N2 @ EGR'!$R$15*('O2N2 @ EGR'!$Q$15^0.5)*(EXP(-67837/AV49))/('Goal Seek 6th order'!$P$27*6))*('Goal Seek 6th order'!$P$28*10^-6))</f>
        <v>7.4247047039172372E-15</v>
      </c>
      <c r="AX49" s="37">
        <f>(SUM(AW49:AW64)/'O2N2 @ EGR'!$T15)*10^6</f>
        <v>6.2621115703412586</v>
      </c>
      <c r="AY49" s="59"/>
      <c r="AZ49" s="37">
        <f>EGR!D$44</f>
        <v>1590.763639</v>
      </c>
      <c r="BA49" s="37">
        <f>(((4.7*10^13)*'O2N2 @ EGR'!$R$16*('O2N2 @ EGR'!$Q$16^0.5)*(EXP(-67837/AZ49))/('Goal Seek 6th order'!$P$27*6))*('Goal Seek 6th order'!$P$28*10^-6))</f>
        <v>9.0988002406010467E-16</v>
      </c>
      <c r="BB49" s="37">
        <f>(SUM(BA49:BA64)/'O2N2 @ EGR'!$T16)*10^6</f>
        <v>1.1010320210327869</v>
      </c>
      <c r="BC49" s="59"/>
    </row>
    <row r="50" spans="2:55" x14ac:dyDescent="0.3">
      <c r="B50" s="42">
        <v>1</v>
      </c>
      <c r="C50" s="42">
        <v>12</v>
      </c>
      <c r="D50" s="37">
        <f>D49*(C50/C49)^(('Goal Seek 6th order'!$P$26-1)/'Goal Seek 6th order'!$P$26)</f>
        <v>2275.0679558399402</v>
      </c>
      <c r="E50" s="37">
        <f>(((4.7*10^13)*'O2N2 @ EGR'!$R$4*('O2N2 @ EGR'!$Q$4^0.5)*(EXP(-67837/D50))/('Goal Seek 6th order'!$P$27*6))*('Goal Seek 6th order'!$P$28*10^-6))</f>
        <v>0</v>
      </c>
      <c r="F50" s="3"/>
      <c r="G50" s="3"/>
      <c r="H50" s="37">
        <f>H49*(C50/C49)^(('Goal Seek 6th order'!$P$26-1)/'Goal Seek 6th order'!$P$26)</f>
        <v>2260.4184362710266</v>
      </c>
      <c r="I50" s="37">
        <f>(((4.7*10^13)*'O2N2 @ EGR'!$R$5*('O2N2 @ EGR'!$Q$5^0.5)*(EXP(-67837/H50))/('Goal Seek 6th order'!$P$27*6))*('Goal Seek 6th order'!$P$28*10^-6))</f>
        <v>4.3691070929868517E-11</v>
      </c>
      <c r="L50" s="37">
        <f>L49*(C50/C49)^(('Goal Seek 6th order'!$P$26-1)/'Goal Seek 6th order'!$P$26)</f>
        <v>2245.7099644936875</v>
      </c>
      <c r="M50" s="37">
        <f>(((4.7*10^13)*'O2N2 @ EGR'!$R$6*('O2N2 @ EGR'!$Q$6^0.5)*(EXP(-67837/L50))/('Goal Seek 6th order'!$P$27*6))*('Goal Seek 6th order'!$P$28*10^-6))</f>
        <v>5.0775142230653225E-11</v>
      </c>
      <c r="P50" s="37">
        <f>P49*(C50/C49)^(('Goal Seek 6th order'!$P$26-1)/'Goal Seek 6th order'!$P$26)</f>
        <v>2230.9415721929222</v>
      </c>
      <c r="Q50" s="37">
        <f>(((4.7*10^13)*'O2N2 @ EGR'!$R$7*('O2N2 @ EGR'!$Q$7^0.5)*(EXP(-67837/P50))/('Goal Seek 6th order'!$P$27*6))*('Goal Seek 6th order'!$P$28*10^-6))</f>
        <v>5.0928396474751947E-11</v>
      </c>
      <c r="T50" s="37">
        <f>T49*(C50/C49)^(('Goal Seek 6th order'!$P$26-1)/'Goal Seek 6th order'!$P$26)</f>
        <v>2216.1123054295608</v>
      </c>
      <c r="U50" s="37">
        <f>(((4.7*10^13)*'O2N2 @ EGR'!$R$8*('O2N2 @ EGR'!$Q$8^0.5)*(EXP(-67837/T50))/('Goal Seek 6th order'!$P$27*6))*('Goal Seek 6th order'!$P$28*10^-6))</f>
        <v>4.7992126905268117E-11</v>
      </c>
      <c r="W50" s="59"/>
      <c r="X50" s="37">
        <f>X49*(C50/C49)^(('Goal Seek 6th order'!$P$26-1)/'Goal Seek 6th order'!$P$26)</f>
        <v>2201.2212092375898</v>
      </c>
      <c r="Y50" s="37">
        <f>(((4.7*10^13)*'O2N2 @ EGR'!$R$9*('O2N2 @ EGR'!$Q$9^0.5)*(EXP(-67837/X50))/('Goal Seek 6th order'!$P$27*6))*('Goal Seek 6th order'!$P$28*10^-6))</f>
        <v>4.3631397416319854E-11</v>
      </c>
      <c r="AA50" s="59"/>
      <c r="AB50" s="37">
        <f>AB49*(C50/C49)^(('Goal Seek 6th order'!$P$26-1)/'Goal Seek 6th order'!$P$26)</f>
        <v>2125.8049667494574</v>
      </c>
      <c r="AC50" s="37">
        <f>(((4.7*10^13)*'O2N2 @ EGR'!$R$10*('O2N2 @ EGR'!$Q$10^0.5)*(EXP(-67837/AB50))/('Goal Seek 6th order'!$P$27*6))*('Goal Seek 6th order'!$P$28*10^-6))</f>
        <v>2.0703008975305937E-11</v>
      </c>
      <c r="AE50" s="59"/>
      <c r="AF50" s="37">
        <f>AF49*(C50/C49)^(('Goal Seek 6th order'!$P$26-1)/'Goal Seek 6th order'!$P$26)</f>
        <v>2048.700026026389</v>
      </c>
      <c r="AG50" s="37">
        <f>(((4.7*10^13)*'O2N2 @ EGR'!$R$11*('O2N2 @ EGR'!$Q$11^0.5)*(EXP(-67837/AF50))/('Goal Seek 6th order'!$P$27*6))*('Goal Seek 6th order'!$P$28*10^-6))</f>
        <v>7.6388163195378952E-12</v>
      </c>
      <c r="AI50" s="59"/>
      <c r="AJ50" s="37">
        <f>AJ49*(C50/C49)^(('Goal Seek 6th order'!$P$26-1)/'Goal Seek 6th order'!$P$26)</f>
        <v>1969.7867380415792</v>
      </c>
      <c r="AK50" s="37">
        <f>(((4.7*10^13)*'O2N2 @ EGR'!$R$12*('O2N2 @ EGR'!$Q$12^0.5)*(EXP(-67837/AJ50))/('Goal Seek 6th order'!$P$27*6))*('Goal Seek 6th order'!$P$28*10^-6))</f>
        <v>2.3438397494903312E-12</v>
      </c>
      <c r="AM50" s="59"/>
      <c r="AN50" s="37">
        <f>AN49*(C50/C49)^(('Goal Seek 6th order'!$P$26-1)/'Goal Seek 6th order'!$P$26)</f>
        <v>1888.9421216556245</v>
      </c>
      <c r="AO50" s="37">
        <f>(((4.7*10^13)*'O2N2 @ EGR'!$R$13*('O2N2 @ EGR'!$Q$13^0.5)*(EXP(-67837/AN50))/('Goal Seek 6th order'!$P$27*6))*('Goal Seek 6th order'!$P$28*10^-6))</f>
        <v>6.0089583918933597E-13</v>
      </c>
      <c r="AQ50" s="59"/>
      <c r="AR50" s="37">
        <f>AR49*(C50/C49)^(('Goal Seek 6th order'!$P$26-1)/'Goal Seek 6th order'!$P$26)</f>
        <v>1806.0357644505807</v>
      </c>
      <c r="AS50" s="37">
        <f>(((4.7*10^13)*'O2N2 @ EGR'!$R$14*('O2N2 @ EGR'!$Q$14^0.5)*(EXP(-67837/AR50))/('Goal Seek 6th order'!$P$27*6))*('Goal Seek 6th order'!$P$28*10^-6))</f>
        <v>1.2675420674587236E-13</v>
      </c>
      <c r="AU50" s="59"/>
      <c r="AV50" s="37">
        <f>AV49*(C50/C49)^(('Goal Seek 6th order'!$P$26-1)/'Goal Seek 6th order'!$P$26)</f>
        <v>1720.929023844413</v>
      </c>
      <c r="AW50" s="37">
        <f>(((4.7*10^13)*'O2N2 @ EGR'!$R$15*('O2N2 @ EGR'!$Q$15^0.5)*(EXP(-67837/AV50))/('Goal Seek 6th order'!$P$27*6))*('Goal Seek 6th order'!$P$28*10^-6))</f>
        <v>2.1392025783324426E-14</v>
      </c>
      <c r="AY50" s="59"/>
      <c r="AZ50" s="37">
        <f>AZ49*(C50/C49)^(('Goal Seek 6th order'!$P$26-1)/'Goal Seek 6th order'!$P$26)</f>
        <v>1633.4679695841</v>
      </c>
      <c r="BA50" s="37">
        <f>(((4.7*10^13)*'O2N2 @ EGR'!$R$16*('O2N2 @ EGR'!$Q$16^0.5)*(EXP(-67837/AZ50))/('Goal Seek 6th order'!$P$27*6))*('Goal Seek 6th order'!$P$28*10^-6))</f>
        <v>2.7743665476578763E-15</v>
      </c>
      <c r="BC50" s="59"/>
    </row>
    <row r="51" spans="2:55" x14ac:dyDescent="0.3">
      <c r="B51" s="42">
        <v>2</v>
      </c>
      <c r="C51" s="42">
        <v>14</v>
      </c>
      <c r="D51" s="37">
        <f>D50*(C51/C50)^(('Goal Seek 6th order'!$P$26-1)/'Goal Seek 6th order'!$P$26)</f>
        <v>2326.599791260533</v>
      </c>
      <c r="E51" s="37">
        <f>(((4.7*10^13)*'O2N2 @ EGR'!$R$4*('O2N2 @ EGR'!$Q$4^0.5)*(EXP(-67837/D51))/('Goal Seek 6th order'!$P$27*6))*('Goal Seek 6th order'!$P$28*10^-6))</f>
        <v>0</v>
      </c>
      <c r="F51" s="3"/>
      <c r="G51" s="3"/>
      <c r="H51" s="37">
        <f>H50*(C51/C50)^(('Goal Seek 6th order'!$P$26-1)/'Goal Seek 6th order'!$P$26)</f>
        <v>2311.6184501170251</v>
      </c>
      <c r="I51" s="37">
        <f>(((4.7*10^13)*'O2N2 @ EGR'!$R$5*('O2N2 @ EGR'!$Q$5^0.5)*(EXP(-67837/H51))/('Goal Seek 6th order'!$P$27*6))*('Goal Seek 6th order'!$P$28*10^-6))</f>
        <v>8.4932175239453956E-11</v>
      </c>
      <c r="L51" s="37">
        <f>L50*(C51/C50)^(('Goal Seek 6th order'!$P$26-1)/'Goal Seek 6th order'!$P$26)</f>
        <v>2296.5768214575046</v>
      </c>
      <c r="M51" s="37">
        <f>(((4.7*10^13)*'O2N2 @ EGR'!$R$6*('O2N2 @ EGR'!$Q$6^0.5)*(EXP(-67837/L51))/('Goal Seek 6th order'!$P$27*6))*('Goal Seek 6th order'!$P$28*10^-6))</f>
        <v>9.9133727781814083E-11</v>
      </c>
      <c r="P51" s="37">
        <f>P50*(C51/C50)^(('Goal Seek 6th order'!$P$26-1)/'Goal Seek 6th order'!$P$26)</f>
        <v>2281.4739150339783</v>
      </c>
      <c r="Q51" s="37">
        <f>(((4.7*10^13)*'O2N2 @ EGR'!$R$7*('O2N2 @ EGR'!$Q$7^0.5)*(EXP(-67837/P51))/('Goal Seek 6th order'!$P$27*6))*('Goal Seek 6th order'!$P$28*10^-6))</f>
        <v>9.9874313931163744E-11</v>
      </c>
      <c r="T51" s="37">
        <f>T50*(C51/C50)^(('Goal Seek 6th order'!$P$26-1)/'Goal Seek 6th order'!$P$26)</f>
        <v>2266.3087552999054</v>
      </c>
      <c r="U51" s="37">
        <f>(((4.7*10^13)*'O2N2 @ EGR'!$R$8*('O2N2 @ EGR'!$Q$8^0.5)*(EXP(-67837/T51))/('Goal Seek 6th order'!$P$27*6))*('Goal Seek 6th order'!$P$28*10^-6))</f>
        <v>9.4541186053188363E-11</v>
      </c>
      <c r="W51" s="59"/>
      <c r="X51" s="37">
        <f>X50*(C51/C50)^(('Goal Seek 6th order'!$P$26-1)/'Goal Seek 6th order'!$P$26)</f>
        <v>2251.0803656586431</v>
      </c>
      <c r="Y51" s="37">
        <f>(((4.7*10^13)*'O2N2 @ EGR'!$R$9*('O2N2 @ EGR'!$Q$9^0.5)*(EXP(-67837/X51))/('Goal Seek 6th order'!$P$27*6))*('Goal Seek 6th order'!$P$28*10^-6))</f>
        <v>8.6345977614765105E-11</v>
      </c>
      <c r="AA51" s="59"/>
      <c r="AB51" s="37">
        <f>AB50*(C51/C50)^(('Goal Seek 6th order'!$P$26-1)/'Goal Seek 6th order'!$P$26)</f>
        <v>2173.9558940224706</v>
      </c>
      <c r="AC51" s="37">
        <f>(((4.7*10^13)*'O2N2 @ EGR'!$R$10*('O2N2 @ EGR'!$Q$10^0.5)*(EXP(-67837/AB51))/('Goal Seek 6th order'!$P$27*6))*('Goal Seek 6th order'!$P$28*10^-6))</f>
        <v>4.1975244590343993E-11</v>
      </c>
      <c r="AE51" s="59"/>
      <c r="AF51" s="37">
        <f>AF50*(C51/C50)^(('Goal Seek 6th order'!$P$26-1)/'Goal Seek 6th order'!$P$26)</f>
        <v>2095.1044739886383</v>
      </c>
      <c r="AG51" s="37">
        <f>(((4.7*10^13)*'O2N2 @ EGR'!$R$11*('O2N2 @ EGR'!$Q$11^0.5)*(EXP(-67837/AF51))/('Goal Seek 6th order'!$P$27*6))*('Goal Seek 6th order'!$P$28*10^-6))</f>
        <v>1.5905179691682737E-11</v>
      </c>
      <c r="AI51" s="59"/>
      <c r="AJ51" s="37">
        <f>AJ50*(C51/C50)^(('Goal Seek 6th order'!$P$26-1)/'Goal Seek 6th order'!$P$26)</f>
        <v>2014.4037463985667</v>
      </c>
      <c r="AK51" s="37">
        <f>(((4.7*10^13)*'O2N2 @ EGR'!$R$12*('O2N2 @ EGR'!$Q$12^0.5)*(EXP(-67837/AJ51))/('Goal Seek 6th order'!$P$27*6))*('Goal Seek 6th order'!$P$28*10^-6))</f>
        <v>5.0257470500978141E-12</v>
      </c>
      <c r="AM51" s="59"/>
      <c r="AN51" s="37">
        <f>AN50*(C51/C50)^(('Goal Seek 6th order'!$P$26-1)/'Goal Seek 6th order'!$P$26)</f>
        <v>1931.7279445064612</v>
      </c>
      <c r="AO51" s="37">
        <f>(((4.7*10^13)*'O2N2 @ EGR'!$R$13*('O2N2 @ EGR'!$Q$13^0.5)*(EXP(-67837/AN51))/('Goal Seek 6th order'!$P$27*6))*('Goal Seek 6th order'!$P$28*10^-6))</f>
        <v>1.3312205421251761E-12</v>
      </c>
      <c r="AQ51" s="59"/>
      <c r="AR51" s="37">
        <f>AR50*(C51/C50)^(('Goal Seek 6th order'!$P$26-1)/'Goal Seek 6th order'!$P$26)</f>
        <v>1846.9437019644786</v>
      </c>
      <c r="AS51" s="37">
        <f>(((4.7*10^13)*'O2N2 @ EGR'!$R$14*('O2N2 @ EGR'!$Q$14^0.5)*(EXP(-67837/AR51))/('Goal Seek 6th order'!$P$27*6))*('Goal Seek 6th order'!$P$28*10^-6))</f>
        <v>2.9125351120884498E-13</v>
      </c>
      <c r="AU51" s="59"/>
      <c r="AV51" s="37">
        <f>AV50*(C51/C50)^(('Goal Seek 6th order'!$P$26-1)/'Goal Seek 6th order'!$P$26)</f>
        <v>1759.9092358418743</v>
      </c>
      <c r="AW51" s="37">
        <f>(((4.7*10^13)*'O2N2 @ EGR'!$R$15*('O2N2 @ EGR'!$Q$15^0.5)*(EXP(-67837/AV51))/('Goal Seek 6th order'!$P$27*6))*('Goal Seek 6th order'!$P$28*10^-6))</f>
        <v>5.1218735071786629E-14</v>
      </c>
      <c r="AY51" s="59"/>
      <c r="AZ51" s="37">
        <f>AZ50*(C51/C50)^(('Goal Seek 6th order'!$P$26-1)/'Goal Seek 6th order'!$P$26)</f>
        <v>1670.4671292607791</v>
      </c>
      <c r="BA51" s="37">
        <f>(((4.7*10^13)*'O2N2 @ EGR'!$R$16*('O2N2 @ EGR'!$Q$16^0.5)*(EXP(-67837/AZ51))/('Goal Seek 6th order'!$P$27*6))*('Goal Seek 6th order'!$P$28*10^-6))</f>
        <v>6.9605428265010236E-15</v>
      </c>
      <c r="BC51" s="59"/>
    </row>
    <row r="52" spans="2:55" x14ac:dyDescent="0.3">
      <c r="B52" s="42">
        <v>3</v>
      </c>
      <c r="C52" s="42">
        <v>16</v>
      </c>
      <c r="D52" s="37">
        <f>D51*(C52/C51)^(('Goal Seek 6th order'!$P$26-1)/'Goal Seek 6th order'!$P$26)</f>
        <v>2372.1812295382874</v>
      </c>
      <c r="E52" s="37">
        <f>(((4.7*10^13)*'O2N2 @ EGR'!$R$4*('O2N2 @ EGR'!$Q$4^0.5)*(EXP(-67837/D52))/('Goal Seek 6th order'!$P$27*6))*('Goal Seek 6th order'!$P$28*10^-6))</f>
        <v>0</v>
      </c>
      <c r="F52" s="3"/>
      <c r="G52" s="3"/>
      <c r="H52" s="37">
        <f>H51*(C52/C51)^(('Goal Seek 6th order'!$P$26-1)/'Goal Seek 6th order'!$P$26)</f>
        <v>2356.9063823611182</v>
      </c>
      <c r="I52" s="37">
        <f>(((4.7*10^13)*'O2N2 @ EGR'!$R$5*('O2N2 @ EGR'!$Q$5^0.5)*(EXP(-67837/H52))/('Goal Seek 6th order'!$P$27*6))*('Goal Seek 6th order'!$P$28*10^-6))</f>
        <v>1.4926722087050432E-10</v>
      </c>
      <c r="L52" s="37">
        <f>L51*(C52/C51)^(('Goal Seek 6th order'!$P$26-1)/'Goal Seek 6th order'!$P$26)</f>
        <v>2341.5700665487334</v>
      </c>
      <c r="M52" s="37">
        <f>(((4.7*10^13)*'O2N2 @ EGR'!$R$6*('O2N2 @ EGR'!$Q$6^0.5)*(EXP(-67837/L52))/('Goal Seek 6th order'!$P$27*6))*('Goal Seek 6th order'!$P$28*10^-6))</f>
        <v>1.7487091400819737E-10</v>
      </c>
      <c r="P52" s="37">
        <f>P51*(C52/C51)^(('Goal Seek 6th order'!$P$26-1)/'Goal Seek 6th order'!$P$26)</f>
        <v>2326.171272452757</v>
      </c>
      <c r="Q52" s="37">
        <f>(((4.7*10^13)*'O2N2 @ EGR'!$R$7*('O2N2 @ EGR'!$Q$7^0.5)*(EXP(-67837/P52))/('Goal Seek 6th order'!$P$27*6))*('Goal Seek 6th order'!$P$28*10^-6))</f>
        <v>1.7684048904621892E-10</v>
      </c>
      <c r="T52" s="37">
        <f>T51*(C52/C51)^(('Goal Seek 6th order'!$P$26-1)/'Goal Seek 6th order'!$P$26)</f>
        <v>2310.7090054142877</v>
      </c>
      <c r="U52" s="37">
        <f>(((4.7*10^13)*'O2N2 @ EGR'!$R$8*('O2N2 @ EGR'!$Q$8^0.5)*(EXP(-67837/T52))/('Goal Seek 6th order'!$P$27*6))*('Goal Seek 6th order'!$P$28*10^-6))</f>
        <v>1.6803869858662714E-10</v>
      </c>
      <c r="W52" s="59"/>
      <c r="X52" s="37">
        <f>X51*(C52/C51)^(('Goal Seek 6th order'!$P$26-1)/'Goal Seek 6th order'!$P$26)</f>
        <v>2295.1822697037487</v>
      </c>
      <c r="Y52" s="37">
        <f>(((4.7*10^13)*'O2N2 @ EGR'!$R$9*('O2N2 @ EGR'!$Q$9^0.5)*(EXP(-67837/X52))/('Goal Seek 6th order'!$P$27*6))*('Goal Seek 6th order'!$P$28*10^-6))</f>
        <v>1.5407074154084455E-10</v>
      </c>
      <c r="AA52" s="59"/>
      <c r="AB52" s="37">
        <f>AB51*(C52/C51)^(('Goal Seek 6th order'!$P$26-1)/'Goal Seek 6th order'!$P$26)</f>
        <v>2216.5468186731855</v>
      </c>
      <c r="AC52" s="37">
        <f>(((4.7*10^13)*'O2N2 @ EGR'!$R$10*('O2N2 @ EGR'!$Q$10^0.5)*(EXP(-67837/AB52))/('Goal Seek 6th order'!$P$27*6))*('Goal Seek 6th order'!$P$28*10^-6))</f>
        <v>7.6452708049656949E-11</v>
      </c>
      <c r="AE52" s="59"/>
      <c r="AF52" s="37">
        <f>AF51*(C52/C51)^(('Goal Seek 6th order'!$P$26-1)/'Goal Seek 6th order'!$P$26)</f>
        <v>2136.1505858404839</v>
      </c>
      <c r="AG52" s="37">
        <f>(((4.7*10^13)*'O2N2 @ EGR'!$R$11*('O2N2 @ EGR'!$Q$11^0.5)*(EXP(-67837/AF52))/('Goal Seek 6th order'!$P$27*6))*('Goal Seek 6th order'!$P$28*10^-6))</f>
        <v>2.9630475914962552E-11</v>
      </c>
      <c r="AI52" s="59"/>
      <c r="AJ52" s="37">
        <f>AJ51*(C52/C51)^(('Goal Seek 6th order'!$P$26-1)/'Goal Seek 6th order'!$P$26)</f>
        <v>2053.8688148550532</v>
      </c>
      <c r="AK52" s="37">
        <f>(((4.7*10^13)*'O2N2 @ EGR'!$R$12*('O2N2 @ EGR'!$Q$12^0.5)*(EXP(-67837/AJ52))/('Goal Seek 6th order'!$P$27*6))*('Goal Seek 6th order'!$P$28*10^-6))</f>
        <v>9.598986600831479E-12</v>
      </c>
      <c r="AM52" s="59"/>
      <c r="AN52" s="37">
        <f>AN51*(C52/C51)^(('Goal Seek 6th order'!$P$26-1)/'Goal Seek 6th order'!$P$26)</f>
        <v>1969.5732750195486</v>
      </c>
      <c r="AO52" s="37">
        <f>(((4.7*10^13)*'O2N2 @ EGR'!$R$13*('O2N2 @ EGR'!$Q$13^0.5)*(EXP(-67837/AN52))/('Goal Seek 6th order'!$P$27*6))*('Goal Seek 6th order'!$P$28*10^-6))</f>
        <v>2.613980334391208E-12</v>
      </c>
      <c r="AQ52" s="59"/>
      <c r="AR52" s="37">
        <f>AR51*(C52/C51)^(('Goal Seek 6th order'!$P$26-1)/'Goal Seek 6th order'!$P$26)</f>
        <v>1883.1279871474364</v>
      </c>
      <c r="AS52" s="37">
        <f>(((4.7*10^13)*'O2N2 @ EGR'!$R$14*('O2N2 @ EGR'!$Q$14^0.5)*(EXP(-67837/AR52))/('Goal Seek 6th order'!$P$27*6))*('Goal Seek 6th order'!$P$28*10^-6))</f>
        <v>5.8989686406774328E-13</v>
      </c>
      <c r="AU52" s="59"/>
      <c r="AV52" s="37">
        <f>AV51*(C52/C51)^(('Goal Seek 6th order'!$P$26-1)/'Goal Seek 6th order'!$P$26)</f>
        <v>1794.3883905763096</v>
      </c>
      <c r="AW52" s="37">
        <f>(((4.7*10^13)*'O2N2 @ EGR'!$R$15*('O2N2 @ EGR'!$Q$15^0.5)*(EXP(-67837/AV52))/('Goal Seek 6th order'!$P$27*6))*('Goal Seek 6th order'!$P$28*10^-6))</f>
        <v>1.074216071820841E-13</v>
      </c>
      <c r="AY52" s="59"/>
      <c r="AZ52" s="37">
        <f>AZ51*(C52/C51)^(('Goal Seek 6th order'!$P$26-1)/'Goal Seek 6th order'!$P$26)</f>
        <v>1703.1939844051117</v>
      </c>
      <c r="BA52" s="37">
        <f>(((4.7*10^13)*'O2N2 @ EGR'!$R$16*('O2N2 @ EGR'!$Q$16^0.5)*(EXP(-67837/AZ52))/('Goal Seek 6th order'!$P$27*6))*('Goal Seek 6th order'!$P$28*10^-6))</f>
        <v>1.5188984994145433E-14</v>
      </c>
      <c r="BC52" s="59"/>
    </row>
    <row r="53" spans="2:55" x14ac:dyDescent="0.3">
      <c r="B53" s="42">
        <v>4</v>
      </c>
      <c r="C53" s="42">
        <v>18</v>
      </c>
      <c r="D53" s="37">
        <f>D52*(C53/C52)^(('Goal Seek 6th order'!$P$26-1)/'Goal Seek 6th order'!$P$26)</f>
        <v>2413.1275778850109</v>
      </c>
      <c r="E53" s="37">
        <f>(((4.7*10^13)*'O2N2 @ EGR'!$R$4*('O2N2 @ EGR'!$Q$4^0.5)*(EXP(-67837/D53))/('Goal Seek 6th order'!$P$27*6))*('Goal Seek 6th order'!$P$28*10^-6))</f>
        <v>0</v>
      </c>
      <c r="F53" s="3"/>
      <c r="G53" s="3"/>
      <c r="H53" s="37">
        <f>H52*(C53/C52)^(('Goal Seek 6th order'!$P$26-1)/'Goal Seek 6th order'!$P$26)</f>
        <v>2397.5890707455792</v>
      </c>
      <c r="I53" s="37">
        <f>(((4.7*10^13)*'O2N2 @ EGR'!$R$5*('O2N2 @ EGR'!$Q$5^0.5)*(EXP(-67837/H53))/('Goal Seek 6th order'!$P$27*6))*('Goal Seek 6th order'!$P$28*10^-6))</f>
        <v>2.4325727249032498E-10</v>
      </c>
      <c r="L53" s="37">
        <f>L52*(C53/C52)^(('Goal Seek 6th order'!$P$26-1)/'Goal Seek 6th order'!$P$26)</f>
        <v>2381.9880339574993</v>
      </c>
      <c r="M53" s="37">
        <f>(((4.7*10^13)*'O2N2 @ EGR'!$R$6*('O2N2 @ EGR'!$Q$6^0.5)*(EXP(-67837/L53))/('Goal Seek 6th order'!$P$27*6))*('Goal Seek 6th order'!$P$28*10^-6))</f>
        <v>2.8589604159201394E-10</v>
      </c>
      <c r="P53" s="37">
        <f>P52*(C53/C52)^(('Goal Seek 6th order'!$P$26-1)/'Goal Seek 6th order'!$P$26)</f>
        <v>2366.3234404447994</v>
      </c>
      <c r="Q53" s="37">
        <f>(((4.7*10^13)*'O2N2 @ EGR'!$R$7*('O2N2 @ EGR'!$Q$7^0.5)*(EXP(-67837/P53))/('Goal Seek 6th order'!$P$27*6))*('Goal Seek 6th order'!$P$28*10^-6))</f>
        <v>2.9005845870684874E-10</v>
      </c>
      <c r="T53" s="37">
        <f>T52*(C53/C52)^(('Goal Seek 6th order'!$P$26-1)/'Goal Seek 6th order'!$P$26)</f>
        <v>2350.5942783797177</v>
      </c>
      <c r="U53" s="37">
        <f>(((4.7*10^13)*'O2N2 @ EGR'!$R$8*('O2N2 @ EGR'!$Q$8^0.5)*(EXP(-67837/T53))/('Goal Seek 6th order'!$P$27*6))*('Goal Seek 6th order'!$P$28*10^-6))</f>
        <v>2.7653568420196827E-10</v>
      </c>
      <c r="W53" s="59"/>
      <c r="X53" s="37">
        <f>X52*(C53/C52)^(('Goal Seek 6th order'!$P$26-1)/'Goal Seek 6th order'!$P$26)</f>
        <v>2334.7995348453351</v>
      </c>
      <c r="Y53" s="37">
        <f>(((4.7*10^13)*'O2N2 @ EGR'!$R$9*('O2N2 @ EGR'!$Q$9^0.5)*(EXP(-67837/X53))/('Goal Seek 6th order'!$P$27*6))*('Goal Seek 6th order'!$P$28*10^-6))</f>
        <v>2.5440496372469363E-10</v>
      </c>
      <c r="AA53" s="59"/>
      <c r="AB53" s="37">
        <f>AB52*(C53/C52)^(('Goal Seek 6th order'!$P$26-1)/'Goal Seek 6th order'!$P$26)</f>
        <v>2254.8067530466983</v>
      </c>
      <c r="AC53" s="37">
        <f>(((4.7*10^13)*'O2N2 @ EGR'!$R$10*('O2N2 @ EGR'!$Q$10^0.5)*(EXP(-67837/AB53))/('Goal Seek 6th order'!$P$27*6))*('Goal Seek 6th order'!$P$28*10^-6))</f>
        <v>1.2850655085457975E-10</v>
      </c>
      <c r="AE53" s="59"/>
      <c r="AF53" s="37">
        <f>AF52*(C53/C52)^(('Goal Seek 6th order'!$P$26-1)/'Goal Seek 6th order'!$P$26)</f>
        <v>2173.02279649612</v>
      </c>
      <c r="AG53" s="37">
        <f>(((4.7*10^13)*'O2N2 @ EGR'!$R$11*('O2N2 @ EGR'!$Q$11^0.5)*(EXP(-67837/AF53))/('Goal Seek 6th order'!$P$27*6))*('Goal Seek 6th order'!$P$28*10^-6))</f>
        <v>5.0787772489806191E-11</v>
      </c>
      <c r="AI53" s="59"/>
      <c r="AJ53" s="37">
        <f>AJ52*(C53/C52)^(('Goal Seek 6th order'!$P$26-1)/'Goal Seek 6th order'!$P$26)</f>
        <v>2089.320755416903</v>
      </c>
      <c r="AK53" s="37">
        <f>(((4.7*10^13)*'O2N2 @ EGR'!$R$12*('O2N2 @ EGR'!$Q$12^0.5)*(EXP(-67837/AJ53))/('Goal Seek 6th order'!$P$27*6))*('Goal Seek 6th order'!$P$28*10^-6))</f>
        <v>1.6812071101034982E-11</v>
      </c>
      <c r="AM53" s="59"/>
      <c r="AN53" s="37">
        <f>AN52*(C53/C52)^(('Goal Seek 6th order'!$P$26-1)/'Goal Seek 6th order'!$P$26)</f>
        <v>2003.5701857147083</v>
      </c>
      <c r="AO53" s="37">
        <f>(((4.7*10^13)*'O2N2 @ EGR'!$R$13*('O2N2 @ EGR'!$Q$13^0.5)*(EXP(-67837/AN53))/('Goal Seek 6th order'!$P$27*6))*('Goal Seek 6th order'!$P$28*10^-6))</f>
        <v>4.6893777530949672E-12</v>
      </c>
      <c r="AQ53" s="59"/>
      <c r="AR53" s="37">
        <f>AR52*(C53/C52)^(('Goal Seek 6th order'!$P$26-1)/'Goal Seek 6th order'!$P$26)</f>
        <v>1915.6327610589183</v>
      </c>
      <c r="AS53" s="37">
        <f>(((4.7*10^13)*'O2N2 @ EGR'!$R$14*('O2N2 @ EGR'!$Q$14^0.5)*(EXP(-67837/AR53))/('Goal Seek 6th order'!$P$27*6))*('Goal Seek 6th order'!$P$28*10^-6))</f>
        <v>1.0870269506141141E-12</v>
      </c>
      <c r="AU53" s="59"/>
      <c r="AV53" s="37">
        <f>AV52*(C53/C52)^(('Goal Seek 6th order'!$P$26-1)/'Goal Seek 6th order'!$P$26)</f>
        <v>1825.3614255177229</v>
      </c>
      <c r="AW53" s="37">
        <f>(((4.7*10^13)*'O2N2 @ EGR'!$R$15*('O2N2 @ EGR'!$Q$15^0.5)*(EXP(-67837/AV53))/('Goal Seek 6th order'!$P$27*6))*('Goal Seek 6th order'!$P$28*10^-6))</f>
        <v>2.040253468659409E-13</v>
      </c>
      <c r="AY53" s="59"/>
      <c r="AZ53" s="37">
        <f>AZ52*(C53/C52)^(('Goal Seek 6th order'!$P$26-1)/'Goal Seek 6th order'!$P$26)</f>
        <v>1732.5929077753422</v>
      </c>
      <c r="BA53" s="37">
        <f>(((4.7*10^13)*'O2N2 @ EGR'!$R$16*('O2N2 @ EGR'!$Q$16^0.5)*(EXP(-67837/AZ53))/('Goal Seek 6th order'!$P$27*6))*('Goal Seek 6th order'!$P$28*10^-6))</f>
        <v>2.9856435492043668E-14</v>
      </c>
      <c r="BC53" s="59"/>
    </row>
    <row r="54" spans="2:55" x14ac:dyDescent="0.3">
      <c r="B54" s="42">
        <v>5</v>
      </c>
      <c r="C54" s="42">
        <v>20</v>
      </c>
      <c r="D54" s="37">
        <f>D53*(C54/C53)^(('Goal Seek 6th order'!$P$26-1)/'Goal Seek 6th order'!$P$26)</f>
        <v>2450.3538658942375</v>
      </c>
      <c r="E54" s="37">
        <f>(((4.7*10^13)*'O2N2 @ EGR'!$R$4*('O2N2 @ EGR'!$Q$4^0.5)*(EXP(-67837/D54))/('Goal Seek 6th order'!$P$27*6))*('Goal Seek 6th order'!$P$28*10^-6))</f>
        <v>0</v>
      </c>
      <c r="F54" s="3"/>
      <c r="G54" s="3"/>
      <c r="H54" s="37">
        <f>H53*(C54/C53)^(('Goal Seek 6th order'!$P$26-1)/'Goal Seek 6th order'!$P$26)</f>
        <v>2434.5756528448046</v>
      </c>
      <c r="I54" s="37">
        <f>(((4.7*10^13)*'O2N2 @ EGR'!$R$5*('O2N2 @ EGR'!$Q$5^0.5)*(EXP(-67837/H54))/('Goal Seek 6th order'!$P$27*6))*('Goal Seek 6th order'!$P$28*10^-6))</f>
        <v>3.7389145878077582E-10</v>
      </c>
      <c r="L54" s="37">
        <f>L53*(C54/C53)^(('Goal Seek 6th order'!$P$26-1)/'Goal Seek 6th order'!$P$26)</f>
        <v>2418.7339455285528</v>
      </c>
      <c r="M54" s="37">
        <f>(((4.7*10^13)*'O2N2 @ EGR'!$R$6*('O2N2 @ EGR'!$Q$6^0.5)*(EXP(-67837/L54))/('Goal Seek 6th order'!$P$27*6))*('Goal Seek 6th order'!$P$28*10^-6))</f>
        <v>4.4066699956566262E-10</v>
      </c>
      <c r="P54" s="37">
        <f>P53*(C54/C53)^(('Goal Seek 6th order'!$P$26-1)/'Goal Seek 6th order'!$P$26)</f>
        <v>2402.8277010252486</v>
      </c>
      <c r="Q54" s="37">
        <f>(((4.7*10^13)*'O2N2 @ EGR'!$R$7*('O2N2 @ EGR'!$Q$7^0.5)*(EXP(-67837/P54))/('Goal Seek 6th order'!$P$27*6))*('Goal Seek 6th order'!$P$28*10^-6))</f>
        <v>4.4836509720996075E-10</v>
      </c>
      <c r="T54" s="37">
        <f>T53*(C54/C53)^(('Goal Seek 6th order'!$P$26-1)/'Goal Seek 6th order'!$P$26)</f>
        <v>2386.8558918980948</v>
      </c>
      <c r="U54" s="37">
        <f>(((4.7*10^13)*'O2N2 @ EGR'!$R$8*('O2N2 @ EGR'!$Q$8^0.5)*(EXP(-67837/T54))/('Goal Seek 6th order'!$P$27*6))*('Goal Seek 6th order'!$P$28*10^-6))</f>
        <v>4.2870952100555166E-10</v>
      </c>
      <c r="W54" s="59"/>
      <c r="X54" s="37">
        <f>X53*(C54/C53)^(('Goal Seek 6th order'!$P$26-1)/'Goal Seek 6th order'!$P$26)</f>
        <v>2370.8174896043365</v>
      </c>
      <c r="Y54" s="37">
        <f>(((4.7*10^13)*'O2N2 @ EGR'!$R$9*('O2N2 @ EGR'!$Q$9^0.5)*(EXP(-67837/X54))/('Goal Seek 6th order'!$P$27*6))*('Goal Seek 6th order'!$P$28*10^-6))</f>
        <v>3.9557209841008778E-10</v>
      </c>
      <c r="AA54" s="59"/>
      <c r="AB54" s="37">
        <f>AB53*(C54/C53)^(('Goal Seek 6th order'!$P$26-1)/'Goal Seek 6th order'!$P$26)</f>
        <v>2289.5906933419865</v>
      </c>
      <c r="AC54" s="37">
        <f>(((4.7*10^13)*'O2N2 @ EGR'!$R$10*('O2N2 @ EGR'!$Q$10^0.5)*(EXP(-67837/AB54))/('Goal Seek 6th order'!$P$27*6))*('Goal Seek 6th order'!$P$28*10^-6))</f>
        <v>2.0296735692392665E-10</v>
      </c>
      <c r="AE54" s="59"/>
      <c r="AF54" s="37">
        <f>AF53*(C54/C53)^(('Goal Seek 6th order'!$P$26-1)/'Goal Seek 6th order'!$P$26)</f>
        <v>2206.5450906401697</v>
      </c>
      <c r="AG54" s="37">
        <f>(((4.7*10^13)*'O2N2 @ EGR'!$R$11*('O2N2 @ EGR'!$Q$11^0.5)*(EXP(-67837/AF54))/('Goal Seek 6th order'!$P$27*6))*('Goal Seek 6th order'!$P$28*10^-6))</f>
        <v>8.1607651883917678E-11</v>
      </c>
      <c r="AI54" s="59"/>
      <c r="AJ54" s="37">
        <f>AJ53*(C54/C53)^(('Goal Seek 6th order'!$P$26-1)/'Goal Seek 6th order'!$P$26)</f>
        <v>2121.551813939293</v>
      </c>
      <c r="AK54" s="37">
        <f>(((4.7*10^13)*'O2N2 @ EGR'!$R$12*('O2N2 @ EGR'!$Q$12^0.5)*(EXP(-67837/AJ54))/('Goal Seek 6th order'!$P$27*6))*('Goal Seek 6th order'!$P$28*10^-6))</f>
        <v>2.7532429842814669E-11</v>
      </c>
      <c r="AM54" s="59"/>
      <c r="AN54" s="37">
        <f>AN53*(C54/C53)^(('Goal Seek 6th order'!$P$26-1)/'Goal Seek 6th order'!$P$26)</f>
        <v>2034.4784068397123</v>
      </c>
      <c r="AO54" s="37">
        <f>(((4.7*10^13)*'O2N2 @ EGR'!$R$13*('O2N2 @ EGR'!$Q$13^0.5)*(EXP(-67837/AN54))/('Goal Seek 6th order'!$P$27*6))*('Goal Seek 6th order'!$P$28*10^-6))</f>
        <v>7.8434487165644139E-12</v>
      </c>
      <c r="AQ54" s="59"/>
      <c r="AR54" s="37">
        <f>AR53*(C54/C53)^(('Goal Seek 6th order'!$P$26-1)/'Goal Seek 6th order'!$P$26)</f>
        <v>1945.1844091096154</v>
      </c>
      <c r="AS54" s="37">
        <f>(((4.7*10^13)*'O2N2 @ EGR'!$R$14*('O2N2 @ EGR'!$Q$14^0.5)*(EXP(-67837/AR54))/('Goal Seek 6th order'!$P$27*6))*('Goal Seek 6th order'!$P$28*10^-6))</f>
        <v>1.8616026652255597E-12</v>
      </c>
      <c r="AU54" s="59"/>
      <c r="AV54" s="37">
        <f>AV53*(C54/C53)^(('Goal Seek 6th order'!$P$26-1)/'Goal Seek 6th order'!$P$26)</f>
        <v>1853.5204962481694</v>
      </c>
      <c r="AW54" s="37">
        <f>(((4.7*10^13)*'O2N2 @ EGR'!$R$15*('O2N2 @ EGR'!$Q$15^0.5)*(EXP(-67837/AV54))/('Goal Seek 6th order'!$P$27*6))*('Goal Seek 6th order'!$P$28*10^-6))</f>
        <v>3.588273657853092E-13</v>
      </c>
      <c r="AY54" s="59"/>
      <c r="AZ54" s="37">
        <f>AZ53*(C54/C53)^(('Goal Seek 6th order'!$P$26-1)/'Goal Seek 6th order'!$P$26)</f>
        <v>1759.3208782227719</v>
      </c>
      <c r="BA54" s="37">
        <f>(((4.7*10^13)*'O2N2 @ EGR'!$R$16*('O2N2 @ EGR'!$Q$16^0.5)*(EXP(-67837/AZ54))/('Goal Seek 6th order'!$P$27*6))*('Goal Seek 6th order'!$P$28*10^-6))</f>
        <v>5.4121303874123383E-14</v>
      </c>
      <c r="BC54" s="59"/>
    </row>
    <row r="55" spans="2:55" x14ac:dyDescent="0.3">
      <c r="B55" s="42">
        <v>6</v>
      </c>
      <c r="C55" s="42">
        <v>22</v>
      </c>
      <c r="D55" s="37">
        <f>D54*(C55/C54)^(('Goal Seek 6th order'!$P$26-1)/'Goal Seek 6th order'!$P$26)</f>
        <v>2484.5236147615092</v>
      </c>
      <c r="E55" s="37">
        <f>(((4.7*10^13)*'O2N2 @ EGR'!$R$4*('O2N2 @ EGR'!$Q$4^0.5)*(EXP(-67837/D55))/('Goal Seek 6th order'!$P$27*6))*('Goal Seek 6th order'!$P$28*10^-6))</f>
        <v>0</v>
      </c>
      <c r="F55" s="3"/>
      <c r="G55" s="3"/>
      <c r="H55" s="37">
        <f>H54*(C55/C54)^(('Goal Seek 6th order'!$P$26-1)/'Goal Seek 6th order'!$P$26)</f>
        <v>2468.5253773372388</v>
      </c>
      <c r="I55" s="37">
        <f>(((4.7*10^13)*'O2N2 @ EGR'!$R$5*('O2N2 @ EGR'!$Q$5^0.5)*(EXP(-67837/H55))/('Goal Seek 6th order'!$P$27*6))*('Goal Seek 6th order'!$P$28*10^-6))</f>
        <v>5.4849606845626858E-10</v>
      </c>
      <c r="L55" s="37">
        <f>L54*(C55/C54)^(('Goal Seek 6th order'!$P$26-1)/'Goal Seek 6th order'!$P$26)</f>
        <v>2452.4627602298915</v>
      </c>
      <c r="M55" s="37">
        <f>(((4.7*10^13)*'O2N2 @ EGR'!$R$6*('O2N2 @ EGR'!$Q$6^0.5)*(EXP(-67837/L55))/('Goal Seek 6th order'!$P$27*6))*('Goal Seek 6th order'!$P$28*10^-6))</f>
        <v>6.4807987844146246E-10</v>
      </c>
      <c r="P55" s="37">
        <f>P54*(C55/C54)^(('Goal Seek 6th order'!$P$26-1)/'Goal Seek 6th order'!$P$26)</f>
        <v>2436.3347059758958</v>
      </c>
      <c r="Q55" s="37">
        <f>(((4.7*10^13)*'O2N2 @ EGR'!$R$7*('O2N2 @ EGR'!$Q$7^0.5)*(EXP(-67837/P55))/('Goal Seek 6th order'!$P$27*6))*('Goal Seek 6th order'!$P$28*10^-6))</f>
        <v>6.6108719187123871E-10</v>
      </c>
      <c r="T55" s="37">
        <f>T54*(C55/C54)^(('Goal Seek 6th order'!$P$26-1)/'Goal Seek 6th order'!$P$26)</f>
        <v>2420.1401728110318</v>
      </c>
      <c r="U55" s="37">
        <f>(((4.7*10^13)*'O2N2 @ EGR'!$R$8*('O2N2 @ EGR'!$Q$8^0.5)*(EXP(-67837/T55))/('Goal Seek 6th order'!$P$27*6))*('Goal Seek 6th order'!$P$28*10^-6))</f>
        <v>6.3375070093398134E-10</v>
      </c>
      <c r="W55" s="59"/>
      <c r="X55" s="37">
        <f>X54*(C55/C54)^(('Goal Seek 6th order'!$P$26-1)/'Goal Seek 6th order'!$P$26)</f>
        <v>2403.8781178496988</v>
      </c>
      <c r="Y55" s="37">
        <f>(((4.7*10^13)*'O2N2 @ EGR'!$R$9*('O2N2 @ EGR'!$Q$9^0.5)*(EXP(-67837/X55))/('Goal Seek 6th order'!$P$27*6))*('Goal Seek 6th order'!$P$28*10^-6))</f>
        <v>5.8631277523500984E-10</v>
      </c>
      <c r="AA55" s="59"/>
      <c r="AB55" s="37">
        <f>AB54*(C55/C54)^(('Goal Seek 6th order'!$P$26-1)/'Goal Seek 6th order'!$P$26)</f>
        <v>2321.5186283595626</v>
      </c>
      <c r="AC55" s="37">
        <f>(((4.7*10^13)*'O2N2 @ EGR'!$R$10*('O2N2 @ EGR'!$Q$10^0.5)*(EXP(-67837/AB55))/('Goal Seek 6th order'!$P$27*6))*('Goal Seek 6th order'!$P$28*10^-6))</f>
        <v>3.0506541687761247E-10</v>
      </c>
      <c r="AE55" s="59"/>
      <c r="AF55" s="37">
        <f>AF54*(C55/C54)^(('Goal Seek 6th order'!$P$26-1)/'Goal Seek 6th order'!$P$26)</f>
        <v>2237.3149694976341</v>
      </c>
      <c r="AG55" s="37">
        <f>(((4.7*10^13)*'O2N2 @ EGR'!$R$11*('O2N2 @ EGR'!$Q$11^0.5)*(EXP(-67837/AF55))/('Goal Seek 6th order'!$P$27*6))*('Goal Seek 6th order'!$P$28*10^-6))</f>
        <v>1.2455408932050255E-10</v>
      </c>
      <c r="AI55" s="59"/>
      <c r="AJ55" s="37">
        <f>AJ54*(C55/C54)^(('Goal Seek 6th order'!$P$26-1)/'Goal Seek 6th order'!$P$26)</f>
        <v>2151.1364766691204</v>
      </c>
      <c r="AK55" s="37">
        <f>(((4.7*10^13)*'O2N2 @ EGR'!$R$12*('O2N2 @ EGR'!$Q$12^0.5)*(EXP(-67837/AJ55))/('Goal Seek 6th order'!$P$27*6))*('Goal Seek 6th order'!$P$28*10^-6))</f>
        <v>4.273936747325999E-11</v>
      </c>
      <c r="AM55" s="59"/>
      <c r="AN55" s="37">
        <f>AN54*(C55/C54)^(('Goal Seek 6th order'!$P$26-1)/'Goal Seek 6th order'!$P$26)</f>
        <v>2062.8488463934418</v>
      </c>
      <c r="AO55" s="37">
        <f>(((4.7*10^13)*'O2N2 @ EGR'!$R$13*('O2N2 @ EGR'!$Q$13^0.5)*(EXP(-67837/AN55))/('Goal Seek 6th order'!$P$27*6))*('Goal Seek 6th order'!$P$28*10^-6))</f>
        <v>1.2406934614945609E-11</v>
      </c>
      <c r="AQ55" s="59"/>
      <c r="AR55" s="37">
        <f>AR54*(C55/C54)^(('Goal Seek 6th order'!$P$26-1)/'Goal Seek 6th order'!$P$26)</f>
        <v>1972.3096597458336</v>
      </c>
      <c r="AS55" s="37">
        <f>(((4.7*10^13)*'O2N2 @ EGR'!$R$14*('O2N2 @ EGR'!$Q$14^0.5)*(EXP(-67837/AR55))/('Goal Seek 6th order'!$P$27*6))*('Goal Seek 6th order'!$P$28*10^-6))</f>
        <v>3.0073694080238757E-12</v>
      </c>
      <c r="AU55" s="59"/>
      <c r="AV55" s="37">
        <f>AV54*(C55/C54)^(('Goal Seek 6th order'!$P$26-1)/'Goal Seek 6th order'!$P$26)</f>
        <v>1879.3675099218565</v>
      </c>
      <c r="AW55" s="37">
        <f>(((4.7*10^13)*'O2N2 @ EGR'!$R$15*('O2N2 @ EGR'!$Q$15^0.5)*(EXP(-67837/AV55))/('Goal Seek 6th order'!$P$27*6))*('Goal Seek 6th order'!$P$28*10^-6))</f>
        <v>5.9359001918061335E-13</v>
      </c>
      <c r="AY55" s="59"/>
      <c r="AZ55" s="37">
        <f>AZ54*(C55/C54)^(('Goal Seek 6th order'!$P$26-1)/'Goal Seek 6th order'!$P$26)</f>
        <v>1783.8542949763887</v>
      </c>
      <c r="BA55" s="37">
        <f>(((4.7*10^13)*'O2N2 @ EGR'!$R$16*('O2N2 @ EGR'!$Q$16^0.5)*(EXP(-67837/AZ55))/('Goal Seek 6th order'!$P$27*6))*('Goal Seek 6th order'!$P$28*10^-6))</f>
        <v>9.197586405480997E-14</v>
      </c>
      <c r="BC55" s="59"/>
    </row>
    <row r="56" spans="2:55" x14ac:dyDescent="0.3">
      <c r="B56" s="42">
        <v>7</v>
      </c>
      <c r="C56" s="42">
        <v>24</v>
      </c>
      <c r="D56" s="37">
        <f>D55*(C56/C55)^(('Goal Seek 6th order'!$P$26-1)/'Goal Seek 6th order'!$P$26)</f>
        <v>2516.1340477966573</v>
      </c>
      <c r="E56" s="37">
        <f>(((4.7*10^13)*'O2N2 @ EGR'!$R$4*('O2N2 @ EGR'!$Q$4^0.5)*(EXP(-67837/D56))/('Goal Seek 6th order'!$P$27*6))*('Goal Seek 6th order'!$P$28*10^-6))</f>
        <v>0</v>
      </c>
      <c r="F56" s="3"/>
      <c r="G56" s="3"/>
      <c r="H56" s="37">
        <f>H55*(C56/C55)^(('Goal Seek 6th order'!$P$26-1)/'Goal Seek 6th order'!$P$26)</f>
        <v>2499.9322658337978</v>
      </c>
      <c r="I56" s="37">
        <f>(((4.7*10^13)*'O2N2 @ EGR'!$R$5*('O2N2 @ EGR'!$Q$5^0.5)*(EXP(-67837/H56))/('Goal Seek 6th order'!$P$27*6))*('Goal Seek 6th order'!$P$28*10^-6))</f>
        <v>7.7465964779192571E-10</v>
      </c>
      <c r="L56" s="37">
        <f>L55*(C56/C55)^(('Goal Seek 6th order'!$P$26-1)/'Goal Seek 6th order'!$P$26)</f>
        <v>2483.6652850893233</v>
      </c>
      <c r="M56" s="37">
        <f>(((4.7*10^13)*'O2N2 @ EGR'!$R$6*('O2N2 @ EGR'!$Q$6^0.5)*(EXP(-67837/L56))/('Goal Seek 6th order'!$P$27*6))*('Goal Seek 6th order'!$P$28*10^-6))</f>
        <v>9.1737728167457253E-10</v>
      </c>
      <c r="P56" s="37">
        <f>P55*(C56/C55)^(('Goal Seek 6th order'!$P$26-1)/'Goal Seek 6th order'!$P$26)</f>
        <v>2467.3320346456221</v>
      </c>
      <c r="Q56" s="37">
        <f>(((4.7*10^13)*'O2N2 @ EGR'!$R$7*('O2N2 @ EGR'!$Q$7^0.5)*(EXP(-67837/P56))/('Goal Seek 6th order'!$P$27*6))*('Goal Seek 6th order'!$P$28*10^-6))</f>
        <v>9.3794472037386651E-10</v>
      </c>
      <c r="T56" s="37">
        <f>T55*(C56/C55)^(('Goal Seek 6th order'!$P$26-1)/'Goal Seek 6th order'!$P$26)</f>
        <v>2450.9314594841749</v>
      </c>
      <c r="U56" s="37">
        <f>(((4.7*10^13)*'O2N2 @ EGR'!$R$8*('O2N2 @ EGR'!$Q$8^0.5)*(EXP(-67837/T56))/('Goal Seek 6th order'!$P$27*6))*('Goal Seek 6th order'!$P$28*10^-6))</f>
        <v>9.0126711648787024E-10</v>
      </c>
      <c r="W56" s="59"/>
      <c r="X56" s="37">
        <f>X55*(C56/C55)^(('Goal Seek 6th order'!$P$26-1)/'Goal Seek 6th order'!$P$26)</f>
        <v>2434.4625034508153</v>
      </c>
      <c r="Y56" s="37">
        <f>(((4.7*10^13)*'O2N2 @ EGR'!$R$9*('O2N2 @ EGR'!$Q$9^0.5)*(EXP(-67837/X56))/('Goal Seek 6th order'!$P$27*6))*('Goal Seek 6th order'!$P$28*10^-6))</f>
        <v>8.3579356781768004E-10</v>
      </c>
      <c r="AA56" s="59"/>
      <c r="AB56" s="37">
        <f>AB55*(C56/C55)^(('Goal Seek 6th order'!$P$26-1)/'Goal Seek 6th order'!$P$26)</f>
        <v>2351.0551595100837</v>
      </c>
      <c r="AC56" s="37">
        <f>(((4.7*10^13)*'O2N2 @ EGR'!$R$10*('O2N2 @ EGR'!$Q$10^0.5)*(EXP(-67837/AB56))/('Goal Seek 6th order'!$P$27*6))*('Goal Seek 6th order'!$P$28*10^-6))</f>
        <v>4.4037733471074218E-10</v>
      </c>
      <c r="AE56" s="59"/>
      <c r="AF56" s="37">
        <f>AF55*(C56/C55)^(('Goal Seek 6th order'!$P$26-1)/'Goal Seek 6th order'!$P$26)</f>
        <v>2265.7801829500845</v>
      </c>
      <c r="AG56" s="37">
        <f>(((4.7*10^13)*'O2N2 @ EGR'!$R$11*('O2N2 @ EGR'!$Q$11^0.5)*(EXP(-67837/AF56))/('Goal Seek 6th order'!$P$27*6))*('Goal Seek 6th order'!$P$28*10^-6))</f>
        <v>1.8230154910576873E-10</v>
      </c>
      <c r="AI56" s="59"/>
      <c r="AJ56" s="37">
        <f>AJ55*(C56/C55)^(('Goal Seek 6th order'!$P$26-1)/'Goal Seek 6th order'!$P$26)</f>
        <v>2178.5052467388473</v>
      </c>
      <c r="AK56" s="37">
        <f>(((4.7*10^13)*'O2N2 @ EGR'!$R$12*('O2N2 @ EGR'!$Q$12^0.5)*(EXP(-67837/AJ56))/('Goal Seek 6th order'!$P$27*6))*('Goal Seek 6th order'!$P$28*10^-6))</f>
        <v>6.3516708508945145E-11</v>
      </c>
      <c r="AM56" s="59"/>
      <c r="AN56" s="37">
        <f>AN55*(C56/C55)^(('Goal Seek 6th order'!$P$26-1)/'Goal Seek 6th order'!$P$26)</f>
        <v>2089.0943386613076</v>
      </c>
      <c r="AO56" s="37">
        <f>(((4.7*10^13)*'O2N2 @ EGR'!$R$13*('O2N2 @ EGR'!$Q$13^0.5)*(EXP(-67837/AN56))/('Goal Seek 6th order'!$P$27*6))*('Goal Seek 6th order'!$P$28*10^-6))</f>
        <v>1.8753760225886183E-11</v>
      </c>
      <c r="AQ56" s="59"/>
      <c r="AR56" s="37">
        <f>AR55*(C56/C55)^(('Goal Seek 6th order'!$P$26-1)/'Goal Seek 6th order'!$P$26)</f>
        <v>1997.4032278059449</v>
      </c>
      <c r="AS56" s="37">
        <f>(((4.7*10^13)*'O2N2 @ EGR'!$R$14*('O2N2 @ EGR'!$Q$14^0.5)*(EXP(-67837/AR56))/('Goal Seek 6th order'!$P$27*6))*('Goal Seek 6th order'!$P$28*10^-6))</f>
        <v>4.6328381063483176E-12</v>
      </c>
      <c r="AU56" s="59"/>
      <c r="AV56" s="37">
        <f>AV55*(C56/C55)^(('Goal Seek 6th order'!$P$26-1)/'Goal Seek 6th order'!$P$26)</f>
        <v>1903.2785810293535</v>
      </c>
      <c r="AW56" s="37">
        <f>(((4.7*10^13)*'O2N2 @ EGR'!$R$15*('O2N2 @ EGR'!$Q$15^0.5)*(EXP(-67837/AV56))/('Goal Seek 6th order'!$P$27*6))*('Goal Seek 6th order'!$P$28*10^-6))</f>
        <v>9.3417336836067518E-13</v>
      </c>
      <c r="AY56" s="59"/>
      <c r="AZ56" s="37">
        <f>AZ55*(C56/C55)^(('Goal Seek 6th order'!$P$26-1)/'Goal Seek 6th order'!$P$26)</f>
        <v>1806.5501576362512</v>
      </c>
      <c r="BA56" s="37">
        <f>(((4.7*10^13)*'O2N2 @ EGR'!$R$16*('O2N2 @ EGR'!$Q$16^0.5)*(EXP(-67837/AZ56))/('Goal Seek 6th order'!$P$27*6))*('Goal Seek 6th order'!$P$28*10^-6))</f>
        <v>1.4830630284816926E-13</v>
      </c>
      <c r="BC56" s="59"/>
    </row>
    <row r="57" spans="2:55" x14ac:dyDescent="0.3">
      <c r="B57" s="42">
        <v>8</v>
      </c>
      <c r="C57" s="42">
        <v>26</v>
      </c>
      <c r="D57" s="37">
        <f>D56*(C57/C56)^(('Goal Seek 6th order'!$P$26-1)/'Goal Seek 6th order'!$P$26)</f>
        <v>2545.5678593772436</v>
      </c>
      <c r="E57" s="37">
        <f>(((4.7*10^13)*'O2N2 @ EGR'!$R$4*('O2N2 @ EGR'!$Q$4^0.5)*(EXP(-67837/D57))/('Goal Seek 6th order'!$P$27*6))*('Goal Seek 6th order'!$P$28*10^-6))</f>
        <v>0</v>
      </c>
      <c r="F57" s="3"/>
      <c r="G57" s="3"/>
      <c r="H57" s="37">
        <f>H56*(C57/C56)^(('Goal Seek 6th order'!$P$26-1)/'Goal Seek 6th order'!$P$26)</f>
        <v>2529.1765484828938</v>
      </c>
      <c r="I57" s="37">
        <f>(((4.7*10^13)*'O2N2 @ EGR'!$R$5*('O2N2 @ EGR'!$Q$5^0.5)*(EXP(-67837/H57))/('Goal Seek 6th order'!$P$27*6))*('Goal Seek 6th order'!$P$28*10^-6))</f>
        <v>1.0601711935759587E-9</v>
      </c>
      <c r="L57" s="37">
        <f>L56*(C57/C56)^(('Goal Seek 6th order'!$P$26-1)/'Goal Seek 6th order'!$P$26)</f>
        <v>2512.7192761096262</v>
      </c>
      <c r="M57" s="37">
        <f>(((4.7*10^13)*'O2N2 @ EGR'!$R$6*('O2N2 @ EGR'!$Q$6^0.5)*(EXP(-67837/L57))/('Goal Seek 6th order'!$P$27*6))*('Goal Seek 6th order'!$P$28*10^-6))</f>
        <v>1.2580720857703598E-9</v>
      </c>
      <c r="P57" s="37">
        <f>P56*(C57/C56)^(('Goal Seek 6th order'!$P$26-1)/'Goal Seek 6th order'!$P$26)</f>
        <v>2496.1949588122015</v>
      </c>
      <c r="Q57" s="37">
        <f>(((4.7*10^13)*'O2N2 @ EGR'!$R$7*('O2N2 @ EGR'!$Q$7^0.5)*(EXP(-67837/P57))/('Goal Seek 6th order'!$P$27*6))*('Goal Seek 6th order'!$P$28*10^-6))</f>
        <v>1.2889698066646071E-9</v>
      </c>
      <c r="T57" s="37">
        <f>T56*(C57/C56)^(('Goal Seek 6th order'!$P$26-1)/'Goal Seek 6th order'!$P$26)</f>
        <v>2479.602529230463</v>
      </c>
      <c r="U57" s="37">
        <f>(((4.7*10^13)*'O2N2 @ EGR'!$R$8*('O2N2 @ EGR'!$Q$8^0.5)*(EXP(-67837/T57))/('Goal Seek 6th order'!$P$27*6))*('Goal Seek 6th order'!$P$28*10^-6))</f>
        <v>1.2412032432758257E-9</v>
      </c>
      <c r="W57" s="59"/>
      <c r="X57" s="37">
        <f>X56*(C57/C56)^(('Goal Seek 6th order'!$P$26-1)/'Goal Seek 6th order'!$P$26)</f>
        <v>2462.9409188553209</v>
      </c>
      <c r="Y57" s="37">
        <f>(((4.7*10^13)*'O2N2 @ EGR'!$R$9*('O2N2 @ EGR'!$Q$9^0.5)*(EXP(-67837/X57))/('Goal Seek 6th order'!$P$27*6))*('Goal Seek 6th order'!$P$28*10^-6))</f>
        <v>1.1535293610890816E-9</v>
      </c>
      <c r="AA57" s="59"/>
      <c r="AB57" s="37">
        <f>AB56*(C57/C56)^(('Goal Seek 6th order'!$P$26-1)/'Goal Seek 6th order'!$P$26)</f>
        <v>2378.5578733027701</v>
      </c>
      <c r="AC57" s="37">
        <f>(((4.7*10^13)*'O2N2 @ EGR'!$R$10*('O2N2 @ EGR'!$Q$10^0.5)*(EXP(-67837/AB57))/('Goal Seek 6th order'!$P$27*6))*('Goal Seek 6th order'!$P$28*10^-6))</f>
        <v>6.1477869521389102E-10</v>
      </c>
      <c r="AE57" s="59"/>
      <c r="AF57" s="37">
        <f>AF56*(C57/C56)^(('Goal Seek 6th order'!$P$26-1)/'Goal Seek 6th order'!$P$26)</f>
        <v>2292.2853475085385</v>
      </c>
      <c r="AG57" s="37">
        <f>(((4.7*10^13)*'O2N2 @ EGR'!$R$11*('O2N2 @ EGR'!$Q$11^0.5)*(EXP(-67837/AF57))/('Goal Seek 6th order'!$P$27*6))*('Goal Seek 6th order'!$P$28*10^-6))</f>
        <v>2.5771366012098235E-10</v>
      </c>
      <c r="AI57" s="59"/>
      <c r="AJ57" s="37">
        <f>AJ56*(C57/C56)^(('Goal Seek 6th order'!$P$26-1)/'Goal Seek 6th order'!$P$26)</f>
        <v>2203.9894664750655</v>
      </c>
      <c r="AK57" s="37">
        <f>(((4.7*10^13)*'O2N2 @ EGR'!$R$12*('O2N2 @ EGR'!$Q$12^0.5)*(EXP(-67837/AJ57))/('Goal Seek 6th order'!$P$27*6))*('Goal Seek 6th order'!$P$28*10^-6))</f>
        <v>9.1045449737247173E-11</v>
      </c>
      <c r="AM57" s="59"/>
      <c r="AN57" s="37">
        <f>AN56*(C57/C56)^(('Goal Seek 6th order'!$P$26-1)/'Goal Seek 6th order'!$P$26)</f>
        <v>2113.5326269123138</v>
      </c>
      <c r="AO57" s="37">
        <f>(((4.7*10^13)*'O2N2 @ EGR'!$R$13*('O2N2 @ EGR'!$Q$13^0.5)*(EXP(-67837/AN57))/('Goal Seek 6th order'!$P$27*6))*('Goal Seek 6th order'!$P$28*10^-6))</f>
        <v>2.729927371191775E-11</v>
      </c>
      <c r="AQ57" s="59"/>
      <c r="AR57" s="37">
        <f>AR56*(C57/C56)^(('Goal Seek 6th order'!$P$26-1)/'Goal Seek 6th order'!$P$26)</f>
        <v>2020.7689106912337</v>
      </c>
      <c r="AS57" s="37">
        <f>(((4.7*10^13)*'O2N2 @ EGR'!$R$14*('O2N2 @ EGR'!$Q$14^0.5)*(EXP(-67837/AR57))/('Goal Seek 6th order'!$P$27*6))*('Goal Seek 6th order'!$P$28*10^-6))</f>
        <v>6.8611241614137432E-12</v>
      </c>
      <c r="AU57" s="59"/>
      <c r="AV57" s="37">
        <f>AV56*(C57/C56)^(('Goal Seek 6th order'!$P$26-1)/'Goal Seek 6th order'!$P$26)</f>
        <v>1925.543190972707</v>
      </c>
      <c r="AW57" s="37">
        <f>(((4.7*10^13)*'O2N2 @ EGR'!$R$15*('O2N2 @ EGR'!$Q$15^0.5)*(EXP(-67837/AV57))/('Goal Seek 6th order'!$P$27*6))*('Goal Seek 6th order'!$P$28*10^-6))</f>
        <v>1.4106196092429346E-12</v>
      </c>
      <c r="AY57" s="59"/>
      <c r="AZ57" s="37">
        <f>AZ56*(C57/C56)^(('Goal Seek 6th order'!$P$26-1)/'Goal Seek 6th order'!$P$26)</f>
        <v>1827.6832355806903</v>
      </c>
      <c r="BA57" s="37">
        <f>(((4.7*10^13)*'O2N2 @ EGR'!$R$16*('O2N2 @ EGR'!$Q$16^0.5)*(EXP(-67837/AZ57))/('Goal Seek 6th order'!$P$27*6))*('Goal Seek 6th order'!$P$28*10^-6))</f>
        <v>2.2894192495521151E-13</v>
      </c>
      <c r="BC57" s="59"/>
    </row>
    <row r="58" spans="2:55" x14ac:dyDescent="0.3">
      <c r="B58" s="42">
        <v>9</v>
      </c>
      <c r="C58" s="42">
        <v>28</v>
      </c>
      <c r="D58" s="37">
        <f>D57*(C58/C57)^(('Goal Seek 6th order'!$P$26-1)/'Goal Seek 6th order'!$P$26)</f>
        <v>2573.1261940375539</v>
      </c>
      <c r="E58" s="37">
        <f>(((4.7*10^13)*'O2N2 @ EGR'!$R$4*('O2N2 @ EGR'!$Q$4^0.5)*(EXP(-67837/D58))/('Goal Seek 6th order'!$P$27*6))*('Goal Seek 6th order'!$P$28*10^-6))</f>
        <v>0</v>
      </c>
      <c r="F58" s="3"/>
      <c r="G58" s="3"/>
      <c r="H58" s="37">
        <f>H57*(C58/C57)^(('Goal Seek 6th order'!$P$26-1)/'Goal Seek 6th order'!$P$26)</f>
        <v>2556.5574307019015</v>
      </c>
      <c r="I58" s="37">
        <f>(((4.7*10^13)*'O2N2 @ EGR'!$R$5*('O2N2 @ EGR'!$Q$5^0.5)*(EXP(-67837/H58))/('Goal Seek 6th order'!$P$27*6))*('Goal Seek 6th order'!$P$28*10^-6))</f>
        <v>1.4129690313825778E-9</v>
      </c>
      <c r="L58" s="37">
        <f>L57*(C58/C57)^(('Goal Seek 6th order'!$P$26-1)/'Goal Seek 6th order'!$P$26)</f>
        <v>2539.9219917879195</v>
      </c>
      <c r="M58" s="37">
        <f>(((4.7*10^13)*'O2N2 @ EGR'!$R$6*('O2N2 @ EGR'!$Q$6^0.5)*(EXP(-67837/L58))/('Goal Seek 6th order'!$P$27*6))*('Goal Seek 6th order'!$P$28*10^-6))</f>
        <v>1.6798839255471473E-9</v>
      </c>
      <c r="P58" s="37">
        <f>P57*(C58/C57)^(('Goal Seek 6th order'!$P$26-1)/'Goal Seek 6th order'!$P$26)</f>
        <v>2523.2187821209836</v>
      </c>
      <c r="Q58" s="37">
        <f>(((4.7*10^13)*'O2N2 @ EGR'!$R$7*('O2N2 @ EGR'!$Q$7^0.5)*(EXP(-67837/P58))/('Goal Seek 6th order'!$P$27*6))*('Goal Seek 6th order'!$P$28*10^-6))</f>
        <v>1.724438720538075E-9</v>
      </c>
      <c r="T58" s="37">
        <f>T57*(C58/C57)^(('Goal Seek 6th order'!$P$26-1)/'Goal Seek 6th order'!$P$26)</f>
        <v>2506.446722785689</v>
      </c>
      <c r="U58" s="37">
        <f>(((4.7*10^13)*'O2N2 @ EGR'!$R$8*('O2N2 @ EGR'!$Q$8^0.5)*(EXP(-67837/T58))/('Goal Seek 6th order'!$P$27*6))*('Goal Seek 6th order'!$P$28*10^-6))</f>
        <v>1.66377184648149E-9</v>
      </c>
      <c r="W58" s="59"/>
      <c r="X58" s="37">
        <f>X57*(C58/C57)^(('Goal Seek 6th order'!$P$26-1)/'Goal Seek 6th order'!$P$26)</f>
        <v>2489.6047337052582</v>
      </c>
      <c r="Y58" s="37">
        <f>(((4.7*10^13)*'O2N2 @ EGR'!$R$9*('O2N2 @ EGR'!$Q$9^0.5)*(EXP(-67837/X58))/('Goal Seek 6th order'!$P$27*6))*('Goal Seek 6th order'!$P$28*10^-6))</f>
        <v>1.5493172815899833E-9</v>
      </c>
      <c r="AA58" s="59"/>
      <c r="AB58" s="37">
        <f>AB57*(C58/C57)^(('Goal Seek 6th order'!$P$26-1)/'Goal Seek 6th order'!$P$26)</f>
        <v>2404.3081567375357</v>
      </c>
      <c r="AC58" s="37">
        <f>(((4.7*10^13)*'O2N2 @ EGR'!$R$10*('O2N2 @ EGR'!$Q$10^0.5)*(EXP(-67837/AB58))/('Goal Seek 6th order'!$P$27*6))*('Goal Seek 6th order'!$P$28*10^-6))</f>
        <v>8.3440228238092695E-10</v>
      </c>
      <c r="AE58" s="59"/>
      <c r="AF58" s="37">
        <f>AF57*(C58/C57)^(('Goal Seek 6th order'!$P$26-1)/'Goal Seek 6th order'!$P$26)</f>
        <v>2317.1016440024059</v>
      </c>
      <c r="AG58" s="37">
        <f>(((4.7*10^13)*'O2N2 @ EGR'!$R$11*('O2N2 @ EGR'!$Q$11^0.5)*(EXP(-67837/AF58))/('Goal Seek 6th order'!$P$27*6))*('Goal Seek 6th order'!$P$28*10^-6))</f>
        <v>3.538235897484143E-10</v>
      </c>
      <c r="AI58" s="59"/>
      <c r="AJ58" s="37">
        <f>AJ57*(C58/C57)^(('Goal Seek 6th order'!$P$26-1)/'Goal Seek 6th order'!$P$26)</f>
        <v>2227.8498711706911</v>
      </c>
      <c r="AK58" s="37">
        <f>(((4.7*10^13)*'O2N2 @ EGR'!$R$12*('O2N2 @ EGR'!$Q$12^0.5)*(EXP(-67837/AJ58))/('Goal Seek 6th order'!$P$27*6))*('Goal Seek 6th order'!$P$28*10^-6))</f>
        <v>1.2659661033683397E-10</v>
      </c>
      <c r="AM58" s="59"/>
      <c r="AN58" s="37">
        <f>AN57*(C58/C57)^(('Goal Seek 6th order'!$P$26-1)/'Goal Seek 6th order'!$P$26)</f>
        <v>2136.4137452582154</v>
      </c>
      <c r="AO58" s="37">
        <f>(((4.7*10^13)*'O2N2 @ EGR'!$R$13*('O2N2 @ EGR'!$Q$13^0.5)*(EXP(-67837/AN58))/('Goal Seek 6th order'!$P$27*6))*('Goal Seek 6th order'!$P$28*10^-6))</f>
        <v>3.8498355384203548E-11</v>
      </c>
      <c r="AQ58" s="59"/>
      <c r="AR58" s="37">
        <f>AR57*(C58/C57)^(('Goal Seek 6th order'!$P$26-1)/'Goal Seek 6th order'!$P$26)</f>
        <v>2042.6457684252889</v>
      </c>
      <c r="AS58" s="37">
        <f>(((4.7*10^13)*'O2N2 @ EGR'!$R$14*('O2N2 @ EGR'!$Q$14^0.5)*(EXP(-67837/AR58))/('Goal Seek 6th order'!$P$27*6))*('Goal Seek 6th order'!$P$28*10^-6))</f>
        <v>9.8296848396520454E-12</v>
      </c>
      <c r="AU58" s="59"/>
      <c r="AV58" s="37">
        <f>AV57*(C58/C57)^(('Goal Seek 6th order'!$P$26-1)/'Goal Seek 6th order'!$P$26)</f>
        <v>1946.3891344285962</v>
      </c>
      <c r="AW58" s="37">
        <f>(((4.7*10^13)*'O2N2 @ EGR'!$R$15*('O2N2 @ EGR'!$Q$15^0.5)*(EXP(-67837/AV58))/('Goal Seek 6th order'!$P$27*6))*('Goal Seek 6th order'!$P$28*10^-6))</f>
        <v>2.0571984349699963E-12</v>
      </c>
      <c r="AY58" s="59"/>
      <c r="AZ58" s="37">
        <f>AZ57*(C58/C57)^(('Goal Seek 6th order'!$P$26-1)/'Goal Seek 6th order'!$P$26)</f>
        <v>1847.4697465054053</v>
      </c>
      <c r="BA58" s="37">
        <f>(((4.7*10^13)*'O2N2 @ EGR'!$R$16*('O2N2 @ EGR'!$Q$16^0.5)*(EXP(-67837/AZ58))/('Goal Seek 6th order'!$P$27*6))*('Goal Seek 6th order'!$P$28*10^-6))</f>
        <v>3.4069481031236056E-13</v>
      </c>
      <c r="BC58" s="59"/>
    </row>
    <row r="59" spans="2:55" x14ac:dyDescent="0.3">
      <c r="B59" s="42">
        <v>10</v>
      </c>
      <c r="C59" s="42">
        <v>30</v>
      </c>
      <c r="D59" s="37">
        <f>D58*(C59/C58)^(('Goal Seek 6th order'!$P$26-1)/'Goal Seek 6th order'!$P$26)</f>
        <v>2599.0504917394824</v>
      </c>
      <c r="E59" s="37">
        <f>(((4.7*10^13)*'O2N2 @ EGR'!$R$4*('O2N2 @ EGR'!$Q$4^0.5)*(EXP(-67837/D59))/('Goal Seek 6th order'!$P$27*6))*('Goal Seek 6th order'!$P$28*10^-6))</f>
        <v>0</v>
      </c>
      <c r="F59" s="3"/>
      <c r="G59" s="3"/>
      <c r="H59" s="37">
        <f>H58*(C59/C58)^(('Goal Seek 6th order'!$P$26-1)/'Goal Seek 6th order'!$P$26)</f>
        <v>2582.3147977829135</v>
      </c>
      <c r="I59" s="37">
        <f>(((4.7*10^13)*'O2N2 @ EGR'!$R$5*('O2N2 @ EGR'!$Q$5^0.5)*(EXP(-67837/H59))/('Goal Seek 6th order'!$P$27*6))*('Goal Seek 6th order'!$P$28*10^-6))</f>
        <v>1.841098421356644E-9</v>
      </c>
      <c r="L59" s="37">
        <f>L58*(C59/C58)^(('Goal Seek 6th order'!$P$26-1)/'Goal Seek 6th order'!$P$26)</f>
        <v>2565.5117564902348</v>
      </c>
      <c r="M59" s="37">
        <f>(((4.7*10^13)*'O2N2 @ EGR'!$R$6*('O2N2 @ EGR'!$Q$6^0.5)*(EXP(-67837/L59))/('Goal Seek 6th order'!$P$27*6))*('Goal Seek 6th order'!$P$28*10^-6))</f>
        <v>2.1926861568452395E-9</v>
      </c>
      <c r="P59" s="37">
        <f>P58*(C59/C58)^(('Goal Seek 6th order'!$P$26-1)/'Goal Seek 6th order'!$P$26)</f>
        <v>2548.6402616529149</v>
      </c>
      <c r="Q59" s="37">
        <f>(((4.7*10^13)*'O2N2 @ EGR'!$R$7*('O2N2 @ EGR'!$Q$7^0.5)*(EXP(-67837/P59))/('Goal Seek 6th order'!$P$27*6))*('Goal Seek 6th order'!$P$28*10^-6))</f>
        <v>2.2548147071300014E-9</v>
      </c>
      <c r="T59" s="37">
        <f>T58*(C59/C58)^(('Goal Seek 6th order'!$P$26-1)/'Goal Seek 6th order'!$P$26)</f>
        <v>2531.6992234854547</v>
      </c>
      <c r="U59" s="37">
        <f>(((4.7*10^13)*'O2N2 @ EGR'!$R$8*('O2N2 @ EGR'!$Q$8^0.5)*(EXP(-67837/T59))/('Goal Seek 6th order'!$P$27*6))*('Goal Seek 6th order'!$P$28*10^-6))</f>
        <v>2.1793961771426689E-9</v>
      </c>
      <c r="W59" s="59"/>
      <c r="X59" s="37">
        <f>X58*(C59/C58)^(('Goal Seek 6th order'!$P$26-1)/'Goal Seek 6th order'!$P$26)</f>
        <v>2514.6875510292821</v>
      </c>
      <c r="Y59" s="37">
        <f>(((4.7*10^13)*'O2N2 @ EGR'!$R$9*('O2N2 @ EGR'!$Q$9^0.5)*(EXP(-67837/X59))/('Goal Seek 6th order'!$P$27*6))*('Goal Seek 6th order'!$P$28*10^-6))</f>
        <v>2.033180402483034E-9</v>
      </c>
      <c r="AA59" s="59"/>
      <c r="AB59" s="37">
        <f>AB58*(C59/C58)^(('Goal Seek 6th order'!$P$26-1)/'Goal Seek 6th order'!$P$26)</f>
        <v>2428.5316093481651</v>
      </c>
      <c r="AC59" s="37">
        <f>(((4.7*10^13)*'O2N2 @ EGR'!$R$10*('O2N2 @ EGR'!$Q$10^0.5)*(EXP(-67837/AB59))/('Goal Seek 6th order'!$P$27*6))*('Goal Seek 6th order'!$P$28*10^-6))</f>
        <v>1.1056012680615745E-9</v>
      </c>
      <c r="AE59" s="59"/>
      <c r="AF59" s="37">
        <f>AF58*(C59/C58)^(('Goal Seek 6th order'!$P$26-1)/'Goal Seek 6th order'!$P$26)</f>
        <v>2340.4464892587089</v>
      </c>
      <c r="AG59" s="37">
        <f>(((4.7*10^13)*'O2N2 @ EGR'!$R$11*('O2N2 @ EGR'!$Q$11^0.5)*(EXP(-67837/AF59))/('Goal Seek 6th order'!$P$27*6))*('Goal Seek 6th order'!$P$28*10^-6))</f>
        <v>4.7381610643570238E-10</v>
      </c>
      <c r="AI59" s="59"/>
      <c r="AJ59" s="37">
        <f>AJ58*(C59/C58)^(('Goal Seek 6th order'!$P$26-1)/'Goal Seek 6th order'!$P$26)</f>
        <v>2250.2955030364201</v>
      </c>
      <c r="AK59" s="37">
        <f>(((4.7*10^13)*'O2N2 @ EGR'!$R$12*('O2N2 @ EGR'!$Q$12^0.5)*(EXP(-67837/AJ59))/('Goal Seek 6th order'!$P$27*6))*('Goal Seek 6th order'!$P$28*10^-6))</f>
        <v>1.7152438755697682E-10</v>
      </c>
      <c r="AM59" s="59"/>
      <c r="AN59" s="37">
        <f>AN58*(C59/C58)^(('Goal Seek 6th order'!$P$26-1)/'Goal Seek 6th order'!$P$26)</f>
        <v>2157.9381563325355</v>
      </c>
      <c r="AO59" s="37">
        <f>(((4.7*10^13)*'O2N2 @ EGR'!$R$13*('O2N2 @ EGR'!$Q$13^0.5)*(EXP(-67837/AN59))/('Goal Seek 6th order'!$P$27*6))*('Goal Seek 6th order'!$P$28*10^-6))</f>
        <v>5.2843468115774403E-11</v>
      </c>
      <c r="AQ59" s="59"/>
      <c r="AR59" s="37">
        <f>AR58*(C59/C58)^(('Goal Seek 6th order'!$P$26-1)/'Goal Seek 6th order'!$P$26)</f>
        <v>2063.2254652636898</v>
      </c>
      <c r="AS59" s="37">
        <f>(((4.7*10^13)*'O2N2 @ EGR'!$R$14*('O2N2 @ EGR'!$Q$14^0.5)*(EXP(-67837/AR59))/('Goal Seek 6th order'!$P$27*6))*('Goal Seek 6th order'!$P$28*10^-6))</f>
        <v>1.3689984103764764E-11</v>
      </c>
      <c r="AU59" s="59"/>
      <c r="AV59" s="37">
        <f>AV58*(C59/C58)^(('Goal Seek 6th order'!$P$26-1)/'Goal Seek 6th order'!$P$26)</f>
        <v>1965.9990437605397</v>
      </c>
      <c r="AW59" s="37">
        <f>(((4.7*10^13)*'O2N2 @ EGR'!$R$15*('O2N2 @ EGR'!$Q$15^0.5)*(EXP(-67837/AV59))/('Goal Seek 6th order'!$P$27*6))*('Goal Seek 6th order'!$P$28*10^-6))</f>
        <v>2.9124209512333998E-12</v>
      </c>
      <c r="AY59" s="59"/>
      <c r="AZ59" s="37">
        <f>AZ58*(C59/C58)^(('Goal Seek 6th order'!$P$26-1)/'Goal Seek 6th order'!$P$26)</f>
        <v>1866.0830410319982</v>
      </c>
      <c r="BA59" s="37">
        <f>(((4.7*10^13)*'O2N2 @ EGR'!$R$16*('O2N2 @ EGR'!$Q$16^0.5)*(EXP(-67837/AZ59))/('Goal Seek 6th order'!$P$27*6))*('Goal Seek 6th order'!$P$28*10^-6))</f>
        <v>4.9139113610449576E-13</v>
      </c>
      <c r="BC59" s="59"/>
    </row>
    <row r="60" spans="2:55" x14ac:dyDescent="0.3">
      <c r="B60" s="42">
        <v>11</v>
      </c>
      <c r="C60" s="42">
        <v>32</v>
      </c>
      <c r="D60" s="37">
        <f>D59*(C60/C59)^(('Goal Seek 6th order'!$P$26-1)/'Goal Seek 6th order'!$P$26)</f>
        <v>2623.5374393385137</v>
      </c>
      <c r="E60" s="37">
        <f>(((4.7*10^13)*'O2N2 @ EGR'!$R$4*('O2N2 @ EGR'!$Q$4^0.5)*(EXP(-67837/D60))/('Goal Seek 6th order'!$P$27*6))*('Goal Seek 6th order'!$P$28*10^-6))</f>
        <v>0</v>
      </c>
      <c r="F60" s="3"/>
      <c r="G60" s="3"/>
      <c r="H60" s="37">
        <f>H59*(C60/C59)^(('Goal Seek 6th order'!$P$26-1)/'Goal Seek 6th order'!$P$26)</f>
        <v>2606.6440700838889</v>
      </c>
      <c r="I60" s="37">
        <f>(((4.7*10^13)*'O2N2 @ EGR'!$R$5*('O2N2 @ EGR'!$Q$5^0.5)*(EXP(-67837/H60))/('Goal Seek 6th order'!$P$27*6))*('Goal Seek 6th order'!$P$28*10^-6))</f>
        <v>2.3526763133264259E-9</v>
      </c>
      <c r="L60" s="37">
        <f>L59*(C60/C59)^(('Goal Seek 6th order'!$P$26-1)/'Goal Seek 6th order'!$P$26)</f>
        <v>2589.682718980398</v>
      </c>
      <c r="M60" s="37">
        <f>(((4.7*10^13)*'O2N2 @ EGR'!$R$6*('O2N2 @ EGR'!$Q$6^0.5)*(EXP(-67837/L60))/('Goal Seek 6th order'!$P$27*6))*('Goal Seek 6th order'!$P$28*10^-6))</f>
        <v>2.8064614629064303E-9</v>
      </c>
      <c r="P60" s="37">
        <f>P59*(C60/C59)^(('Goal Seek 6th order'!$P$26-1)/'Goal Seek 6th order'!$P$26)</f>
        <v>2572.6522693973693</v>
      </c>
      <c r="Q60" s="37">
        <f>(((4.7*10^13)*'O2N2 @ EGR'!$R$7*('O2N2 @ EGR'!$Q$7^0.5)*(EXP(-67837/P60))/('Goal Seek 6th order'!$P$27*6))*('Goal Seek 6th order'!$P$28*10^-6))</f>
        <v>2.8906998161678414E-9</v>
      </c>
      <c r="T60" s="37">
        <f>T59*(C60/C59)^(('Goal Seek 6th order'!$P$26-1)/'Goal Seek 6th order'!$P$26)</f>
        <v>2555.551621281892</v>
      </c>
      <c r="U60" s="37">
        <f>(((4.7*10^13)*'O2N2 @ EGR'!$R$8*('O2N2 @ EGR'!$Q$8^0.5)*(EXP(-67837/T60))/('Goal Seek 6th order'!$P$27*6))*('Goal Seek 6th order'!$P$28*10^-6))</f>
        <v>2.7986609516281742E-9</v>
      </c>
      <c r="W60" s="59"/>
      <c r="X60" s="37">
        <f>X59*(C60/C59)^(('Goal Seek 6th order'!$P$26-1)/'Goal Seek 6th order'!$P$26)</f>
        <v>2538.3796733969311</v>
      </c>
      <c r="Y60" s="37">
        <f>(((4.7*10^13)*'O2N2 @ EGR'!$R$9*('O2N2 @ EGR'!$Q$9^0.5)*(EXP(-67837/X60))/('Goal Seek 6th order'!$P$27*6))*('Goal Seek 6th order'!$P$28*10^-6))</f>
        <v>2.6153196976840125E-9</v>
      </c>
      <c r="AA60" s="59"/>
      <c r="AB60" s="37">
        <f>AB59*(C60/C59)^(('Goal Seek 6th order'!$P$26-1)/'Goal Seek 6th order'!$P$26)</f>
        <v>2451.4120137303439</v>
      </c>
      <c r="AC60" s="37">
        <f>(((4.7*10^13)*'O2N2 @ EGR'!$R$10*('O2N2 @ EGR'!$Q$10^0.5)*(EXP(-67837/AB60))/('Goal Seek 6th order'!$P$27*6))*('Goal Seek 6th order'!$P$28*10^-6))</f>
        <v>1.4349167970529493E-9</v>
      </c>
      <c r="AE60" s="59"/>
      <c r="AF60" s="37">
        <f>AF59*(C60/C59)^(('Goal Seek 6th order'!$P$26-1)/'Goal Seek 6th order'!$P$26)</f>
        <v>2362.4969999059485</v>
      </c>
      <c r="AG60" s="37">
        <f>(((4.7*10^13)*'O2N2 @ EGR'!$R$11*('O2N2 @ EGR'!$Q$11^0.5)*(EXP(-67837/AF60))/('Goal Seek 6th order'!$P$27*6))*('Goal Seek 6th order'!$P$28*10^-6))</f>
        <v>6.2101125435728906E-10</v>
      </c>
      <c r="AI60" s="59"/>
      <c r="AJ60" s="37">
        <f>AJ59*(C60/C59)^(('Goal Seek 6th order'!$P$26-1)/'Goal Seek 6th order'!$P$26)</f>
        <v>2271.4966563962034</v>
      </c>
      <c r="AK60" s="37">
        <f>(((4.7*10^13)*'O2N2 @ EGR'!$R$12*('O2N2 @ EGR'!$Q$12^0.5)*(EXP(-67837/AJ60))/('Goal Seek 6th order'!$P$27*6))*('Goal Seek 6th order'!$P$28*10^-6))</f>
        <v>2.2725967461116393E-10</v>
      </c>
      <c r="AM60" s="59"/>
      <c r="AN60" s="37">
        <f>AN59*(C60/C59)^(('Goal Seek 6th order'!$P$26-1)/'Goal Seek 6th order'!$P$26)</f>
        <v>2178.2691651851951</v>
      </c>
      <c r="AO60" s="37">
        <f>(((4.7*10^13)*'O2N2 @ EGR'!$R$13*('O2N2 @ EGR'!$Q$13^0.5)*(EXP(-67837/AN60))/('Goal Seek 6th order'!$P$27*6))*('Goal Seek 6th order'!$P$28*10^-6))</f>
        <v>7.0862699047180859E-11</v>
      </c>
      <c r="AQ60" s="59"/>
      <c r="AR60" s="37">
        <f>AR59*(C60/C59)^(('Goal Seek 6th order'!$P$26-1)/'Goal Seek 6th order'!$P$26)</f>
        <v>2082.6641387382811</v>
      </c>
      <c r="AS60" s="37">
        <f>(((4.7*10^13)*'O2N2 @ EGR'!$R$14*('O2N2 @ EGR'!$Q$14^0.5)*(EXP(-67837/AR60))/('Goal Seek 6th order'!$P$27*6))*('Goal Seek 6th order'!$P$28*10^-6))</f>
        <v>1.8607106746135005E-11</v>
      </c>
      <c r="AU60" s="59"/>
      <c r="AV60" s="37">
        <f>AV59*(C60/C59)^(('Goal Seek 6th order'!$P$26-1)/'Goal Seek 6th order'!$P$26)</f>
        <v>1984.5216987521671</v>
      </c>
      <c r="AW60" s="37">
        <f>(((4.7*10^13)*'O2N2 @ EGR'!$R$15*('O2N2 @ EGR'!$Q$15^0.5)*(EXP(-67837/AV60))/('Goal Seek 6th order'!$P$27*6))*('Goal Seek 6th order'!$P$28*10^-6))</f>
        <v>4.0190283716485525E-12</v>
      </c>
      <c r="AY60" s="59"/>
      <c r="AZ60" s="37">
        <f>AZ59*(C60/C59)^(('Goal Seek 6th order'!$P$26-1)/'Goal Seek 6th order'!$P$26)</f>
        <v>1883.6643376579862</v>
      </c>
      <c r="BA60" s="37">
        <f>(((4.7*10^13)*'O2N2 @ EGR'!$R$16*('O2N2 @ EGR'!$Q$16^0.5)*(EXP(-67837/AZ60))/('Goal Seek 6th order'!$P$27*6))*('Goal Seek 6th order'!$P$28*10^-6))</f>
        <v>6.8989526198832499E-13</v>
      </c>
      <c r="BC60" s="59"/>
    </row>
    <row r="61" spans="2:55" x14ac:dyDescent="0.3">
      <c r="B61" s="42">
        <v>12</v>
      </c>
      <c r="C61" s="42">
        <v>34</v>
      </c>
      <c r="D61" s="37">
        <f>D60*(C61/C60)^(('Goal Seek 6th order'!$P$26-1)/'Goal Seek 6th order'!$P$26)</f>
        <v>2646.7494926057157</v>
      </c>
      <c r="E61" s="37">
        <f>(((4.7*10^13)*'O2N2 @ EGR'!$R$4*('O2N2 @ EGR'!$Q$4^0.5)*(EXP(-67837/D61))/('Goal Seek 6th order'!$P$27*6))*('Goal Seek 6th order'!$P$28*10^-6))</f>
        <v>0</v>
      </c>
      <c r="F61" s="3"/>
      <c r="G61" s="3"/>
      <c r="H61" s="37">
        <f>H60*(C61/C60)^(('Goal Seek 6th order'!$P$26-1)/'Goal Seek 6th order'!$P$26)</f>
        <v>2629.7066572976928</v>
      </c>
      <c r="I61" s="37">
        <f>(((4.7*10^13)*'O2N2 @ EGR'!$R$5*('O2N2 @ EGR'!$Q$5^0.5)*(EXP(-67837/H61))/('Goal Seek 6th order'!$P$27*6))*('Goal Seek 6th order'!$P$28*10^-6))</f>
        <v>2.955861980917576E-9</v>
      </c>
      <c r="L61" s="37">
        <f>L60*(C61/C60)^(('Goal Seek 6th order'!$P$26-1)/'Goal Seek 6th order'!$P$26)</f>
        <v>2612.5952386634722</v>
      </c>
      <c r="M61" s="37">
        <f>(((4.7*10^13)*'O2N2 @ EGR'!$R$6*('O2N2 @ EGR'!$Q$6^0.5)*(EXP(-67837/L61))/('Goal Seek 6th order'!$P$27*6))*('Goal Seek 6th order'!$P$28*10^-6))</f>
        <v>3.5312646140117603E-9</v>
      </c>
      <c r="P61" s="37">
        <f>P60*(C61/C60)^(('Goal Seek 6th order'!$P$26-1)/'Goal Seek 6th order'!$P$26)</f>
        <v>2595.4141101928631</v>
      </c>
      <c r="Q61" s="37">
        <f>(((4.7*10^13)*'O2N2 @ EGR'!$R$7*('O2N2 @ EGR'!$Q$7^0.5)*(EXP(-67837/P61))/('Goal Seek 6th order'!$P$27*6))*('Goal Seek 6th order'!$P$28*10^-6))</f>
        <v>3.6427942278566563E-9</v>
      </c>
      <c r="T61" s="37">
        <f>T60*(C61/C60)^(('Goal Seek 6th order'!$P$26-1)/'Goal Seek 6th order'!$P$26)</f>
        <v>2578.1621621001077</v>
      </c>
      <c r="U61" s="37">
        <f>(((4.7*10^13)*'O2N2 @ EGR'!$R$8*('O2N2 @ EGR'!$Q$8^0.5)*(EXP(-67837/T61))/('Goal Seek 6th order'!$P$27*6))*('Goal Seek 6th order'!$P$28*10^-6))</f>
        <v>3.5322706965200512E-9</v>
      </c>
      <c r="W61" s="59"/>
      <c r="X61" s="37">
        <f>X60*(C61/C60)^(('Goal Seek 6th order'!$P$26-1)/'Goal Seek 6th order'!$P$26)</f>
        <v>2560.838283404848</v>
      </c>
      <c r="Y61" s="37">
        <f>(((4.7*10^13)*'O2N2 @ EGR'!$R$9*('O2N2 @ EGR'!$Q$9^0.5)*(EXP(-67837/X61))/('Goal Seek 6th order'!$P$27*6))*('Goal Seek 6th order'!$P$28*10^-6))</f>
        <v>3.3060729615626574E-9</v>
      </c>
      <c r="AA61" s="59"/>
      <c r="AB61" s="37">
        <f>AB60*(C61/C60)^(('Goal Seek 6th order'!$P$26-1)/'Goal Seek 6th order'!$P$26)</f>
        <v>2473.1011672333011</v>
      </c>
      <c r="AC61" s="37">
        <f>(((4.7*10^13)*'O2N2 @ EGR'!$R$10*('O2N2 @ EGR'!$Q$10^0.5)*(EXP(-67837/AB61))/('Goal Seek 6th order'!$P$27*6))*('Goal Seek 6th order'!$P$28*10^-6))</f>
        <v>1.8290494359380562E-9</v>
      </c>
      <c r="AE61" s="59"/>
      <c r="AF61" s="37">
        <f>AF60*(C61/C60)^(('Goal Seek 6th order'!$P$26-1)/'Goal Seek 6th order'!$P$26)</f>
        <v>2383.3994674610708</v>
      </c>
      <c r="AG61" s="37">
        <f>(((4.7*10^13)*'O2N2 @ EGR'!$R$11*('O2N2 @ EGR'!$Q$11^0.5)*(EXP(-67837/AF61))/('Goal Seek 6th order'!$P$27*6))*('Goal Seek 6th order'!$P$28*10^-6))</f>
        <v>7.9884953183635157E-10</v>
      </c>
      <c r="AI61" s="59"/>
      <c r="AJ61" s="37">
        <f>AJ60*(C61/C60)^(('Goal Seek 6th order'!$P$26-1)/'Goal Seek 6th order'!$P$26)</f>
        <v>2291.5939878060553</v>
      </c>
      <c r="AK61" s="37">
        <f>(((4.7*10^13)*'O2N2 @ EGR'!$R$12*('O2N2 @ EGR'!$Q$12^0.5)*(EXP(-67837/AJ61))/('Goal Seek 6th order'!$P$27*6))*('Goal Seek 6th order'!$P$28*10^-6))</f>
        <v>2.9530396543004591E-10</v>
      </c>
      <c r="AM61" s="59"/>
      <c r="AN61" s="37">
        <f>AN60*(C61/C60)^(('Goal Seek 6th order'!$P$26-1)/'Goal Seek 6th order'!$P$26)</f>
        <v>2197.541655500916</v>
      </c>
      <c r="AO61" s="37">
        <f>(((4.7*10^13)*'O2N2 @ EGR'!$R$13*('O2N2 @ EGR'!$Q$13^0.5)*(EXP(-67837/AN61))/('Goal Seek 6th order'!$P$27*6))*('Goal Seek 6th order'!$P$28*10^-6))</f>
        <v>9.3117826121484536E-11</v>
      </c>
      <c r="AQ61" s="59"/>
      <c r="AR61" s="37">
        <f>AR60*(C61/C60)^(('Goal Seek 6th order'!$P$26-1)/'Goal Seek 6th order'!$P$26)</f>
        <v>2101.0907524397703</v>
      </c>
      <c r="AS61" s="37">
        <f>(((4.7*10^13)*'O2N2 @ EGR'!$R$14*('O2N2 @ EGR'!$Q$14^0.5)*(EXP(-67837/AR61))/('Goal Seek 6th order'!$P$27*6))*('Goal Seek 6th order'!$P$28*10^-6))</f>
        <v>2.475933833793639E-11</v>
      </c>
      <c r="AU61" s="59"/>
      <c r="AV61" s="37">
        <f>AV60*(C61/C60)^(('Goal Seek 6th order'!$P$26-1)/'Goal Seek 6th order'!$P$26)</f>
        <v>2002.0799857774016</v>
      </c>
      <c r="AW61" s="37">
        <f>(((4.7*10^13)*'O2N2 @ EGR'!$R$15*('O2N2 @ EGR'!$Q$15^0.5)*(EXP(-67837/AV61))/('Goal Seek 6th order'!$P$27*6))*('Goal Seek 6th order'!$P$28*10^-6))</f>
        <v>5.4239605715045958E-12</v>
      </c>
      <c r="AY61" s="59"/>
      <c r="AZ61" s="37">
        <f>AZ60*(C61/C60)^(('Goal Seek 6th order'!$P$26-1)/'Goal Seek 6th order'!$P$26)</f>
        <v>1900.3302774260387</v>
      </c>
      <c r="BA61" s="37">
        <f>(((4.7*10^13)*'O2N2 @ EGR'!$R$16*('O2N2 @ EGR'!$Q$16^0.5)*(EXP(-67837/AZ61))/('Goal Seek 6th order'!$P$27*6))*('Goal Seek 6th order'!$P$28*10^-6))</f>
        <v>9.4612755587206644E-13</v>
      </c>
      <c r="BC61" s="59"/>
    </row>
    <row r="62" spans="2:55" x14ac:dyDescent="0.3">
      <c r="B62" s="42">
        <v>13</v>
      </c>
      <c r="C62" s="42">
        <v>36</v>
      </c>
      <c r="D62" s="37">
        <f>D61*(C62/C61)^(('Goal Seek 6th order'!$P$26-1)/'Goal Seek 6th order'!$P$26)</f>
        <v>2668.8224608006949</v>
      </c>
      <c r="E62" s="37">
        <f>(((4.7*10^13)*'O2N2 @ EGR'!$R$4*('O2N2 @ EGR'!$Q$4^0.5)*(EXP(-67837/D62))/('Goal Seek 6th order'!$P$27*6))*('Goal Seek 6th order'!$P$28*10^-6))</f>
        <v>0</v>
      </c>
      <c r="F62" s="3"/>
      <c r="G62" s="3"/>
      <c r="H62" s="37">
        <f>H61*(C62/C61)^(('Goal Seek 6th order'!$P$26-1)/'Goal Seek 6th order'!$P$26)</f>
        <v>2651.6374941867975</v>
      </c>
      <c r="I62" s="37">
        <f>(((4.7*10^13)*'O2N2 @ EGR'!$R$5*('O2N2 @ EGR'!$Q$5^0.5)*(EXP(-67837/H62))/('Goal Seek 6th order'!$P$27*6))*('Goal Seek 6th order'!$P$28*10^-6))</f>
        <v>3.6588325103620757E-9</v>
      </c>
      <c r="L62" s="37">
        <f>L61*(C62/C61)^(('Goal Seek 6th order'!$P$26-1)/'Goal Seek 6th order'!$P$26)</f>
        <v>2634.383372285668</v>
      </c>
      <c r="M62" s="37">
        <f>(((4.7*10^13)*'O2N2 @ EGR'!$R$6*('O2N2 @ EGR'!$Q$6^0.5)*(EXP(-67837/L62))/('Goal Seek 6th order'!$P$27*6))*('Goal Seek 6th order'!$P$28*10^-6))</f>
        <v>4.3771911688040262E-9</v>
      </c>
      <c r="P62" s="37">
        <f>P61*(C62/C61)^(('Goal Seek 6th order'!$P$26-1)/'Goal Seek 6th order'!$P$26)</f>
        <v>2617.0589591924136</v>
      </c>
      <c r="Q62" s="37">
        <f>(((4.7*10^13)*'O2N2 @ EGR'!$R$7*('O2N2 @ EGR'!$Q$7^0.5)*(EXP(-67837/P62))/('Goal Seek 6th order'!$P$27*6))*('Goal Seek 6th order'!$P$28*10^-6))</f>
        <v>4.5218618428494634E-9</v>
      </c>
      <c r="T62" s="37">
        <f>T61*(C62/C61)^(('Goal Seek 6th order'!$P$26-1)/'Goal Seek 6th order'!$P$26)</f>
        <v>2599.6631358660493</v>
      </c>
      <c r="U62" s="37">
        <f>(((4.7*10^13)*'O2N2 @ EGR'!$R$8*('O2N2 @ EGR'!$Q$8^0.5)*(EXP(-67837/T62))/('Goal Seek 6th order'!$P$27*6))*('Goal Seek 6th order'!$P$28*10^-6))</f>
        <v>4.3910142854112453E-9</v>
      </c>
      <c r="W62" s="59"/>
      <c r="X62" s="37">
        <f>X61*(C62/C61)^(('Goal Seek 6th order'!$P$26-1)/'Goal Seek 6th order'!$P$26)</f>
        <v>2582.1947820610285</v>
      </c>
      <c r="Y62" s="37">
        <f>(((4.7*10^13)*'O2N2 @ EGR'!$R$9*('O2N2 @ EGR'!$Q$9^0.5)*(EXP(-67837/X62))/('Goal Seek 6th order'!$P$27*6))*('Goal Seek 6th order'!$P$28*10^-6))</f>
        <v>4.1158796209924633E-9</v>
      </c>
      <c r="AA62" s="59"/>
      <c r="AB62" s="37">
        <f>AB61*(C62/C61)^(('Goal Seek 6th order'!$P$26-1)/'Goal Seek 6th order'!$P$26)</f>
        <v>2493.7259689230009</v>
      </c>
      <c r="AC62" s="37">
        <f>(((4.7*10^13)*'O2N2 @ EGR'!$R$10*('O2N2 @ EGR'!$Q$10^0.5)*(EXP(-67837/AB62))/('Goal Seek 6th order'!$P$27*6))*('Goal Seek 6th order'!$P$28*10^-6))</f>
        <v>2.2948340066839871E-9</v>
      </c>
      <c r="AE62" s="59"/>
      <c r="AF62" s="37">
        <f>AF61*(C62/C61)^(('Goal Seek 6th order'!$P$26-1)/'Goal Seek 6th order'!$P$26)</f>
        <v>2403.2761882418522</v>
      </c>
      <c r="AG62" s="37">
        <f>(((4.7*10^13)*'O2N2 @ EGR'!$R$11*('O2N2 @ EGR'!$Q$11^0.5)*(EXP(-67837/AF62))/('Goal Seek 6th order'!$P$27*6))*('Goal Seek 6th order'!$P$28*10^-6))</f>
        <v>1.0108784530194744E-9</v>
      </c>
      <c r="AI62" s="59"/>
      <c r="AJ62" s="37">
        <f>AJ61*(C62/C61)^(('Goal Seek 6th order'!$P$26-1)/'Goal Seek 6th order'!$P$26)</f>
        <v>2310.7050828870069</v>
      </c>
      <c r="AK62" s="37">
        <f>(((4.7*10^13)*'O2N2 @ EGR'!$R$12*('O2N2 @ EGR'!$Q$12^0.5)*(EXP(-67837/AJ62))/('Goal Seek 6th order'!$P$27*6))*('Goal Seek 6th order'!$P$28*10^-6))</f>
        <v>3.7722365100486164E-10</v>
      </c>
      <c r="AM62" s="59"/>
      <c r="AN62" s="37">
        <f>AN61*(C62/C61)^(('Goal Seek 6th order'!$P$26-1)/'Goal Seek 6th order'!$P$26)</f>
        <v>2215.8683869141178</v>
      </c>
      <c r="AO62" s="37">
        <f>(((4.7*10^13)*'O2N2 @ EGR'!$R$13*('O2N2 @ EGR'!$Q$13^0.5)*(EXP(-67837/AN62))/('Goal Seek 6th order'!$P$27*6))*('Goal Seek 6th order'!$P$28*10^-6))</f>
        <v>1.202024317479556E-10</v>
      </c>
      <c r="AQ62" s="59"/>
      <c r="AR62" s="37">
        <f>AR61*(C62/C61)^(('Goal Seek 6th order'!$P$26-1)/'Goal Seek 6th order'!$P$26)</f>
        <v>2118.6131169411833</v>
      </c>
      <c r="AS62" s="37">
        <f>(((4.7*10^13)*'O2N2 @ EGR'!$R$14*('O2N2 @ EGR'!$Q$14^0.5)*(EXP(-67837/AR62))/('Goal Seek 6th order'!$P$27*6))*('Goal Seek 6th order'!$P$28*10^-6))</f>
        <v>3.2337723480787744E-11</v>
      </c>
      <c r="AU62" s="59"/>
      <c r="AV62" s="37">
        <f>AV61*(C62/C61)^(('Goal Seek 6th order'!$P$26-1)/'Goal Seek 6th order'!$P$26)</f>
        <v>2018.7766349968795</v>
      </c>
      <c r="AW62" s="37">
        <f>(((4.7*10^13)*'O2N2 @ EGR'!$R$15*('O2N2 @ EGR'!$Q$15^0.5)*(EXP(-67837/AV62))/('Goal Seek 6th order'!$P$27*6))*('Goal Seek 6th order'!$P$28*10^-6))</f>
        <v>7.1783086390903448E-12</v>
      </c>
      <c r="AY62" s="59"/>
      <c r="AZ62" s="37">
        <f>AZ61*(C62/C61)^(('Goal Seek 6th order'!$P$26-1)/'Goal Seek 6th order'!$P$26)</f>
        <v>1916.1783695446038</v>
      </c>
      <c r="BA62" s="37">
        <f>(((4.7*10^13)*'O2N2 @ EGR'!$R$16*('O2N2 @ EGR'!$Q$16^0.5)*(EXP(-67837/AZ62))/('Goal Seek 6th order'!$P$27*6))*('Goal Seek 6th order'!$P$28*10^-6))</f>
        <v>1.2710768202400139E-12</v>
      </c>
      <c r="BC62" s="59"/>
    </row>
    <row r="63" spans="2:55" x14ac:dyDescent="0.3">
      <c r="B63" s="42">
        <v>14</v>
      </c>
      <c r="C63" s="42">
        <v>38</v>
      </c>
      <c r="D63" s="37">
        <f>D62*(C63/C62)^(('Goal Seek 6th order'!$P$26-1)/'Goal Seek 6th order'!$P$26)</f>
        <v>2689.8710892500194</v>
      </c>
      <c r="E63" s="37">
        <f>(((4.7*10^13)*'O2N2 @ EGR'!$R$4*('O2N2 @ EGR'!$Q$4^0.5)*(EXP(-67837/D63))/('Goal Seek 6th order'!$P$27*6))*('Goal Seek 6th order'!$P$28*10^-6))</f>
        <v>0</v>
      </c>
      <c r="F63" s="3"/>
      <c r="G63" s="3"/>
      <c r="H63" s="37">
        <f>H62*(C63/C62)^(('Goal Seek 6th order'!$P$26-1)/'Goal Seek 6th order'!$P$26)</f>
        <v>2672.5505872146082</v>
      </c>
      <c r="I63" s="37">
        <f>(((4.7*10^13)*'O2N2 @ EGR'!$R$5*('O2N2 @ EGR'!$Q$5^0.5)*(EXP(-67837/H63))/('Goal Seek 6th order'!$P$27*6))*('Goal Seek 6th order'!$P$28*10^-6))</f>
        <v>4.469762315258363E-9</v>
      </c>
      <c r="L63" s="37">
        <f>L62*(C63/C62)^(('Goal Seek 6th order'!$P$26-1)/'Goal Seek 6th order'!$P$26)</f>
        <v>2655.1603844739138</v>
      </c>
      <c r="M63" s="37">
        <f>(((4.7*10^13)*'O2N2 @ EGR'!$R$6*('O2N2 @ EGR'!$Q$6^0.5)*(EXP(-67837/L63))/('Goal Seek 6th order'!$P$27*6))*('Goal Seek 6th order'!$P$28*10^-6))</f>
        <v>5.3543511301148467E-9</v>
      </c>
      <c r="P63" s="37">
        <f>P62*(C63/C62)^(('Goal Seek 6th order'!$P$26-1)/'Goal Seek 6th order'!$P$26)</f>
        <v>2637.6993361643199</v>
      </c>
      <c r="Q63" s="37">
        <f>(((4.7*10^13)*'O2N2 @ EGR'!$R$7*('O2N2 @ EGR'!$Q$7^0.5)*(EXP(-67837/P63))/('Goal Seek 6th order'!$P$27*6))*('Goal Seek 6th order'!$P$28*10^-6))</f>
        <v>5.5387011245384078E-9</v>
      </c>
      <c r="T63" s="37">
        <f>T62*(C63/C62)^(('Goal Seek 6th order'!$P$26-1)/'Goal Seek 6th order'!$P$26)</f>
        <v>2620.166314419123</v>
      </c>
      <c r="U63" s="37">
        <f>(((4.7*10^13)*'O2N2 @ EGR'!$R$8*('O2N2 @ EGR'!$Q$8^0.5)*(EXP(-67837/T63))/('Goal Seek 6th order'!$P$27*6))*('Goal Seek 6th order'!$P$28*10^-6))</f>
        <v>5.3857346966893304E-9</v>
      </c>
      <c r="W63" s="59"/>
      <c r="X63" s="37">
        <f>X62*(C63/C62)^(('Goal Seek 6th order'!$P$26-1)/'Goal Seek 6th order'!$P$26)</f>
        <v>2602.5601901575569</v>
      </c>
      <c r="Y63" s="37">
        <f>(((4.7*10^13)*'O2N2 @ EGR'!$R$9*('O2N2 @ EGR'!$Q$9^0.5)*(EXP(-67837/X63))/('Goal Seek 6th order'!$P$27*6))*('Goal Seek 6th order'!$P$28*10^-6))</f>
        <v>5.0552505442159206E-9</v>
      </c>
      <c r="AA63" s="59"/>
      <c r="AB63" s="37">
        <f>AB62*(C63/C62)^(('Goal Seek 6th order'!$P$26-1)/'Goal Seek 6th order'!$P$26)</f>
        <v>2513.3936358979499</v>
      </c>
      <c r="AC63" s="37">
        <f>(((4.7*10^13)*'O2N2 @ EGR'!$R$10*('O2N2 @ EGR'!$Q$10^0.5)*(EXP(-67837/AB63))/('Goal Seek 6th order'!$P$27*6))*('Goal Seek 6th order'!$P$28*10^-6))</f>
        <v>2.8392173817879273E-9</v>
      </c>
      <c r="AE63" s="59"/>
      <c r="AF63" s="37">
        <f>AF62*(C63/C62)^(('Goal Seek 6th order'!$P$26-1)/'Goal Seek 6th order'!$P$26)</f>
        <v>2422.2304904820376</v>
      </c>
      <c r="AG63" s="37">
        <f>(((4.7*10^13)*'O2N2 @ EGR'!$R$11*('O2N2 @ EGR'!$Q$11^0.5)*(EXP(-67837/AF63))/('Goal Seek 6th order'!$P$27*6))*('Goal Seek 6th order'!$P$28*10^-6))</f>
        <v>1.2607403710183172E-9</v>
      </c>
      <c r="AI63" s="59"/>
      <c r="AJ63" s="37">
        <f>AJ62*(C63/C62)^(('Goal Seek 6th order'!$P$26-1)/'Goal Seek 6th order'!$P$26)</f>
        <v>2328.9292898022404</v>
      </c>
      <c r="AK63" s="37">
        <f>(((4.7*10^13)*'O2N2 @ EGR'!$R$12*('O2N2 @ EGR'!$Q$12^0.5)*(EXP(-67837/AJ63))/('Goal Seek 6th order'!$P$27*6))*('Goal Seek 6th order'!$P$28*10^-6))</f>
        <v>4.7464469985249413E-10</v>
      </c>
      <c r="AM63" s="59"/>
      <c r="AN63" s="37">
        <f>AN62*(C63/C62)^(('Goal Seek 6th order'!$P$26-1)/'Goal Seek 6th order'!$P$26)</f>
        <v>2233.3446301089411</v>
      </c>
      <c r="AO63" s="37">
        <f>(((4.7*10^13)*'O2N2 @ EGR'!$R$13*('O2N2 @ EGR'!$Q$13^0.5)*(EXP(-67837/AN63))/('Goal Seek 6th order'!$P$27*6))*('Goal Seek 6th order'!$P$28*10^-6))</f>
        <v>1.5274007801283827E-10</v>
      </c>
      <c r="AQ63" s="59"/>
      <c r="AR63" s="37">
        <f>AR62*(C63/C62)^(('Goal Seek 6th order'!$P$26-1)/'Goal Seek 6th order'!$P$26)</f>
        <v>2135.3223214616601</v>
      </c>
      <c r="AS63" s="37">
        <f>(((4.7*10^13)*'O2N2 @ EGR'!$R$14*('O2N2 @ EGR'!$Q$14^0.5)*(EXP(-67837/AR63))/('Goal Seek 6th order'!$P$27*6))*('Goal Seek 6th order'!$P$28*10^-6))</f>
        <v>4.1545611803548348E-11</v>
      </c>
      <c r="AU63" s="59"/>
      <c r="AV63" s="37">
        <f>AV62*(C63/C62)^(('Goal Seek 6th order'!$P$26-1)/'Goal Seek 6th order'!$P$26)</f>
        <v>2034.6984431862031</v>
      </c>
      <c r="AW63" s="37">
        <f>(((4.7*10^13)*'O2N2 @ EGR'!$R$15*('O2N2 @ EGR'!$Q$15^0.5)*(EXP(-67837/AV63))/('Goal Seek 6th order'!$P$27*6))*('Goal Seek 6th order'!$P$28*10^-6))</f>
        <v>9.3372547998358115E-12</v>
      </c>
      <c r="AY63" s="59"/>
      <c r="AZ63" s="37">
        <f>AZ62*(C63/C62)^(('Goal Seek 6th order'!$P$26-1)/'Goal Seek 6th order'!$P$26)</f>
        <v>1931.2909996035837</v>
      </c>
      <c r="BA63" s="37">
        <f>(((4.7*10^13)*'O2N2 @ EGR'!$R$16*('O2N2 @ EGR'!$Q$16^0.5)*(EXP(-67837/AZ63))/('Goal Seek 6th order'!$P$27*6))*('Goal Seek 6th order'!$P$28*10^-6))</f>
        <v>1.6768080706855117E-12</v>
      </c>
      <c r="BC63" s="59"/>
    </row>
    <row r="64" spans="2:55" x14ac:dyDescent="0.3">
      <c r="B64" s="42">
        <v>15</v>
      </c>
      <c r="C64" s="42">
        <v>40</v>
      </c>
      <c r="D64" s="37">
        <f>D63*(C64/C63)^(('Goal Seek 6th order'!$P$26-1)/'Goal Seek 6th order'!$P$26)</f>
        <v>2709.9932445096674</v>
      </c>
      <c r="E64" s="37">
        <f>(((4.7*10^13)*'O2N2 @ EGR'!$R$4*('O2N2 @ EGR'!$Q$4^0.5)*(EXP(-67837/D64))/('Goal Seek 6th order'!$P$27*6))*('Goal Seek 6th order'!$P$28*10^-6))</f>
        <v>0</v>
      </c>
      <c r="F64" s="3"/>
      <c r="G64" s="3"/>
      <c r="H64" s="37">
        <f>H63*(C64/C63)^(('Goal Seek 6th order'!$P$26-1)/'Goal Seek 6th order'!$P$26)</f>
        <v>2692.5431727589917</v>
      </c>
      <c r="I64" s="37">
        <f>(((4.7*10^13)*'O2N2 @ EGR'!$R$5*('O2N2 @ EGR'!$Q$5^0.5)*(EXP(-67837/H64))/('Goal Seek 6th order'!$P$27*6))*('Goal Seek 6th order'!$P$28*10^-6))</f>
        <v>5.3968060039194039E-9</v>
      </c>
      <c r="L64" s="37">
        <f>L63*(C64/C63)^(('Goal Seek 6th order'!$P$26-1)/'Goal Seek 6th order'!$P$26)</f>
        <v>2675.0228788920185</v>
      </c>
      <c r="M64" s="37">
        <f>(((4.7*10^13)*'O2N2 @ EGR'!$R$6*('O2N2 @ EGR'!$Q$6^0.5)*(EXP(-67837/L64))/('Goal Seek 6th order'!$P$27*6))*('Goal Seek 6th order'!$P$28*10^-6))</f>
        <v>6.4728467481787115E-9</v>
      </c>
      <c r="P64" s="37">
        <f>P63*(C64/C63)^(('Goal Seek 6th order'!$P$26-1)/'Goal Seek 6th order'!$P$26)</f>
        <v>2657.4312094807347</v>
      </c>
      <c r="Q64" s="37">
        <f>(((4.7*10^13)*'O2N2 @ EGR'!$R$7*('O2N2 @ EGR'!$Q$7^0.5)*(EXP(-67837/P64))/('Goal Seek 6th order'!$P$27*6))*('Goal Seek 6th order'!$P$28*10^-6))</f>
        <v>6.7041203610282965E-9</v>
      </c>
      <c r="T64" s="37">
        <f>T63*(C64/C63)^(('Goal Seek 6th order'!$P$26-1)/'Goal Seek 6th order'!$P$26)</f>
        <v>2639.7670282211889</v>
      </c>
      <c r="U64" s="37">
        <f>(((4.7*10^13)*'O2N2 @ EGR'!$R$8*('O2N2 @ EGR'!$Q$8^0.5)*(EXP(-67837/T64))/('Goal Seek 6th order'!$P$27*6))*('Goal Seek 6th order'!$P$28*10^-6))</f>
        <v>6.5273031877537922E-9</v>
      </c>
      <c r="W64" s="59"/>
      <c r="X64" s="37">
        <f>X63*(C64/C63)^(('Goal Seek 6th order'!$P$26-1)/'Goal Seek 6th order'!$P$26)</f>
        <v>2622.0291975862847</v>
      </c>
      <c r="Y64" s="37">
        <f>(((4.7*10^13)*'O2N2 @ EGR'!$R$9*('O2N2 @ EGR'!$Q$9^0.5)*(EXP(-67837/X64))/('Goal Seek 6th order'!$P$27*6))*('Goal Seek 6th order'!$P$28*10^-6))</f>
        <v>6.1347420990085973E-9</v>
      </c>
      <c r="AA64" s="59"/>
      <c r="AB64" s="37">
        <f>AB63*(C64/C63)^(('Goal Seek 6th order'!$P$26-1)/'Goal Seek 6th order'!$P$26)</f>
        <v>2532.1956138708983</v>
      </c>
      <c r="AC64" s="37">
        <f>(((4.7*10^13)*'O2N2 @ EGR'!$R$10*('O2N2 @ EGR'!$Q$10^0.5)*(EXP(-67837/AB64))/('Goal Seek 6th order'!$P$27*6))*('Goal Seek 6th order'!$P$28*10^-6))</f>
        <v>3.4692388706970039E-9</v>
      </c>
      <c r="AE64" s="59"/>
      <c r="AF64" s="37">
        <f>AF63*(C64/C63)^(('Goal Seek 6th order'!$P$26-1)/'Goal Seek 6th order'!$P$26)</f>
        <v>2440.3505030725746</v>
      </c>
      <c r="AG64" s="37">
        <f>(((4.7*10^13)*'O2N2 @ EGR'!$R$11*('O2N2 @ EGR'!$Q$11^0.5)*(EXP(-67837/AF64))/('Goal Seek 6th order'!$P$27*6))*('Goal Seek 6th order'!$P$28*10^-6))</f>
        <v>1.5521614453151991E-9</v>
      </c>
      <c r="AI64" s="59"/>
      <c r="AJ64" s="37">
        <f>AJ63*(C64/C63)^(('Goal Seek 6th order'!$P$26-1)/'Goal Seek 6th order'!$P$26)</f>
        <v>2346.3513428312604</v>
      </c>
      <c r="AK64" s="37">
        <f>(((4.7*10^13)*'O2N2 @ EGR'!$R$12*('O2N2 @ EGR'!$Q$12^0.5)*(EXP(-67837/AJ64))/('Goal Seek 6th order'!$P$27*6))*('Goal Seek 6th order'!$P$28*10^-6))</f>
        <v>5.8924770788874592E-10</v>
      </c>
      <c r="AM64" s="59"/>
      <c r="AN64" s="37">
        <f>AN63*(C64/C63)^(('Goal Seek 6th order'!$P$26-1)/'Goal Seek 6th order'!$P$26)</f>
        <v>2250.05164167353</v>
      </c>
      <c r="AO64" s="37">
        <f>(((4.7*10^13)*'O2N2 @ EGR'!$R$13*('O2N2 @ EGR'!$Q$13^0.5)*(EXP(-67837/AN64))/('Goal Seek 6th order'!$P$27*6))*('Goal Seek 6th order'!$P$28*10^-6))</f>
        <v>1.9138255231115072E-10</v>
      </c>
      <c r="AQ64" s="59"/>
      <c r="AR64" s="37">
        <f>AR63*(C64/C63)^(('Goal Seek 6th order'!$P$26-1)/'Goal Seek 6th order'!$P$26)</f>
        <v>2151.2960562081171</v>
      </c>
      <c r="AS64" s="37">
        <f>(((4.7*10^13)*'O2N2 @ EGR'!$R$14*('O2N2 @ EGR'!$Q$14^0.5)*(EXP(-67837/AR64))/('Goal Seek 6th order'!$P$27*6))*('Goal Seek 6th order'!$P$28*10^-6))</f>
        <v>5.2598198834575011E-11</v>
      </c>
      <c r="AU64" s="59"/>
      <c r="AV64" s="37">
        <f>AV63*(C64/C63)^(('Goal Seek 6th order'!$P$26-1)/'Goal Seek 6th order'!$P$26)</f>
        <v>2049.9194395172103</v>
      </c>
      <c r="AW64" s="37">
        <f>(((4.7*10^13)*'O2N2 @ EGR'!$R$15*('O2N2 @ EGR'!$Q$15^0.5)*(EXP(-67837/AV64))/('Goal Seek 6th order'!$P$27*6))*('Goal Seek 6th order'!$P$28*10^-6))</f>
        <v>1.1960002467979938E-11</v>
      </c>
      <c r="AY64" s="59"/>
      <c r="AZ64" s="37">
        <f>AZ63*(C64/C63)^(('Goal Seek 6th order'!$P$26-1)/'Goal Seek 6th order'!$P$26)</f>
        <v>1945.7384344642703</v>
      </c>
      <c r="BA64" s="37">
        <f>(((4.7*10^13)*'O2N2 @ EGR'!$R$16*('O2N2 @ EGR'!$Q$16^0.5)*(EXP(-67837/AZ64))/('Goal Seek 6th order'!$P$27*6))*('Goal Seek 6th order'!$P$28*10^-6))</f>
        <v>2.1764663209805131E-12</v>
      </c>
      <c r="BC64" s="59"/>
    </row>
    <row r="65" spans="2:55" x14ac:dyDescent="0.3">
      <c r="W65" s="59"/>
      <c r="AA65" s="59"/>
      <c r="AE65" s="59"/>
      <c r="AI65" s="59"/>
      <c r="AM65" s="59"/>
      <c r="AQ65" s="59"/>
      <c r="AU65" s="59"/>
      <c r="AY65" s="59"/>
      <c r="BC65" s="59"/>
    </row>
    <row r="66" spans="2:55" x14ac:dyDescent="0.3">
      <c r="B66" s="132" t="s">
        <v>122</v>
      </c>
      <c r="C66" s="132"/>
      <c r="D66" s="132"/>
      <c r="E66" s="132"/>
      <c r="F66" s="132"/>
      <c r="G66" s="132"/>
      <c r="H66" s="132"/>
      <c r="I66" s="132"/>
      <c r="J66" s="132"/>
      <c r="K66" s="132"/>
      <c r="L66" s="132"/>
      <c r="M66" s="132"/>
      <c r="N66" s="132"/>
      <c r="O66" s="132"/>
      <c r="P66" s="132"/>
      <c r="Q66" s="132"/>
      <c r="R66" s="132"/>
      <c r="S66" s="132"/>
      <c r="T66" s="132"/>
      <c r="U66" s="132"/>
      <c r="V66" s="132"/>
      <c r="W66" s="132"/>
      <c r="X66" s="132"/>
      <c r="Y66" s="132"/>
      <c r="Z66" s="132"/>
      <c r="AA66" s="132"/>
      <c r="AB66" s="132"/>
      <c r="AC66" s="132"/>
      <c r="AD66" s="132"/>
      <c r="AE66" s="132"/>
      <c r="AF66" s="132"/>
      <c r="AG66" s="132"/>
      <c r="AH66" s="132"/>
      <c r="AI66" s="132"/>
      <c r="AJ66" s="132"/>
      <c r="AK66" s="132"/>
      <c r="AL66" s="132"/>
      <c r="AM66" s="132"/>
      <c r="AN66" s="132"/>
      <c r="AO66" s="132"/>
      <c r="AP66" s="132"/>
      <c r="AQ66" s="132"/>
      <c r="AR66" s="132"/>
      <c r="AS66" s="132"/>
      <c r="AT66" s="132"/>
      <c r="AU66" s="132"/>
      <c r="AV66" s="132"/>
      <c r="AW66" s="132"/>
      <c r="AX66" s="132"/>
      <c r="AY66" s="132"/>
      <c r="AZ66" s="132"/>
      <c r="BA66" s="132"/>
      <c r="BB66" s="132"/>
    </row>
    <row r="67" spans="2:55" x14ac:dyDescent="0.3">
      <c r="W67" s="59"/>
      <c r="AA67" s="59"/>
      <c r="AE67" s="59"/>
      <c r="AI67" s="59"/>
      <c r="AM67" s="59"/>
      <c r="AQ67" s="59"/>
      <c r="AU67" s="59"/>
      <c r="AY67" s="59"/>
      <c r="BC67" s="59"/>
    </row>
    <row r="68" spans="2:55" x14ac:dyDescent="0.3">
      <c r="C68" s="29" t="s">
        <v>106</v>
      </c>
      <c r="D68" s="102">
        <v>1</v>
      </c>
      <c r="E68" s="102"/>
      <c r="F68" s="102"/>
      <c r="G68" s="59"/>
      <c r="H68" s="118">
        <v>0.99</v>
      </c>
      <c r="I68" s="119"/>
      <c r="J68" s="120"/>
      <c r="K68" s="59"/>
      <c r="L68" s="118">
        <v>0.98</v>
      </c>
      <c r="M68" s="119"/>
      <c r="N68" s="120"/>
      <c r="O68" s="59"/>
      <c r="P68" s="118">
        <v>0.97</v>
      </c>
      <c r="Q68" s="119"/>
      <c r="R68" s="120"/>
      <c r="S68" s="59"/>
      <c r="T68" s="118">
        <v>0.96</v>
      </c>
      <c r="U68" s="119"/>
      <c r="V68" s="120"/>
      <c r="W68" s="59"/>
      <c r="X68" s="118">
        <v>0.95</v>
      </c>
      <c r="Y68" s="119"/>
      <c r="Z68" s="120"/>
      <c r="AA68" s="59"/>
      <c r="AB68" s="118">
        <v>0.9</v>
      </c>
      <c r="AC68" s="119"/>
      <c r="AD68" s="120"/>
      <c r="AE68" s="59"/>
      <c r="AF68" s="118">
        <v>0.85</v>
      </c>
      <c r="AG68" s="119"/>
      <c r="AH68" s="120"/>
      <c r="AI68" s="59"/>
      <c r="AJ68" s="118">
        <v>0.8</v>
      </c>
      <c r="AK68" s="119"/>
      <c r="AL68" s="120"/>
      <c r="AM68" s="59"/>
      <c r="AN68" s="118">
        <v>0.75</v>
      </c>
      <c r="AO68" s="119"/>
      <c r="AP68" s="120"/>
      <c r="AQ68" s="59"/>
      <c r="AR68" s="118">
        <v>0.7</v>
      </c>
      <c r="AS68" s="119"/>
      <c r="AT68" s="120"/>
      <c r="AU68" s="59"/>
      <c r="AV68" s="118">
        <v>0.65</v>
      </c>
      <c r="AW68" s="119"/>
      <c r="AX68" s="120"/>
      <c r="AY68" s="59"/>
      <c r="AZ68" s="118">
        <v>0.6</v>
      </c>
      <c r="BA68" s="119"/>
      <c r="BB68" s="120"/>
      <c r="BC68" s="59"/>
    </row>
    <row r="69" spans="2:55" x14ac:dyDescent="0.3">
      <c r="B69" s="58" t="s">
        <v>107</v>
      </c>
      <c r="C69" s="30" t="s">
        <v>105</v>
      </c>
      <c r="D69" s="58" t="s">
        <v>103</v>
      </c>
      <c r="E69" s="58" t="s">
        <v>104</v>
      </c>
      <c r="F69" s="58" t="s">
        <v>108</v>
      </c>
      <c r="G69" s="59"/>
      <c r="H69" s="58" t="s">
        <v>103</v>
      </c>
      <c r="I69" s="58" t="s">
        <v>104</v>
      </c>
      <c r="J69" s="58" t="s">
        <v>108</v>
      </c>
      <c r="K69" s="59"/>
      <c r="L69" s="58" t="s">
        <v>103</v>
      </c>
      <c r="M69" s="58" t="s">
        <v>104</v>
      </c>
      <c r="N69" s="58" t="s">
        <v>108</v>
      </c>
      <c r="O69" s="59"/>
      <c r="P69" s="58" t="s">
        <v>103</v>
      </c>
      <c r="Q69" s="58" t="s">
        <v>104</v>
      </c>
      <c r="R69" s="58" t="s">
        <v>108</v>
      </c>
      <c r="S69" s="59"/>
      <c r="T69" s="58" t="s">
        <v>103</v>
      </c>
      <c r="U69" s="58" t="s">
        <v>104</v>
      </c>
      <c r="V69" s="58" t="s">
        <v>108</v>
      </c>
      <c r="W69" s="59"/>
      <c r="X69" s="58" t="s">
        <v>103</v>
      </c>
      <c r="Y69" s="58" t="s">
        <v>104</v>
      </c>
      <c r="Z69" s="58" t="s">
        <v>108</v>
      </c>
      <c r="AA69" s="59"/>
      <c r="AB69" s="58" t="s">
        <v>103</v>
      </c>
      <c r="AC69" s="58" t="s">
        <v>104</v>
      </c>
      <c r="AD69" s="58" t="s">
        <v>108</v>
      </c>
      <c r="AE69" s="59"/>
      <c r="AF69" s="58" t="s">
        <v>103</v>
      </c>
      <c r="AG69" s="58" t="s">
        <v>104</v>
      </c>
      <c r="AH69" s="58" t="s">
        <v>108</v>
      </c>
      <c r="AI69" s="59"/>
      <c r="AJ69" s="58" t="s">
        <v>103</v>
      </c>
      <c r="AK69" s="58" t="s">
        <v>104</v>
      </c>
      <c r="AL69" s="58" t="s">
        <v>108</v>
      </c>
      <c r="AM69" s="59"/>
      <c r="AN69" s="58" t="s">
        <v>103</v>
      </c>
      <c r="AO69" s="58" t="s">
        <v>104</v>
      </c>
      <c r="AP69" s="58" t="s">
        <v>108</v>
      </c>
      <c r="AQ69" s="59"/>
      <c r="AR69" s="58" t="s">
        <v>103</v>
      </c>
      <c r="AS69" s="58" t="s">
        <v>104</v>
      </c>
      <c r="AT69" s="58" t="s">
        <v>108</v>
      </c>
      <c r="AU69" s="59"/>
      <c r="AV69" s="58" t="s">
        <v>103</v>
      </c>
      <c r="AW69" s="58" t="s">
        <v>104</v>
      </c>
      <c r="AX69" s="58" t="s">
        <v>108</v>
      </c>
      <c r="AY69" s="59"/>
      <c r="AZ69" s="58" t="s">
        <v>103</v>
      </c>
      <c r="BA69" s="58" t="s">
        <v>104</v>
      </c>
      <c r="BB69" s="58" t="s">
        <v>108</v>
      </c>
      <c r="BC69" s="59"/>
    </row>
    <row r="70" spans="2:55" x14ac:dyDescent="0.3">
      <c r="B70" s="42">
        <v>0</v>
      </c>
      <c r="C70" s="42">
        <v>10</v>
      </c>
      <c r="D70" s="37">
        <f>EGR!E$32</f>
        <v>2140.9279430000001</v>
      </c>
      <c r="E70" s="37">
        <f>(((4.7*10^13)*'O2N2 @ EGR'!$H$20*('O2N2 @ EGR'!$G$20^0.5)*(EXP(-67837/D70))/('Goal Seek 6th order'!$P$27*6))*('Goal Seek 6th order'!$P$28*10^-6))</f>
        <v>0</v>
      </c>
      <c r="F70" s="37">
        <f>(SUM(E70:E85)/'O2N2 @ EGR'!$J20)*10^6</f>
        <v>0</v>
      </c>
      <c r="G70" s="3"/>
      <c r="H70" s="37">
        <f>EGR!E$33</f>
        <v>2127.3411219999998</v>
      </c>
      <c r="I70" s="37">
        <f>(((4.7*10^13)*'O2N2 @ EGR'!$H$21*('O2N2 @ EGR'!$G$21^0.5)*(EXP(-67837/H70))/('Goal Seek 6th order'!$P$27*6))*('Goal Seek 6th order'!$P$28*10^-6))</f>
        <v>7.1454359742018373E-12</v>
      </c>
      <c r="J70" s="37">
        <f>(SUM(I70:I85)/'O2N2 @ EGR'!$J21)*10^6</f>
        <v>1414.4928670716349</v>
      </c>
      <c r="L70" s="37">
        <f>EGR!E$34</f>
        <v>2113.6964619999999</v>
      </c>
      <c r="M70" s="37">
        <f>(((4.7*10^13)*'O2N2 @ EGR'!$H$22*('O2N2 @ EGR'!$G$22^0.5)*(EXP(-67837/L70))/('Goal Seek 6th order'!$P$27*6))*('Goal Seek 6th order'!$P$28*10^-6))</f>
        <v>8.2272022998153392E-12</v>
      </c>
      <c r="N70" s="37">
        <f>(SUM(M70:M85)/'O2N2 @ EGR'!$J22)*10^6</f>
        <v>1684.056161518087</v>
      </c>
      <c r="P70" s="37">
        <f>EGR!E$35</f>
        <v>2099.9931259999998</v>
      </c>
      <c r="Q70" s="37">
        <f>(((4.7*10^13)*'O2N2 @ EGR'!$H$23*('O2N2 @ EGR'!$G$23^0.5)*(EXP(-67837/P70))/('Goal Seek 6th order'!$P$27*6))*('Goal Seek 6th order'!$P$28*10^-6))</f>
        <v>8.1743378501326826E-12</v>
      </c>
      <c r="R70" s="37">
        <f>(SUM(Q70:Q85)/'O2N2 @ EGR'!$J23)*10^6</f>
        <v>1731.2132134887277</v>
      </c>
      <c r="T70" s="37">
        <f>EGR!E$36</f>
        <v>2086.230274</v>
      </c>
      <c r="U70" s="37">
        <f>(((4.7*10^13)*'O2N2 @ EGR'!$H$24*('O2N2 @ EGR'!$G$24^0.5)*(EXP(-67837/T70))/('Goal Seek 6th order'!$P$27*6))*('Goal Seek 6th order'!$P$28*10^-6))</f>
        <v>7.6292014746870292E-12</v>
      </c>
      <c r="V70" s="37">
        <f>(SUM(U70:U85)/'O2N2 @ EGR'!$J24)*10^6</f>
        <v>1672.7822274783548</v>
      </c>
      <c r="W70" s="59"/>
      <c r="X70" s="37">
        <f>EGR!E$37</f>
        <v>2072.407064</v>
      </c>
      <c r="Y70" s="37">
        <f>(((4.7*10^13)*'O2N2 @ EGR'!$H$25*('O2N2 @ EGR'!$G$25^0.5)*(EXP(-67837/X70))/('Goal Seek 6th order'!$P$27*6))*('Goal Seek 6th order'!$P$28*10^-6))</f>
        <v>6.8682800993576688E-12</v>
      </c>
      <c r="Z70" s="37">
        <f>(SUM(Y70:Y85)/'O2N2 @ EGR'!$J25)*10^6</f>
        <v>1560.0814166945061</v>
      </c>
      <c r="AA70" s="59"/>
      <c r="AB70" s="37">
        <f>EGR!E$38</f>
        <v>2002.3559749999999</v>
      </c>
      <c r="AC70" s="37">
        <f>(((4.7*10^13)*'O2N2 @ EGR'!$H$26*('O2N2 @ EGR'!$G$26^0.5)*(EXP(-67837/AB70))/('Goal Seek 6th order'!$P$27*6))*('Goal Seek 6th order'!$P$28*10^-6))</f>
        <v>3.0943292225187253E-12</v>
      </c>
      <c r="AD70" s="37">
        <f>(SUM(AC70:AC85)/'O2N2 @ EGR'!$J26)*10^6</f>
        <v>847.23707278678819</v>
      </c>
      <c r="AE70" s="59"/>
      <c r="AF70" s="37">
        <f>EGR!E$39</f>
        <v>1930.6681510000001</v>
      </c>
      <c r="AG70" s="37">
        <f>(((4.7*10^13)*'O2N2 @ EGR'!$H$27*('O2N2 @ EGR'!$G$27^0.5)*(EXP(-67837/AF70))/('Goal Seek 6th order'!$P$27*6))*('Goal Seek 6th order'!$P$28*10^-6))</f>
        <v>1.0785275381245388E-12</v>
      </c>
      <c r="AH70" s="37">
        <f>(SUM(AG70:AG85)/'O2N2 @ EGR'!$J27)*10^6</f>
        <v>362.81497964706728</v>
      </c>
      <c r="AI70" s="59"/>
      <c r="AJ70" s="37">
        <f>EGR!E$40</f>
        <v>1857.232825</v>
      </c>
      <c r="AK70" s="37">
        <f>(((4.7*10^13)*'O2N2 @ EGR'!$H$28*('O2N2 @ EGR'!$G$28^0.5)*(EXP(-67837/AJ70))/('Goal Seek 6th order'!$P$27*6))*('Goal Seek 6th order'!$P$28*10^-6))</f>
        <v>3.1079422864904981E-13</v>
      </c>
      <c r="AL70" s="37">
        <f>(SUM(AK70:AK85)/'O2N2 @ EGR'!$J28)*10^6</f>
        <v>131.3445468000231</v>
      </c>
      <c r="AM70" s="59"/>
      <c r="AN70" s="37">
        <f>EGR!E$41</f>
        <v>1781.9362269999999</v>
      </c>
      <c r="AO70" s="37">
        <f>(((4.7*10^13)*'O2N2 @ EGR'!$H$29*('O2N2 @ EGR'!$G$29^0.5)*(EXP(-67837/AN70))/('Goal Seek 6th order'!$P$27*6))*('Goal Seek 6th order'!$P$28*10^-6))</f>
        <v>7.4331097836482679E-14</v>
      </c>
      <c r="AP70" s="37">
        <f>(SUM(AO70:AO85)/'O2N2 @ EGR'!$J29)*10^6</f>
        <v>40.511438520465148</v>
      </c>
      <c r="AQ70" s="59"/>
      <c r="AR70" s="37">
        <f>EGR!E$42</f>
        <v>1704.6544630000001</v>
      </c>
      <c r="AS70" s="37">
        <f>(((4.7*10^13)*'O2N2 @ EGR'!$H$30*('O2N2 @ EGR'!$G$30^0.5)*(EXP(-67837/AR70))/('Goal Seek 6th order'!$P$27*6))*('Goal Seek 6th order'!$P$28*10^-6))</f>
        <v>1.4512893292667424E-14</v>
      </c>
      <c r="AT70" s="37">
        <f>(SUM(AS70:AS85)/'O2N2 @ EGR'!$J30)*10^6</f>
        <v>10.523350058323867</v>
      </c>
      <c r="AU70" s="59"/>
      <c r="AV70" s="37">
        <f>EGR!E$43</f>
        <v>1625.254758</v>
      </c>
      <c r="AW70" s="37">
        <f>(((4.7*10^13)*'O2N2 @ EGR'!$H$31*('O2N2 @ EGR'!$G$31^0.5)*(EXP(-67837/AV70))/('Goal Seek 6th order'!$P$27*6))*('Goal Seek 6th order'!$P$28*10^-6))</f>
        <v>2.2461515802309052E-15</v>
      </c>
      <c r="AX70" s="37">
        <f>(SUM(AW70:AW85)/'O2N2 @ EGR'!$J31)*10^6</f>
        <v>2.249393628736275</v>
      </c>
      <c r="AY70" s="59"/>
      <c r="AZ70" s="37">
        <f>EGR!E$44</f>
        <v>1543.588841</v>
      </c>
      <c r="BA70" s="37">
        <f>(((4.7*10^13)*'O2N2 @ EGR'!$H$32*('O2N2 @ EGR'!$G$32^0.5)*(EXP(-67837/AZ70))/('Goal Seek 6th order'!$P$27*6))*('Goal Seek 6th order'!$P$28*10^-6))</f>
        <v>2.6419973589481023E-16</v>
      </c>
      <c r="BB70" s="37">
        <f>(SUM(BA70:BA85)/'O2N2 @ EGR'!$J32)*10^6</f>
        <v>0.38238877149160722</v>
      </c>
      <c r="BC70" s="59"/>
    </row>
    <row r="71" spans="2:55" x14ac:dyDescent="0.3">
      <c r="B71" s="42">
        <v>1</v>
      </c>
      <c r="C71" s="42">
        <v>12</v>
      </c>
      <c r="D71" s="37">
        <f>D70*(C71/C70)^(('Goal Seek 6th order'!$P$26-1)/'Goal Seek 6th order'!$P$26)</f>
        <v>2198.4015314031667</v>
      </c>
      <c r="E71" s="37">
        <f>(((4.7*10^13)*'O2N2 @ EGR'!$H$20*('O2N2 @ EGR'!$G$20^0.5)*(EXP(-67837/D71))/('Goal Seek 6th order'!$P$27*6))*('Goal Seek 6th order'!$P$28*10^-6))</f>
        <v>0</v>
      </c>
      <c r="F71" s="3"/>
      <c r="G71" s="3"/>
      <c r="H71" s="37">
        <f>H70*(C71/C70)^(('Goal Seek 6th order'!$P$26-1)/'Goal Seek 6th order'!$P$26)</f>
        <v>2184.4499697959845</v>
      </c>
      <c r="I71" s="37">
        <f>(((4.7*10^13)*'O2N2 @ EGR'!$H$21*('O2N2 @ EGR'!$G$21^0.5)*(EXP(-67837/H71))/('Goal Seek 6th order'!$P$27*6))*('Goal Seek 6th order'!$P$28*10^-6))</f>
        <v>1.6446905438292248E-11</v>
      </c>
      <c r="L71" s="37">
        <f>L70*(C71/C70)^(('Goal Seek 6th order'!$P$26-1)/'Goal Seek 6th order'!$P$26)</f>
        <v>2170.4390164906426</v>
      </c>
      <c r="M71" s="37">
        <f>(((4.7*10^13)*'O2N2 @ EGR'!$H$22*('O2N2 @ EGR'!$G$22^0.5)*(EXP(-67837/L71))/('Goal Seek 6th order'!$P$27*6))*('Goal Seek 6th order'!$P$28*10^-6))</f>
        <v>1.903903078287886E-11</v>
      </c>
      <c r="P71" s="37">
        <f>P70*(C71/C70)^(('Goal Seek 6th order'!$P$26-1)/'Goal Seek 6th order'!$P$26)</f>
        <v>2156.3678120177265</v>
      </c>
      <c r="Q71" s="37">
        <f>(((4.7*10^13)*'O2N2 @ EGR'!$H$23*('O2N2 @ EGR'!$G$23^0.5)*(EXP(-67837/P71))/('Goal Seek 6th order'!$P$27*6))*('Goal Seek 6th order'!$P$28*10^-6))</f>
        <v>1.9020549436756911E-11</v>
      </c>
      <c r="T71" s="37">
        <f>T70*(C71/C70)^(('Goal Seek 6th order'!$P$26-1)/'Goal Seek 6th order'!$P$26)</f>
        <v>2142.2354938272892</v>
      </c>
      <c r="U71" s="37">
        <f>(((4.7*10^13)*'O2N2 @ EGR'!$H$24*('O2N2 @ EGR'!$G$24^0.5)*(EXP(-67837/T71))/('Goal Seek 6th order'!$P$27*6))*('Goal Seek 6th order'!$P$28*10^-6))</f>
        <v>1.785127095236205E-11</v>
      </c>
      <c r="W71" s="59"/>
      <c r="X71" s="37">
        <f>X70*(C71/C70)^(('Goal Seek 6th order'!$P$26-1)/'Goal Seek 6th order'!$P$26)</f>
        <v>2128.0411973156911</v>
      </c>
      <c r="Y71" s="37">
        <f>(((4.7*10^13)*'O2N2 @ EGR'!$H$25*('O2N2 @ EGR'!$G$25^0.5)*(EXP(-67837/X71))/('Goal Seek 6th order'!$P$27*6))*('Goal Seek 6th order'!$P$28*10^-6))</f>
        <v>1.6162204553149006E-11</v>
      </c>
      <c r="AA71" s="59"/>
      <c r="AB71" s="37">
        <f>AB70*(C71/C70)^(('Goal Seek 6th order'!$P$26-1)/'Goal Seek 6th order'!$P$26)</f>
        <v>2056.1095744707554</v>
      </c>
      <c r="AC71" s="37">
        <f>(((4.7*10^13)*'O2N2 @ EGR'!$H$26*('O2N2 @ EGR'!$G$26^0.5)*(EXP(-67837/AB71))/('Goal Seek 6th order'!$P$27*6))*('Goal Seek 6th order'!$P$28*10^-6))</f>
        <v>7.5027614486271139E-12</v>
      </c>
      <c r="AE71" s="59"/>
      <c r="AF71" s="37">
        <f>AF70*(C71/C70)^(('Goal Seek 6th order'!$P$26-1)/'Goal Seek 6th order'!$P$26)</f>
        <v>1982.4972781859383</v>
      </c>
      <c r="AG71" s="37">
        <f>(((4.7*10^13)*'O2N2 @ EGR'!$H$27*('O2N2 @ EGR'!$G$27^0.5)*(EXP(-67837/AF71))/('Goal Seek 6th order'!$P$27*6))*('Goal Seek 6th order'!$P$28*10^-6))</f>
        <v>2.702517441008845E-12</v>
      </c>
      <c r="AI71" s="59"/>
      <c r="AJ71" s="37">
        <f>AJ70*(C71/C70)^(('Goal Seek 6th order'!$P$26-1)/'Goal Seek 6th order'!$P$26)</f>
        <v>1907.0905679015789</v>
      </c>
      <c r="AK71" s="37">
        <f>(((4.7*10^13)*'O2N2 @ EGR'!$H$28*('O2N2 @ EGR'!$G$28^0.5)*(EXP(-67837/AJ71))/('Goal Seek 6th order'!$P$27*6))*('Goal Seek 6th order'!$P$28*10^-6))</f>
        <v>8.0757760137109529E-13</v>
      </c>
      <c r="AM71" s="59"/>
      <c r="AN71" s="37">
        <f>AN70*(C71/C70)^(('Goal Seek 6th order'!$P$26-1)/'Goal Seek 6th order'!$P$26)</f>
        <v>1829.772619441952</v>
      </c>
      <c r="AO71" s="37">
        <f>(((4.7*10^13)*'O2N2 @ EGR'!$H$29*('O2N2 @ EGR'!$G$29^0.5)*(EXP(-67837/AN71))/('Goal Seek 6th order'!$P$27*6))*('Goal Seek 6th order'!$P$28*10^-6))</f>
        <v>2.0109704963929607E-13</v>
      </c>
      <c r="AQ71" s="59"/>
      <c r="AR71" s="37">
        <f>AR70*(C71/C70)^(('Goal Seek 6th order'!$P$26-1)/'Goal Seek 6th order'!$P$26)</f>
        <v>1750.4162128507669</v>
      </c>
      <c r="AS71" s="37">
        <f>(((4.7*10^13)*'O2N2 @ EGR'!$H$30*('O2N2 @ EGR'!$G$30^0.5)*(EXP(-67837/AR71))/('Goal Seek 6th order'!$P$27*6))*('Goal Seek 6th order'!$P$28*10^-6))</f>
        <v>4.1075688568346824E-14</v>
      </c>
      <c r="AU71" s="59"/>
      <c r="AV71" s="37">
        <f>AV70*(C71/C70)^(('Goal Seek 6th order'!$P$26-1)/'Goal Seek 6th order'!$P$26)</f>
        <v>1668.8850087597193</v>
      </c>
      <c r="AW71" s="37">
        <f>(((4.7*10^13)*'O2N2 @ EGR'!$H$31*('O2N2 @ EGR'!$G$31^0.5)*(EXP(-67837/AV71))/('Goal Seek 6th order'!$P$27*6))*('Goal Seek 6th order'!$P$28*10^-6))</f>
        <v>6.6887277489205698E-15</v>
      </c>
      <c r="AY71" s="59"/>
      <c r="AZ71" s="37">
        <f>AZ70*(C71/C70)^(('Goal Seek 6th order'!$P$26-1)/'Goal Seek 6th order'!$P$26)</f>
        <v>1585.0267558076516</v>
      </c>
      <c r="BA71" s="37">
        <f>(((4.7*10^13)*'O2N2 @ EGR'!$H$32*('O2N2 @ EGR'!$G$32^0.5)*(EXP(-67837/AZ71))/('Goal Seek 6th order'!$P$27*6))*('Goal Seek 6th order'!$P$28*10^-6))</f>
        <v>8.3350742704906303E-16</v>
      </c>
      <c r="BC71" s="59"/>
    </row>
    <row r="72" spans="2:55" x14ac:dyDescent="0.3">
      <c r="B72" s="42">
        <v>2</v>
      </c>
      <c r="C72" s="42">
        <v>14</v>
      </c>
      <c r="D72" s="37">
        <f>D71*(C72/C71)^(('Goal Seek 6th order'!$P$26-1)/'Goal Seek 6th order'!$P$26)</f>
        <v>2248.1968202049125</v>
      </c>
      <c r="E72" s="37">
        <f>(((4.7*10^13)*'O2N2 @ EGR'!$H$20*('O2N2 @ EGR'!$G$20^0.5)*(EXP(-67837/D72))/('Goal Seek 6th order'!$P$27*6))*('Goal Seek 6th order'!$P$28*10^-6))</f>
        <v>0</v>
      </c>
      <c r="F72" s="3"/>
      <c r="G72" s="3"/>
      <c r="H72" s="37">
        <f>H71*(C72/C71)^(('Goal Seek 6th order'!$P$26-1)/'Goal Seek 6th order'!$P$26)</f>
        <v>2233.9292462453272</v>
      </c>
      <c r="I72" s="37">
        <f>(((4.7*10^13)*'O2N2 @ EGR'!$H$21*('O2N2 @ EGR'!$G$21^0.5)*(EXP(-67837/H72))/('Goal Seek 6th order'!$P$27*6))*('Goal Seek 6th order'!$P$28*10^-6))</f>
        <v>3.2719235054249964E-11</v>
      </c>
      <c r="L72" s="37">
        <f>L71*(C72/C71)^(('Goal Seek 6th order'!$P$26-1)/'Goal Seek 6th order'!$P$26)</f>
        <v>2219.6009353252543</v>
      </c>
      <c r="M72" s="37">
        <f>(((4.7*10^13)*'O2N2 @ EGR'!$H$22*('O2N2 @ EGR'!$G$22^0.5)*(EXP(-67837/L72))/('Goal Seek 6th order'!$P$27*6))*('Goal Seek 6th order'!$P$28*10^-6))</f>
        <v>3.8044520871006002E-11</v>
      </c>
      <c r="P72" s="37">
        <f>P71*(C72/C71)^(('Goal Seek 6th order'!$P$26-1)/'Goal Seek 6th order'!$P$26)</f>
        <v>2205.2110085077124</v>
      </c>
      <c r="Q72" s="37">
        <f>(((4.7*10^13)*'O2N2 @ EGR'!$H$23*('O2N2 @ EGR'!$G$23^0.5)*(EXP(-67837/P72))/('Goal Seek 6th order'!$P$27*6))*('Goal Seek 6th order'!$P$28*10^-6))</f>
        <v>3.8179671784297206E-11</v>
      </c>
      <c r="T72" s="37">
        <f>T71*(C72/C71)^(('Goal Seek 6th order'!$P$26-1)/'Goal Seek 6th order'!$P$26)</f>
        <v>2190.758583705413</v>
      </c>
      <c r="U72" s="37">
        <f>(((4.7*10^13)*'O2N2 @ EGR'!$H$24*('O2N2 @ EGR'!$G$24^0.5)*(EXP(-67837/T72))/('Goal Seek 6th order'!$P$27*6))*('Goal Seek 6th order'!$P$28*10^-6))</f>
        <v>3.5997686102187871E-11</v>
      </c>
      <c r="W72" s="59"/>
      <c r="X72" s="37">
        <f>X71*(C72/C71)^(('Goal Seek 6th order'!$P$26-1)/'Goal Seek 6th order'!$P$26)</f>
        <v>2176.242776730855</v>
      </c>
      <c r="Y72" s="37">
        <f>(((4.7*10^13)*'O2N2 @ EGR'!$H$25*('O2N2 @ EGR'!$G$25^0.5)*(EXP(-67837/X72))/('Goal Seek 6th order'!$P$27*6))*('Goal Seek 6th order'!$P$28*10^-6))</f>
        <v>3.2744457419474846E-11</v>
      </c>
      <c r="AA72" s="59"/>
      <c r="AB72" s="37">
        <f>AB71*(C72/C71)^(('Goal Seek 6th order'!$P$26-1)/'Goal Seek 6th order'!$P$26)</f>
        <v>2102.6818537410745</v>
      </c>
      <c r="AC72" s="37">
        <f>(((4.7*10^13)*'O2N2 @ EGR'!$H$26*('O2N2 @ EGR'!$G$26^0.5)*(EXP(-67837/AB72))/('Goal Seek 6th order'!$P$27*6))*('Goal Seek 6th order'!$P$28*10^-6))</f>
        <v>1.5580659468706041E-11</v>
      </c>
      <c r="AE72" s="59"/>
      <c r="AF72" s="37">
        <f>AF71*(C72/C71)^(('Goal Seek 6th order'!$P$26-1)/'Goal Seek 6th order'!$P$26)</f>
        <v>2027.4021889157514</v>
      </c>
      <c r="AG72" s="37">
        <f>(((4.7*10^13)*'O2N2 @ EGR'!$H$27*('O2N2 @ EGR'!$G$27^0.5)*(EXP(-67837/AF72))/('Goal Seek 6th order'!$P$27*6))*('Goal Seek 6th order'!$P$28*10^-6))</f>
        <v>5.7665664629839206E-12</v>
      </c>
      <c r="AI72" s="59"/>
      <c r="AJ72" s="37">
        <f>AJ71*(C72/C71)^(('Goal Seek 6th order'!$P$26-1)/'Goal Seek 6th order'!$P$26)</f>
        <v>1950.2874653942458</v>
      </c>
      <c r="AK72" s="37">
        <f>(((4.7*10^13)*'O2N2 @ EGR'!$H$28*('O2N2 @ EGR'!$G$28^0.5)*(EXP(-67837/AJ72))/('Goal Seek 6th order'!$P$27*6))*('Goal Seek 6th order'!$P$28*10^-6))</f>
        <v>1.7756103391460633E-12</v>
      </c>
      <c r="AM72" s="59"/>
      <c r="AN72" s="37">
        <f>AN71*(C72/C71)^(('Goal Seek 6th order'!$P$26-1)/'Goal Seek 6th order'!$P$26)</f>
        <v>1871.2182128538541</v>
      </c>
      <c r="AO72" s="37">
        <f>(((4.7*10^13)*'O2N2 @ EGR'!$H$29*('O2N2 @ EGR'!$G$29^0.5)*(EXP(-67837/AN72))/('Goal Seek 6th order'!$P$27*6))*('Goal Seek 6th order'!$P$28*10^-6))</f>
        <v>4.5711701082030482E-13</v>
      </c>
      <c r="AQ72" s="59"/>
      <c r="AR72" s="37">
        <f>AR71*(C72/C71)^(('Goal Seek 6th order'!$P$26-1)/'Goal Seek 6th order'!$P$26)</f>
        <v>1790.0643297198126</v>
      </c>
      <c r="AS72" s="37">
        <f>(((4.7*10^13)*'O2N2 @ EGR'!$H$30*('O2N2 @ EGR'!$G$30^0.5)*(EXP(-67837/AR72))/('Goal Seek 6th order'!$P$27*6))*('Goal Seek 6th order'!$P$28*10^-6))</f>
        <v>9.6911260628637362E-14</v>
      </c>
      <c r="AU72" s="59"/>
      <c r="AV72" s="37">
        <f>AV71*(C72/C71)^(('Goal Seek 6th order'!$P$26-1)/'Goal Seek 6th order'!$P$26)</f>
        <v>1706.6863884444635</v>
      </c>
      <c r="AW72" s="37">
        <f>(((4.7*10^13)*'O2N2 @ EGR'!$H$31*('O2N2 @ EGR'!$G$31^0.5)*(EXP(-67837/AV72))/('Goal Seek 6th order'!$P$27*6))*('Goal Seek 6th order'!$P$28*10^-6))</f>
        <v>1.6456787072893645E-14</v>
      </c>
      <c r="AY72" s="59"/>
      <c r="AZ72" s="37">
        <f>AZ71*(C72/C71)^(('Goal Seek 6th order'!$P$26-1)/'Goal Seek 6th order'!$P$26)</f>
        <v>1620.9286890698431</v>
      </c>
      <c r="BA72" s="37">
        <f>(((4.7*10^13)*'O2N2 @ EGR'!$H$32*('O2N2 @ EGR'!$G$32^0.5)*(EXP(-67837/AZ72))/('Goal Seek 6th order'!$P$27*6))*('Goal Seek 6th order'!$P$28*10^-6))</f>
        <v>2.1507876591005704E-15</v>
      </c>
      <c r="BC72" s="59"/>
    </row>
    <row r="73" spans="2:55" x14ac:dyDescent="0.3">
      <c r="B73" s="42">
        <v>3</v>
      </c>
      <c r="C73" s="42">
        <v>16</v>
      </c>
      <c r="D73" s="37">
        <f>D72*(C73/C72)^(('Goal Seek 6th order'!$P$26-1)/'Goal Seek 6th order'!$P$26)</f>
        <v>2292.2422314446744</v>
      </c>
      <c r="E73" s="37">
        <f>(((4.7*10^13)*'O2N2 @ EGR'!$H$20*('O2N2 @ EGR'!$G$20^0.5)*(EXP(-67837/D73))/('Goal Seek 6th order'!$P$27*6))*('Goal Seek 6th order'!$P$28*10^-6))</f>
        <v>0</v>
      </c>
      <c r="F73" s="3"/>
      <c r="G73" s="3"/>
      <c r="H73" s="37">
        <f>H72*(C73/C72)^(('Goal Seek 6th order'!$P$26-1)/'Goal Seek 6th order'!$P$26)</f>
        <v>2277.6951351777911</v>
      </c>
      <c r="I73" s="37">
        <f>(((4.7*10^13)*'O2N2 @ EGR'!$H$21*('O2N2 @ EGR'!$G$21^0.5)*(EXP(-67837/H73))/('Goal Seek 6th order'!$P$27*6))*('Goal Seek 6th order'!$P$28*10^-6))</f>
        <v>5.8642427654730272E-11</v>
      </c>
      <c r="L73" s="37">
        <f>L72*(C73/C72)^(('Goal Seek 6th order'!$P$26-1)/'Goal Seek 6th order'!$P$26)</f>
        <v>2263.0861120259538</v>
      </c>
      <c r="M73" s="37">
        <f>(((4.7*10^13)*'O2N2 @ EGR'!$H$22*('O2N2 @ EGR'!$G$22^0.5)*(EXP(-67837/L73))/('Goal Seek 6th order'!$P$27*6))*('Goal Seek 6th order'!$P$28*10^-6))</f>
        <v>6.8444217337285334E-11</v>
      </c>
      <c r="P73" s="37">
        <f>P72*(C73/C72)^(('Goal Seek 6th order'!$P$26-1)/'Goal Seek 6th order'!$P$26)</f>
        <v>2248.41426583254</v>
      </c>
      <c r="Q73" s="37">
        <f>(((4.7*10^13)*'O2N2 @ EGR'!$H$23*('O2N2 @ EGR'!$G$23^0.5)*(EXP(-67837/P73))/('Goal Seek 6th order'!$P$27*6))*('Goal Seek 6th order'!$P$28*10^-6))</f>
        <v>6.8951085321436833E-11</v>
      </c>
      <c r="T73" s="37">
        <f>T72*(C73/C72)^(('Goal Seek 6th order'!$P$26-1)/'Goal Seek 6th order'!$P$26)</f>
        <v>2233.6786972289028</v>
      </c>
      <c r="U73" s="37">
        <f>(((4.7*10^13)*'O2N2 @ EGR'!$H$24*('O2N2 @ EGR'!$G$24^0.5)*(EXP(-67837/T73))/('Goal Seek 6th order'!$P$27*6))*('Goal Seek 6th order'!$P$28*10^-6))</f>
        <v>6.5264499096267081E-11</v>
      </c>
      <c r="W73" s="59"/>
      <c r="X73" s="37">
        <f>X72*(C73/C72)^(('Goal Seek 6th order'!$P$26-1)/'Goal Seek 6th order'!$P$26)</f>
        <v>2218.8785047050342</v>
      </c>
      <c r="Y73" s="37">
        <f>(((4.7*10^13)*'O2N2 @ EGR'!$H$25*('O2N2 @ EGR'!$G$25^0.5)*(EXP(-67837/X73))/('Goal Seek 6th order'!$P$27*6))*('Goal Seek 6th order'!$P$28*10^-6))</f>
        <v>5.9602406893602517E-11</v>
      </c>
      <c r="AA73" s="59"/>
      <c r="AB73" s="37">
        <f>AB72*(C73/C72)^(('Goal Seek 6th order'!$P$26-1)/'Goal Seek 6th order'!$P$26)</f>
        <v>2143.8764173673894</v>
      </c>
      <c r="AC73" s="37">
        <f>(((4.7*10^13)*'O2N2 @ EGR'!$H$26*('O2N2 @ EGR'!$G$26^0.5)*(EXP(-67837/AB73))/('Goal Seek 6th order'!$P$27*6))*('Goal Seek 6th order'!$P$28*10^-6))</f>
        <v>2.8960907726259491E-11</v>
      </c>
      <c r="AE73" s="59"/>
      <c r="AF73" s="37">
        <f>AF72*(C73/C72)^(('Goal Seek 6th order'!$P$26-1)/'Goal Seek 6th order'!$P$26)</f>
        <v>2067.1219155680865</v>
      </c>
      <c r="AG73" s="37">
        <f>(((4.7*10^13)*'O2N2 @ EGR'!$H$27*('O2N2 @ EGR'!$G$27^0.5)*(EXP(-67837/AF73))/('Goal Seek 6th order'!$P$27*6))*('Goal Seek 6th order'!$P$28*10^-6))</f>
        <v>1.096832485864995E-11</v>
      </c>
      <c r="AI73" s="59"/>
      <c r="AJ73" s="37">
        <f>AJ72*(C73/C72)^(('Goal Seek 6th order'!$P$26-1)/'Goal Seek 6th order'!$P$26)</f>
        <v>1988.4964036317854</v>
      </c>
      <c r="AK73" s="37">
        <f>(((4.7*10^13)*'O2N2 @ EGR'!$H$28*('O2N2 @ EGR'!$G$28^0.5)*(EXP(-67837/AJ73))/('Goal Seek 6th order'!$P$27*6))*('Goal Seek 6th order'!$P$28*10^-6))</f>
        <v>3.4642657238011117E-12</v>
      </c>
      <c r="AM73" s="59"/>
      <c r="AN73" s="37">
        <f>AN72*(C73/C72)^(('Goal Seek 6th order'!$P$26-1)/'Goal Seek 6th order'!$P$26)</f>
        <v>1907.8780706402235</v>
      </c>
      <c r="AO73" s="37">
        <f>(((4.7*10^13)*'O2N2 @ EGR'!$H$29*('O2N2 @ EGR'!$G$29^0.5)*(EXP(-67837/AN73))/('Goal Seek 6th order'!$P$27*6))*('Goal Seek 6th order'!$P$28*10^-6))</f>
        <v>9.1739452527732621E-13</v>
      </c>
      <c r="AQ73" s="59"/>
      <c r="AR73" s="37">
        <f>AR72*(C73/C72)^(('Goal Seek 6th order'!$P$26-1)/'Goal Seek 6th order'!$P$26)</f>
        <v>1825.1342661415497</v>
      </c>
      <c r="AS73" s="37">
        <f>(((4.7*10^13)*'O2N2 @ EGR'!$H$30*('O2N2 @ EGR'!$G$30^0.5)*(EXP(-67837/AR73))/('Goal Seek 6th order'!$P$27*6))*('Goal Seek 6th order'!$P$28*10^-6))</f>
        <v>2.0073281166983356E-13</v>
      </c>
      <c r="AU73" s="59"/>
      <c r="AV73" s="37">
        <f>AV72*(C73/C72)^(('Goal Seek 6th order'!$P$26-1)/'Goal Seek 6th order'!$P$26)</f>
        <v>1740.1228310017877</v>
      </c>
      <c r="AW73" s="37">
        <f>(((4.7*10^13)*'O2N2 @ EGR'!$H$31*('O2N2 @ EGR'!$G$31^0.5)*(EXP(-67837/AV73))/('Goal Seek 6th order'!$P$27*6))*('Goal Seek 6th order'!$P$28*10^-6))</f>
        <v>3.5321478150484791E-14</v>
      </c>
      <c r="AY73" s="59"/>
      <c r="AZ73" s="37">
        <f>AZ72*(C73/C72)^(('Goal Seek 6th order'!$P$26-1)/'Goal Seek 6th order'!$P$26)</f>
        <v>1652.6850148767189</v>
      </c>
      <c r="BA73" s="37">
        <f>(((4.7*10^13)*'O2N2 @ EGR'!$H$32*('O2N2 @ EGR'!$G$32^0.5)*(EXP(-67837/AZ73))/('Goal Seek 6th order'!$P$27*6))*('Goal Seek 6th order'!$P$28*10^-6))</f>
        <v>4.8066236844990072E-15</v>
      </c>
      <c r="BC73" s="59"/>
    </row>
    <row r="74" spans="2:55" x14ac:dyDescent="0.3">
      <c r="B74" s="42">
        <v>4</v>
      </c>
      <c r="C74" s="42">
        <v>18</v>
      </c>
      <c r="D74" s="37">
        <f>D73*(C74/C73)^(('Goal Seek 6th order'!$P$26-1)/'Goal Seek 6th order'!$P$26)</f>
        <v>2331.8087484270523</v>
      </c>
      <c r="E74" s="37">
        <f>(((4.7*10^13)*'O2N2 @ EGR'!$H$20*('O2N2 @ EGR'!$G$20^0.5)*(EXP(-67837/D74))/('Goal Seek 6th order'!$P$27*6))*('Goal Seek 6th order'!$P$28*10^-6))</f>
        <v>0</v>
      </c>
      <c r="F74" s="3"/>
      <c r="G74" s="3"/>
      <c r="H74" s="37">
        <f>H73*(C74/C73)^(('Goal Seek 6th order'!$P$26-1)/'Goal Seek 6th order'!$P$26)</f>
        <v>2317.0105539456817</v>
      </c>
      <c r="I74" s="37">
        <f>(((4.7*10^13)*'O2N2 @ EGR'!$H$21*('O2N2 @ EGR'!$G$21^0.5)*(EXP(-67837/H74))/('Goal Seek 6th order'!$P$27*6))*('Goal Seek 6th order'!$P$28*10^-6))</f>
        <v>9.7205214289797812E-11</v>
      </c>
      <c r="L74" s="37">
        <f>L73*(C74/C73)^(('Goal Seek 6th order'!$P$26-1)/'Goal Seek 6th order'!$P$26)</f>
        <v>2302.1493636560504</v>
      </c>
      <c r="M74" s="37">
        <f>(((4.7*10^13)*'O2N2 @ EGR'!$H$22*('O2N2 @ EGR'!$G$22^0.5)*(EXP(-67837/L74))/('Goal Seek 6th order'!$P$27*6))*('Goal Seek 6th order'!$P$28*10^-6))</f>
        <v>1.1382330423085455E-10</v>
      </c>
      <c r="P74" s="37">
        <f>P73*(C74/C73)^(('Goal Seek 6th order'!$P$26-1)/'Goal Seek 6th order'!$P$26)</f>
        <v>2287.224265932929</v>
      </c>
      <c r="Q74" s="37">
        <f>(((4.7*10^13)*'O2N2 @ EGR'!$H$23*('O2N2 @ EGR'!$G$23^0.5)*(EXP(-67837/P74))/('Goal Seek 6th order'!$P$27*6))*('Goal Seek 6th order'!$P$28*10^-6))</f>
        <v>1.1504744083216863E-10</v>
      </c>
      <c r="T74" s="37">
        <f>T73*(C74/C73)^(('Goal Seek 6th order'!$P$26-1)/'Goal Seek 6th order'!$P$26)</f>
        <v>2272.2343458836185</v>
      </c>
      <c r="U74" s="37">
        <f>(((4.7*10^13)*'O2N2 @ EGR'!$H$24*('O2N2 @ EGR'!$G$24^0.5)*(EXP(-67837/T74))/('Goal Seek 6th order'!$P$27*6))*('Goal Seek 6th order'!$P$28*10^-6))</f>
        <v>1.092646335961837E-10</v>
      </c>
      <c r="W74" s="59"/>
      <c r="X74" s="37">
        <f>X73*(C74/C73)^(('Goal Seek 6th order'!$P$26-1)/'Goal Seek 6th order'!$P$26)</f>
        <v>2257.1786864370988</v>
      </c>
      <c r="Y74" s="37">
        <f>(((4.7*10^13)*'O2N2 @ EGR'!$H$25*('O2N2 @ EGR'!$G$25^0.5)*(EXP(-67837/X74))/('Goal Seek 6th order'!$P$27*6))*('Goal Seek 6th order'!$P$28*10^-6))</f>
        <v>1.0012884198335632E-10</v>
      </c>
      <c r="AA74" s="59"/>
      <c r="AB74" s="37">
        <f>AB73*(C74/C73)^(('Goal Seek 6th order'!$P$26-1)/'Goal Seek 6th order'!$P$26)</f>
        <v>2180.881984018356</v>
      </c>
      <c r="AC74" s="37">
        <f>(((4.7*10^13)*'O2N2 @ EGR'!$H$26*('O2N2 @ EGR'!$G$26^0.5)*(EXP(-67837/AB74))/('Goal Seek 6th order'!$P$27*6))*('Goal Seek 6th order'!$P$28*10^-6))</f>
        <v>4.9543806932657318E-11</v>
      </c>
      <c r="AE74" s="59"/>
      <c r="AF74" s="37">
        <f>AF73*(C74/C73)^(('Goal Seek 6th order'!$P$26-1)/'Goal Seek 6th order'!$P$26)</f>
        <v>2102.8026186172674</v>
      </c>
      <c r="AG74" s="37">
        <f>(((4.7*10^13)*'O2N2 @ EGR'!$H$27*('O2N2 @ EGR'!$G$27^0.5)*(EXP(-67837/AF74))/('Goal Seek 6th order'!$P$27*6))*('Goal Seek 6th order'!$P$28*10^-6))</f>
        <v>1.9141485321057504E-11</v>
      </c>
      <c r="AI74" s="59"/>
      <c r="AJ74" s="37">
        <f>AJ73*(C74/C73)^(('Goal Seek 6th order'!$P$26-1)/'Goal Seek 6th order'!$P$26)</f>
        <v>2022.8199474721357</v>
      </c>
      <c r="AK74" s="37">
        <f>(((4.7*10^13)*'O2N2 @ EGR'!$H$28*('O2N2 @ EGR'!$G$28^0.5)*(EXP(-67837/AJ74))/('Goal Seek 6th order'!$P$27*6))*('Goal Seek 6th order'!$P$28*10^-6))</f>
        <v>6.1802883743604771E-12</v>
      </c>
      <c r="AM74" s="59"/>
      <c r="AN74" s="37">
        <f>AN73*(C74/C73)^(('Goal Seek 6th order'!$P$26-1)/'Goal Seek 6th order'!$P$26)</f>
        <v>1940.8100570798574</v>
      </c>
      <c r="AO74" s="37">
        <f>(((4.7*10^13)*'O2N2 @ EGR'!$H$29*('O2N2 @ EGR'!$G$29^0.5)*(EXP(-67837/AN74))/('Goal Seek 6th order'!$P$27*6))*('Goal Seek 6th order'!$P$28*10^-6))</f>
        <v>1.6771681825453127E-12</v>
      </c>
      <c r="AQ74" s="59"/>
      <c r="AR74" s="37">
        <f>AR73*(C74/C73)^(('Goal Seek 6th order'!$P$26-1)/'Goal Seek 6th order'!$P$26)</f>
        <v>1856.6380073019664</v>
      </c>
      <c r="AS74" s="37">
        <f>(((4.7*10^13)*'O2N2 @ EGR'!$H$30*('O2N2 @ EGR'!$G$30^0.5)*(EXP(-67837/AR74))/('Goal Seek 6th order'!$P$27*6))*('Goal Seek 6th order'!$P$28*10^-6))</f>
        <v>3.7715314135734359E-13</v>
      </c>
      <c r="AU74" s="59"/>
      <c r="AV74" s="37">
        <f>AV73*(C74/C73)^(('Goal Seek 6th order'!$P$26-1)/'Goal Seek 6th order'!$P$26)</f>
        <v>1770.1591851879955</v>
      </c>
      <c r="AW74" s="37">
        <f>(((4.7*10^13)*'O2N2 @ EGR'!$H$31*('O2N2 @ EGR'!$G$31^0.5)*(EXP(-67837/AV74))/('Goal Seek 6th order'!$P$27*6))*('Goal Seek 6th order'!$P$28*10^-6))</f>
        <v>6.8441454120210209E-14</v>
      </c>
      <c r="AY74" s="59"/>
      <c r="AZ74" s="37">
        <f>AZ73*(C74/C73)^(('Goal Seek 6th order'!$P$26-1)/'Goal Seek 6th order'!$P$26)</f>
        <v>1681.2121001954588</v>
      </c>
      <c r="BA74" s="37">
        <f>(((4.7*10^13)*'O2N2 @ EGR'!$H$32*('O2N2 @ EGR'!$G$32^0.5)*(EXP(-67837/AZ74))/('Goal Seek 6th order'!$P$27*6))*('Goal Seek 6th order'!$P$28*10^-6))</f>
        <v>9.645383168216122E-15</v>
      </c>
      <c r="BC74" s="59"/>
    </row>
    <row r="75" spans="2:55" x14ac:dyDescent="0.3">
      <c r="B75" s="42">
        <v>5</v>
      </c>
      <c r="C75" s="42">
        <v>20</v>
      </c>
      <c r="D75" s="37">
        <f>D74*(C75/C74)^(('Goal Seek 6th order'!$P$26-1)/'Goal Seek 6th order'!$P$26)</f>
        <v>2367.7805656019486</v>
      </c>
      <c r="E75" s="37">
        <f>(((4.7*10^13)*'O2N2 @ EGR'!$H$20*('O2N2 @ EGR'!$G$20^0.5)*(EXP(-67837/D75))/('Goal Seek 6th order'!$P$27*6))*('Goal Seek 6th order'!$P$28*10^-6))</f>
        <v>0</v>
      </c>
      <c r="F75" s="3"/>
      <c r="G75" s="3"/>
      <c r="H75" s="37">
        <f>H74*(C75/C74)^(('Goal Seek 6th order'!$P$26-1)/'Goal Seek 6th order'!$P$26)</f>
        <v>2352.7540856976157</v>
      </c>
      <c r="I75" s="37">
        <f>(((4.7*10^13)*'O2N2 @ EGR'!$H$21*('O2N2 @ EGR'!$G$21^0.5)*(EXP(-67837/H75))/('Goal Seek 6th order'!$P$27*6))*('Goal Seek 6th order'!$P$28*10^-6))</f>
        <v>1.516566368352991E-10</v>
      </c>
      <c r="L75" s="37">
        <f>L74*(C75/C74)^(('Goal Seek 6th order'!$P$26-1)/'Goal Seek 6th order'!$P$26)</f>
        <v>2337.6636381756057</v>
      </c>
      <c r="M75" s="37">
        <f>(((4.7*10^13)*'O2N2 @ EGR'!$H$22*('O2N2 @ EGR'!$G$22^0.5)*(EXP(-67837/L75))/('Goal Seek 6th order'!$P$27*6))*('Goal Seek 6th order'!$P$28*10^-6))</f>
        <v>1.7809430841298999E-10</v>
      </c>
      <c r="P75" s="37">
        <f>P74*(C75/C74)^(('Goal Seek 6th order'!$P$26-1)/'Goal Seek 6th order'!$P$26)</f>
        <v>2322.5082973474373</v>
      </c>
      <c r="Q75" s="37">
        <f>(((4.7*10^13)*'O2N2 @ EGR'!$H$23*('O2N2 @ EGR'!$G$23^0.5)*(EXP(-67837/P75))/('Goal Seek 6th order'!$P$27*6))*('Goal Seek 6th order'!$P$28*10^-6))</f>
        <v>1.8053627549033918E-10</v>
      </c>
      <c r="T75" s="37">
        <f>T74*(C75/C74)^(('Goal Seek 6th order'!$P$26-1)/'Goal Seek 6th order'!$P$26)</f>
        <v>2307.2871342067524</v>
      </c>
      <c r="U75" s="37">
        <f>(((4.7*10^13)*'O2N2 @ EGR'!$H$24*('O2N2 @ EGR'!$G$24^0.5)*(EXP(-67837/T75))/('Goal Seek 6th order'!$P$27*6))*('Goal Seek 6th order'!$P$28*10^-6))</f>
        <v>1.7197213365082171E-10</v>
      </c>
      <c r="W75" s="59"/>
      <c r="X75" s="37">
        <f>X74*(C75/C74)^(('Goal Seek 6th order'!$P$26-1)/'Goal Seek 6th order'!$P$26)</f>
        <v>2291.9992175352681</v>
      </c>
      <c r="Y75" s="37">
        <f>(((4.7*10^13)*'O2N2 @ EGR'!$H$25*('O2N2 @ EGR'!$G$25^0.5)*(EXP(-67837/X75))/('Goal Seek 6th order'!$P$27*6))*('Goal Seek 6th order'!$P$28*10^-6))</f>
        <v>1.5807075581944178E-10</v>
      </c>
      <c r="AA75" s="59"/>
      <c r="AB75" s="37">
        <f>AB74*(C75/C74)^(('Goal Seek 6th order'!$P$26-1)/'Goal Seek 6th order'!$P$26)</f>
        <v>2214.525518490063</v>
      </c>
      <c r="AC75" s="37">
        <f>(((4.7*10^13)*'O2N2 @ EGR'!$H$26*('O2N2 @ EGR'!$G$26^0.5)*(EXP(-67837/AB75))/('Goal Seek 6th order'!$P$27*6))*('Goal Seek 6th order'!$P$28*10^-6))</f>
        <v>7.9472858888073649E-11</v>
      </c>
      <c r="AE75" s="59"/>
      <c r="AF75" s="37">
        <f>AF74*(C75/C74)^(('Goal Seek 6th order'!$P$26-1)/'Goal Seek 6th order'!$P$26)</f>
        <v>2135.241656082419</v>
      </c>
      <c r="AG75" s="37">
        <f>(((4.7*10^13)*'O2N2 @ EGR'!$H$27*('O2N2 @ EGR'!$G$27^0.5)*(EXP(-67837/AF75))/('Goal Seek 6th order'!$P$27*6))*('Goal Seek 6th order'!$P$28*10^-6))</f>
        <v>3.1248234932992752E-11</v>
      </c>
      <c r="AI75" s="59"/>
      <c r="AJ75" s="37">
        <f>AJ74*(C75/C74)^(('Goal Seek 6th order'!$P$26-1)/'Goal Seek 6th order'!$P$26)</f>
        <v>2054.0251264463054</v>
      </c>
      <c r="AK75" s="37">
        <f>(((4.7*10^13)*'O2N2 @ EGR'!$H$28*('O2N2 @ EGR'!$G$28^0.5)*(EXP(-67837/AJ75))/('Goal Seek 6th order'!$P$27*6))*('Goal Seek 6th order'!$P$28*10^-6))</f>
        <v>1.0286667889028948E-11</v>
      </c>
      <c r="AM75" s="59"/>
      <c r="AN75" s="37">
        <f>AN74*(C75/C74)^(('Goal Seek 6th order'!$P$26-1)/'Goal Seek 6th order'!$P$26)</f>
        <v>1970.7501045179549</v>
      </c>
      <c r="AO75" s="37">
        <f>(((4.7*10^13)*'O2N2 @ EGR'!$H$29*('O2N2 @ EGR'!$G$29^0.5)*(EXP(-67837/AN75))/('Goal Seek 6th order'!$P$27*6))*('Goal Seek 6th order'!$P$28*10^-6))</f>
        <v>2.8522809221408742E-12</v>
      </c>
      <c r="AQ75" s="59"/>
      <c r="AR75" s="37">
        <f>AR74*(C75/C74)^(('Goal Seek 6th order'!$P$26-1)/'Goal Seek 6th order'!$P$26)</f>
        <v>1885.2795684950452</v>
      </c>
      <c r="AS75" s="37">
        <f>(((4.7*10^13)*'O2N2 @ EGR'!$H$30*('O2N2 @ EGR'!$G$30^0.5)*(EXP(-67837/AR75))/('Goal Seek 6th order'!$P$27*6))*('Goal Seek 6th order'!$P$28*10^-6))</f>
        <v>6.5703505801234239E-13</v>
      </c>
      <c r="AU75" s="59"/>
      <c r="AV75" s="37">
        <f>AV74*(C75/C74)^(('Goal Seek 6th order'!$P$26-1)/'Goal Seek 6th order'!$P$26)</f>
        <v>1797.466674544916</v>
      </c>
      <c r="AW75" s="37">
        <f>(((4.7*10^13)*'O2N2 @ EGR'!$H$31*('O2N2 @ EGR'!$G$31^0.5)*(EXP(-67837/AV75))/('Goal Seek 6th order'!$P$27*6))*('Goal Seek 6th order'!$P$28*10^-6))</f>
        <v>1.2250878780556534E-13</v>
      </c>
      <c r="AY75" s="59"/>
      <c r="AZ75" s="37">
        <f>AZ74*(C75/C74)^(('Goal Seek 6th order'!$P$26-1)/'Goal Seek 6th order'!$P$26)</f>
        <v>1707.1474408794875</v>
      </c>
      <c r="BA75" s="37">
        <f>(((4.7*10^13)*'O2N2 @ EGR'!$H$32*('O2N2 @ EGR'!$G$32^0.5)*(EXP(-67837/AZ75))/('Goal Seek 6th order'!$P$27*6))*('Goal Seek 6th order'!$P$28*10^-6))</f>
        <v>1.7805116045104007E-14</v>
      </c>
      <c r="BC75" s="59"/>
    </row>
    <row r="76" spans="2:55" x14ac:dyDescent="0.3">
      <c r="B76" s="42">
        <v>6</v>
      </c>
      <c r="C76" s="42">
        <v>22</v>
      </c>
      <c r="D76" s="37">
        <f>D75*(C76/C75)^(('Goal Seek 6th order'!$P$26-1)/'Goal Seek 6th order'!$P$26)</f>
        <v>2400.7988444822108</v>
      </c>
      <c r="E76" s="37">
        <f>(((4.7*10^13)*'O2N2 @ EGR'!$H$20*('O2N2 @ EGR'!$G$20^0.5)*(EXP(-67837/D76))/('Goal Seek 6th order'!$P$27*6))*('Goal Seek 6th order'!$P$28*10^-6))</f>
        <v>0</v>
      </c>
      <c r="F76" s="3"/>
      <c r="G76" s="3"/>
      <c r="H76" s="37">
        <f>H75*(C76/C75)^(('Goal Seek 6th order'!$P$26-1)/'Goal Seek 6th order'!$P$26)</f>
        <v>2385.562822988054</v>
      </c>
      <c r="I76" s="37">
        <f>(((4.7*10^13)*'O2N2 @ EGR'!$H$21*('O2N2 @ EGR'!$G$21^0.5)*(EXP(-67837/H76))/('Goal Seek 6th order'!$P$27*6))*('Goal Seek 6th order'!$P$28*10^-6))</f>
        <v>2.2546402187446867E-10</v>
      </c>
      <c r="L76" s="37">
        <f>L75*(C76/C75)^(('Goal Seek 6th order'!$P$26-1)/'Goal Seek 6th order'!$P$26)</f>
        <v>2370.2619418591685</v>
      </c>
      <c r="M76" s="37">
        <f>(((4.7*10^13)*'O2N2 @ EGR'!$H$22*('O2N2 @ EGR'!$G$22^0.5)*(EXP(-67837/L76))/('Goal Seek 6th order'!$P$27*6))*('Goal Seek 6th order'!$P$28*10^-6))</f>
        <v>2.6544685463743335E-10</v>
      </c>
      <c r="P76" s="37">
        <f>P75*(C76/C75)^(('Goal Seek 6th order'!$P$26-1)/'Goal Seek 6th order'!$P$26)</f>
        <v>2354.8952624985113</v>
      </c>
      <c r="Q76" s="37">
        <f>(((4.7*10^13)*'O2N2 @ EGR'!$H$23*('O2N2 @ EGR'!$G$23^0.5)*(EXP(-67837/P76))/('Goal Seek 6th order'!$P$27*6))*('Goal Seek 6th order'!$P$28*10^-6))</f>
        <v>2.6978826596866131E-10</v>
      </c>
      <c r="T76" s="37">
        <f>T75*(C76/C75)^(('Goal Seek 6th order'!$P$26-1)/'Goal Seek 6th order'!$P$26)</f>
        <v>2339.461842944896</v>
      </c>
      <c r="U76" s="37">
        <f>(((4.7*10^13)*'O2N2 @ EGR'!$H$24*('O2N2 @ EGR'!$G$24^0.5)*(EXP(-67837/T76))/('Goal Seek 6th order'!$P$27*6))*('Goal Seek 6th order'!$P$28*10^-6))</f>
        <v>2.5767219687345517E-10</v>
      </c>
      <c r="W76" s="59"/>
      <c r="X76" s="37">
        <f>X75*(C76/C75)^(('Goal Seek 6th order'!$P$26-1)/'Goal Seek 6th order'!$P$26)</f>
        <v>2323.9607389943662</v>
      </c>
      <c r="Y76" s="37">
        <f>(((4.7*10^13)*'O2N2 @ EGR'!$H$25*('O2N2 @ EGR'!$G$25^0.5)*(EXP(-67837/X76))/('Goal Seek 6th order'!$P$27*6))*('Goal Seek 6th order'!$P$28*10^-6))</f>
        <v>2.3748290203653153E-10</v>
      </c>
      <c r="AA76" s="59"/>
      <c r="AB76" s="37">
        <f>AB75*(C76/C75)^(('Goal Seek 6th order'!$P$26-1)/'Goal Seek 6th order'!$P$26)</f>
        <v>2245.4066829945841</v>
      </c>
      <c r="AC76" s="37">
        <f>(((4.7*10^13)*'O2N2 @ EGR'!$H$26*('O2N2 @ EGR'!$G$26^0.5)*(EXP(-67837/AB76))/('Goal Seek 6th order'!$P$27*6))*('Goal Seek 6th order'!$P$28*10^-6))</f>
        <v>1.2111117364918927E-10</v>
      </c>
      <c r="AE76" s="59"/>
      <c r="AF76" s="37">
        <f>AF75*(C76/C75)^(('Goal Seek 6th order'!$P$26-1)/'Goal Seek 6th order'!$P$26)</f>
        <v>2165.0172212262096</v>
      </c>
      <c r="AG76" s="37">
        <f>(((4.7*10^13)*'O2N2 @ EGR'!$H$27*('O2N2 @ EGR'!$G$27^0.5)*(EXP(-67837/AF76))/('Goal Seek 6th order'!$P$27*6))*('Goal Seek 6th order'!$P$28*10^-6))</f>
        <v>4.8370945052412522E-11</v>
      </c>
      <c r="AI76" s="59"/>
      <c r="AJ76" s="37">
        <f>AJ75*(C76/C75)^(('Goal Seek 6th order'!$P$26-1)/'Goal Seek 6th order'!$P$26)</f>
        <v>2082.6681415285871</v>
      </c>
      <c r="AK76" s="37">
        <f>(((4.7*10^13)*'O2N2 @ EGR'!$H$28*('O2N2 @ EGR'!$G$28^0.5)*(EXP(-67837/AJ76))/('Goal Seek 6th order'!$P$27*6))*('Goal Seek 6th order'!$P$28*10^-6))</f>
        <v>1.6200816720699083E-11</v>
      </c>
      <c r="AM76" s="59"/>
      <c r="AN76" s="37">
        <f>AN75*(C76/C75)^(('Goal Seek 6th order'!$P$26-1)/'Goal Seek 6th order'!$P$26)</f>
        <v>1998.2318642298128</v>
      </c>
      <c r="AO76" s="37">
        <f>(((4.7*10^13)*'O2N2 @ EGR'!$H$29*('O2N2 @ EGR'!$G$29^0.5)*(EXP(-67837/AN76))/('Goal Seek 6th order'!$P$27*6))*('Goal Seek 6th order'!$P$28*10^-6))</f>
        <v>4.579203024662448E-12</v>
      </c>
      <c r="AQ76" s="59"/>
      <c r="AR76" s="37">
        <f>AR75*(C76/C75)^(('Goal Seek 6th order'!$P$26-1)/'Goal Seek 6th order'!$P$26)</f>
        <v>1911.5694567829003</v>
      </c>
      <c r="AS76" s="37">
        <f>(((4.7*10^13)*'O2N2 @ EGR'!$H$30*('O2N2 @ EGR'!$G$30^0.5)*(EXP(-67837/AR76))/('Goal Seek 6th order'!$P$27*6))*('Goal Seek 6th order'!$P$28*10^-6))</f>
        <v>1.0777227821531354E-12</v>
      </c>
      <c r="AU76" s="59"/>
      <c r="AV76" s="37">
        <f>AV75*(C76/C75)^(('Goal Seek 6th order'!$P$26-1)/'Goal Seek 6th order'!$P$26)</f>
        <v>1822.5320276440591</v>
      </c>
      <c r="AW76" s="37">
        <f>(((4.7*10^13)*'O2N2 @ EGR'!$H$31*('O2N2 @ EGR'!$G$31^0.5)*(EXP(-67837/AV76))/('Goal Seek 6th order'!$P$27*6))*('Goal Seek 6th order'!$P$28*10^-6))</f>
        <v>2.0586633241536363E-13</v>
      </c>
      <c r="AY76" s="59"/>
      <c r="AZ76" s="37">
        <f>AZ75*(C76/C75)^(('Goal Seek 6th order'!$P$26-1)/'Goal Seek 6th order'!$P$26)</f>
        <v>1730.9533083283382</v>
      </c>
      <c r="BA76" s="37">
        <f>(((4.7*10^13)*'O2N2 @ EGR'!$H$32*('O2N2 @ EGR'!$G$32^0.5)*(EXP(-67837/AZ76))/('Goal Seek 6th order'!$P$27*6))*('Goal Seek 6th order'!$P$28*10^-6))</f>
        <v>3.0753105650465026E-14</v>
      </c>
      <c r="BC76" s="59"/>
    </row>
    <row r="77" spans="2:55" x14ac:dyDescent="0.3">
      <c r="B77" s="42">
        <v>7</v>
      </c>
      <c r="C77" s="42">
        <v>24</v>
      </c>
      <c r="D77" s="37">
        <f>D76*(C77/C76)^(('Goal Seek 6th order'!$P$26-1)/'Goal Seek 6th order'!$P$26)</f>
        <v>2431.3440526877084</v>
      </c>
      <c r="E77" s="37">
        <f>(((4.7*10^13)*'O2N2 @ EGR'!$H$20*('O2N2 @ EGR'!$G$20^0.5)*(EXP(-67837/D77))/('Goal Seek 6th order'!$P$27*6))*('Goal Seek 6th order'!$P$28*10^-6))</f>
        <v>0</v>
      </c>
      <c r="F77" s="3"/>
      <c r="G77" s="3"/>
      <c r="H77" s="37">
        <f>H76*(C77/C76)^(('Goal Seek 6th order'!$P$26-1)/'Goal Seek 6th order'!$P$26)</f>
        <v>2415.9141842788749</v>
      </c>
      <c r="I77" s="37">
        <f>(((4.7*10^13)*'O2N2 @ EGR'!$H$21*('O2N2 @ EGR'!$G$21^0.5)*(EXP(-67837/H77))/('Goal Seek 6th order'!$P$27*6))*('Goal Seek 6th order'!$P$28*10^-6))</f>
        <v>3.2227678910101522E-10</v>
      </c>
      <c r="L77" s="37">
        <f>L76*(C77/C76)^(('Goal Seek 6th order'!$P$26-1)/'Goal Seek 6th order'!$P$26)</f>
        <v>2400.4186310303808</v>
      </c>
      <c r="M77" s="37">
        <f>(((4.7*10^13)*'O2N2 @ EGR'!$H$22*('O2N2 @ EGR'!$G$22^0.5)*(EXP(-67837/L77))/('Goal Seek 6th order'!$P$27*6))*('Goal Seek 6th order'!$P$28*10^-6))</f>
        <v>3.8030402479906993E-10</v>
      </c>
      <c r="P77" s="37">
        <f>P76*(C77/C76)^(('Goal Seek 6th order'!$P$26-1)/'Goal Seek 6th order'!$P$26)</f>
        <v>2384.8564424034739</v>
      </c>
      <c r="Q77" s="37">
        <f>(((4.7*10^13)*'O2N2 @ EGR'!$H$23*('O2N2 @ EGR'!$G$23^0.5)*(EXP(-67837/P77))/('Goal Seek 6th order'!$P$27*6))*('Goal Seek 6th order'!$P$28*10^-6))</f>
        <v>3.8743188610090636E-10</v>
      </c>
      <c r="T77" s="37">
        <f>T76*(C77/C76)^(('Goal Seek 6th order'!$P$26-1)/'Goal Seek 6th order'!$P$26)</f>
        <v>2369.2266644524561</v>
      </c>
      <c r="U77" s="37">
        <f>(((4.7*10^13)*'O2N2 @ EGR'!$H$24*('O2N2 @ EGR'!$G$24^0.5)*(EXP(-67837/T77))/('Goal Seek 6th order'!$P$27*6))*('Goal Seek 6th order'!$P$28*10^-6))</f>
        <v>3.7091699207260507E-10</v>
      </c>
      <c r="W77" s="59"/>
      <c r="X77" s="37">
        <f>X76*(C77/C76)^(('Goal Seek 6th order'!$P$26-1)/'Goal Seek 6th order'!$P$26)</f>
        <v>2353.5283409603257</v>
      </c>
      <c r="Y77" s="37">
        <f>(((4.7*10^13)*'O2N2 @ EGR'!$H$25*('O2N2 @ EGR'!$G$25^0.5)*(EXP(-67837/X77))/('Goal Seek 6th order'!$P$27*6))*('Goal Seek 6th order'!$P$28*10^-6))</f>
        <v>3.4268633832331789E-10</v>
      </c>
      <c r="AA77" s="59"/>
      <c r="AB77" s="37">
        <f>AB76*(C77/C76)^(('Goal Seek 6th order'!$P$26-1)/'Goal Seek 6th order'!$P$26)</f>
        <v>2273.9748467937789</v>
      </c>
      <c r="AC77" s="37">
        <f>(((4.7*10^13)*'O2N2 @ EGR'!$H$26*('O2N2 @ EGR'!$G$26^0.5)*(EXP(-67837/AB77))/('Goal Seek 6th order'!$P$27*6))*('Goal Seek 6th order'!$P$28*10^-6))</f>
        <v>1.770192175628511E-10</v>
      </c>
      <c r="AE77" s="59"/>
      <c r="AF77" s="37">
        <f>AF76*(C77/C76)^(('Goal Seek 6th order'!$P$26-1)/'Goal Seek 6th order'!$P$26)</f>
        <v>2192.56259510992</v>
      </c>
      <c r="AG77" s="37">
        <f>(((4.7*10^13)*'O2N2 @ EGR'!$H$27*('O2N2 @ EGR'!$G$27^0.5)*(EXP(-67837/AF77))/('Goal Seek 6th order'!$P$27*6))*('Goal Seek 6th order'!$P$28*10^-6))</f>
        <v>7.1703660224753026E-11</v>
      </c>
      <c r="AI77" s="59"/>
      <c r="AJ77" s="37">
        <f>AJ76*(C77/C76)^(('Goal Seek 6th order'!$P$26-1)/'Goal Seek 6th order'!$P$26)</f>
        <v>2109.165793404818</v>
      </c>
      <c r="AK77" s="37">
        <f>(((4.7*10^13)*'O2N2 @ EGR'!$H$28*('O2N2 @ EGR'!$G$28^0.5)*(EXP(-67837/AJ77))/('Goal Seek 6th order'!$P$27*6))*('Goal Seek 6th order'!$P$28*10^-6))</f>
        <v>2.4392332034759724E-11</v>
      </c>
      <c r="AM77" s="59"/>
      <c r="AN77" s="37">
        <f>AN76*(C77/C76)^(('Goal Seek 6th order'!$P$26-1)/'Goal Seek 6th order'!$P$26)</f>
        <v>2023.6552388186669</v>
      </c>
      <c r="AO77" s="37">
        <f>(((4.7*10^13)*'O2N2 @ EGR'!$H$29*('O2N2 @ EGR'!$G$29^0.5)*(EXP(-67837/AN77))/('Goal Seek 6th order'!$P$27*6))*('Goal Seek 6th order'!$P$28*10^-6))</f>
        <v>7.0148083183041534E-12</v>
      </c>
      <c r="AQ77" s="59"/>
      <c r="AR77" s="37">
        <f>AR76*(C77/C76)^(('Goal Seek 6th order'!$P$26-1)/'Goal Seek 6th order'!$P$26)</f>
        <v>1935.8902311746826</v>
      </c>
      <c r="AS77" s="37">
        <f>(((4.7*10^13)*'O2N2 @ EGR'!$H$30*('O2N2 @ EGR'!$G$30^0.5)*(EXP(-67837/AR77))/('Goal Seek 6th order'!$P$27*6))*('Goal Seek 6th order'!$P$28*10^-6))</f>
        <v>1.6831790841285554E-12</v>
      </c>
      <c r="AU77" s="59"/>
      <c r="AV77" s="37">
        <f>AV76*(C77/C76)^(('Goal Seek 6th order'!$P$26-1)/'Goal Seek 6th order'!$P$26)</f>
        <v>1845.7199845916068</v>
      </c>
      <c r="AW77" s="37">
        <f>(((4.7*10^13)*'O2N2 @ EGR'!$H$31*('O2N2 @ EGR'!$G$31^0.5)*(EXP(-67837/AV77))/('Goal Seek 6th order'!$P$27*6))*('Goal Seek 6th order'!$P$28*10^-6))</f>
        <v>3.2860018382360793E-13</v>
      </c>
      <c r="AY77" s="59"/>
      <c r="AZ77" s="37">
        <f>AZ76*(C77/C76)^(('Goal Seek 6th order'!$P$26-1)/'Goal Seek 6th order'!$P$26)</f>
        <v>1752.9761151613227</v>
      </c>
      <c r="BA77" s="37">
        <f>(((4.7*10^13)*'O2N2 @ EGR'!$H$32*('O2N2 @ EGR'!$G$32^0.5)*(EXP(-67837/AZ77))/('Goal Seek 6th order'!$P$27*6))*('Goal Seek 6th order'!$P$28*10^-6))</f>
        <v>5.0317127736806909E-14</v>
      </c>
      <c r="BC77" s="59"/>
    </row>
    <row r="78" spans="2:55" x14ac:dyDescent="0.3">
      <c r="B78" s="42">
        <v>8</v>
      </c>
      <c r="C78" s="42">
        <v>26</v>
      </c>
      <c r="D78" s="37">
        <f>D77*(C78/C77)^(('Goal Seek 6th order'!$P$26-1)/'Goal Seek 6th order'!$P$26)</f>
        <v>2459.785988361627</v>
      </c>
      <c r="E78" s="37">
        <f>(((4.7*10^13)*'O2N2 @ EGR'!$H$20*('O2N2 @ EGR'!$G$20^0.5)*(EXP(-67837/D78))/('Goal Seek 6th order'!$P$27*6))*('Goal Seek 6th order'!$P$28*10^-6))</f>
        <v>0</v>
      </c>
      <c r="F78" s="3"/>
      <c r="G78" s="3"/>
      <c r="H78" s="37">
        <f>H77*(C78/C77)^(('Goal Seek 6th order'!$P$26-1)/'Goal Seek 6th order'!$P$26)</f>
        <v>2444.1756208892175</v>
      </c>
      <c r="I78" s="37">
        <f>(((4.7*10^13)*'O2N2 @ EGR'!$H$21*('O2N2 @ EGR'!$G$21^0.5)*(EXP(-67837/H78))/('Goal Seek 6th order'!$P$27*6))*('Goal Seek 6th order'!$P$28*10^-6))</f>
        <v>4.4589538191571812E-10</v>
      </c>
      <c r="L78" s="37">
        <f>L77*(C78/C77)^(('Goal Seek 6th order'!$P$26-1)/'Goal Seek 6th order'!$P$26)</f>
        <v>2428.4988001939223</v>
      </c>
      <c r="M78" s="37">
        <f>(((4.7*10^13)*'O2N2 @ EGR'!$H$22*('O2N2 @ EGR'!$G$22^0.5)*(EXP(-67837/L78))/('Goal Seek 6th order'!$P$27*6))*('Goal Seek 6th order'!$P$28*10^-6))</f>
        <v>5.2728461344062563E-10</v>
      </c>
      <c r="P78" s="37">
        <f>P77*(C78/C77)^(('Goal Seek 6th order'!$P$26-1)/'Goal Seek 6th order'!$P$26)</f>
        <v>2412.7545646175586</v>
      </c>
      <c r="Q78" s="37">
        <f>(((4.7*10^13)*'O2N2 @ EGR'!$H$23*('O2N2 @ EGR'!$G$23^0.5)*(EXP(-67837/P78))/('Goal Seek 6th order'!$P$27*6))*('Goal Seek 6th order'!$P$28*10^-6))</f>
        <v>5.3831389151187557E-10</v>
      </c>
      <c r="T78" s="37">
        <f>T77*(C78/C77)^(('Goal Seek 6th order'!$P$26-1)/'Goal Seek 6th order'!$P$26)</f>
        <v>2396.9419490551427</v>
      </c>
      <c r="U78" s="37">
        <f>(((4.7*10^13)*'O2N2 @ EGR'!$H$24*('O2N2 @ EGR'!$G$24^0.5)*(EXP(-67837/T78))/('Goal Seek 6th order'!$P$27*6))*('Goal Seek 6th order'!$P$28*10^-6))</f>
        <v>5.1648685395501942E-10</v>
      </c>
      <c r="W78" s="59"/>
      <c r="X78" s="37">
        <f>X77*(C78/C77)^(('Goal Seek 6th order'!$P$26-1)/'Goal Seek 6th order'!$P$26)</f>
        <v>2381.0599861038177</v>
      </c>
      <c r="Y78" s="37">
        <f>(((4.7*10^13)*'O2N2 @ EGR'!$H$25*('O2N2 @ EGR'!$G$25^0.5)*(EXP(-67837/X78))/('Goal Seek 6th order'!$P$27*6))*('Goal Seek 6th order'!$P$28*10^-6))</f>
        <v>4.7823172276386181E-10</v>
      </c>
      <c r="AA78" s="59"/>
      <c r="AB78" s="37">
        <f>AB77*(C78/C77)^(('Goal Seek 6th order'!$P$26-1)/'Goal Seek 6th order'!$P$26)</f>
        <v>2300.5758727757338</v>
      </c>
      <c r="AC78" s="37">
        <f>(((4.7*10^13)*'O2N2 @ EGR'!$H$26*('O2N2 @ EGR'!$G$26^0.5)*(EXP(-67837/AB78))/('Goal Seek 6th order'!$P$27*6))*('Goal Seek 6th order'!$P$28*10^-6))</f>
        <v>2.4993420431958418E-10</v>
      </c>
      <c r="AE78" s="59"/>
      <c r="AF78" s="37">
        <f>AF77*(C78/C77)^(('Goal Seek 6th order'!$P$26-1)/'Goal Seek 6th order'!$P$26)</f>
        <v>2218.2112581291335</v>
      </c>
      <c r="AG78" s="37">
        <f>(((4.7*10^13)*'O2N2 @ EGR'!$H$27*('O2N2 @ EGR'!$G$27^0.5)*(EXP(-67837/AF78))/('Goal Seek 6th order'!$P$27*6))*('Goal Seek 6th order'!$P$28*10^-6))</f>
        <v>1.0254371273520073E-10</v>
      </c>
      <c r="AI78" s="59"/>
      <c r="AJ78" s="37">
        <f>AJ77*(C78/C77)^(('Goal Seek 6th order'!$P$26-1)/'Goal Seek 6th order'!$P$26)</f>
        <v>2133.8388781356011</v>
      </c>
      <c r="AK78" s="37">
        <f>(((4.7*10^13)*'O2N2 @ EGR'!$H$28*('O2N2 @ EGR'!$G$28^0.5)*(EXP(-67837/AJ78))/('Goal Seek 6th order'!$P$27*6))*('Goal Seek 6th order'!$P$28*10^-6))</f>
        <v>3.5380527450934899E-11</v>
      </c>
      <c r="AM78" s="59"/>
      <c r="AN78" s="37">
        <f>AN77*(C78/C77)^(('Goal Seek 6th order'!$P$26-1)/'Goal Seek 6th order'!$P$26)</f>
        <v>2047.3280185163997</v>
      </c>
      <c r="AO78" s="37">
        <f>(((4.7*10^13)*'O2N2 @ EGR'!$H$29*('O2N2 @ EGR'!$G$29^0.5)*(EXP(-67837/AN78))/('Goal Seek 6th order'!$P$27*6))*('Goal Seek 6th order'!$P$28*10^-6))</f>
        <v>1.0335976534893366E-11</v>
      </c>
      <c r="AQ78" s="59"/>
      <c r="AR78" s="37">
        <f>AR77*(C78/C77)^(('Goal Seek 6th order'!$P$26-1)/'Goal Seek 6th order'!$P$26)</f>
        <v>1958.5363331798562</v>
      </c>
      <c r="AS78" s="37">
        <f>(((4.7*10^13)*'O2N2 @ EGR'!$H$30*('O2N2 @ EGR'!$G$30^0.5)*(EXP(-67837/AR78))/('Goal Seek 6th order'!$P$27*6))*('Goal Seek 6th order'!$P$28*10^-6))</f>
        <v>2.5240482650227633E-12</v>
      </c>
      <c r="AU78" s="59"/>
      <c r="AV78" s="37">
        <f>AV77*(C78/C77)^(('Goal Seek 6th order'!$P$26-1)/'Goal Seek 6th order'!$P$26)</f>
        <v>1867.3112723469492</v>
      </c>
      <c r="AW78" s="37">
        <f>(((4.7*10^13)*'O2N2 @ EGR'!$H$31*('O2N2 @ EGR'!$G$31^0.5)*(EXP(-67837/AV78))/('Goal Seek 6th order'!$P$27*6))*('Goal Seek 6th order'!$P$28*10^-6))</f>
        <v>5.0261076515683966E-13</v>
      </c>
      <c r="AY78" s="59"/>
      <c r="AZ78" s="37">
        <f>AZ77*(C78/C77)^(('Goal Seek 6th order'!$P$26-1)/'Goal Seek 6th order'!$P$26)</f>
        <v>1773.482482349553</v>
      </c>
      <c r="BA78" s="37">
        <f>(((4.7*10^13)*'O2N2 @ EGR'!$H$32*('O2N2 @ EGR'!$G$32^0.5)*(EXP(-67837/AZ78))/('Goal Seek 6th order'!$P$27*6))*('Goal Seek 6th order'!$P$28*10^-6))</f>
        <v>7.8712637497577157E-14</v>
      </c>
      <c r="BC78" s="59"/>
    </row>
    <row r="79" spans="2:55" x14ac:dyDescent="0.3">
      <c r="B79" s="42">
        <v>9</v>
      </c>
      <c r="C79" s="42">
        <v>28</v>
      </c>
      <c r="D79" s="37">
        <f>D78*(C79/C78)^(('Goal Seek 6th order'!$P$26-1)/'Goal Seek 6th order'!$P$26)</f>
        <v>2486.415647912952</v>
      </c>
      <c r="E79" s="37">
        <f>(((4.7*10^13)*'O2N2 @ EGR'!$H$20*('O2N2 @ EGR'!$G$20^0.5)*(EXP(-67837/D79))/('Goal Seek 6th order'!$P$27*6))*('Goal Seek 6th order'!$P$28*10^-6))</f>
        <v>0</v>
      </c>
      <c r="F79" s="3"/>
      <c r="G79" s="3"/>
      <c r="H79" s="37">
        <f>H78*(C79/C78)^(('Goal Seek 6th order'!$P$26-1)/'Goal Seek 6th order'!$P$26)</f>
        <v>2470.636282497946</v>
      </c>
      <c r="I79" s="37">
        <f>(((4.7*10^13)*'O2N2 @ EGR'!$H$21*('O2N2 @ EGR'!$G$21^0.5)*(EXP(-67837/H79))/('Goal Seek 6th order'!$P$27*6))*('Goal Seek 6th order'!$P$28*10^-6))</f>
        <v>6.0024461339542292E-10</v>
      </c>
      <c r="L79" s="37">
        <f>L78*(C79/C78)^(('Goal Seek 6th order'!$P$26-1)/'Goal Seek 6th order'!$P$26)</f>
        <v>2454.7897444370187</v>
      </c>
      <c r="M79" s="37">
        <f>(((4.7*10^13)*'O2N2 @ EGR'!$H$22*('O2N2 @ EGR'!$G$22^0.5)*(EXP(-67837/L79))/('Goal Seek 6th order'!$P$27*6))*('Goal Seek 6th order'!$P$28*10^-6))</f>
        <v>7.1117052935236072E-10</v>
      </c>
      <c r="P79" s="37">
        <f>P78*(C79/C78)^(('Goal Seek 6th order'!$P$26-1)/'Goal Seek 6th order'!$P$26)</f>
        <v>2438.87506166107</v>
      </c>
      <c r="Q79" s="37">
        <f>(((4.7*10^13)*'O2N2 @ EGR'!$H$23*('O2N2 @ EGR'!$G$23^0.5)*(EXP(-67837/P79))/('Goal Seek 6th order'!$P$27*6))*('Goal Seek 6th order'!$P$28*10^-6))</f>
        <v>7.27464959357977E-10</v>
      </c>
      <c r="T79" s="37">
        <f>T78*(C79/C78)^(('Goal Seek 6th order'!$P$26-1)/'Goal Seek 6th order'!$P$26)</f>
        <v>2422.8912586168835</v>
      </c>
      <c r="U79" s="37">
        <f>(((4.7*10^13)*'O2N2 @ EGR'!$H$24*('O2N2 @ EGR'!$G$24^0.5)*(EXP(-67837/T79))/('Goal Seek 6th order'!$P$27*6))*('Goal Seek 6th order'!$P$28*10^-6))</f>
        <v>6.993563068468314E-10</v>
      </c>
      <c r="W79" s="59"/>
      <c r="X79" s="37">
        <f>X78*(C79/C78)^(('Goal Seek 6th order'!$P$26-1)/'Goal Seek 6th order'!$P$26)</f>
        <v>2406.8373574284915</v>
      </c>
      <c r="Y79" s="37">
        <f>(((4.7*10^13)*'O2N2 @ EGR'!$H$25*('O2N2 @ EGR'!$G$25^0.5)*(EXP(-67837/X79))/('Goal Seek 6th order'!$P$27*6))*('Goal Seek 6th order'!$P$28*10^-6))</f>
        <v>6.4886695089623656E-10</v>
      </c>
      <c r="AA79" s="59"/>
      <c r="AB79" s="37">
        <f>AB78*(C79/C78)^(('Goal Seek 6th order'!$P$26-1)/'Goal Seek 6th order'!$P$26)</f>
        <v>2325.4819225515585</v>
      </c>
      <c r="AC79" s="37">
        <f>(((4.7*10^13)*'O2N2 @ EGR'!$H$26*('O2N2 @ EGR'!$G$26^0.5)*(EXP(-67837/AB79))/('Goal Seek 6th order'!$P$27*6))*('Goal Seek 6th order'!$P$28*10^-6))</f>
        <v>3.4275121018634936E-10</v>
      </c>
      <c r="AE79" s="59"/>
      <c r="AF79" s="37">
        <f>AF78*(C79/C78)^(('Goal Seek 6th order'!$P$26-1)/'Goal Seek 6th order'!$P$26)</f>
        <v>2242.2256280362649</v>
      </c>
      <c r="AG79" s="37">
        <f>(((4.7*10^13)*'O2N2 @ EGR'!$H$27*('O2N2 @ EGR'!$G$27^0.5)*(EXP(-67837/AF79))/('Goal Seek 6th order'!$P$27*6))*('Goal Seek 6th order'!$P$28*10^-6))</f>
        <v>1.4228364818098335E-10</v>
      </c>
      <c r="AI79" s="59"/>
      <c r="AJ79" s="37">
        <f>AJ78*(C79/C78)^(('Goal Seek 6th order'!$P$26-1)/'Goal Seek 6th order'!$P$26)</f>
        <v>2156.939832092974</v>
      </c>
      <c r="AK79" s="37">
        <f>(((4.7*10^13)*'O2N2 @ EGR'!$H$28*('O2N2 @ EGR'!$G$28^0.5)*(EXP(-67837/AJ79))/('Goal Seek 6th order'!$P$27*6))*('Goal Seek 6th order'!$P$28*10^-6))</f>
        <v>4.9731858418367758E-11</v>
      </c>
      <c r="AM79" s="59"/>
      <c r="AN79" s="37">
        <f>AN78*(C79/C78)^(('Goal Seek 6th order'!$P$26-1)/'Goal Seek 6th order'!$P$26)</f>
        <v>2069.4924053292925</v>
      </c>
      <c r="AO79" s="37">
        <f>(((4.7*10^13)*'O2N2 @ EGR'!$H$29*('O2N2 @ EGR'!$G$29^0.5)*(EXP(-67837/AN79))/('Goal Seek 6th order'!$P$27*6))*('Goal Seek 6th order'!$P$28*10^-6))</f>
        <v>1.4739075266243863E-11</v>
      </c>
      <c r="AQ79" s="59"/>
      <c r="AR79" s="37">
        <f>AR78*(C79/C78)^(('Goal Seek 6th order'!$P$26-1)/'Goal Seek 6th order'!$P$26)</f>
        <v>1979.7394606138078</v>
      </c>
      <c r="AS79" s="37">
        <f>(((4.7*10^13)*'O2N2 @ EGR'!$H$30*('O2N2 @ EGR'!$G$30^0.5)*(EXP(-67837/AR79))/('Goal Seek 6th order'!$P$27*6))*('Goal Seek 6th order'!$P$28*10^-6))</f>
        <v>3.6576610939739244E-12</v>
      </c>
      <c r="AU79" s="59"/>
      <c r="AV79" s="37">
        <f>AV78*(C79/C78)^(('Goal Seek 6th order'!$P$26-1)/'Goal Seek 6th order'!$P$26)</f>
        <v>1887.5267966625713</v>
      </c>
      <c r="AW79" s="37">
        <f>(((4.7*10^13)*'O2N2 @ EGR'!$H$31*('O2N2 @ EGR'!$G$31^0.5)*(EXP(-67837/AV79))/('Goal Seek 6th order'!$P$27*6))*('Goal Seek 6th order'!$P$28*10^-6))</f>
        <v>7.4166572345000526E-13</v>
      </c>
      <c r="AY79" s="59"/>
      <c r="AZ79" s="37">
        <f>AZ78*(C79/C78)^(('Goal Seek 6th order'!$P$26-1)/'Goal Seek 6th order'!$P$26)</f>
        <v>1792.6822155575073</v>
      </c>
      <c r="BA79" s="37">
        <f>(((4.7*10^13)*'O2N2 @ EGR'!$H$32*('O2N2 @ EGR'!$G$32^0.5)*(EXP(-67837/AZ79))/('Goal Seek 6th order'!$P$27*6))*('Goal Seek 6th order'!$P$28*10^-6))</f>
        <v>1.18566183787854E-13</v>
      </c>
      <c r="BC79" s="59"/>
    </row>
    <row r="80" spans="2:55" x14ac:dyDescent="0.3">
      <c r="B80" s="42">
        <v>10</v>
      </c>
      <c r="C80" s="42">
        <v>30</v>
      </c>
      <c r="D80" s="37">
        <f>D79*(C80/C79)^(('Goal Seek 6th order'!$P$26-1)/'Goal Seek 6th order'!$P$26)</f>
        <v>2511.4663351340419</v>
      </c>
      <c r="E80" s="37">
        <f>(((4.7*10^13)*'O2N2 @ EGR'!$H$20*('O2N2 @ EGR'!$G$20^0.5)*(EXP(-67837/D80))/('Goal Seek 6th order'!$P$27*6))*('Goal Seek 6th order'!$P$28*10^-6))</f>
        <v>0</v>
      </c>
      <c r="F80" s="3"/>
      <c r="G80" s="3"/>
      <c r="H80" s="37">
        <f>H79*(C80/C79)^(('Goal Seek 6th order'!$P$26-1)/'Goal Seek 6th order'!$P$26)</f>
        <v>2495.5279922979075</v>
      </c>
      <c r="I80" s="37">
        <f>(((4.7*10^13)*'O2N2 @ EGR'!$H$21*('O2N2 @ EGR'!$G$21^0.5)*(EXP(-67837/H80))/('Goal Seek 6th order'!$P$27*6))*('Goal Seek 6th order'!$P$28*10^-6))</f>
        <v>7.8935078616210341E-10</v>
      </c>
      <c r="L80" s="37">
        <f>L79*(C80/C79)^(('Goal Seek 6th order'!$P$26-1)/'Goal Seek 6th order'!$P$26)</f>
        <v>2479.521800050105</v>
      </c>
      <c r="M80" s="37">
        <f>(((4.7*10^13)*'O2N2 @ EGR'!$H$22*('O2N2 @ EGR'!$G$22^0.5)*(EXP(-67837/L80))/('Goal Seek 6th order'!$P$27*6))*('Goal Seek 6th order'!$P$28*10^-6))</f>
        <v>9.3687863909190553E-10</v>
      </c>
      <c r="P80" s="37">
        <f>P79*(C80/C79)^(('Goal Seek 6th order'!$P$26-1)/'Goal Seek 6th order'!$P$26)</f>
        <v>2463.4467765279187</v>
      </c>
      <c r="Q80" s="37">
        <f>(((4.7*10^13)*'O2N2 @ EGR'!$H$23*('O2N2 @ EGR'!$G$23^0.5)*(EXP(-67837/P80))/('Goal Seek 6th order'!$P$27*6))*('Goal Seek 6th order'!$P$28*10^-6))</f>
        <v>9.6006982503278088E-10</v>
      </c>
      <c r="T80" s="37">
        <f>T79*(C80/C79)^(('Goal Seek 6th order'!$P$26-1)/'Goal Seek 6th order'!$P$26)</f>
        <v>2447.3019363494141</v>
      </c>
      <c r="U80" s="37">
        <f>(((4.7*10^13)*'O2N2 @ EGR'!$H$24*('O2N2 @ EGR'!$G$24^0.5)*(EXP(-67837/T80))/('Goal Seek 6th order'!$P$27*6))*('Goal Seek 6th order'!$P$28*10^-6))</f>
        <v>9.2466434944285429E-10</v>
      </c>
      <c r="W80" s="59"/>
      <c r="X80" s="37">
        <f>X79*(C80/C79)^(('Goal Seek 6th order'!$P$26-1)/'Goal Seek 6th order'!$P$26)</f>
        <v>2431.0862917865038</v>
      </c>
      <c r="Y80" s="37">
        <f>(((4.7*10^13)*'O2N2 @ EGR'!$H$25*('O2N2 @ EGR'!$G$25^0.5)*(EXP(-67837/X80))/('Goal Seek 6th order'!$P$27*6))*('Goal Seek 6th order'!$P$28*10^-6))</f>
        <v>8.5950867126662758E-10</v>
      </c>
      <c r="AA80" s="59"/>
      <c r="AB80" s="37">
        <f>AB79*(C80/C79)^(('Goal Seek 6th order'!$P$26-1)/'Goal Seek 6th order'!$P$26)</f>
        <v>2348.9111992813105</v>
      </c>
      <c r="AC80" s="37">
        <f>(((4.7*10^13)*'O2N2 @ EGR'!$H$26*('O2N2 @ EGR'!$G$26^0.5)*(EXP(-67837/AB80))/('Goal Seek 6th order'!$P$27*6))*('Goal Seek 6th order'!$P$28*10^-6))</f>
        <v>4.5850597894126991E-10</v>
      </c>
      <c r="AE80" s="59"/>
      <c r="AF80" s="37">
        <f>AF79*(C80/C79)^(('Goal Seek 6th order'!$P$26-1)/'Goal Seek 6th order'!$P$26)</f>
        <v>2264.8160959390052</v>
      </c>
      <c r="AG80" s="37">
        <f>(((4.7*10^13)*'O2N2 @ EGR'!$H$27*('O2N2 @ EGR'!$G$27^0.5)*(EXP(-67837/AF80))/('Goal Seek 6th order'!$P$27*6))*('Goal Seek 6th order'!$P$28*10^-6))</f>
        <v>1.9240356146260315E-10</v>
      </c>
      <c r="AI80" s="59"/>
      <c r="AJ80" s="37">
        <f>AJ79*(C80/C79)^(('Goal Seek 6th order'!$P$26-1)/'Goal Seek 6th order'!$P$26)</f>
        <v>2178.6710439013559</v>
      </c>
      <c r="AK80" s="37">
        <f>(((4.7*10^13)*'O2N2 @ EGR'!$H$28*('O2N2 @ EGR'!$G$28^0.5)*(EXP(-67837/AJ80))/('Goal Seek 6th order'!$P$27*6))*('Goal Seek 6th order'!$P$28*10^-6))</f>
        <v>6.8057323434615707E-11</v>
      </c>
      <c r="AM80" s="59"/>
      <c r="AN80" s="37">
        <f>AN79*(C80/C79)^(('Goal Seek 6th order'!$P$26-1)/'Goal Seek 6th order'!$P$26)</f>
        <v>2090.3425825697072</v>
      </c>
      <c r="AO80" s="37">
        <f>(((4.7*10^13)*'O2N2 @ EGR'!$H$29*('O2N2 @ EGR'!$G$29^0.5)*(EXP(-67837/AN80))/('Goal Seek 6th order'!$P$27*6))*('Goal Seek 6th order'!$P$28*10^-6))</f>
        <v>2.0439360767703588E-11</v>
      </c>
      <c r="AQ80" s="59"/>
      <c r="AR80" s="37">
        <f>AR79*(C80/C79)^(('Goal Seek 6th order'!$P$26-1)/'Goal Seek 6th order'!$P$26)</f>
        <v>1999.6853751469284</v>
      </c>
      <c r="AS80" s="37">
        <f>(((4.7*10^13)*'O2N2 @ EGR'!$H$30*('O2N2 @ EGR'!$G$30^0.5)*(EXP(-67837/AR80))/('Goal Seek 6th order'!$P$27*6))*('Goal Seek 6th order'!$P$28*10^-6))</f>
        <v>5.147994535368534E-12</v>
      </c>
      <c r="AU80" s="59"/>
      <c r="AV80" s="37">
        <f>AV79*(C80/C79)^(('Goal Seek 6th order'!$P$26-1)/'Goal Seek 6th order'!$P$26)</f>
        <v>1906.5436667680619</v>
      </c>
      <c r="AW80" s="37">
        <f>(((4.7*10^13)*'O2N2 @ EGR'!$H$31*('O2N2 @ EGR'!$G$31^0.5)*(EXP(-67837/AV80))/('Goal Seek 6th order'!$P$27*6))*('Goal Seek 6th order'!$P$28*10^-6))</f>
        <v>1.0614374402929353E-12</v>
      </c>
      <c r="AY80" s="59"/>
      <c r="AZ80" s="37">
        <f>AZ79*(C80/C79)^(('Goal Seek 6th order'!$P$26-1)/'Goal Seek 6th order'!$P$26)</f>
        <v>1810.7435246175739</v>
      </c>
      <c r="BA80" s="37">
        <f>(((4.7*10^13)*'O2N2 @ EGR'!$H$32*('O2N2 @ EGR'!$G$32^0.5)*(EXP(-67837/AZ80))/('Goal Seek 6th order'!$P$27*6))*('Goal Seek 6th order'!$P$28*10^-6))</f>
        <v>1.7293537940294876E-13</v>
      </c>
      <c r="BC80" s="59"/>
    </row>
    <row r="81" spans="2:55" x14ac:dyDescent="0.3">
      <c r="B81" s="42">
        <v>11</v>
      </c>
      <c r="C81" s="42">
        <v>32</v>
      </c>
      <c r="D81" s="37">
        <f>D80*(C81/C80)^(('Goal Seek 6th order'!$P$26-1)/'Goal Seek 6th order'!$P$26)</f>
        <v>2535.128108824325</v>
      </c>
      <c r="E81" s="37">
        <f>(((4.7*10^13)*'O2N2 @ EGR'!$H$20*('O2N2 @ EGR'!$G$20^0.5)*(EXP(-67837/D81))/('Goal Seek 6th order'!$P$27*6))*('Goal Seek 6th order'!$P$28*10^-6))</f>
        <v>0</v>
      </c>
      <c r="F81" s="3"/>
      <c r="G81" s="3"/>
      <c r="H81" s="37">
        <f>H80*(C81/C80)^(('Goal Seek 6th order'!$P$26-1)/'Goal Seek 6th order'!$P$26)</f>
        <v>2519.039602931688</v>
      </c>
      <c r="I81" s="37">
        <f>(((4.7*10^13)*'O2N2 @ EGR'!$H$21*('O2N2 @ EGR'!$G$21^0.5)*(EXP(-67837/H81))/('Goal Seek 6th order'!$P$27*6))*('Goal Seek 6th order'!$P$28*10^-6))</f>
        <v>1.0173220268591889E-9</v>
      </c>
      <c r="L81" s="37">
        <f>L80*(C81/C80)^(('Goal Seek 6th order'!$P$26-1)/'Goal Seek 6th order'!$P$26)</f>
        <v>2502.8826083843237</v>
      </c>
      <c r="M81" s="37">
        <f>(((4.7*10^13)*'O2N2 @ EGR'!$H$22*('O2N2 @ EGR'!$G$22^0.5)*(EXP(-67837/L81))/('Goal Seek 6th order'!$P$27*6))*('Goal Seek 6th order'!$P$28*10^-6))</f>
        <v>1.2094364251922939E-9</v>
      </c>
      <c r="P81" s="37">
        <f>P80*(C81/C80)^(('Goal Seek 6th order'!$P$26-1)/'Goal Seek 6th order'!$P$26)</f>
        <v>2486.6561340688991</v>
      </c>
      <c r="Q81" s="37">
        <f>(((4.7*10^13)*'O2N2 @ EGR'!$H$23*('O2N2 @ EGR'!$G$23^0.5)*(EXP(-67837/P81))/('Goal Seek 6th order'!$P$27*6))*('Goal Seek 6th order'!$P$28*10^-6))</f>
        <v>1.2414413144639609E-9</v>
      </c>
      <c r="T81" s="37">
        <f>T80*(C81/C80)^(('Goal Seek 6th order'!$P$26-1)/'Goal Seek 6th order'!$P$26)</f>
        <v>2470.3591853197058</v>
      </c>
      <c r="U81" s="37">
        <f>(((4.7*10^13)*'O2N2 @ EGR'!$H$24*('O2N2 @ EGR'!$G$24^0.5)*(EXP(-67837/T81))/('Goal Seek 6th order'!$P$27*6))*('Goal Seek 6th order'!$P$28*10^-6))</f>
        <v>1.1976884651123437E-9</v>
      </c>
      <c r="W81" s="59"/>
      <c r="X81" s="37">
        <f>X80*(C81/C80)^(('Goal Seek 6th order'!$P$26-1)/'Goal Seek 6th order'!$P$26)</f>
        <v>2453.9907651027793</v>
      </c>
      <c r="Y81" s="37">
        <f>(((4.7*10^13)*'O2N2 @ EGR'!$H$25*('O2N2 @ EGR'!$G$25^0.5)*(EXP(-67837/X81))/('Goal Seek 6th order'!$P$27*6))*('Goal Seek 6th order'!$P$28*10^-6))</f>
        <v>1.1152172260833404E-9</v>
      </c>
      <c r="AA81" s="59"/>
      <c r="AB81" s="37">
        <f>AB80*(C81/C80)^(('Goal Seek 6th order'!$P$26-1)/'Goal Seek 6th order'!$P$26)</f>
        <v>2371.0414601725038</v>
      </c>
      <c r="AC81" s="37">
        <f>(((4.7*10^13)*'O2N2 @ EGR'!$H$26*('O2N2 @ EGR'!$G$26^0.5)*(EXP(-67837/AB81))/('Goal Seek 6th order'!$P$27*6))*('Goal Seek 6th order'!$P$28*10^-6))</f>
        <v>6.0035932420221447E-10</v>
      </c>
      <c r="AE81" s="59"/>
      <c r="AF81" s="37">
        <f>AF80*(C81/C80)^(('Goal Seek 6th order'!$P$26-1)/'Goal Seek 6th order'!$P$26)</f>
        <v>2286.1540550278969</v>
      </c>
      <c r="AG81" s="37">
        <f>(((4.7*10^13)*'O2N2 @ EGR'!$H$27*('O2N2 @ EGR'!$G$27^0.5)*(EXP(-67837/AF81))/('Goal Seek 6th order'!$P$27*6))*('Goal Seek 6th order'!$P$28*10^-6))</f>
        <v>2.5446388997149725E-10</v>
      </c>
      <c r="AI81" s="59"/>
      <c r="AJ81" s="37">
        <f>AJ80*(C81/C80)^(('Goal Seek 6th order'!$P$26-1)/'Goal Seek 6th order'!$P$26)</f>
        <v>2199.1973876015254</v>
      </c>
      <c r="AK81" s="37">
        <f>(((4.7*10^13)*'O2N2 @ EGR'!$H$28*('O2N2 @ EGR'!$G$28^0.5)*(EXP(-67837/AJ81))/('Goal Seek 6th order'!$P$27*6))*('Goal Seek 6th order'!$P$28*10^-6))</f>
        <v>9.1009895300155528E-11</v>
      </c>
      <c r="AM81" s="59"/>
      <c r="AN81" s="37">
        <f>AN80*(C81/C80)^(('Goal Seek 6th order'!$P$26-1)/'Goal Seek 6th order'!$P$26)</f>
        <v>2110.0367398960434</v>
      </c>
      <c r="AO81" s="37">
        <f>(((4.7*10^13)*'O2N2 @ EGR'!$H$29*('O2N2 @ EGR'!$G$29^0.5)*(EXP(-67837/AN81))/('Goal Seek 6th order'!$P$27*6))*('Goal Seek 6th order'!$P$28*10^-6))</f>
        <v>2.767032648408776E-11</v>
      </c>
      <c r="AQ81" s="59"/>
      <c r="AR81" s="37">
        <f>AR80*(C81/C80)^(('Goal Seek 6th order'!$P$26-1)/'Goal Seek 6th order'!$P$26)</f>
        <v>2018.5254058240548</v>
      </c>
      <c r="AS81" s="37">
        <f>(((4.7*10^13)*'O2N2 @ EGR'!$H$30*('O2N2 @ EGR'!$G$30^0.5)*(EXP(-67837/AR81))/('Goal Seek 6th order'!$P$27*6))*('Goal Seek 6th order'!$P$28*10^-6))</f>
        <v>7.0655964667851438E-12</v>
      </c>
      <c r="AU81" s="59"/>
      <c r="AV81" s="37">
        <f>AV80*(C81/C80)^(('Goal Seek 6th order'!$P$26-1)/'Goal Seek 6th order'!$P$26)</f>
        <v>1924.5061630765385</v>
      </c>
      <c r="AW81" s="37">
        <f>(((4.7*10^13)*'O2N2 @ EGR'!$H$31*('O2N2 @ EGR'!$G$31^0.5)*(EXP(-67837/AV81))/('Goal Seek 6th order'!$P$27*6))*('Goal Seek 6th order'!$P$28*10^-6))</f>
        <v>1.4795275765658122E-12</v>
      </c>
      <c r="AY81" s="59"/>
      <c r="AZ81" s="37">
        <f>AZ80*(C81/C80)^(('Goal Seek 6th order'!$P$26-1)/'Goal Seek 6th order'!$P$26)</f>
        <v>1827.8034401303812</v>
      </c>
      <c r="BA81" s="37">
        <f>(((4.7*10^13)*'O2N2 @ EGR'!$H$32*('O2N2 @ EGR'!$G$32^0.5)*(EXP(-67837/AZ81))/('Goal Seek 6th order'!$P$27*6))*('Goal Seek 6th order'!$P$28*10^-6))</f>
        <v>2.453257581614388E-13</v>
      </c>
      <c r="BC81" s="59"/>
    </row>
    <row r="82" spans="2:55" x14ac:dyDescent="0.3">
      <c r="B82" s="42">
        <v>12</v>
      </c>
      <c r="C82" s="42">
        <v>34</v>
      </c>
      <c r="D82" s="37">
        <f>D81*(C82/C81)^(('Goal Seek 6th order'!$P$26-1)/'Goal Seek 6th order'!$P$26)</f>
        <v>2557.5579502357168</v>
      </c>
      <c r="E82" s="37">
        <f>(((4.7*10^13)*'O2N2 @ EGR'!$H$20*('O2N2 @ EGR'!$G$20^0.5)*(EXP(-67837/D82))/('Goal Seek 6th order'!$P$27*6))*('Goal Seek 6th order'!$P$28*10^-6))</f>
        <v>0</v>
      </c>
      <c r="F82" s="3"/>
      <c r="G82" s="3"/>
      <c r="H82" s="37">
        <f>H81*(C82/C81)^(('Goal Seek 6th order'!$P$26-1)/'Goal Seek 6th order'!$P$26)</f>
        <v>2541.3270994120835</v>
      </c>
      <c r="I82" s="37">
        <f>(((4.7*10^13)*'O2N2 @ EGR'!$H$21*('O2N2 @ EGR'!$G$21^0.5)*(EXP(-67837/H82))/('Goal Seek 6th order'!$P$27*6))*('Goal Seek 6th order'!$P$28*10^-6))</f>
        <v>1.2883313570764295E-9</v>
      </c>
      <c r="L82" s="37">
        <f>L81*(C82/C81)^(('Goal Seek 6th order'!$P$26-1)/'Goal Seek 6th order'!$P$26)</f>
        <v>2525.0271539723672</v>
      </c>
      <c r="M82" s="37">
        <f>(((4.7*10^13)*'O2N2 @ EGR'!$H$22*('O2N2 @ EGR'!$G$22^0.5)*(EXP(-67837/L82))/('Goal Seek 6th order'!$P$27*6))*('Goal Seek 6th order'!$P$28*10^-6))</f>
        <v>1.5339609145801272E-9</v>
      </c>
      <c r="P82" s="37">
        <f>P81*(C82/C81)^(('Goal Seek 6th order'!$P$26-1)/'Goal Seek 6th order'!$P$26)</f>
        <v>2508.6571140342453</v>
      </c>
      <c r="Q82" s="37">
        <f>(((4.7*10^13)*'O2N2 @ EGR'!$H$23*('O2N2 @ EGR'!$G$23^0.5)*(EXP(-67837/P82))/('Goal Seek 6th order'!$P$27*6))*('Goal Seek 6th order'!$P$28*10^-6))</f>
        <v>1.5769977407399833E-9</v>
      </c>
      <c r="T82" s="37">
        <f>T81*(C82/C81)^(('Goal Seek 6th order'!$P$26-1)/'Goal Seek 6th order'!$P$26)</f>
        <v>2492.2159761315884</v>
      </c>
      <c r="U82" s="37">
        <f>(((4.7*10^13)*'O2N2 @ EGR'!$H$24*('O2N2 @ EGR'!$G$24^0.5)*(EXP(-67837/T82))/('Goal Seek 6th order'!$P$27*6))*('Goal Seek 6th order'!$P$28*10^-6))</f>
        <v>1.5238218748931752E-9</v>
      </c>
      <c r="W82" s="59"/>
      <c r="X82" s="37">
        <f>X81*(C82/C81)^(('Goal Seek 6th order'!$P$26-1)/'Goal Seek 6th order'!$P$26)</f>
        <v>2475.702734409057</v>
      </c>
      <c r="Y82" s="37">
        <f>(((4.7*10^13)*'O2N2 @ EGR'!$H$25*('O2N2 @ EGR'!$G$25^0.5)*(EXP(-67837/X82))/('Goal Seek 6th order'!$P$27*6))*('Goal Seek 6th order'!$P$28*10^-6))</f>
        <v>1.4211745978921155E-9</v>
      </c>
      <c r="AA82" s="59"/>
      <c r="AB82" s="37">
        <f>AB81*(C82/C81)^(('Goal Seek 6th order'!$P$26-1)/'Goal Seek 6th order'!$P$26)</f>
        <v>2392.0195258356894</v>
      </c>
      <c r="AC82" s="37">
        <f>(((4.7*10^13)*'O2N2 @ EGR'!$H$26*('O2N2 @ EGR'!$G$26^0.5)*(EXP(-67837/AB82))/('Goal Seek 6th order'!$P$27*6))*('Goal Seek 6th order'!$P$28*10^-6))</f>
        <v>7.7158301099960063E-10</v>
      </c>
      <c r="AE82" s="59"/>
      <c r="AF82" s="37">
        <f>AF81*(C82/C81)^(('Goal Seek 6th order'!$P$26-1)/'Goal Seek 6th order'!$P$26)</f>
        <v>2306.3810694804588</v>
      </c>
      <c r="AG82" s="37">
        <f>(((4.7*10^13)*'O2N2 @ EGR'!$H$27*('O2N2 @ EGR'!$G$27^0.5)*(EXP(-67837/AF82))/('Goal Seek 6th order'!$P$27*6))*('Goal Seek 6th order'!$P$28*10^-6))</f>
        <v>3.3009867860442346E-10</v>
      </c>
      <c r="AI82" s="59"/>
      <c r="AJ82" s="37">
        <f>AJ81*(C82/C81)^(('Goal Seek 6th order'!$P$26-1)/'Goal Seek 6th order'!$P$26)</f>
        <v>2218.6550428042542</v>
      </c>
      <c r="AK82" s="37">
        <f>(((4.7*10^13)*'O2N2 @ EGR'!$H$28*('O2N2 @ EGR'!$G$28^0.5)*(EXP(-67837/AJ82))/('Goal Seek 6th order'!$P$27*6))*('Goal Seek 6th order'!$P$28*10^-6))</f>
        <v>1.1928201754787969E-10</v>
      </c>
      <c r="AM82" s="59"/>
      <c r="AN82" s="37">
        <f>AN81*(C82/C81)^(('Goal Seek 6th order'!$P$26-1)/'Goal Seek 6th order'!$P$26)</f>
        <v>2128.705535876546</v>
      </c>
      <c r="AO82" s="37">
        <f>(((4.7*10^13)*'O2N2 @ EGR'!$H$29*('O2N2 @ EGR'!$G$29^0.5)*(EXP(-67837/AN82))/('Goal Seek 6th order'!$P$27*6))*('Goal Seek 6th order'!$P$28*10^-6))</f>
        <v>3.6683020566800746E-11</v>
      </c>
      <c r="AQ82" s="59"/>
      <c r="AR82" s="37">
        <f>AR81*(C82/C81)^(('Goal Seek 6th order'!$P$26-1)/'Goal Seek 6th order'!$P$26)</f>
        <v>2036.3845446107316</v>
      </c>
      <c r="AS82" s="37">
        <f>(((4.7*10^13)*'O2N2 @ EGR'!$H$30*('O2N2 @ EGR'!$G$30^0.5)*(EXP(-67837/AR82))/('Goal Seek 6th order'!$P$27*6))*('Goal Seek 6th order'!$P$28*10^-6))</f>
        <v>9.4874834960270231E-12</v>
      </c>
      <c r="AU82" s="59"/>
      <c r="AV82" s="37">
        <f>AV81*(C82/C81)^(('Goal Seek 6th order'!$P$26-1)/'Goal Seek 6th order'!$P$26)</f>
        <v>1941.5334556550865</v>
      </c>
      <c r="AW82" s="37">
        <f>(((4.7*10^13)*'O2N2 @ EGR'!$H$31*('O2N2 @ EGR'!$G$31^0.5)*(EXP(-67837/AV82))/('Goal Seek 6th order'!$P$27*6))*('Goal Seek 6th order'!$P$28*10^-6))</f>
        <v>2.0154807219009798E-12</v>
      </c>
      <c r="AY82" s="59"/>
      <c r="AZ82" s="37">
        <f>AZ81*(C82/C81)^(('Goal Seek 6th order'!$P$26-1)/'Goal Seek 6th order'!$P$26)</f>
        <v>1843.9751440969842</v>
      </c>
      <c r="BA82" s="37">
        <f>(((4.7*10^13)*'O2N2 @ EGR'!$H$32*('O2N2 @ EGR'!$G$32^0.5)*(EXP(-67837/AZ82))/('Goal Seek 6th order'!$P$27*6))*('Goal Seek 6th order'!$P$28*10^-6))</f>
        <v>3.3970483631721793E-13</v>
      </c>
      <c r="BC82" s="59"/>
    </row>
    <row r="83" spans="2:55" x14ac:dyDescent="0.3">
      <c r="B83" s="42">
        <v>13</v>
      </c>
      <c r="C83" s="42">
        <v>36</v>
      </c>
      <c r="D83" s="37">
        <f>D82*(C83/C82)^(('Goal Seek 6th order'!$P$26-1)/'Goal Seek 6th order'!$P$26)</f>
        <v>2578.8870920566874</v>
      </c>
      <c r="E83" s="37">
        <f>(((4.7*10^13)*'O2N2 @ EGR'!$H$20*('O2N2 @ EGR'!$G$20^0.5)*(EXP(-67837/D83))/('Goal Seek 6th order'!$P$27*6))*('Goal Seek 6th order'!$P$28*10^-6))</f>
        <v>0</v>
      </c>
      <c r="F83" s="3"/>
      <c r="G83" s="3"/>
      <c r="H83" s="37">
        <f>H82*(C83/C82)^(('Goal Seek 6th order'!$P$26-1)/'Goal Seek 6th order'!$P$26)</f>
        <v>2562.5208815947472</v>
      </c>
      <c r="I83" s="37">
        <f>(((4.7*10^13)*'O2N2 @ EGR'!$H$21*('O2N2 @ EGR'!$G$21^0.5)*(EXP(-67837/H83))/('Goal Seek 6th order'!$P$27*6))*('Goal Seek 6th order'!$P$28*10^-6))</f>
        <v>1.6066020958508826E-9</v>
      </c>
      <c r="L83" s="37">
        <f>L82*(C83/C82)^(('Goal Seek 6th order'!$P$26-1)/'Goal Seek 6th order'!$P$26)</f>
        <v>2546.0850002917105</v>
      </c>
      <c r="M83" s="37">
        <f>(((4.7*10^13)*'O2N2 @ EGR'!$H$22*('O2N2 @ EGR'!$G$22^0.5)*(EXP(-67837/L83))/('Goal Seek 6th order'!$P$27*6))*('Goal Seek 6th order'!$P$28*10^-6))</f>
        <v>1.9156404107503874E-9</v>
      </c>
      <c r="P83" s="37">
        <f>P82*(C83/C82)^(('Goal Seek 6th order'!$P$26-1)/'Goal Seek 6th order'!$P$26)</f>
        <v>2529.578439926584</v>
      </c>
      <c r="Q83" s="37">
        <f>(((4.7*10^13)*'O2N2 @ EGR'!$H$23*('O2N2 @ EGR'!$G$23^0.5)*(EXP(-67837/P83))/('Goal Seek 6th order'!$P$27*6))*('Goal Seek 6th order'!$P$28*10^-6))</f>
        <v>1.9722432039222113E-9</v>
      </c>
      <c r="T83" s="37">
        <f>T82*(C83/C82)^(('Goal Seek 6th order'!$P$26-1)/'Goal Seek 6th order'!$P$26)</f>
        <v>2513.0001886646805</v>
      </c>
      <c r="U83" s="37">
        <f>(((4.7*10^13)*'O2N2 @ EGR'!$H$24*('O2N2 @ EGR'!$G$24^0.5)*(EXP(-67837/T83))/('Goal Seek 6th order'!$P$27*6))*('Goal Seek 6th order'!$P$28*10^-6))</f>
        <v>1.908553607723839E-9</v>
      </c>
      <c r="W83" s="59"/>
      <c r="X83" s="37">
        <f>X82*(C83/C82)^(('Goal Seek 6th order'!$P$26-1)/'Goal Seek 6th order'!$P$26)</f>
        <v>2496.3492322621782</v>
      </c>
      <c r="Y83" s="37">
        <f>(((4.7*10^13)*'O2N2 @ EGR'!$H$25*('O2N2 @ EGR'!$G$25^0.5)*(EXP(-67837/X83))/('Goal Seek 6th order'!$P$27*6))*('Goal Seek 6th order'!$P$28*10^-6))</f>
        <v>1.782664986569646E-9</v>
      </c>
      <c r="AA83" s="59"/>
      <c r="AB83" s="37">
        <f>AB82*(C83/C82)^(('Goal Seek 6th order'!$P$26-1)/'Goal Seek 6th order'!$P$26)</f>
        <v>2411.9681348986346</v>
      </c>
      <c r="AC83" s="37">
        <f>(((4.7*10^13)*'O2N2 @ EGR'!$H$26*('O2N2 @ EGR'!$G$26^0.5)*(EXP(-67837/AB83))/('Goal Seek 6th order'!$P$27*6))*('Goal Seek 6th order'!$P$28*10^-6))</f>
        <v>9.7554699026424371E-10</v>
      </c>
      <c r="AE83" s="59"/>
      <c r="AF83" s="37">
        <f>AF82*(C83/C82)^(('Goal Seek 6th order'!$P$26-1)/'Goal Seek 6th order'!$P$26)</f>
        <v>2325.6154836682649</v>
      </c>
      <c r="AG83" s="37">
        <f>(((4.7*10^13)*'O2N2 @ EGR'!$H$27*('O2N2 @ EGR'!$G$27^0.5)*(EXP(-67837/AF83))/('Goal Seek 6th order'!$P$27*6))*('Goal Seek 6th order'!$P$28*10^-6))</f>
        <v>4.210093118207421E-10</v>
      </c>
      <c r="AI83" s="59"/>
      <c r="AJ83" s="37">
        <f>AJ82*(C83/C82)^(('Goal Seek 6th order'!$P$26-1)/'Goal Seek 6th order'!$P$26)</f>
        <v>2237.1578525081054</v>
      </c>
      <c r="AK83" s="37">
        <f>(((4.7*10^13)*'O2N2 @ EGR'!$H$28*('O2N2 @ EGR'!$G$28^0.5)*(EXP(-67837/AJ83))/('Goal Seek 6th order'!$P$27*6))*('Goal Seek 6th order'!$P$28*10^-6))</f>
        <v>1.5360318815253021E-10</v>
      </c>
      <c r="AM83" s="59"/>
      <c r="AN83" s="37">
        <f>AN82*(C83/C82)^(('Goal Seek 6th order'!$P$26-1)/'Goal Seek 6th order'!$P$26)</f>
        <v>2146.4581980461799</v>
      </c>
      <c r="AO83" s="37">
        <f>(((4.7*10^13)*'O2N2 @ EGR'!$H$29*('O2N2 @ EGR'!$G$29^0.5)*(EXP(-67837/AN83))/('Goal Seek 6th order'!$P$27*6))*('Goal Seek 6th order'!$P$28*10^-6))</f>
        <v>4.7745348042715451E-11</v>
      </c>
      <c r="AQ83" s="59"/>
      <c r="AR83" s="37">
        <f>AR82*(C83/C82)^(('Goal Seek 6th order'!$P$26-1)/'Goal Seek 6th order'!$P$26)</f>
        <v>2053.3672818933928</v>
      </c>
      <c r="AS83" s="37">
        <f>(((4.7*10^13)*'O2N2 @ EGR'!$H$30*('O2N2 @ EGR'!$G$30^0.5)*(EXP(-67837/AR83))/('Goal Seek 6th order'!$P$27*6))*('Goal Seek 6th order'!$P$28*10^-6))</f>
        <v>1.2497018328273813E-11</v>
      </c>
      <c r="AU83" s="59"/>
      <c r="AV83" s="37">
        <f>AV82*(C83/C82)^(('Goal Seek 6th order'!$P$26-1)/'Goal Seek 6th order'!$P$26)</f>
        <v>1957.7251679179542</v>
      </c>
      <c r="AW83" s="37">
        <f>(((4.7*10^13)*'O2N2 @ EGR'!$H$31*('O2N2 @ EGR'!$G$31^0.5)*(EXP(-67837/AV83))/('Goal Seek 6th order'!$P$27*6))*('Goal Seek 6th order'!$P$28*10^-6))</f>
        <v>2.6907889112113874E-12</v>
      </c>
      <c r="AY83" s="59"/>
      <c r="AZ83" s="37">
        <f>AZ82*(C83/C82)^(('Goal Seek 6th order'!$P$26-1)/'Goal Seek 6th order'!$P$26)</f>
        <v>1859.3532540472061</v>
      </c>
      <c r="BA83" s="37">
        <f>(((4.7*10^13)*'O2N2 @ EGR'!$H$32*('O2N2 @ EGR'!$G$32^0.5)*(EXP(-67837/AZ83))/('Goal Seek 6th order'!$P$27*6))*('Goal Seek 6th order'!$P$28*10^-6))</f>
        <v>4.6051367494790077E-13</v>
      </c>
      <c r="BC83" s="59"/>
    </row>
    <row r="84" spans="2:55" x14ac:dyDescent="0.3">
      <c r="B84" s="42">
        <v>14</v>
      </c>
      <c r="C84" s="42">
        <v>38</v>
      </c>
      <c r="D84" s="37">
        <f>D83*(C84/C83)^(('Goal Seek 6th order'!$P$26-1)/'Goal Seek 6th order'!$P$26)</f>
        <v>2599.2264128660509</v>
      </c>
      <c r="E84" s="37">
        <f>(((4.7*10^13)*'O2N2 @ EGR'!$H$20*('O2N2 @ EGR'!$G$20^0.5)*(EXP(-67837/D84))/('Goal Seek 6th order'!$P$27*6))*('Goal Seek 6th order'!$P$28*10^-6))</f>
        <v>0</v>
      </c>
      <c r="F84" s="3"/>
      <c r="G84" s="3"/>
      <c r="H84" s="37">
        <f>H83*(C84/C83)^(('Goal Seek 6th order'!$P$26-1)/'Goal Seek 6th order'!$P$26)</f>
        <v>2582.7311243975378</v>
      </c>
      <c r="I84" s="37">
        <f>(((4.7*10^13)*'O2N2 @ EGR'!$H$21*('O2N2 @ EGR'!$G$21^0.5)*(EXP(-67837/H84))/('Goal Seek 6th order'!$P$27*6))*('Goal Seek 6th order'!$P$28*10^-6))</f>
        <v>1.9763952523875762E-9</v>
      </c>
      <c r="L84" s="37">
        <f>L83*(C84/C83)^(('Goal Seek 6th order'!$P$26-1)/'Goal Seek 6th order'!$P$26)</f>
        <v>2566.1656156037761</v>
      </c>
      <c r="M84" s="37">
        <f>(((4.7*10^13)*'O2N2 @ EGR'!$H$22*('O2N2 @ EGR'!$G$22^0.5)*(EXP(-67837/L84))/('Goal Seek 6th order'!$P$27*6))*('Goal Seek 6th order'!$P$28*10^-6))</f>
        <v>2.3597186326840428E-9</v>
      </c>
      <c r="P84" s="37">
        <f>P83*(C84/C83)^(('Goal Seek 6th order'!$P$26-1)/'Goal Seek 6th order'!$P$26)</f>
        <v>2549.5288703120741</v>
      </c>
      <c r="Q84" s="37">
        <f>(((4.7*10^13)*'O2N2 @ EGR'!$H$23*('O2N2 @ EGR'!$G$23^0.5)*(EXP(-67837/P84))/('Goal Seek 6th order'!$P$27*6))*('Goal Seek 6th order'!$P$28*10^-6))</f>
        <v>2.4327503974388834E-9</v>
      </c>
      <c r="T84" s="37">
        <f>T83*(C84/C83)^(('Goal Seek 6th order'!$P$26-1)/'Goal Seek 6th order'!$P$26)</f>
        <v>2532.8198687075469</v>
      </c>
      <c r="U84" s="37">
        <f>(((4.7*10^13)*'O2N2 @ EGR'!$H$24*('O2N2 @ EGR'!$G$24^0.5)*(EXP(-67837/T84))/('Goal Seek 6th order'!$P$27*6))*('Goal Seek 6th order'!$P$28*10^-6))</f>
        <v>2.35745101773477E-9</v>
      </c>
      <c r="W84" s="59"/>
      <c r="X84" s="37">
        <f>X83*(C84/C83)^(('Goal Seek 6th order'!$P$26-1)/'Goal Seek 6th order'!$P$26)</f>
        <v>2516.037588547174</v>
      </c>
      <c r="Y84" s="37">
        <f>(((4.7*10^13)*'O2N2 @ EGR'!$H$25*('O2N2 @ EGR'!$G$25^0.5)*(EXP(-67837/X84))/('Goal Seek 6th order'!$P$27*6))*('Goal Seek 6th order'!$P$28*10^-6))</f>
        <v>2.205057685420126E-9</v>
      </c>
      <c r="AA84" s="59"/>
      <c r="AB84" s="37">
        <f>AB83*(C84/C83)^(('Goal Seek 6th order'!$P$26-1)/'Goal Seek 6th order'!$P$26)</f>
        <v>2430.9909893030676</v>
      </c>
      <c r="AC84" s="37">
        <f>(((4.7*10^13)*'O2N2 @ EGR'!$H$26*('O2N2 @ EGR'!$G$26^0.5)*(EXP(-67837/AB84))/('Goal Seek 6th order'!$P$27*6))*('Goal Seek 6th order'!$P$28*10^-6))</f>
        <v>1.215707861302354E-9</v>
      </c>
      <c r="AE84" s="59"/>
      <c r="AF84" s="37">
        <f>AF83*(C84/C83)^(('Goal Seek 6th order'!$P$26-1)/'Goal Seek 6th order'!$P$26)</f>
        <v>2343.9572868232949</v>
      </c>
      <c r="AG84" s="37">
        <f>(((4.7*10^13)*'O2N2 @ EGR'!$H$27*('O2N2 @ EGR'!$G$27^0.5)*(EXP(-67837/AF84))/('Goal Seek 6th order'!$P$27*6))*('Goal Seek 6th order'!$P$28*10^-6))</f>
        <v>5.2895869654052895E-10</v>
      </c>
      <c r="AI84" s="59"/>
      <c r="AJ84" s="37">
        <f>AJ83*(C84/C83)^(('Goal Seek 6th order'!$P$26-1)/'Goal Seek 6th order'!$P$26)</f>
        <v>2254.8020027322477</v>
      </c>
      <c r="AK84" s="37">
        <f>(((4.7*10^13)*'O2N2 @ EGR'!$H$28*('O2N2 @ EGR'!$G$28^0.5)*(EXP(-67837/AJ84))/('Goal Seek 6th order'!$P$27*6))*('Goal Seek 6th order'!$P$28*10^-6))</f>
        <v>1.9473764367395446E-10</v>
      </c>
      <c r="AM84" s="59"/>
      <c r="AN84" s="37">
        <f>AN83*(C84/C83)^(('Goal Seek 6th order'!$P$26-1)/'Goal Seek 6th order'!$P$26)</f>
        <v>2163.3870128160938</v>
      </c>
      <c r="AO84" s="37">
        <f>(((4.7*10^13)*'O2N2 @ EGR'!$H$29*('O2N2 @ EGR'!$G$29^0.5)*(EXP(-67837/AN84))/('Goal Seek 6th order'!$P$27*6))*('Goal Seek 6th order'!$P$28*10^-6))</f>
        <v>6.1141369137787394E-11</v>
      </c>
      <c r="AQ84" s="59"/>
      <c r="AR84" s="37">
        <f>AR83*(C84/C83)^(('Goal Seek 6th order'!$P$26-1)/'Goal Seek 6th order'!$P$26)</f>
        <v>2069.5619016634942</v>
      </c>
      <c r="AS84" s="37">
        <f>(((4.7*10^13)*'O2N2 @ EGR'!$H$30*('O2N2 @ EGR'!$G$30^0.5)*(EXP(-67837/AR84))/('Goal Seek 6th order'!$P$27*6))*('Goal Seek 6th order'!$P$28*10^-6))</f>
        <v>1.6183771822168707E-11</v>
      </c>
      <c r="AU84" s="59"/>
      <c r="AV84" s="37">
        <f>AV83*(C84/C83)^(('Goal Seek 6th order'!$P$26-1)/'Goal Seek 6th order'!$P$26)</f>
        <v>1973.1654717488182</v>
      </c>
      <c r="AW84" s="37">
        <f>(((4.7*10^13)*'O2N2 @ EGR'!$H$31*('O2N2 @ EGR'!$G$31^0.5)*(EXP(-67837/AV84))/('Goal Seek 6th order'!$P$27*6))*('Goal Seek 6th order'!$P$28*10^-6))</f>
        <v>3.5288885040699385E-12</v>
      </c>
      <c r="AY84" s="59"/>
      <c r="AZ84" s="37">
        <f>AZ83*(C84/C83)^(('Goal Seek 6th order'!$P$26-1)/'Goal Seek 6th order'!$P$26)</f>
        <v>1874.0177123899093</v>
      </c>
      <c r="BA84" s="37">
        <f>(((4.7*10^13)*'O2N2 @ EGR'!$H$32*('O2N2 @ EGR'!$G$32^0.5)*(EXP(-67837/AZ84))/('Goal Seek 6th order'!$P$27*6))*('Goal Seek 6th order'!$P$28*10^-6))</f>
        <v>6.1267621579845075E-13</v>
      </c>
      <c r="BC84" s="59"/>
    </row>
    <row r="85" spans="2:55" x14ac:dyDescent="0.3">
      <c r="B85" s="42">
        <v>15</v>
      </c>
      <c r="C85" s="42">
        <v>40</v>
      </c>
      <c r="D85" s="37">
        <f>D84*(C85/C84)^(('Goal Seek 6th order'!$P$26-1)/'Goal Seek 6th order'!$P$26)</f>
        <v>2618.6704812616299</v>
      </c>
      <c r="E85" s="37">
        <f>(((4.7*10^13)*'O2N2 @ EGR'!$H$20*('O2N2 @ EGR'!$G$20^0.5)*(EXP(-67837/D85))/('Goal Seek 6th order'!$P$27*6))*('Goal Seek 6th order'!$P$28*10^-6))</f>
        <v>0</v>
      </c>
      <c r="F85" s="3"/>
      <c r="G85" s="3"/>
      <c r="H85" s="37">
        <f>H84*(C85/C84)^(('Goal Seek 6th order'!$P$26-1)/'Goal Seek 6th order'!$P$26)</f>
        <v>2602.0517962642116</v>
      </c>
      <c r="I85" s="37">
        <f>(((4.7*10^13)*'O2N2 @ EGR'!$H$21*('O2N2 @ EGR'!$G$21^0.5)*(EXP(-67837/H85))/('Goal Seek 6th order'!$P$27*6))*('Goal Seek 6th order'!$P$28*10^-6))</f>
        <v>2.4019986215435887E-9</v>
      </c>
      <c r="L85" s="37">
        <f>L84*(C85/C84)^(('Goal Seek 6th order'!$P$26-1)/'Goal Seek 6th order'!$P$26)</f>
        <v>2585.362365643402</v>
      </c>
      <c r="M85" s="37">
        <f>(((4.7*10^13)*'O2N2 @ EGR'!$H$22*('O2N2 @ EGR'!$G$22^0.5)*(EXP(-67837/L85))/('Goal Seek 6th order'!$P$27*6))*('Goal Seek 6th order'!$P$28*10^-6))</f>
        <v>2.8714809235223671E-9</v>
      </c>
      <c r="P85" s="37">
        <f>P84*(C85/C84)^(('Goal Seek 6th order'!$P$26-1)/'Goal Seek 6th order'!$P$26)</f>
        <v>2568.6011656248124</v>
      </c>
      <c r="Q85" s="37">
        <f>(((4.7*10^13)*'O2N2 @ EGR'!$H$23*('O2N2 @ EGR'!$G$23^0.5)*(EXP(-67837/P85))/('Goal Seek 6th order'!$P$27*6))*('Goal Seek 6th order'!$P$28*10^-6))</f>
        <v>2.9641455815121835E-9</v>
      </c>
      <c r="T85" s="37">
        <f>T84*(C85/C84)^(('Goal Seek 6th order'!$P$26-1)/'Goal Seek 6th order'!$P$26)</f>
        <v>2551.7671687646157</v>
      </c>
      <c r="U85" s="37">
        <f>(((4.7*10^13)*'O2N2 @ EGR'!$H$24*('O2N2 @ EGR'!$G$24^0.5)*(EXP(-67837/T85))/('Goal Seek 6th order'!$P$27*6))*('Goal Seek 6th order'!$P$28*10^-6))</f>
        <v>2.8761444286662309E-9</v>
      </c>
      <c r="W85" s="59"/>
      <c r="X85" s="37">
        <f>X84*(C85/C84)^(('Goal Seek 6th order'!$P$26-1)/'Goal Seek 6th order'!$P$26)</f>
        <v>2534.8593451726829</v>
      </c>
      <c r="Y85" s="37">
        <f>(((4.7*10^13)*'O2N2 @ EGR'!$H$25*('O2N2 @ EGR'!$G$25^0.5)*(EXP(-67837/X85))/('Goal Seek 6th order'!$P$27*6))*('Goal Seek 6th order'!$P$28*10^-6))</f>
        <v>2.6937919670993071E-9</v>
      </c>
      <c r="AA85" s="59"/>
      <c r="AB85" s="37">
        <f>AB84*(C85/C84)^(('Goal Seek 6th order'!$P$26-1)/'Goal Seek 6th order'!$P$26)</f>
        <v>2449.1765366763434</v>
      </c>
      <c r="AC85" s="37">
        <f>(((4.7*10^13)*'O2N2 @ EGR'!$H$26*('O2N2 @ EGR'!$G$26^0.5)*(EXP(-67837/AB85))/('Goal Seek 6th order'!$P$27*6))*('Goal Seek 6th order'!$P$28*10^-6))</f>
        <v>1.4955984437057888E-9</v>
      </c>
      <c r="AE85" s="59"/>
      <c r="AF85" s="37">
        <f>AF84*(C85/C84)^(('Goal Seek 6th order'!$P$26-1)/'Goal Seek 6th order'!$P$26)</f>
        <v>2361.4917599941232</v>
      </c>
      <c r="AG85" s="37">
        <f>(((4.7*10^13)*'O2N2 @ EGR'!$H$27*('O2N2 @ EGR'!$G$27^0.5)*(EXP(-67837/AF85))/('Goal Seek 6th order'!$P$27*6))*('Goal Seek 6th order'!$P$28*10^-6))</f>
        <v>6.5576587331233693E-10</v>
      </c>
      <c r="AI85" s="59"/>
      <c r="AJ85" s="37">
        <f>AJ84*(C85/C84)^(('Goal Seek 6th order'!$P$26-1)/'Goal Seek 6th order'!$P$26)</f>
        <v>2271.6695307561999</v>
      </c>
      <c r="AK85" s="37">
        <f>(((4.7*10^13)*'O2N2 @ EGR'!$H$28*('O2N2 @ EGR'!$G$28^0.5)*(EXP(-67837/AJ85))/('Goal Seek 6th order'!$P$27*6))*('Goal Seek 6th order'!$P$28*10^-6))</f>
        <v>2.4348215083585028E-10</v>
      </c>
      <c r="AM85" s="59"/>
      <c r="AN85" s="37">
        <f>AN84*(C85/C84)^(('Goal Seek 6th order'!$P$26-1)/'Goal Seek 6th order'!$P$26)</f>
        <v>2179.5706914810548</v>
      </c>
      <c r="AO85" s="37">
        <f>(((4.7*10^13)*'O2N2 @ EGR'!$H$29*('O2N2 @ EGR'!$G$29^0.5)*(EXP(-67837/AN85))/('Goal Seek 6th order'!$P$27*6))*('Goal Seek 6th order'!$P$28*10^-6))</f>
        <v>7.7170602160460995E-11</v>
      </c>
      <c r="AQ85" s="59"/>
      <c r="AR85" s="37">
        <f>AR84*(C85/C84)^(('Goal Seek 6th order'!$P$26-1)/'Goal Seek 6th order'!$P$26)</f>
        <v>2085.0437015427351</v>
      </c>
      <c r="AS85" s="37">
        <f>(((4.7*10^13)*'O2N2 @ EGR'!$H$30*('O2N2 @ EGR'!$G$30^0.5)*(EXP(-67837/AR85))/('Goal Seek 6th order'!$P$27*6))*('Goal Seek 6th order'!$P$28*10^-6))</f>
        <v>2.06433738331279E-11</v>
      </c>
      <c r="AU85" s="59"/>
      <c r="AV85" s="37">
        <f>AV84*(C85/C84)^(('Goal Seek 6th order'!$P$26-1)/'Goal Seek 6th order'!$P$26)</f>
        <v>1987.9261575430864</v>
      </c>
      <c r="AW85" s="37">
        <f>(((4.7*10^13)*'O2N2 @ EGR'!$H$31*('O2N2 @ EGR'!$G$31^0.5)*(EXP(-67837/AV85))/('Goal Seek 6th order'!$P$27*6))*('Goal Seek 6th order'!$P$28*10^-6))</f>
        <v>4.5551506948721455E-12</v>
      </c>
      <c r="AY85" s="59"/>
      <c r="AZ85" s="37">
        <f>AZ84*(C85/C84)^(('Goal Seek 6th order'!$P$26-1)/'Goal Seek 6th order'!$P$26)</f>
        <v>1888.0367021915929</v>
      </c>
      <c r="BA85" s="37">
        <f>(((4.7*10^13)*'O2N2 @ EGR'!$H$32*('O2N2 @ EGR'!$G$32^0.5)*(EXP(-67837/AZ85))/('Goal Seek 6th order'!$P$27*6))*('Goal Seek 6th order'!$P$28*10^-6))</f>
        <v>8.0160663812125528E-13</v>
      </c>
      <c r="BC85" s="59"/>
    </row>
    <row r="86" spans="2:55" x14ac:dyDescent="0.3">
      <c r="W86" s="59"/>
      <c r="AA86" s="59"/>
      <c r="AE86" s="59"/>
      <c r="AI86" s="59"/>
      <c r="AM86" s="59"/>
      <c r="AQ86" s="59"/>
      <c r="AU86" s="59"/>
      <c r="AY86" s="59"/>
      <c r="BC86" s="59"/>
    </row>
    <row r="87" spans="2:55" x14ac:dyDescent="0.3">
      <c r="B87" s="132" t="s">
        <v>123</v>
      </c>
      <c r="C87" s="132"/>
      <c r="D87" s="132"/>
      <c r="E87" s="132"/>
      <c r="F87" s="132"/>
      <c r="G87" s="132"/>
      <c r="H87" s="132"/>
      <c r="I87" s="132"/>
      <c r="J87" s="132"/>
      <c r="K87" s="132"/>
      <c r="L87" s="132"/>
      <c r="M87" s="132"/>
      <c r="N87" s="132"/>
      <c r="O87" s="132"/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/>
      <c r="AC87" s="132"/>
      <c r="AD87" s="132"/>
      <c r="AE87" s="132"/>
      <c r="AF87" s="132"/>
      <c r="AG87" s="132"/>
      <c r="AH87" s="132"/>
      <c r="AI87" s="132"/>
      <c r="AJ87" s="132"/>
      <c r="AK87" s="132"/>
      <c r="AL87" s="132"/>
      <c r="AM87" s="132"/>
      <c r="AN87" s="132"/>
      <c r="AO87" s="132"/>
      <c r="AP87" s="132"/>
      <c r="AQ87" s="132"/>
      <c r="AR87" s="132"/>
      <c r="AS87" s="132"/>
      <c r="AT87" s="132"/>
      <c r="AU87" s="132"/>
      <c r="AV87" s="132"/>
      <c r="AW87" s="132"/>
      <c r="AX87" s="132"/>
      <c r="AY87" s="132"/>
      <c r="AZ87" s="132"/>
      <c r="BA87" s="132"/>
      <c r="BB87" s="132"/>
    </row>
    <row r="88" spans="2:55" x14ac:dyDescent="0.3">
      <c r="AA88"/>
      <c r="AE88" s="59"/>
      <c r="AI88" s="59"/>
      <c r="AM88" s="59"/>
      <c r="AQ88" s="59"/>
      <c r="AU88" s="59"/>
      <c r="AY88" s="59"/>
      <c r="BC88" s="59"/>
    </row>
    <row r="89" spans="2:55" x14ac:dyDescent="0.3">
      <c r="C89" s="29" t="s">
        <v>106</v>
      </c>
      <c r="D89" s="102">
        <v>1</v>
      </c>
      <c r="E89" s="102"/>
      <c r="F89" s="102"/>
      <c r="G89" s="59"/>
      <c r="H89" s="118">
        <v>0.99</v>
      </c>
      <c r="I89" s="119"/>
      <c r="J89" s="120"/>
      <c r="K89" s="59"/>
      <c r="L89" s="118">
        <v>0.98</v>
      </c>
      <c r="M89" s="119"/>
      <c r="N89" s="120"/>
      <c r="O89" s="59"/>
      <c r="P89" s="118">
        <v>0.97</v>
      </c>
      <c r="Q89" s="119"/>
      <c r="R89" s="120"/>
      <c r="S89" s="59"/>
      <c r="T89" s="118">
        <v>0.96</v>
      </c>
      <c r="U89" s="119"/>
      <c r="V89" s="120"/>
      <c r="W89" s="59"/>
      <c r="X89" s="102">
        <v>0.95</v>
      </c>
      <c r="Y89" s="102"/>
      <c r="Z89" s="102"/>
      <c r="AA89" s="59"/>
      <c r="AB89" s="118">
        <v>0.9</v>
      </c>
      <c r="AC89" s="119"/>
      <c r="AD89" s="120"/>
      <c r="AE89" s="59"/>
      <c r="AF89" s="118">
        <v>0.85</v>
      </c>
      <c r="AG89" s="119"/>
      <c r="AH89" s="120"/>
      <c r="AI89" s="59"/>
      <c r="AJ89" s="118">
        <v>0.8</v>
      </c>
      <c r="AK89" s="119"/>
      <c r="AL89" s="120"/>
      <c r="AM89" s="59"/>
      <c r="AN89" s="118">
        <v>0.75</v>
      </c>
      <c r="AO89" s="119"/>
      <c r="AP89" s="120"/>
      <c r="AQ89" s="59"/>
      <c r="AR89" s="118">
        <v>0.7</v>
      </c>
      <c r="AS89" s="119"/>
      <c r="AT89" s="120"/>
      <c r="AU89" s="59"/>
      <c r="AV89" s="118">
        <v>0.65</v>
      </c>
      <c r="AW89" s="119"/>
      <c r="AX89" s="120"/>
      <c r="AY89" s="59"/>
      <c r="AZ89" s="118">
        <v>0.6</v>
      </c>
      <c r="BA89" s="119"/>
      <c r="BB89" s="120"/>
      <c r="BC89" s="59"/>
    </row>
    <row r="90" spans="2:55" x14ac:dyDescent="0.3">
      <c r="B90" s="58" t="s">
        <v>107</v>
      </c>
      <c r="C90" s="30" t="s">
        <v>105</v>
      </c>
      <c r="D90" s="58" t="s">
        <v>103</v>
      </c>
      <c r="E90" s="58" t="s">
        <v>104</v>
      </c>
      <c r="F90" s="58" t="s">
        <v>108</v>
      </c>
      <c r="G90" s="59"/>
      <c r="H90" s="58" t="s">
        <v>103</v>
      </c>
      <c r="I90" s="58" t="s">
        <v>104</v>
      </c>
      <c r="J90" s="58" t="s">
        <v>108</v>
      </c>
      <c r="K90" s="59"/>
      <c r="L90" s="58" t="s">
        <v>103</v>
      </c>
      <c r="M90" s="58" t="s">
        <v>104</v>
      </c>
      <c r="N90" s="58" t="s">
        <v>108</v>
      </c>
      <c r="O90" s="59"/>
      <c r="P90" s="58" t="s">
        <v>103</v>
      </c>
      <c r="Q90" s="58" t="s">
        <v>104</v>
      </c>
      <c r="R90" s="58" t="s">
        <v>108</v>
      </c>
      <c r="S90" s="59"/>
      <c r="T90" s="58" t="s">
        <v>103</v>
      </c>
      <c r="U90" s="58" t="s">
        <v>104</v>
      </c>
      <c r="V90" s="58" t="s">
        <v>108</v>
      </c>
      <c r="W90" s="59"/>
      <c r="X90" s="58" t="s">
        <v>103</v>
      </c>
      <c r="Y90" s="58" t="s">
        <v>104</v>
      </c>
      <c r="Z90" s="58" t="s">
        <v>108</v>
      </c>
      <c r="AA90" s="59"/>
      <c r="AB90" s="58" t="s">
        <v>103</v>
      </c>
      <c r="AC90" s="58" t="s">
        <v>104</v>
      </c>
      <c r="AD90" s="58" t="s">
        <v>108</v>
      </c>
      <c r="AE90" s="59"/>
      <c r="AF90" s="58" t="s">
        <v>103</v>
      </c>
      <c r="AG90" s="58" t="s">
        <v>104</v>
      </c>
      <c r="AH90" s="58" t="s">
        <v>108</v>
      </c>
      <c r="AI90" s="59"/>
      <c r="AJ90" s="58" t="s">
        <v>103</v>
      </c>
      <c r="AK90" s="58" t="s">
        <v>104</v>
      </c>
      <c r="AL90" s="58" t="s">
        <v>108</v>
      </c>
      <c r="AM90" s="59"/>
      <c r="AN90" s="58" t="s">
        <v>103</v>
      </c>
      <c r="AO90" s="58" t="s">
        <v>104</v>
      </c>
      <c r="AP90" s="58" t="s">
        <v>108</v>
      </c>
      <c r="AQ90" s="59"/>
      <c r="AR90" s="58" t="s">
        <v>103</v>
      </c>
      <c r="AS90" s="58" t="s">
        <v>104</v>
      </c>
      <c r="AT90" s="58" t="s">
        <v>108</v>
      </c>
      <c r="AU90" s="59"/>
      <c r="AV90" s="58" t="s">
        <v>103</v>
      </c>
      <c r="AW90" s="58" t="s">
        <v>104</v>
      </c>
      <c r="AX90" s="58" t="s">
        <v>108</v>
      </c>
      <c r="AY90" s="59"/>
      <c r="AZ90" s="58" t="s">
        <v>103</v>
      </c>
      <c r="BA90" s="58" t="s">
        <v>104</v>
      </c>
      <c r="BB90" s="58" t="s">
        <v>108</v>
      </c>
      <c r="BC90" s="59"/>
    </row>
    <row r="91" spans="2:55" x14ac:dyDescent="0.3">
      <c r="B91" s="42">
        <v>0</v>
      </c>
      <c r="C91" s="42">
        <v>10</v>
      </c>
      <c r="D91" s="37">
        <f>EGR!F$32</f>
        <v>2072.1279220000001</v>
      </c>
      <c r="E91" s="37">
        <f>(((4.7*10^13)*'O2N2 @ EGR'!$R$20*('O2N2 @ EGR'!$Q$20^0.5)*(EXP(-67837/D91))/('Goal Seek 6th order'!$P$27*6))*('Goal Seek 6th order'!$P$28*10^-6))</f>
        <v>0</v>
      </c>
      <c r="F91" s="37">
        <f>(SUM(E91:E106)/'O2N2 @ EGR'!$T20)*10^6</f>
        <v>0</v>
      </c>
      <c r="G91" s="3"/>
      <c r="H91" s="37">
        <f>EGR!F$33</f>
        <v>2059.1568590000002</v>
      </c>
      <c r="I91" s="37">
        <f>(((4.7*10^13)*'O2N2 @ EGR'!$R$21*('O2N2 @ EGR'!$Q$21^0.5)*(EXP(-67837/H91))/('Goal Seek 6th order'!$P$27*6))*('Goal Seek 6th order'!$P$28*10^-6))</f>
        <v>2.6496028918974779E-12</v>
      </c>
      <c r="J91" s="37">
        <f>(SUM(I91:I106)/'O2N2 @ EGR'!$T21)*10^6</f>
        <v>602.12776983675712</v>
      </c>
      <c r="L91" s="37">
        <f>EGR!F$34</f>
        <v>2046.12796</v>
      </c>
      <c r="M91" s="37">
        <f>(((4.7*10^13)*'O2N2 @ EGR'!$R$22*('O2N2 @ EGR'!$Q$22^0.5)*(EXP(-67837/L91))/('Goal Seek 6th order'!$P$27*6))*('Goal Seek 6th order'!$P$28*10^-6))</f>
        <v>3.0387830869284253E-12</v>
      </c>
      <c r="N91" s="37">
        <f>(SUM(M91:M106)/'O2N2 @ EGR'!$T22)*10^6</f>
        <v>714.53910929662948</v>
      </c>
      <c r="P91" s="37">
        <f>EGR!F$35</f>
        <v>2033.040454</v>
      </c>
      <c r="Q91" s="37">
        <f>(((4.7*10^13)*'O2N2 @ EGR'!$R$23*('O2N2 @ EGR'!$Q$23^0.5)*(EXP(-67837/P91))/('Goal Seek 6th order'!$P$27*6))*('Goal Seek 6th order'!$P$28*10^-6))</f>
        <v>3.0072108071191321E-12</v>
      </c>
      <c r="R91" s="37">
        <f>(SUM(Q91:Q106)/'O2N2 @ EGR'!$T23)*10^6</f>
        <v>732.10896823201517</v>
      </c>
      <c r="T91" s="37">
        <f>EGR!F$36</f>
        <v>2019.8935650000001</v>
      </c>
      <c r="U91" s="37">
        <f>(((4.7*10^13)*'O2N2 @ EGR'!$R$24*('O2N2 @ EGR'!$Q$24^0.5)*(EXP(-67837/T91))/('Goal Seek 6th order'!$P$27*6))*('Goal Seek 6th order'!$P$28*10^-6))</f>
        <v>2.7952581774380798E-12</v>
      </c>
      <c r="V91" s="37">
        <f>(SUM(U91:U106)/'O2N2 @ EGR'!$T24)*10^6</f>
        <v>705.00808737130467</v>
      </c>
      <c r="X91" s="37">
        <f>EGR!F$37</f>
        <v>2006.6865130000001</v>
      </c>
      <c r="Y91" s="37">
        <f>(((4.7*10^13)*'O2N2 @ EGR'!$R$25*('O2N2 @ EGR'!$Q$25^0.5)*(EXP(-67837/X91))/('Goal Seek 6th order'!$P$27*6))*('Goal Seek 6th order'!$P$28*10^-6))</f>
        <v>2.50604949938143E-12</v>
      </c>
      <c r="Z91" s="37">
        <f>(SUM(Y91:Y106)/'O2N2 @ EGR'!$T25)*10^6</f>
        <v>655.24670342182549</v>
      </c>
      <c r="AA91" s="59"/>
      <c r="AB91" s="37">
        <f>EGR!F$38</f>
        <v>1939.7210620000001</v>
      </c>
      <c r="AC91" s="37">
        <f>(((4.7*10^13)*'O2N2 @ EGR'!$R$26*('O2N2 @ EGR'!$Q$26^0.5)*(EXP(-67837/AB91))/('Goal Seek 6th order'!$P$27*6))*('Goal Seek 6th order'!$P$28*10^-6))</f>
        <v>1.1045608156578389E-12</v>
      </c>
      <c r="AD91" s="37">
        <f>(SUM(AC91:AC106)/'O2N2 @ EGR'!$T26)*10^6</f>
        <v>349.43013881888243</v>
      </c>
      <c r="AE91" s="59"/>
      <c r="AF91" s="37">
        <f>EGR!F$39</f>
        <v>1871.1314620000001</v>
      </c>
      <c r="AG91" s="37">
        <f>(((4.7*10^13)*'O2N2 @ EGR'!$R$27*('O2N2 @ EGR'!$Q$27^0.5)*(EXP(-67837/AF91))/('Goal Seek 6th order'!$P$27*6))*('Goal Seek 6th order'!$P$28*10^-6))</f>
        <v>3.7585283227955338E-13</v>
      </c>
      <c r="AH91" s="37">
        <f>(SUM(AG91:AG106)/'O2N2 @ EGR'!$T27)*10^6</f>
        <v>146.68747117892076</v>
      </c>
      <c r="AI91" s="59"/>
      <c r="AJ91" s="37">
        <f>EGR!F$40</f>
        <v>1800.8118919999999</v>
      </c>
      <c r="AK91" s="37">
        <f>(((4.7*10^13)*'O2N2 @ EGR'!$R$28*('O2N2 @ EGR'!$Q$28^0.5)*(EXP(-67837/AJ91))/('Goal Seek 6th order'!$P$27*6))*('Goal Seek 6th order'!$P$28*10^-6))</f>
        <v>1.0548675141778389E-13</v>
      </c>
      <c r="AL91" s="37">
        <f>(SUM(AK91:AK106)/'O2N2 @ EGR'!$T28)*10^6</f>
        <v>51.95659694071491</v>
      </c>
      <c r="AM91" s="59"/>
      <c r="AN91" s="37">
        <f>EGR!F$41</f>
        <v>1728.6521499999999</v>
      </c>
      <c r="AO91" s="37">
        <f>(((4.7*10^13)*'O2N2 @ EGR'!$R$29*('O2N2 @ EGR'!$Q$29^0.5)*(EXP(-67837/AN91))/('Goal Seek 6th order'!$P$27*6))*('Goal Seek 6th order'!$P$28*10^-6))</f>
        <v>2.4506038993277164E-14</v>
      </c>
      <c r="AP91" s="37">
        <f>(SUM(AO91:AO106)/'O2N2 @ EGR'!$T29)*10^6</f>
        <v>15.64538131377771</v>
      </c>
      <c r="AQ91" s="59"/>
      <c r="AR91" s="37">
        <f>EGR!F$42</f>
        <v>1654.5311160000001</v>
      </c>
      <c r="AS91" s="37">
        <f>(((4.7*10^13)*'O2N2 @ EGR'!$R$30*('O2N2 @ EGR'!$Q$30^0.5)*(EXP(-67837/AR91))/('Goal Seek 6th order'!$P$27*6))*('Goal Seek 6th order'!$P$28*10^-6))</f>
        <v>4.6334356584982682E-15</v>
      </c>
      <c r="AT91" s="37">
        <f>(SUM(AS91:AS106)/'O2N2 @ EGR'!$T30)*10^6</f>
        <v>3.9578908091374538</v>
      </c>
      <c r="AU91" s="59"/>
      <c r="AV91" s="37">
        <f>EGR!F$43</f>
        <v>1578.318051</v>
      </c>
      <c r="AW91" s="37">
        <f>(((4.7*10^13)*'O2N2 @ EGR'!$R$31*('O2N2 @ EGR'!$Q$31^0.5)*(EXP(-67837/AV91))/('Goal Seek 6th order'!$P$27*6))*('Goal Seek 6th order'!$P$28*10^-6))</f>
        <v>6.9197619571039286E-16</v>
      </c>
      <c r="AX91" s="37">
        <f>(SUM(AW91:AW106)/'O2N2 @ EGR'!$T31)*10^6</f>
        <v>0.82153517264283471</v>
      </c>
      <c r="AY91" s="59"/>
      <c r="AZ91" s="37">
        <f>EGR!F$44</f>
        <v>1499.866516</v>
      </c>
      <c r="BA91" s="37">
        <f>(((4.7*10^13)*'O2N2 @ EGR'!$R$32*('O2N2 @ EGR'!$Q$32^0.5)*(EXP(-67837/AZ91))/('Goal Seek 6th order'!$P$27*6))*('Goal Seek 6th order'!$P$28*10^-6))</f>
        <v>7.8213096933150822E-17</v>
      </c>
      <c r="BB91" s="37">
        <f>(SUM(BA91:BA106)/'O2N2 @ EGR'!$T32)*10^6</f>
        <v>0.13516136647918081</v>
      </c>
      <c r="BC91" s="59"/>
    </row>
    <row r="92" spans="2:55" x14ac:dyDescent="0.3">
      <c r="B92" s="42">
        <v>1</v>
      </c>
      <c r="C92" s="42">
        <v>12</v>
      </c>
      <c r="D92" s="37">
        <f>D91*(C92/C91)^(('Goal Seek 6th order'!$P$26-1)/'Goal Seek 6th order'!$P$26)</f>
        <v>2127.7545616994457</v>
      </c>
      <c r="E92" s="37">
        <f>(((4.7*10^13)*'O2N2 @ EGR'!$R$20*('O2N2 @ EGR'!$Q$20^0.5)*(EXP(-67837/D92))/('Goal Seek 6th order'!$P$27*6))*('Goal Seek 6th order'!$P$28*10^-6))</f>
        <v>0</v>
      </c>
      <c r="F92" s="3"/>
      <c r="G92" s="3"/>
      <c r="H92" s="37">
        <f>H91*(C92/C91)^(('Goal Seek 6th order'!$P$26-1)/'Goal Seek 6th order'!$P$26)</f>
        <v>2114.435288224427</v>
      </c>
      <c r="I92" s="37">
        <f>(((4.7*10^13)*'O2N2 @ EGR'!$R$21*('O2N2 @ EGR'!$Q$21^0.5)*(EXP(-67837/H92))/('Goal Seek 6th order'!$P$27*6))*('Goal Seek 6th order'!$P$28*10^-6))</f>
        <v>6.269384268772665E-12</v>
      </c>
      <c r="L92" s="37">
        <f>L91*(C92/C91)^(('Goal Seek 6th order'!$P$26-1)/'Goal Seek 6th order'!$P$26)</f>
        <v>2101.0566261317822</v>
      </c>
      <c r="M92" s="37">
        <f>(((4.7*10^13)*'O2N2 @ EGR'!$R$22*('O2N2 @ EGR'!$Q$22^0.5)*(EXP(-67837/L92))/('Goal Seek 6th order'!$P$27*6))*('Goal Seek 6th order'!$P$28*10^-6))</f>
        <v>7.2297879541372061E-12</v>
      </c>
      <c r="P92" s="37">
        <f>P91*(C92/C91)^(('Goal Seek 6th order'!$P$26-1)/'Goal Seek 6th order'!$P$26)</f>
        <v>2087.6177837238815</v>
      </c>
      <c r="Q92" s="37">
        <f>(((4.7*10^13)*'O2N2 @ EGR'!$R$23*('O2N2 @ EGR'!$Q$23^0.5)*(EXP(-67837/P92))/('Goal Seek 6th order'!$P$27*6))*('Goal Seek 6th order'!$P$28*10^-6))</f>
        <v>7.1947041241954501E-12</v>
      </c>
      <c r="T92" s="37">
        <f>T91*(C92/C91)^(('Goal Seek 6th order'!$P$26-1)/'Goal Seek 6th order'!$P$26)</f>
        <v>2074.1179641688677</v>
      </c>
      <c r="U92" s="37">
        <f>(((4.7*10^13)*'O2N2 @ EGR'!$R$24*('O2N2 @ EGR'!$Q$24^0.5)*(EXP(-67837/T92))/('Goal Seek 6th order'!$P$27*6))*('Goal Seek 6th order'!$P$28*10^-6))</f>
        <v>6.7256894157522462E-12</v>
      </c>
      <c r="X92" s="37">
        <f>X91*(C92/C91)^(('Goal Seek 6th order'!$P$26-1)/'Goal Seek 6th order'!$P$26)</f>
        <v>2060.5563665275026</v>
      </c>
      <c r="Y92" s="37">
        <f>(((4.7*10^13)*'O2N2 @ EGR'!$R$25*('O2N2 @ EGR'!$Q$25^0.5)*(EXP(-67837/X92))/('Goal Seek 6th order'!$P$27*6))*('Goal Seek 6th order'!$P$28*10^-6))</f>
        <v>6.0647675356081749E-12</v>
      </c>
      <c r="Z92" s="59"/>
      <c r="AA92" s="59"/>
      <c r="AB92" s="37">
        <f>AB91*(C92/C91)^(('Goal Seek 6th order'!$P$26-1)/'Goal Seek 6th order'!$P$26)</f>
        <v>1991.7932161791473</v>
      </c>
      <c r="AC92" s="37">
        <f>(((4.7*10^13)*'O2N2 @ EGR'!$R$26*('O2N2 @ EGR'!$Q$26^0.5)*(EXP(-67837/AB92))/('Goal Seek 6th order'!$P$27*6))*('Goal Seek 6th order'!$P$28*10^-6))</f>
        <v>2.7559098776397046E-12</v>
      </c>
      <c r="AE92" s="59"/>
      <c r="AF92" s="37">
        <f>AF91*(C92/C91)^(('Goal Seek 6th order'!$P$26-1)/'Goal Seek 6th order'!$P$26)</f>
        <v>1921.3623162643012</v>
      </c>
      <c r="AG92" s="37">
        <f>(((4.7*10^13)*'O2N2 @ EGR'!$R$27*('O2N2 @ EGR'!$Q$27^0.5)*(EXP(-67837/AF92))/('Goal Seek 6th order'!$P$27*6))*('Goal Seek 6th order'!$P$28*10^-6))</f>
        <v>9.6972523958426111E-13</v>
      </c>
      <c r="AI92" s="59"/>
      <c r="AJ92" s="37">
        <f>AJ91*(C92/C91)^(('Goal Seek 6th order'!$P$26-1)/'Goal Seek 6th order'!$P$26)</f>
        <v>1849.1550049995462</v>
      </c>
      <c r="AK92" s="37">
        <f>(((4.7*10^13)*'O2N2 @ EGR'!$R$28*('O2N2 @ EGR'!$Q$28^0.5)*(EXP(-67837/AJ92))/('Goal Seek 6th order'!$P$27*6))*('Goal Seek 6th order'!$P$28*10^-6))</f>
        <v>2.8242457750732937E-13</v>
      </c>
      <c r="AM92" s="59"/>
      <c r="AN92" s="37">
        <f>AN91*(C92/C91)^(('Goal Seek 6th order'!$P$26-1)/'Goal Seek 6th order'!$P$26)</f>
        <v>1775.0581219927474</v>
      </c>
      <c r="AO92" s="37">
        <f>(((4.7*10^13)*'O2N2 @ EGR'!$R$29*('O2N2 @ EGR'!$Q$29^0.5)*(EXP(-67837/AN92))/('Goal Seek 6th order'!$P$27*6))*('Goal Seek 6th order'!$P$28*10^-6))</f>
        <v>6.836463730866854E-14</v>
      </c>
      <c r="AQ92" s="59"/>
      <c r="AR92" s="37">
        <f>AR91*(C92/C91)^(('Goal Seek 6th order'!$P$26-1)/'Goal Seek 6th order'!$P$26)</f>
        <v>1698.9472957561329</v>
      </c>
      <c r="AS92" s="37">
        <f>(((4.7*10^13)*'O2N2 @ EGR'!$R$30*('O2N2 @ EGR'!$Q$30^0.5)*(EXP(-67837/AR92))/('Goal Seek 6th order'!$P$27*6))*('Goal Seek 6th order'!$P$28*10^-6))</f>
        <v>1.3533870567564501E-14</v>
      </c>
      <c r="AU92" s="59"/>
      <c r="AV92" s="37">
        <f>AV91*(C92/C91)^(('Goal Seek 6th order'!$P$26-1)/'Goal Seek 6th order'!$P$26)</f>
        <v>1620.6882775781776</v>
      </c>
      <c r="AW92" s="37">
        <f>(((4.7*10^13)*'O2N2 @ EGR'!$R$31*('O2N2 @ EGR'!$Q$31^0.5)*(EXP(-67837/AV92))/('Goal Seek 6th order'!$P$27*6))*('Goal Seek 6th order'!$P$28*10^-6))</f>
        <v>2.1285741781582427E-15</v>
      </c>
      <c r="AY92" s="59"/>
      <c r="AZ92" s="37">
        <f>AZ91*(C92/C91)^(('Goal Seek 6th order'!$P$26-1)/'Goal Seek 6th order'!$P$26)</f>
        <v>1540.1306972780876</v>
      </c>
      <c r="BA92" s="37">
        <f>(((4.7*10^13)*'O2N2 @ EGR'!$R$32*('O2N2 @ EGR'!$Q$32^0.5)*(EXP(-67837/AZ92))/('Goal Seek 6th order'!$P$27*6))*('Goal Seek 6th order'!$P$28*10^-6))</f>
        <v>2.5515387266291009E-16</v>
      </c>
      <c r="BC92" s="59"/>
    </row>
    <row r="93" spans="2:55" x14ac:dyDescent="0.3">
      <c r="B93" s="42">
        <v>2</v>
      </c>
      <c r="C93" s="42">
        <v>14</v>
      </c>
      <c r="D93" s="37">
        <f>D92*(C93/C92)^(('Goal Seek 6th order'!$P$26-1)/'Goal Seek 6th order'!$P$26)</f>
        <v>2175.9496486230933</v>
      </c>
      <c r="E93" s="37">
        <f>(((4.7*10^13)*'O2N2 @ EGR'!$R$20*('O2N2 @ EGR'!$Q$20^0.5)*(EXP(-67837/D93))/('Goal Seek 6th order'!$P$27*6))*('Goal Seek 6th order'!$P$28*10^-6))</f>
        <v>0</v>
      </c>
      <c r="F93" s="3"/>
      <c r="G93" s="3"/>
      <c r="H93" s="37">
        <f>H92*(C93/C92)^(('Goal Seek 6th order'!$P$26-1)/'Goal Seek 6th order'!$P$26)</f>
        <v>2162.3286845515918</v>
      </c>
      <c r="I93" s="37">
        <f>(((4.7*10^13)*'O2N2 @ EGR'!$R$21*('O2N2 @ EGR'!$Q$21^0.5)*(EXP(-67837/H93))/('Goal Seek 6th order'!$P$27*6))*('Goal Seek 6th order'!$P$28*10^-6))</f>
        <v>1.2759546230783604E-11</v>
      </c>
      <c r="L93" s="37">
        <f>L92*(C93/C92)^(('Goal Seek 6th order'!$P$26-1)/'Goal Seek 6th order'!$P$26)</f>
        <v>2148.6469866699122</v>
      </c>
      <c r="M93" s="37">
        <f>(((4.7*10^13)*'O2N2 @ EGR'!$R$22*('O2N2 @ EGR'!$Q$22^0.5)*(EXP(-67837/L93))/('Goal Seek 6th order'!$P$27*6))*('Goal Seek 6th order'!$P$28*10^-6))</f>
        <v>1.4780904233967585E-11</v>
      </c>
      <c r="P93" s="37">
        <f>P92*(C93/C92)^(('Goal Seek 6th order'!$P$26-1)/'Goal Seek 6th order'!$P$26)</f>
        <v>2134.9037453479355</v>
      </c>
      <c r="Q93" s="37">
        <f>(((4.7*10^13)*'O2N2 @ EGR'!$R$23*('O2N2 @ EGR'!$Q$23^0.5)*(EXP(-67837/P93))/('Goal Seek 6th order'!$P$27*6))*('Goal Seek 6th order'!$P$28*10^-6))</f>
        <v>1.4777047934288564E-11</v>
      </c>
      <c r="T93" s="37">
        <f>T92*(C93/C92)^(('Goal Seek 6th order'!$P$26-1)/'Goal Seek 6th order'!$P$26)</f>
        <v>2121.0981457050207</v>
      </c>
      <c r="U93" s="37">
        <f>(((4.7*10^13)*'O2N2 @ EGR'!$R$24*('O2N2 @ EGR'!$Q$24^0.5)*(EXP(-67837/T93))/('Goal Seek 6th order'!$P$27*6))*('Goal Seek 6th order'!$P$28*10^-6))</f>
        <v>1.3878611156850184E-11</v>
      </c>
      <c r="X93" s="37">
        <f>X92*(C93/C92)^(('Goal Seek 6th order'!$P$26-1)/'Goal Seek 6th order'!$P$26)</f>
        <v>2107.2293686601124</v>
      </c>
      <c r="Y93" s="37">
        <f>(((4.7*10^13)*'O2N2 @ EGR'!$R$25*('O2N2 @ EGR'!$Q$25^0.5)*(EXP(-67837/X93))/('Goal Seek 6th order'!$P$27*6))*('Goal Seek 6th order'!$P$28*10^-6))</f>
        <v>1.2574593839695789E-11</v>
      </c>
      <c r="Z93" s="59"/>
      <c r="AA93" s="59"/>
      <c r="AB93" s="37">
        <f>AB92*(C93/C92)^(('Goal Seek 6th order'!$P$26-1)/'Goal Seek 6th order'!$P$26)</f>
        <v>2036.9086862223719</v>
      </c>
      <c r="AC93" s="37">
        <f>(((4.7*10^13)*'O2N2 @ EGR'!$R$26*('O2N2 @ EGR'!$Q$26^0.5)*(EXP(-67837/AB93))/('Goal Seek 6th order'!$P$27*6))*('Goal Seek 6th order'!$P$28*10^-6))</f>
        <v>5.8597303445129563E-12</v>
      </c>
      <c r="AE93" s="59"/>
      <c r="AF93" s="37">
        <f>AF92*(C93/C92)^(('Goal Seek 6th order'!$P$26-1)/'Goal Seek 6th order'!$P$26)</f>
        <v>1964.8824785569948</v>
      </c>
      <c r="AG93" s="37">
        <f>(((4.7*10^13)*'O2N2 @ EGR'!$R$27*('O2N2 @ EGR'!$Q$27^0.5)*(EXP(-67837/AF93))/('Goal Seek 6th order'!$P$27*6))*('Goal Seek 6th order'!$P$28*10^-6))</f>
        <v>2.1196811276224032E-12</v>
      </c>
      <c r="AI93" s="59"/>
      <c r="AJ93" s="37">
        <f>AJ92*(C93/C92)^(('Goal Seek 6th order'!$P$26-1)/'Goal Seek 6th order'!$P$26)</f>
        <v>1891.0396226173182</v>
      </c>
      <c r="AK93" s="37">
        <f>(((4.7*10^13)*'O2N2 @ EGR'!$R$28*('O2N2 @ EGR'!$Q$28^0.5)*(EXP(-67837/AJ93))/('Goal Seek 6th order'!$P$27*6))*('Goal Seek 6th order'!$P$28*10^-6))</f>
        <v>6.3648203730109729E-13</v>
      </c>
      <c r="AM93" s="59"/>
      <c r="AN93" s="37">
        <f>AN92*(C93/C92)^(('Goal Seek 6th order'!$P$26-1)/'Goal Seek 6th order'!$P$26)</f>
        <v>1815.2643948514171</v>
      </c>
      <c r="AO93" s="37">
        <f>(((4.7*10^13)*'O2N2 @ EGR'!$R$29*('O2N2 @ EGR'!$Q$29^0.5)*(EXP(-67837/AN93))/('Goal Seek 6th order'!$P$27*6))*('Goal Seek 6th order'!$P$28*10^-6))</f>
        <v>1.5938436859637793E-13</v>
      </c>
      <c r="AQ93" s="59"/>
      <c r="AR93" s="37">
        <f>AR92*(C93/C92)^(('Goal Seek 6th order'!$P$26-1)/'Goal Seek 6th order'!$P$26)</f>
        <v>1737.4296066727945</v>
      </c>
      <c r="AS93" s="37">
        <f>(((4.7*10^13)*'O2N2 @ EGR'!$R$30*('O2N2 @ EGR'!$Q$30^0.5)*(EXP(-67837/AR93))/('Goal Seek 6th order'!$P$27*6))*('Goal Seek 6th order'!$P$28*10^-6))</f>
        <v>3.2772148355061422E-14</v>
      </c>
      <c r="AU93" s="59"/>
      <c r="AV93" s="37">
        <f>AV92*(C93/C92)^(('Goal Seek 6th order'!$P$26-1)/'Goal Seek 6th order'!$P$26)</f>
        <v>1657.3979685453683</v>
      </c>
      <c r="AW93" s="37">
        <f>(((4.7*10^13)*'O2N2 @ EGR'!$R$31*('O2N2 @ EGR'!$Q$31^0.5)*(EXP(-67837/AV93))/('Goal Seek 6th order'!$P$27*6))*('Goal Seek 6th order'!$P$28*10^-6))</f>
        <v>5.3792049742797954E-15</v>
      </c>
      <c r="AY93" s="59"/>
      <c r="AZ93" s="37">
        <f>AZ92*(C93/C92)^(('Goal Seek 6th order'!$P$26-1)/'Goal Seek 6th order'!$P$26)</f>
        <v>1575.0157043015529</v>
      </c>
      <c r="BA93" s="37">
        <f>(((4.7*10^13)*'O2N2 @ EGR'!$R$32*('O2N2 @ EGR'!$Q$32^0.5)*(EXP(-67837/AZ93))/('Goal Seek 6th order'!$P$27*6))*('Goal Seek 6th order'!$P$28*10^-6))</f>
        <v>6.7684818242224235E-16</v>
      </c>
      <c r="BC93" s="59"/>
    </row>
    <row r="94" spans="2:55" x14ac:dyDescent="0.3">
      <c r="B94" s="42">
        <v>3</v>
      </c>
      <c r="C94" s="42">
        <v>16</v>
      </c>
      <c r="D94" s="37">
        <f>D93*(C94/C93)^(('Goal Seek 6th order'!$P$26-1)/'Goal Seek 6th order'!$P$26)</f>
        <v>2218.5796337957813</v>
      </c>
      <c r="E94" s="37">
        <f>(((4.7*10^13)*'O2N2 @ EGR'!$R$20*('O2N2 @ EGR'!$Q$20^0.5)*(EXP(-67837/D94))/('Goal Seek 6th order'!$P$27*6))*('Goal Seek 6th order'!$P$28*10^-6))</f>
        <v>0</v>
      </c>
      <c r="F94" s="3"/>
      <c r="G94" s="3"/>
      <c r="H94" s="37">
        <f>H93*(C94/C93)^(('Goal Seek 6th order'!$P$26-1)/'Goal Seek 6th order'!$P$26)</f>
        <v>2204.6918154352693</v>
      </c>
      <c r="I94" s="37">
        <f>(((4.7*10^13)*'O2N2 @ EGR'!$R$21*('O2N2 @ EGR'!$Q$21^0.5)*(EXP(-67837/H94))/('Goal Seek 6th order'!$P$27*6))*('Goal Seek 6th order'!$P$28*10^-6))</f>
        <v>2.3314981800958452E-11</v>
      </c>
      <c r="L94" s="37">
        <f>L93*(C94/C93)^(('Goal Seek 6th order'!$P$26-1)/'Goal Seek 6th order'!$P$26)</f>
        <v>2190.7420734018315</v>
      </c>
      <c r="M94" s="37">
        <f>(((4.7*10^13)*'O2N2 @ EGR'!$R$22*('O2N2 @ EGR'!$Q$22^0.5)*(EXP(-67837/L94))/('Goal Seek 6th order'!$P$27*6))*('Goal Seek 6th order'!$P$28*10^-6))</f>
        <v>2.7112395285189186E-11</v>
      </c>
      <c r="P94" s="37">
        <f>P93*(C94/C93)^(('Goal Seek 6th order'!$P$26-1)/'Goal Seek 6th order'!$P$26)</f>
        <v>2176.7295822035303</v>
      </c>
      <c r="Q94" s="37">
        <f>(((4.7*10^13)*'O2N2 @ EGR'!$R$23*('O2N2 @ EGR'!$Q$23^0.5)*(EXP(-67837/P94))/('Goal Seek 6th order'!$P$27*6))*('Goal Seek 6th order'!$P$28*10^-6))</f>
        <v>2.721138266900991E-11</v>
      </c>
      <c r="T94" s="37">
        <f>T93*(C94/C93)^(('Goal Seek 6th order'!$P$26-1)/'Goal Seek 6th order'!$P$26)</f>
        <v>2162.6535109950396</v>
      </c>
      <c r="U94" s="37">
        <f>(((4.7*10^13)*'O2N2 @ EGR'!$R$24*('O2N2 @ EGR'!$Q$24^0.5)*(EXP(-67837/T94))/('Goal Seek 6th order'!$P$27*6))*('Goal Seek 6th order'!$P$28*10^-6))</f>
        <v>2.5658709082152454E-11</v>
      </c>
      <c r="X94" s="37">
        <f>X93*(C94/C93)^(('Goal Seek 6th order'!$P$26-1)/'Goal Seek 6th order'!$P$26)</f>
        <v>2148.5130246483272</v>
      </c>
      <c r="Y94" s="37">
        <f>(((4.7*10^13)*'O2N2 @ EGR'!$R$25*('O2N2 @ EGR'!$Q$25^0.5)*(EXP(-67837/X94))/('Goal Seek 6th order'!$P$27*6))*('Goal Seek 6th order'!$P$28*10^-6))</f>
        <v>2.3342066145237116E-11</v>
      </c>
      <c r="Z94" s="59"/>
      <c r="AA94" s="59"/>
      <c r="AB94" s="37">
        <f>AB93*(C94/C93)^(('Goal Seek 6th order'!$P$26-1)/'Goal Seek 6th order'!$P$26)</f>
        <v>2076.8146588383861</v>
      </c>
      <c r="AC94" s="37">
        <f>(((4.7*10^13)*'O2N2 @ EGR'!$R$26*('O2N2 @ EGR'!$Q$26^0.5)*(EXP(-67837/AB94))/('Goal Seek 6th order'!$P$27*6))*('Goal Seek 6th order'!$P$28*10^-6))</f>
        <v>1.1112133917373635E-11</v>
      </c>
      <c r="AE94" s="59"/>
      <c r="AF94" s="37">
        <f>AF93*(C94/C93)^(('Goal Seek 6th order'!$P$26-1)/'Goal Seek 6th order'!$P$26)</f>
        <v>2003.3773541070623</v>
      </c>
      <c r="AG94" s="37">
        <f>(((4.7*10^13)*'O2N2 @ EGR'!$R$27*('O2N2 @ EGR'!$Q$27^0.5)*(EXP(-67837/AF94))/('Goal Seek 6th order'!$P$27*6))*('Goal Seek 6th order'!$P$28*10^-6))</f>
        <v>4.1150773888299141E-12</v>
      </c>
      <c r="AI94" s="59"/>
      <c r="AJ94" s="37">
        <f>AJ93*(C94/C93)^(('Goal Seek 6th order'!$P$26-1)/'Goal Seek 6th order'!$P$26)</f>
        <v>1928.0878103472839</v>
      </c>
      <c r="AK94" s="37">
        <f>(((4.7*10^13)*'O2N2 @ EGR'!$R$28*('O2N2 @ EGR'!$Q$28^0.5)*(EXP(-67837/AJ94))/('Goal Seek 6th order'!$P$27*6))*('Goal Seek 6th order'!$P$28*10^-6))</f>
        <v>1.2680719058617352E-12</v>
      </c>
      <c r="AM94" s="59"/>
      <c r="AN94" s="37">
        <f>AN93*(C94/C93)^(('Goal Seek 6th order'!$P$26-1)/'Goal Seek 6th order'!$P$26)</f>
        <v>1850.8280368161988</v>
      </c>
      <c r="AO94" s="37">
        <f>(((4.7*10^13)*'O2N2 @ EGR'!$R$29*('O2N2 @ EGR'!$Q$29^0.5)*(EXP(-67837/AN94))/('Goal Seek 6th order'!$P$27*6))*('Goal Seek 6th order'!$P$28*10^-6))</f>
        <v>3.268132470028817E-13</v>
      </c>
      <c r="AQ94" s="59"/>
      <c r="AR94" s="37">
        <f>AR93*(C94/C93)^(('Goal Seek 6th order'!$P$26-1)/'Goal Seek 6th order'!$P$26)</f>
        <v>1771.4683531198543</v>
      </c>
      <c r="AS94" s="37">
        <f>(((4.7*10^13)*'O2N2 @ EGR'!$R$30*('O2N2 @ EGR'!$Q$30^0.5)*(EXP(-67837/AR94))/('Goal Seek 6th order'!$P$27*6))*('Goal Seek 6th order'!$P$28*10^-6))</f>
        <v>6.9395214764194679E-14</v>
      </c>
      <c r="AU94" s="59"/>
      <c r="AV94" s="37">
        <f>AV93*(C94/C93)^(('Goal Seek 6th order'!$P$26-1)/'Goal Seek 6th order'!$P$26)</f>
        <v>1689.8687800225737</v>
      </c>
      <c r="AW94" s="37">
        <f>(((4.7*10^13)*'O2N2 @ EGR'!$R$31*('O2N2 @ EGR'!$Q$31^0.5)*(EXP(-67837/AV94))/('Goal Seek 6th order'!$P$27*6))*('Goal Seek 6th order'!$P$28*10^-6))</f>
        <v>1.1810708964769351E-14</v>
      </c>
      <c r="AY94" s="59"/>
      <c r="AZ94" s="37">
        <f>AZ93*(C94/C93)^(('Goal Seek 6th order'!$P$26-1)/'Goal Seek 6th order'!$P$26)</f>
        <v>1605.8725286603392</v>
      </c>
      <c r="BA94" s="37">
        <f>(((4.7*10^13)*'O2N2 @ EGR'!$R$32*('O2N2 @ EGR'!$Q$32^0.5)*(EXP(-67837/AZ94))/('Goal Seek 6th order'!$P$27*6))*('Goal Seek 6th order'!$P$28*10^-6))</f>
        <v>1.548511937776676E-15</v>
      </c>
      <c r="BC94" s="59"/>
    </row>
    <row r="95" spans="2:55" x14ac:dyDescent="0.3">
      <c r="B95" s="42">
        <v>4</v>
      </c>
      <c r="C95" s="42">
        <v>18</v>
      </c>
      <c r="D95" s="37">
        <f>D94*(C95/C94)^(('Goal Seek 6th order'!$P$26-1)/'Goal Seek 6th order'!$P$26)</f>
        <v>2256.8746567009366</v>
      </c>
      <c r="E95" s="37">
        <f>(((4.7*10^13)*'O2N2 @ EGR'!$R$20*('O2N2 @ EGR'!$Q$20^0.5)*(EXP(-67837/D95))/('Goal Seek 6th order'!$P$27*6))*('Goal Seek 6th order'!$P$28*10^-6))</f>
        <v>0</v>
      </c>
      <c r="F95" s="3"/>
      <c r="G95" s="3"/>
      <c r="H95" s="37">
        <f>H94*(C95/C94)^(('Goal Seek 6th order'!$P$26-1)/'Goal Seek 6th order'!$P$26)</f>
        <v>2242.7471199574929</v>
      </c>
      <c r="I95" s="37">
        <f>(((4.7*10^13)*'O2N2 @ EGR'!$R$21*('O2N2 @ EGR'!$Q$21^0.5)*(EXP(-67837/H95))/('Goal Seek 6th order'!$P$27*6))*('Goal Seek 6th order'!$P$28*10^-6))</f>
        <v>3.9298882481505011E-11</v>
      </c>
      <c r="L95" s="37">
        <f>L94*(C95/C94)^(('Goal Seek 6th order'!$P$26-1)/'Goal Seek 6th order'!$P$26)</f>
        <v>2228.55659067326</v>
      </c>
      <c r="M95" s="37">
        <f>(((4.7*10^13)*'O2N2 @ EGR'!$R$22*('O2N2 @ EGR'!$Q$22^0.5)*(EXP(-67837/L95))/('Goal Seek 6th order'!$P$27*6))*('Goal Seek 6th order'!$P$28*10^-6))</f>
        <v>4.5851846208572022E-11</v>
      </c>
      <c r="P95" s="37">
        <f>P94*(C95/C94)^(('Goal Seek 6th order'!$P$26-1)/'Goal Seek 6th order'!$P$26)</f>
        <v>2214.3022291074394</v>
      </c>
      <c r="Q95" s="37">
        <f>(((4.7*10^13)*'O2N2 @ EGR'!$R$23*('O2N2 @ EGR'!$Q$23^0.5)*(EXP(-67837/P95))/('Goal Seek 6th order'!$P$27*6))*('Goal Seek 6th order'!$P$28*10^-6))</f>
        <v>4.617516903340415E-11</v>
      </c>
      <c r="T95" s="37">
        <f>T94*(C95/C94)^(('Goal Seek 6th order'!$P$26-1)/'Goal Seek 6th order'!$P$26)</f>
        <v>2199.9831900734389</v>
      </c>
      <c r="U95" s="37">
        <f>(((4.7*10^13)*'O2N2 @ EGR'!$R$24*('O2N2 @ EGR'!$Q$24^0.5)*(EXP(-67837/T95))/('Goal Seek 6th order'!$P$27*6))*('Goal Seek 6th order'!$P$28*10^-6))</f>
        <v>4.3690544989101796E-11</v>
      </c>
      <c r="X95" s="37">
        <f>X94*(C95/C94)^(('Goal Seek 6th order'!$P$26-1)/'Goal Seek 6th order'!$P$26)</f>
        <v>2185.5986240280363</v>
      </c>
      <c r="Y95" s="37">
        <f>(((4.7*10^13)*'O2N2 @ EGR'!$R$25*('O2N2 @ EGR'!$Q$25^0.5)*(EXP(-67837/X95))/('Goal Seek 6th order'!$P$27*6))*('Goal Seek 6th order'!$P$28*10^-6))</f>
        <v>3.9885339317657306E-11</v>
      </c>
      <c r="Z95" s="59"/>
      <c r="AA95" s="59"/>
      <c r="AB95" s="37">
        <f>AB94*(C95/C94)^(('Goal Seek 6th order'!$P$26-1)/'Goal Seek 6th order'!$P$26)</f>
        <v>2112.6626688527513</v>
      </c>
      <c r="AC95" s="37">
        <f>(((4.7*10^13)*'O2N2 @ EGR'!$R$26*('O2N2 @ EGR'!$Q$26^0.5)*(EXP(-67837/AB95))/('Goal Seek 6th order'!$P$27*6))*('Goal Seek 6th order'!$P$28*10^-6))</f>
        <v>1.9342122164261557E-11</v>
      </c>
      <c r="AE95" s="59"/>
      <c r="AF95" s="37">
        <f>AF94*(C95/C94)^(('Goal Seek 6th order'!$P$26-1)/'Goal Seek 6th order'!$P$26)</f>
        <v>2037.9577588374254</v>
      </c>
      <c r="AG95" s="37">
        <f>(((4.7*10^13)*'O2N2 @ EGR'!$R$27*('O2N2 @ EGR'!$Q$27^0.5)*(EXP(-67837/AF95))/('Goal Seek 6th order'!$P$27*6))*('Goal Seek 6th order'!$P$28*10^-6))</f>
        <v>7.309845304881766E-12</v>
      </c>
      <c r="AI95" s="59"/>
      <c r="AJ95" s="37">
        <f>AJ94*(C95/C94)^(('Goal Seek 6th order'!$P$26-1)/'Goal Seek 6th order'!$P$26)</f>
        <v>1961.3686381957182</v>
      </c>
      <c r="AK95" s="37">
        <f>(((4.7*10^13)*'O2N2 @ EGR'!$R$28*('O2N2 @ EGR'!$Q$28^0.5)*(EXP(-67837/AJ95))/('Goal Seek 6th order'!$P$27*6))*('Goal Seek 6th order'!$P$28*10^-6))</f>
        <v>2.3036575409368681E-12</v>
      </c>
      <c r="AM95" s="59"/>
      <c r="AN95" s="37">
        <f>AN94*(C95/C94)^(('Goal Seek 6th order'!$P$26-1)/'Goal Seek 6th order'!$P$26)</f>
        <v>1882.7752795401911</v>
      </c>
      <c r="AO95" s="37">
        <f>(((4.7*10^13)*'O2N2 @ EGR'!$R$29*('O2N2 @ EGR'!$Q$29^0.5)*(EXP(-67837/AN95))/('Goal Seek 6th order'!$P$27*6))*('Goal Seek 6th order'!$P$28*10^-6))</f>
        <v>6.0869068722734634E-13</v>
      </c>
      <c r="AQ95" s="59"/>
      <c r="AR95" s="37">
        <f>AR94*(C95/C94)^(('Goal Seek 6th order'!$P$26-1)/'Goal Seek 6th order'!$P$26)</f>
        <v>1802.0457640566065</v>
      </c>
      <c r="AS95" s="37">
        <f>(((4.7*10^13)*'O2N2 @ EGR'!$R$30*('O2N2 @ EGR'!$Q$30^0.5)*(EXP(-67837/AR95))/('Goal Seek 6th order'!$P$27*6))*('Goal Seek 6th order'!$P$28*10^-6))</f>
        <v>1.329004818127559E-13</v>
      </c>
      <c r="AU95" s="59"/>
      <c r="AV95" s="37">
        <f>AV94*(C95/C94)^(('Goal Seek 6th order'!$P$26-1)/'Goal Seek 6th order'!$P$26)</f>
        <v>1719.0376963201386</v>
      </c>
      <c r="AW95" s="37">
        <f>(((4.7*10^13)*'O2N2 @ EGR'!$R$31*('O2N2 @ EGR'!$Q$31^0.5)*(EXP(-67837/AV95))/('Goal Seek 6th order'!$P$27*6))*('Goal Seek 6th order'!$P$28*10^-6))</f>
        <v>2.3339932411534353E-14</v>
      </c>
      <c r="AY95" s="59"/>
      <c r="AZ95" s="37">
        <f>AZ94*(C95/C94)^(('Goal Seek 6th order'!$P$26-1)/'Goal Seek 6th order'!$P$26)</f>
        <v>1633.5915811257184</v>
      </c>
      <c r="BA95" s="37">
        <f>(((4.7*10^13)*'O2N2 @ EGR'!$R$32*('O2N2 @ EGR'!$Q$32^0.5)*(EXP(-67837/AZ95))/('Goal Seek 6th order'!$P$27*6))*('Goal Seek 6th order'!$P$28*10^-6))</f>
        <v>3.1711109644156318E-15</v>
      </c>
      <c r="BC95" s="59"/>
    </row>
    <row r="96" spans="2:55" x14ac:dyDescent="0.3">
      <c r="B96" s="42">
        <v>5</v>
      </c>
      <c r="C96" s="42">
        <v>20</v>
      </c>
      <c r="D96" s="37">
        <f>D95*(C96/C95)^(('Goal Seek 6th order'!$P$26-1)/'Goal Seek 6th order'!$P$26)</f>
        <v>2291.6904976622791</v>
      </c>
      <c r="E96" s="37">
        <f>(((4.7*10^13)*'O2N2 @ EGR'!$R$20*('O2N2 @ EGR'!$Q$20^0.5)*(EXP(-67837/D96))/('Goal Seek 6th order'!$P$27*6))*('Goal Seek 6th order'!$P$28*10^-6))</f>
        <v>0</v>
      </c>
      <c r="F96" s="3"/>
      <c r="G96" s="3"/>
      <c r="H96" s="37">
        <f>H95*(C96/C95)^(('Goal Seek 6th order'!$P$26-1)/'Goal Seek 6th order'!$P$26)</f>
        <v>2277.3450214462223</v>
      </c>
      <c r="I96" s="37">
        <f>(((4.7*10^13)*'O2N2 @ EGR'!$R$21*('O2N2 @ EGR'!$Q$21^0.5)*(EXP(-67837/H96))/('Goal Seek 6th order'!$P$27*6))*('Goal Seek 6th order'!$P$28*10^-6))</f>
        <v>6.2222649979830904E-11</v>
      </c>
      <c r="L96" s="37">
        <f>L95*(C96/C95)^(('Goal Seek 6th order'!$P$26-1)/'Goal Seek 6th order'!$P$26)</f>
        <v>2262.9355809303661</v>
      </c>
      <c r="M96" s="37">
        <f>(((4.7*10^13)*'O2N2 @ EGR'!$R$22*('O2N2 @ EGR'!$Q$22^0.5)*(EXP(-67837/L96))/('Goal Seek 6th order'!$P$27*6))*('Goal Seek 6th order'!$P$28*10^-6))</f>
        <v>7.2810815975738312E-11</v>
      </c>
      <c r="P96" s="37">
        <f>P95*(C96/C95)^(('Goal Seek 6th order'!$P$26-1)/'Goal Seek 6th order'!$P$26)</f>
        <v>2248.4613234195904</v>
      </c>
      <c r="Q96" s="37">
        <f>(((4.7*10^13)*'O2N2 @ EGR'!$R$23*('O2N2 @ EGR'!$Q$23^0.5)*(EXP(-67837/P96))/('Goal Seek 6th order'!$P$27*6))*('Goal Seek 6th order'!$P$28*10^-6))</f>
        <v>7.354284856287021E-11</v>
      </c>
      <c r="T96" s="37">
        <f>T95*(C96/C95)^(('Goal Seek 6th order'!$P$26-1)/'Goal Seek 6th order'!$P$26)</f>
        <v>2233.9213906889695</v>
      </c>
      <c r="U96" s="37">
        <f>(((4.7*10^13)*'O2N2 @ EGR'!$R$24*('O2N2 @ EGR'!$Q$24^0.5)*(EXP(-67837/T96))/('Goal Seek 6th order'!$P$27*6))*('Goal Seek 6th order'!$P$28*10^-6))</f>
        <v>6.9796722999800516E-11</v>
      </c>
      <c r="X96" s="37">
        <f>X95*(C96/C95)^(('Goal Seek 6th order'!$P$26-1)/'Goal Seek 6th order'!$P$26)</f>
        <v>2219.3149200897419</v>
      </c>
      <c r="Y96" s="37">
        <f>(((4.7*10^13)*'O2N2 @ EGR'!$R$25*('O2N2 @ EGR'!$Q$25^0.5)*(EXP(-67837/X96))/('Goal Seek 6th order'!$P$27*6))*('Goal Seek 6th order'!$P$28*10^-6))</f>
        <v>6.3914567791659236E-11</v>
      </c>
      <c r="Z96" s="59"/>
      <c r="AA96" s="59"/>
      <c r="AB96" s="37">
        <f>AB95*(C96/C95)^(('Goal Seek 6th order'!$P$26-1)/'Goal Seek 6th order'!$P$26)</f>
        <v>2145.2538130996641</v>
      </c>
      <c r="AC96" s="37">
        <f>(((4.7*10^13)*'O2N2 @ EGR'!$R$26*('O2N2 @ EGR'!$Q$26^0.5)*(EXP(-67837/AB96))/('Goal Seek 6th order'!$P$27*6))*('Goal Seek 6th order'!$P$28*10^-6))</f>
        <v>3.15036288666547E-11</v>
      </c>
      <c r="AE96" s="59"/>
      <c r="AF96" s="37">
        <f>AF95*(C96/C95)^(('Goal Seek 6th order'!$P$26-1)/'Goal Seek 6th order'!$P$26)</f>
        <v>2069.3964623591069</v>
      </c>
      <c r="AG96" s="37">
        <f>(((4.7*10^13)*'O2N2 @ EGR'!$R$27*('O2N2 @ EGR'!$Q$27^0.5)*(EXP(-67837/AF96))/('Goal Seek 6th order'!$P$27*6))*('Goal Seek 6th order'!$P$28*10^-6))</f>
        <v>1.2120781334149717E-11</v>
      </c>
      <c r="AI96" s="59"/>
      <c r="AJ96" s="37">
        <f>AJ95*(C96/C95)^(('Goal Seek 6th order'!$P$26-1)/'Goal Seek 6th order'!$P$26)</f>
        <v>1991.6258340799623</v>
      </c>
      <c r="AK96" s="37">
        <f>(((4.7*10^13)*'O2N2 @ EGR'!$R$28*('O2N2 @ EGR'!$Q$28^0.5)*(EXP(-67837/AJ96))/('Goal Seek 6th order'!$P$27*6))*('Goal Seek 6th order'!$P$28*10^-6))</f>
        <v>3.8959766339261349E-12</v>
      </c>
      <c r="AM96" s="59"/>
      <c r="AN96" s="37">
        <f>AN95*(C96/C95)^(('Goal Seek 6th order'!$P$26-1)/'Goal Seek 6th order'!$P$26)</f>
        <v>1911.8200492635742</v>
      </c>
      <c r="AO96" s="37">
        <f>(((4.7*10^13)*'O2N2 @ EGR'!$R$29*('O2N2 @ EGR'!$Q$29^0.5)*(EXP(-67837/AN96))/('Goal Seek 6th order'!$P$27*6))*('Goal Seek 6th order'!$P$28*10^-6))</f>
        <v>1.0522546438059174E-12</v>
      </c>
      <c r="AQ96" s="59"/>
      <c r="AR96" s="37">
        <f>AR95*(C96/C95)^(('Goal Seek 6th order'!$P$26-1)/'Goal Seek 6th order'!$P$26)</f>
        <v>1829.8451540405267</v>
      </c>
      <c r="AS96" s="37">
        <f>(((4.7*10^13)*'O2N2 @ EGR'!$R$30*('O2N2 @ EGR'!$Q$30^0.5)*(EXP(-67837/AR96))/('Goal Seek 6th order'!$P$27*6))*('Goal Seek 6th order'!$P$28*10^-6))</f>
        <v>2.3545098492834408E-13</v>
      </c>
      <c r="AU96" s="59"/>
      <c r="AV96" s="37">
        <f>AV95*(C96/C95)^(('Goal Seek 6th order'!$P$26-1)/'Goal Seek 6th order'!$P$26)</f>
        <v>1745.5565563126211</v>
      </c>
      <c r="AW96" s="37">
        <f>(((4.7*10^13)*'O2N2 @ EGR'!$R$31*('O2N2 @ EGR'!$Q$31^0.5)*(EXP(-67837/AV96))/('Goal Seek 6th order'!$P$27*6))*('Goal Seek 6th order'!$P$28*10^-6))</f>
        <v>4.2507632047959194E-14</v>
      </c>
      <c r="AY96" s="59"/>
      <c r="AZ96" s="37">
        <f>AZ95*(C96/C95)^(('Goal Seek 6th order'!$P$26-1)/'Goal Seek 6th order'!$P$26)</f>
        <v>1658.7923004104125</v>
      </c>
      <c r="BA96" s="37">
        <f>(((4.7*10^13)*'O2N2 @ EGR'!$R$32*('O2N2 @ EGR'!$Q$32^0.5)*(EXP(-67837/AZ96))/('Goal Seek 6th order'!$P$27*6))*('Goal Seek 6th order'!$P$28*10^-6))</f>
        <v>5.9593301592959911E-15</v>
      </c>
      <c r="BC96" s="59"/>
    </row>
    <row r="97" spans="2:55" x14ac:dyDescent="0.3">
      <c r="B97" s="42">
        <v>6</v>
      </c>
      <c r="C97" s="42">
        <v>22</v>
      </c>
      <c r="D97" s="37">
        <f>D96*(C97/C96)^(('Goal Seek 6th order'!$P$26-1)/'Goal Seek 6th order'!$P$26)</f>
        <v>2323.6477140776537</v>
      </c>
      <c r="E97" s="37">
        <f>(((4.7*10^13)*'O2N2 @ EGR'!$R$20*('O2N2 @ EGR'!$Q$20^0.5)*(EXP(-67837/D97))/('Goal Seek 6th order'!$P$27*6))*('Goal Seek 6th order'!$P$28*10^-6))</f>
        <v>0</v>
      </c>
      <c r="F97" s="3"/>
      <c r="G97" s="3"/>
      <c r="H97" s="37">
        <f>H96*(C97/C96)^(('Goal Seek 6th order'!$P$26-1)/'Goal Seek 6th order'!$P$26)</f>
        <v>2309.1021927470906</v>
      </c>
      <c r="I97" s="37">
        <f>(((4.7*10^13)*'O2N2 @ EGR'!$R$21*('O2N2 @ EGR'!$Q$21^0.5)*(EXP(-67837/H97))/('Goal Seek 6th order'!$P$27*6))*('Goal Seek 6th order'!$P$28*10^-6))</f>
        <v>9.3727463679952465E-11</v>
      </c>
      <c r="L97" s="37">
        <f>L96*(C97/C96)^(('Goal Seek 6th order'!$P$26-1)/'Goal Seek 6th order'!$P$26)</f>
        <v>2294.4918151459433</v>
      </c>
      <c r="M97" s="37">
        <f>(((4.7*10^13)*'O2N2 @ EGR'!$R$22*('O2N2 @ EGR'!$Q$22^0.5)*(EXP(-67837/L97))/('Goal Seek 6th order'!$P$27*6))*('Goal Seek 6th order'!$P$28*10^-6))</f>
        <v>1.0996314961483668E-10</v>
      </c>
      <c r="P97" s="37">
        <f>P96*(C97/C96)^(('Goal Seek 6th order'!$P$26-1)/'Goal Seek 6th order'!$P$26)</f>
        <v>2279.8157166884098</v>
      </c>
      <c r="Q97" s="37">
        <f>(((4.7*10^13)*'O2N2 @ EGR'!$R$23*('O2N2 @ EGR'!$Q$23^0.5)*(EXP(-67837/P97))/('Goal Seek 6th order'!$P$27*6))*('Goal Seek 6th order'!$P$28*10^-6))</f>
        <v>1.1136387795544404E-10</v>
      </c>
      <c r="T97" s="37">
        <f>T96*(C97/C96)^(('Goal Seek 6th order'!$P$26-1)/'Goal Seek 6th order'!$P$26)</f>
        <v>2265.0730271817711</v>
      </c>
      <c r="U97" s="37">
        <f>(((4.7*10^13)*'O2N2 @ EGR'!$R$24*('O2N2 @ EGR'!$Q$24^0.5)*(EXP(-67837/T97))/('Goal Seek 6th order'!$P$27*6))*('Goal Seek 6th order'!$P$28*10^-6))</f>
        <v>1.0597704961470228E-10</v>
      </c>
      <c r="X97" s="37">
        <f>X96*(C97/C96)^(('Goal Seek 6th order'!$P$26-1)/'Goal Seek 6th order'!$P$26)</f>
        <v>2250.2628719477812</v>
      </c>
      <c r="Y97" s="37">
        <f>(((4.7*10^13)*'O2N2 @ EGR'!$R$25*('O2N2 @ EGR'!$Q$25^0.5)*(EXP(-67837/X97))/('Goal Seek 6th order'!$P$27*6))*('Goal Seek 6th order'!$P$28*10^-6))</f>
        <v>9.7312892993438966E-11</v>
      </c>
      <c r="Z97" s="59"/>
      <c r="AA97" s="59"/>
      <c r="AB97" s="37">
        <f>AB96*(C97/C96)^(('Goal Seek 6th order'!$P$26-1)/'Goal Seek 6th order'!$P$26)</f>
        <v>2175.1689959924097</v>
      </c>
      <c r="AC97" s="37">
        <f>(((4.7*10^13)*'O2N2 @ EGR'!$R$26*('O2N2 @ EGR'!$Q$26^0.5)*(EXP(-67837/AB97))/('Goal Seek 6th order'!$P$27*6))*('Goal Seek 6th order'!$P$28*10^-6))</f>
        <v>4.8666939477679041E-11</v>
      </c>
      <c r="AE97" s="59"/>
      <c r="AF97" s="37">
        <f>AF96*(C97/C96)^(('Goal Seek 6th order'!$P$26-1)/'Goal Seek 6th order'!$P$26)</f>
        <v>2098.2538279869182</v>
      </c>
      <c r="AG97" s="37">
        <f>(((4.7*10^13)*'O2N2 @ EGR'!$R$27*('O2N2 @ EGR'!$Q$27^0.5)*(EXP(-67837/AF97))/('Goal Seek 6th order'!$P$27*6))*('Goal Seek 6th order'!$P$28*10^-6))</f>
        <v>1.9025126649897385E-11</v>
      </c>
      <c r="AI97" s="59"/>
      <c r="AJ97" s="37">
        <f>AJ96*(C97/C96)^(('Goal Seek 6th order'!$P$26-1)/'Goal Seek 6th order'!$P$26)</f>
        <v>2019.3987021278379</v>
      </c>
      <c r="AK97" s="37">
        <f>(((4.7*10^13)*'O2N2 @ EGR'!$R$28*('O2N2 @ EGR'!$Q$28^0.5)*(EXP(-67837/AJ97))/('Goal Seek 6th order'!$P$27*6))*('Goal Seek 6th order'!$P$28*10^-6))</f>
        <v>6.2238472040730454E-12</v>
      </c>
      <c r="AM97" s="59"/>
      <c r="AN97" s="37">
        <f>AN96*(C97/C96)^(('Goal Seek 6th order'!$P$26-1)/'Goal Seek 6th order'!$P$26)</f>
        <v>1938.4800398355526</v>
      </c>
      <c r="AO97" s="37">
        <f>(((4.7*10^13)*'O2N2 @ EGR'!$R$29*('O2N2 @ EGR'!$Q$29^0.5)*(EXP(-67837/AN97))/('Goal Seek 6th order'!$P$27*6))*('Goal Seek 6th order'!$P$28*10^-6))</f>
        <v>1.7141775604147486E-12</v>
      </c>
      <c r="AQ97" s="59"/>
      <c r="AR97" s="37">
        <f>AR96*(C97/C96)^(('Goal Seek 6th order'!$P$26-1)/'Goal Seek 6th order'!$P$26)</f>
        <v>1855.3620192777607</v>
      </c>
      <c r="AS97" s="37">
        <f>(((4.7*10^13)*'O2N2 @ EGR'!$R$30*('O2N2 @ EGR'!$Q$30^0.5)*(EXP(-67837/AR97))/('Goal Seek 6th order'!$P$27*6))*('Goal Seek 6th order'!$P$28*10^-6))</f>
        <v>3.9203956712390854E-13</v>
      </c>
      <c r="AU97" s="59"/>
      <c r="AV97" s="37">
        <f>AV96*(C97/C96)^(('Goal Seek 6th order'!$P$26-1)/'Goal Seek 6th order'!$P$26)</f>
        <v>1769.8980320451699</v>
      </c>
      <c r="AW97" s="37">
        <f>(((4.7*10^13)*'O2N2 @ EGR'!$R$31*('O2N2 @ EGR'!$Q$31^0.5)*(EXP(-67837/AV97))/('Goal Seek 6th order'!$P$27*6))*('Goal Seek 6th order'!$P$28*10^-6))</f>
        <v>7.254184185809461E-14</v>
      </c>
      <c r="AY97" s="59"/>
      <c r="AZ97" s="37">
        <f>AZ96*(C97/C96)^(('Goal Seek 6th order'!$P$26-1)/'Goal Seek 6th order'!$P$26)</f>
        <v>1681.9238640253284</v>
      </c>
      <c r="BA97" s="37">
        <f>(((4.7*10^13)*'O2N2 @ EGR'!$R$32*('O2N2 @ EGR'!$Q$32^0.5)*(EXP(-67837/AZ97))/('Goal Seek 6th order'!$P$27*6))*('Goal Seek 6th order'!$P$28*10^-6))</f>
        <v>1.0458283096980397E-14</v>
      </c>
      <c r="BC97" s="59"/>
    </row>
    <row r="98" spans="2:55" x14ac:dyDescent="0.3">
      <c r="B98" s="42">
        <v>7</v>
      </c>
      <c r="C98" s="42">
        <v>24</v>
      </c>
      <c r="D98" s="37">
        <f>D97*(C98/C97)^(('Goal Seek 6th order'!$P$26-1)/'Goal Seek 6th order'!$P$26)</f>
        <v>2353.2113334478718</v>
      </c>
      <c r="E98" s="37">
        <f>(((4.7*10^13)*'O2N2 @ EGR'!$R$20*('O2N2 @ EGR'!$Q$20^0.5)*(EXP(-67837/D98))/('Goal Seek 6th order'!$P$27*6))*('Goal Seek 6th order'!$P$28*10^-6))</f>
        <v>0</v>
      </c>
      <c r="F98" s="3"/>
      <c r="G98" s="3"/>
      <c r="H98" s="37">
        <f>H97*(C98/C97)^(('Goal Seek 6th order'!$P$26-1)/'Goal Seek 6th order'!$P$26)</f>
        <v>2338.4807503914913</v>
      </c>
      <c r="I98" s="37">
        <f>(((4.7*10^13)*'O2N2 @ EGR'!$R$21*('O2N2 @ EGR'!$Q$21^0.5)*(EXP(-67837/H98))/('Goal Seek 6th order'!$P$27*6))*('Goal Seek 6th order'!$P$28*10^-6))</f>
        <v>1.3556767220538805E-10</v>
      </c>
      <c r="L98" s="37">
        <f>L97*(C98/C97)^(('Goal Seek 6th order'!$P$26-1)/'Goal Seek 6th order'!$P$26)</f>
        <v>2323.6844859023968</v>
      </c>
      <c r="M98" s="37">
        <f>(((4.7*10^13)*'O2N2 @ EGR'!$R$22*('O2N2 @ EGR'!$Q$22^0.5)*(EXP(-67837/L98))/('Goal Seek 6th order'!$P$27*6))*('Goal Seek 6th order'!$P$28*10^-6))</f>
        <v>1.5942524778080666E-10</v>
      </c>
      <c r="P98" s="37">
        <f>P97*(C98/C97)^(('Goal Seek 6th order'!$P$26-1)/'Goal Seek 6th order'!$P$26)</f>
        <v>2308.8216643947171</v>
      </c>
      <c r="Q98" s="37">
        <f>(((4.7*10^13)*'O2N2 @ EGR'!$R$23*('O2N2 @ EGR'!$Q$23^0.5)*(EXP(-67837/P98))/('Goal Seek 6th order'!$P$27*6))*('Goal Seek 6th order'!$P$28*10^-6))</f>
        <v>1.6184254276886447E-10</v>
      </c>
      <c r="T98" s="37">
        <f>T97*(C98/C97)^(('Goal Seek 6th order'!$P$26-1)/'Goal Seek 6th order'!$P$26)</f>
        <v>2293.8914046043269</v>
      </c>
      <c r="U98" s="37">
        <f>(((4.7*10^13)*'O2N2 @ EGR'!$R$24*('O2N2 @ EGR'!$Q$24^0.5)*(EXP(-67837/T98))/('Goal Seek 6th order'!$P$27*6))*('Goal Seek 6th order'!$P$28*10^-6))</f>
        <v>1.5438917604726444E-10</v>
      </c>
      <c r="X98" s="37">
        <f>X97*(C98/C97)^(('Goal Seek 6th order'!$P$26-1)/'Goal Seek 6th order'!$P$26)</f>
        <v>2278.8928207245062</v>
      </c>
      <c r="Y98" s="37">
        <f>(((4.7*10^13)*'O2N2 @ EGR'!$R$25*('O2N2 @ EGR'!$Q$25^0.5)*(EXP(-67837/X98))/('Goal Seek 6th order'!$P$27*6))*('Goal Seek 6th order'!$P$28*10^-6))</f>
        <v>1.4211858094291507E-10</v>
      </c>
      <c r="Z98" s="59"/>
      <c r="AA98" s="59"/>
      <c r="AB98" s="37">
        <f>AB97*(C98/C97)^(('Goal Seek 6th order'!$P$26-1)/'Goal Seek 6th order'!$P$26)</f>
        <v>2202.8435302489693</v>
      </c>
      <c r="AC98" s="37">
        <f>(((4.7*10^13)*'O2N2 @ EGR'!$R$26*('O2N2 @ EGR'!$Q$26^0.5)*(EXP(-67837/AB98))/('Goal Seek 6th order'!$P$27*6))*('Goal Seek 6th order'!$P$28*10^-6))</f>
        <v>7.2010016896800929E-11</v>
      </c>
      <c r="AE98" s="59"/>
      <c r="AF98" s="37">
        <f>AF97*(C98/C97)^(('Goal Seek 6th order'!$P$26-1)/'Goal Seek 6th order'!$P$26)</f>
        <v>2124.9497755425186</v>
      </c>
      <c r="AG98" s="37">
        <f>(((4.7*10^13)*'O2N2 @ EGR'!$R$27*('O2N2 @ EGR'!$Q$27^0.5)*(EXP(-67837/AF98))/('Goal Seek 6th order'!$P$27*6))*('Goal Seek 6th order'!$P$28*10^-6))</f>
        <v>2.855774460717911E-11</v>
      </c>
      <c r="AI98" s="59"/>
      <c r="AJ98" s="37">
        <f>AJ97*(C98/C97)^(('Goal Seek 6th order'!$P$26-1)/'Goal Seek 6th order'!$P$26)</f>
        <v>2045.0913810243533</v>
      </c>
      <c r="AK98" s="37">
        <f>(((4.7*10^13)*'O2N2 @ EGR'!$R$28*('O2N2 @ EGR'!$Q$28^0.5)*(EXP(-67837/AJ98))/('Goal Seek 6th order'!$P$27*6))*('Goal Seek 6th order'!$P$28*10^-6))</f>
        <v>9.4916854906092767E-12</v>
      </c>
      <c r="AM98" s="59"/>
      <c r="AN98" s="37">
        <f>AN97*(C98/C97)^(('Goal Seek 6th order'!$P$26-1)/'Goal Seek 6th order'!$P$26)</f>
        <v>1963.1431958325927</v>
      </c>
      <c r="AO98" s="37">
        <f>(((4.7*10^13)*'O2N2 @ EGR'!$R$29*('O2N2 @ EGR'!$Q$29^0.5)*(EXP(-67837/AN98))/('Goal Seek 6th order'!$P$27*6))*('Goal Seek 6th order'!$P$28*10^-6))</f>
        <v>2.6606707146899439E-12</v>
      </c>
      <c r="AQ98" s="59"/>
      <c r="AR98" s="37">
        <f>AR97*(C98/C97)^(('Goal Seek 6th order'!$P$26-1)/'Goal Seek 6th order'!$P$26)</f>
        <v>1878.9676700825596</v>
      </c>
      <c r="AS98" s="37">
        <f>(((4.7*10^13)*'O2N2 @ EGR'!$R$30*('O2N2 @ EGR'!$Q$30^0.5)*(EXP(-67837/AR98))/('Goal Seek 6th order'!$P$27*6))*('Goal Seek 6th order'!$P$28*10^-6))</f>
        <v>6.2061018860807177E-13</v>
      </c>
      <c r="AU98" s="59"/>
      <c r="AV98" s="37">
        <f>AV97*(C98/C97)^(('Goal Seek 6th order'!$P$26-1)/'Goal Seek 6th order'!$P$26)</f>
        <v>1792.4163300756657</v>
      </c>
      <c r="AW98" s="37">
        <f>(((4.7*10^13)*'O2N2 @ EGR'!$R$31*('O2N2 @ EGR'!$Q$31^0.5)*(EXP(-67837/AV98))/('Goal Seek 6th order'!$P$27*6))*('Goal Seek 6th order'!$P$28*10^-6))</f>
        <v>1.1741143812020083E-13</v>
      </c>
      <c r="AY98" s="59"/>
      <c r="AZ98" s="37">
        <f>AZ97*(C98/C97)^(('Goal Seek 6th order'!$P$26-1)/'Goal Seek 6th order'!$P$26)</f>
        <v>1703.3228724139422</v>
      </c>
      <c r="BA98" s="37">
        <f>(((4.7*10^13)*'O2N2 @ EGR'!$R$32*('O2N2 @ EGR'!$Q$32^0.5)*(EXP(-67837/AZ98))/('Goal Seek 6th order'!$P$27*6))*('Goal Seek 6th order'!$P$28*10^-6))</f>
        <v>1.735883127965292E-14</v>
      </c>
      <c r="BC98" s="59"/>
    </row>
    <row r="99" spans="2:55" x14ac:dyDescent="0.3">
      <c r="B99" s="42">
        <v>8</v>
      </c>
      <c r="C99" s="42">
        <v>26</v>
      </c>
      <c r="D99" s="37">
        <f>D98*(C99/C98)^(('Goal Seek 6th order'!$P$26-1)/'Goal Seek 6th order'!$P$26)</f>
        <v>2380.7392702279722</v>
      </c>
      <c r="E99" s="37">
        <f>(((4.7*10^13)*'O2N2 @ EGR'!$R$20*('O2N2 @ EGR'!$Q$20^0.5)*(EXP(-67837/D99))/('Goal Seek 6th order'!$P$27*6))*('Goal Seek 6th order'!$P$28*10^-6))</f>
        <v>0</v>
      </c>
      <c r="F99" s="3"/>
      <c r="G99" s="3"/>
      <c r="H99" s="37">
        <f>H98*(C99/C98)^(('Goal Seek 6th order'!$P$26-1)/'Goal Seek 6th order'!$P$26)</f>
        <v>2365.8363683690491</v>
      </c>
      <c r="I99" s="37">
        <f>(((4.7*10^13)*'O2N2 @ EGR'!$R$21*('O2N2 @ EGR'!$Q$21^0.5)*(EXP(-67837/H99))/('Goal Seek 6th order'!$P$27*6))*('Goal Seek 6th order'!$P$28*10^-6))</f>
        <v>1.8959597271881594E-10</v>
      </c>
      <c r="L99" s="37">
        <f>L98*(C99/C98)^(('Goal Seek 6th order'!$P$26-1)/'Goal Seek 6th order'!$P$26)</f>
        <v>2350.867016734041</v>
      </c>
      <c r="M99" s="37">
        <f>(((4.7*10^13)*'O2N2 @ EGR'!$R$22*('O2N2 @ EGR'!$Q$22^0.5)*(EXP(-67837/L99))/('Goal Seek 6th order'!$P$27*6))*('Goal Seek 6th order'!$P$28*10^-6))</f>
        <v>2.2343831889129334E-10</v>
      </c>
      <c r="P99" s="37">
        <f>P98*(C99/C98)^(('Goal Seek 6th order'!$P$26-1)/'Goal Seek 6th order'!$P$26)</f>
        <v>2335.8303294944476</v>
      </c>
      <c r="Q99" s="37">
        <f>(((4.7*10^13)*'O2N2 @ EGR'!$R$23*('O2N2 @ EGR'!$Q$23^0.5)*(EXP(-67837/P99))/('Goal Seek 6th order'!$P$27*6))*('Goal Seek 6th order'!$P$28*10^-6))</f>
        <v>2.2731964802144414E-10</v>
      </c>
      <c r="T99" s="37">
        <f>T98*(C99/C98)^(('Goal Seek 6th order'!$P$26-1)/'Goal Seek 6th order'!$P$26)</f>
        <v>2320.7254150770896</v>
      </c>
      <c r="U99" s="37">
        <f>(((4.7*10^13)*'O2N2 @ EGR'!$R$24*('O2N2 @ EGR'!$Q$24^0.5)*(EXP(-67837/T99))/('Goal Seek 6th order'!$P$27*6))*('Goal Seek 6th order'!$P$28*10^-6))</f>
        <v>2.1733088735556262E-10</v>
      </c>
      <c r="X99" s="37">
        <f>X98*(C99/C98)^(('Goal Seek 6th order'!$P$26-1)/'Goal Seek 6th order'!$P$26)</f>
        <v>2305.5513773130529</v>
      </c>
      <c r="Y99" s="37">
        <f>(((4.7*10^13)*'O2N2 @ EGR'!$R$25*('O2N2 @ EGR'!$Q$25^0.5)*(EXP(-67837/X99))/('Goal Seek 6th order'!$P$27*6))*('Goal Seek 6th order'!$P$28*10^-6))</f>
        <v>2.0050852976787358E-10</v>
      </c>
      <c r="Z99" s="59"/>
      <c r="AA99" s="59"/>
      <c r="AB99" s="37">
        <f>AB98*(C99/C98)^(('Goal Seek 6th order'!$P$26-1)/'Goal Seek 6th order'!$P$26)</f>
        <v>2228.6124599558898</v>
      </c>
      <c r="AC99" s="37">
        <f>(((4.7*10^13)*'O2N2 @ EGR'!$R$26*('O2N2 @ EGR'!$Q$26^0.5)*(EXP(-67837/AB99))/('Goal Seek 6th order'!$P$27*6))*('Goal Seek 6th order'!$P$28*10^-6))</f>
        <v>1.0281003457673627E-10</v>
      </c>
      <c r="AE99" s="59"/>
      <c r="AF99" s="37">
        <f>AF98*(C99/C98)^(('Goal Seek 6th order'!$P$26-1)/'Goal Seek 6th order'!$P$26)</f>
        <v>2149.807501769902</v>
      </c>
      <c r="AG99" s="37">
        <f>(((4.7*10^13)*'O2N2 @ EGR'!$R$27*('O2N2 @ EGR'!$Q$27^0.5)*(EXP(-67837/AF99))/('Goal Seek 6th order'!$P$27*6))*('Goal Seek 6th order'!$P$28*10^-6))</f>
        <v>4.1308097436017445E-11</v>
      </c>
      <c r="AI99" s="59"/>
      <c r="AJ99" s="37">
        <f>AJ98*(C99/C98)^(('Goal Seek 6th order'!$P$26-1)/'Goal Seek 6th order'!$P$26)</f>
        <v>2069.0149213567388</v>
      </c>
      <c r="AK99" s="37">
        <f>(((4.7*10^13)*'O2N2 @ EGR'!$R$28*('O2N2 @ EGR'!$Q$28^0.5)*(EXP(-67837/AJ99))/('Goal Seek 6th order'!$P$27*6))*('Goal Seek 6th order'!$P$28*10^-6))</f>
        <v>1.3928828543124268E-11</v>
      </c>
      <c r="AM99" s="59"/>
      <c r="AN99" s="37">
        <f>AN98*(C99/C98)^(('Goal Seek 6th order'!$P$26-1)/'Goal Seek 6th order'!$P$26)</f>
        <v>1986.1081038359823</v>
      </c>
      <c r="AO99" s="37">
        <f>(((4.7*10^13)*'O2N2 @ EGR'!$R$29*('O2N2 @ EGR'!$Q$29^0.5)*(EXP(-67837/AN99))/('Goal Seek 6th order'!$P$27*6))*('Goal Seek 6th order'!$P$28*10^-6))</f>
        <v>3.967488035299192E-12</v>
      </c>
      <c r="AQ99" s="59"/>
      <c r="AR99" s="37">
        <f>AR98*(C99/C98)^(('Goal Seek 6th order'!$P$26-1)/'Goal Seek 6th order'!$P$26)</f>
        <v>1900.9478902602775</v>
      </c>
      <c r="AS99" s="37">
        <f>(((4.7*10^13)*'O2N2 @ EGR'!$R$30*('O2N2 @ EGR'!$Q$30^0.5)*(EXP(-67837/AR99))/('Goal Seek 6th order'!$P$27*6))*('Goal Seek 6th order'!$P$28*10^-6))</f>
        <v>9.4214357175968424E-13</v>
      </c>
      <c r="AU99" s="59"/>
      <c r="AV99" s="37">
        <f>AV98*(C99/C98)^(('Goal Seek 6th order'!$P$26-1)/'Goal Seek 6th order'!$P$26)</f>
        <v>1813.3840700812557</v>
      </c>
      <c r="AW99" s="37">
        <f>(((4.7*10^13)*'O2N2 @ EGR'!$R$31*('O2N2 @ EGR'!$Q$31^0.5)*(EXP(-67837/AV99))/('Goal Seek 6th order'!$P$27*6))*('Goal Seek 6th order'!$P$28*10^-6))</f>
        <v>1.8187082449482123E-13</v>
      </c>
      <c r="AY99" s="59"/>
      <c r="AZ99" s="37">
        <f>AZ98*(C99/C98)^(('Goal Seek 6th order'!$P$26-1)/'Goal Seek 6th order'!$P$26)</f>
        <v>1723.2483944788089</v>
      </c>
      <c r="BA99" s="37">
        <f>(((4.7*10^13)*'O2N2 @ EGR'!$R$32*('O2N2 @ EGR'!$Q$32^0.5)*(EXP(-67837/AZ99))/('Goal Seek 6th order'!$P$27*6))*('Goal Seek 6th order'!$P$28*10^-6))</f>
        <v>2.7511479205341083E-14</v>
      </c>
      <c r="BC99" s="59"/>
    </row>
    <row r="100" spans="2:55" x14ac:dyDescent="0.3">
      <c r="B100" s="42">
        <v>9</v>
      </c>
      <c r="C100" s="42">
        <v>28</v>
      </c>
      <c r="D100" s="37">
        <f>D99*(C100/C99)^(('Goal Seek 6th order'!$P$26-1)/'Goal Seek 6th order'!$P$26)</f>
        <v>2406.5131694804304</v>
      </c>
      <c r="E100" s="37">
        <f>(((4.7*10^13)*'O2N2 @ EGR'!$R$20*('O2N2 @ EGR'!$Q$20^0.5)*(EXP(-67837/D100))/('Goal Seek 6th order'!$P$27*6))*('Goal Seek 6th order'!$P$28*10^-6))</f>
        <v>0</v>
      </c>
      <c r="F100" s="3"/>
      <c r="G100" s="3"/>
      <c r="H100" s="37">
        <f>H99*(C100/C99)^(('Goal Seek 6th order'!$P$26-1)/'Goal Seek 6th order'!$P$26)</f>
        <v>2391.4489287063711</v>
      </c>
      <c r="I100" s="37">
        <f>(((4.7*10^13)*'O2N2 @ EGR'!$R$21*('O2N2 @ EGR'!$Q$21^0.5)*(EXP(-67837/H100))/('Goal Seek 6th order'!$P$27*6))*('Goal Seek 6th order'!$P$28*10^-6))</f>
        <v>2.5775025291275698E-10</v>
      </c>
      <c r="L100" s="37">
        <f>L99*(C100/C99)^(('Goal Seek 6th order'!$P$26-1)/'Goal Seek 6th order'!$P$26)</f>
        <v>2376.3175187705065</v>
      </c>
      <c r="M100" s="37">
        <f>(((4.7*10^13)*'O2N2 @ EGR'!$R$22*('O2N2 @ EGR'!$Q$22^0.5)*(EXP(-67837/L100))/('Goal Seek 6th order'!$P$27*6))*('Goal Seek 6th order'!$P$28*10^-6))</f>
        <v>3.0435251318016649E-10</v>
      </c>
      <c r="P100" s="37">
        <f>P99*(C100/C99)^(('Goal Seek 6th order'!$P$26-1)/'Goal Seek 6th order'!$P$26)</f>
        <v>2361.1180442543514</v>
      </c>
      <c r="Q100" s="37">
        <f>(((4.7*10^13)*'O2N2 @ EGR'!$R$23*('O2N2 @ EGR'!$Q$23^0.5)*(EXP(-67837/P100))/('Goal Seek 6th order'!$P$27*6))*('Goal Seek 6th order'!$P$28*10^-6))</f>
        <v>3.1025603335624896E-10</v>
      </c>
      <c r="T100" s="37">
        <f>T99*(C100/C99)^(('Goal Seek 6th order'!$P$26-1)/'Goal Seek 6th order'!$P$26)</f>
        <v>2345.8496039325491</v>
      </c>
      <c r="U100" s="37">
        <f>(((4.7*10^13)*'O2N2 @ EGR'!$R$24*('O2N2 @ EGR'!$Q$24^0.5)*(EXP(-67837/T100))/('Goal Seek 6th order'!$P$27*6))*('Goal Seek 6th order'!$P$28*10^-6))</f>
        <v>2.9722403859008139E-10</v>
      </c>
      <c r="X100" s="37">
        <f>X99*(C100/C99)^(('Goal Seek 6th order'!$P$26-1)/'Goal Seek 6th order'!$P$26)</f>
        <v>2330.511291934255</v>
      </c>
      <c r="Y100" s="37">
        <f>(((4.7*10^13)*'O2N2 @ EGR'!$R$25*('O2N2 @ EGR'!$Q$25^0.5)*(EXP(-67837/X100))/('Goal Seek 6th order'!$P$27*6))*('Goal Seek 6th order'!$P$28*10^-6))</f>
        <v>2.7478319589509702E-10</v>
      </c>
      <c r="Z100" s="59"/>
      <c r="AA100" s="59"/>
      <c r="AB100" s="37">
        <f>AB99*(C100/C99)^(('Goal Seek 6th order'!$P$26-1)/'Goal Seek 6th order'!$P$26)</f>
        <v>2252.73943334352</v>
      </c>
      <c r="AC100" s="37">
        <f>(((4.7*10^13)*'O2N2 @ EGR'!$R$26*('O2N2 @ EGR'!$Q$26^0.5)*(EXP(-67837/AB100))/('Goal Seek 6th order'!$P$27*6))*('Goal Seek 6th order'!$P$28*10^-6))</f>
        <v>1.4243528231402204E-10</v>
      </c>
      <c r="AE100" s="59"/>
      <c r="AF100" s="37">
        <f>AF99*(C100/C99)^(('Goal Seek 6th order'!$P$26-1)/'Goal Seek 6th order'!$P$26)</f>
        <v>2173.0813321534747</v>
      </c>
      <c r="AG100" s="37">
        <f>(((4.7*10^13)*'O2N2 @ EGR'!$R$27*('O2N2 @ EGR'!$Q$27^0.5)*(EXP(-67837/AF100))/('Goal Seek 6th order'!$P$27*6))*('Goal Seek 6th order'!$P$28*10^-6))</f>
        <v>5.7917153236730971E-11</v>
      </c>
      <c r="AI100" s="59"/>
      <c r="AJ100" s="37">
        <f>AJ99*(C100/C99)^(('Goal Seek 6th order'!$P$26-1)/'Goal Seek 6th order'!$P$26)</f>
        <v>2091.4140907247374</v>
      </c>
      <c r="AK100" s="37">
        <f>(((4.7*10^13)*'O2N2 @ EGR'!$R$28*('O2N2 @ EGR'!$Q$28^0.5)*(EXP(-67837/AJ100))/('Goal Seek 6th order'!$P$27*6))*('Goal Seek 6th order'!$P$28*10^-6))</f>
        <v>1.9788728044283841E-11</v>
      </c>
      <c r="AM100" s="59"/>
      <c r="AN100" s="37">
        <f>AN99*(C100/C99)^(('Goal Seek 6th order'!$P$26-1)/'Goal Seek 6th order'!$P$26)</f>
        <v>2007.6097234433482</v>
      </c>
      <c r="AO100" s="37">
        <f>(((4.7*10^13)*'O2N2 @ EGR'!$R$29*('O2N2 @ EGR'!$Q$29^0.5)*(EXP(-67837/AN100))/('Goal Seek 6th order'!$P$27*6))*('Goal Seek 6th order'!$P$28*10^-6))</f>
        <v>5.7198535893032196E-12</v>
      </c>
      <c r="AQ100" s="59"/>
      <c r="AR100" s="37">
        <f>AR99*(C100/C99)^(('Goal Seek 6th order'!$P$26-1)/'Goal Seek 6th order'!$P$26)</f>
        <v>1921.527564826258</v>
      </c>
      <c r="AS100" s="37">
        <f>(((4.7*10^13)*'O2N2 @ EGR'!$R$30*('O2N2 @ EGR'!$Q$30^0.5)*(EXP(-67837/AR100))/('Goal Seek 6th order'!$P$27*6))*('Goal Seek 6th order'!$P$28*10^-6))</f>
        <v>1.3807133744463141E-12</v>
      </c>
      <c r="AU100" s="59"/>
      <c r="AV100" s="37">
        <f>AV99*(C100/C99)^(('Goal Seek 6th order'!$P$26-1)/'Goal Seek 6th order'!$P$26)</f>
        <v>1833.0157781446974</v>
      </c>
      <c r="AW100" s="37">
        <f>(((4.7*10^13)*'O2N2 @ EGR'!$R$31*('O2N2 @ EGR'!$Q$31^0.5)*(EXP(-67837/AV100))/('Goal Seek 6th order'!$P$27*6))*('Goal Seek 6th order'!$P$28*10^-6))</f>
        <v>2.7149669788355189E-13</v>
      </c>
      <c r="AY100" s="59"/>
      <c r="AZ100" s="37">
        <f>AZ99*(C100/C99)^(('Goal Seek 6th order'!$P$26-1)/'Goal Seek 6th order'!$P$26)</f>
        <v>1741.9042931157076</v>
      </c>
      <c r="BA100" s="37">
        <f>(((4.7*10^13)*'O2N2 @ EGR'!$R$32*('O2N2 @ EGR'!$Q$32^0.5)*(EXP(-67837/AZ100))/('Goal Seek 6th order'!$P$27*6))*('Goal Seek 6th order'!$P$28*10^-6))</f>
        <v>4.1938870040394592E-14</v>
      </c>
      <c r="BC100" s="59"/>
    </row>
    <row r="101" spans="2:55" x14ac:dyDescent="0.3">
      <c r="B101" s="42">
        <v>10</v>
      </c>
      <c r="C101" s="42">
        <v>30</v>
      </c>
      <c r="D101" s="37">
        <f>D100*(C101/C100)^(('Goal Seek 6th order'!$P$26-1)/'Goal Seek 6th order'!$P$26)</f>
        <v>2430.7588376384033</v>
      </c>
      <c r="E101" s="37">
        <f>(((4.7*10^13)*'O2N2 @ EGR'!$R$20*('O2N2 @ EGR'!$Q$20^0.5)*(EXP(-67837/D101))/('Goal Seek 6th order'!$P$27*6))*('Goal Seek 6th order'!$P$28*10^-6))</f>
        <v>0</v>
      </c>
      <c r="F101" s="3"/>
      <c r="G101" s="3"/>
      <c r="H101" s="37">
        <f>H100*(C101/C100)^(('Goal Seek 6th order'!$P$26-1)/'Goal Seek 6th order'!$P$26)</f>
        <v>2415.5428243382294</v>
      </c>
      <c r="I101" s="37">
        <f>(((4.7*10^13)*'O2N2 @ EGR'!$R$21*('O2N2 @ EGR'!$Q$21^0.5)*(EXP(-67837/H101))/('Goal Seek 6th order'!$P$27*6))*('Goal Seek 6th order'!$P$28*10^-6))</f>
        <v>3.4204193841314586E-10</v>
      </c>
      <c r="L101" s="37">
        <f>L100*(C101/C100)^(('Goal Seek 6th order'!$P$26-1)/'Goal Seek 6th order'!$P$26)</f>
        <v>2400.258965145606</v>
      </c>
      <c r="M101" s="37">
        <f>(((4.7*10^13)*'O2N2 @ EGR'!$R$22*('O2N2 @ EGR'!$Q$22^0.5)*(EXP(-67837/L101))/('Goal Seek 6th order'!$P$27*6))*('Goal Seek 6th order'!$P$28*10^-6))</f>
        <v>4.0461278541365613E-10</v>
      </c>
      <c r="P101" s="37">
        <f>P100*(C101/C100)^(('Goal Seek 6th order'!$P$26-1)/'Goal Seek 6th order'!$P$26)</f>
        <v>2384.9063556206888</v>
      </c>
      <c r="Q101" s="37">
        <f>(((4.7*10^13)*'O2N2 @ EGR'!$R$23*('O2N2 @ EGR'!$Q$23^0.5)*(EXP(-67837/P101))/('Goal Seek 6th order'!$P$27*6))*('Goal Seek 6th order'!$P$28*10^-6))</f>
        <v>4.1321779169560696E-10</v>
      </c>
      <c r="T101" s="37">
        <f>T100*(C101/C100)^(('Goal Seek 6th order'!$P$26-1)/'Goal Seek 6th order'!$P$26)</f>
        <v>2369.4840854582581</v>
      </c>
      <c r="U101" s="37">
        <f>(((4.7*10^13)*'O2N2 @ EGR'!$R$24*('O2N2 @ EGR'!$Q$24^0.5)*(EXP(-67837/T101))/('Goal Seek 6th order'!$P$27*6))*('Goal Seek 6th order'!$P$28*10^-6))</f>
        <v>3.9660005764174417E-10</v>
      </c>
      <c r="X101" s="37">
        <f>X100*(C101/C100)^(('Goal Seek 6th order'!$P$26-1)/'Goal Seek 6th order'!$P$26)</f>
        <v>2353.9912396608015</v>
      </c>
      <c r="Y101" s="37">
        <f>(((4.7*10^13)*'O2N2 @ EGR'!$R$25*('O2N2 @ EGR'!$Q$25^0.5)*(EXP(-67837/X101))/('Goal Seek 6th order'!$P$27*6))*('Goal Seek 6th order'!$P$28*10^-6))</f>
        <v>3.6735289949295356E-10</v>
      </c>
      <c r="Z101" s="59"/>
      <c r="AA101" s="59"/>
      <c r="AB101" s="37">
        <f>AB100*(C101/C100)^(('Goal Seek 6th order'!$P$26-1)/'Goal Seek 6th order'!$P$26)</f>
        <v>2275.4358280443307</v>
      </c>
      <c r="AC101" s="37">
        <f>(((4.7*10^13)*'O2N2 @ EGR'!$R$26*('O2N2 @ EGR'!$Q$26^0.5)*(EXP(-67837/AB101))/('Goal Seek 6th order'!$P$27*6))*('Goal Seek 6th order'!$P$28*10^-6))</f>
        <v>1.9233752862795305E-10</v>
      </c>
      <c r="AE101" s="59"/>
      <c r="AF101" s="37">
        <f>AF100*(C101/C100)^(('Goal Seek 6th order'!$P$26-1)/'Goal Seek 6th order'!$P$26)</f>
        <v>2194.975169896758</v>
      </c>
      <c r="AG101" s="37">
        <f>(((4.7*10^13)*'O2N2 @ EGR'!$R$27*('O2N2 @ EGR'!$Q$27^0.5)*(EXP(-67837/AF101))/('Goal Seek 6th order'!$P$27*6))*('Goal Seek 6th order'!$P$28*10^-6))</f>
        <v>7.907430816945508E-11</v>
      </c>
      <c r="AI101" s="59"/>
      <c r="AJ101" s="37">
        <f>AJ100*(C101/C100)^(('Goal Seek 6th order'!$P$26-1)/'Goal Seek 6th order'!$P$26)</f>
        <v>2112.4851293825345</v>
      </c>
      <c r="AK101" s="37">
        <f>(((4.7*10^13)*'O2N2 @ EGR'!$R$28*('O2N2 @ EGR'!$Q$28^0.5)*(EXP(-67837/AJ101))/('Goal Seek 6th order'!$P$27*6))*('Goal Seek 6th order'!$P$28*10^-6))</f>
        <v>2.7348063178910815E-11</v>
      </c>
      <c r="AM101" s="59"/>
      <c r="AN101" s="37">
        <f>AN100*(C101/C100)^(('Goal Seek 6th order'!$P$26-1)/'Goal Seek 6th order'!$P$26)</f>
        <v>2027.8364314300891</v>
      </c>
      <c r="AO101" s="37">
        <f>(((4.7*10^13)*'O2N2 @ EGR'!$R$29*('O2N2 @ EGR'!$Q$29^0.5)*(EXP(-67837/AN101))/('Goal Seek 6th order'!$P$27*6))*('Goal Seek 6th order'!$P$28*10^-6))</f>
        <v>8.0123315346224815E-12</v>
      </c>
      <c r="AQ101" s="59"/>
      <c r="AR101" s="37">
        <f>AR100*(C101/C100)^(('Goal Seek 6th order'!$P$26-1)/'Goal Seek 6th order'!$P$26)</f>
        <v>1940.8869933488259</v>
      </c>
      <c r="AS101" s="37">
        <f>(((4.7*10^13)*'O2N2 @ EGR'!$R$30*('O2N2 @ EGR'!$Q$30^0.5)*(EXP(-67837/AR101))/('Goal Seek 6th order'!$P$27*6))*('Goal Seek 6th order'!$P$28*10^-6))</f>
        <v>1.963518115262489E-12</v>
      </c>
      <c r="AU101" s="59"/>
      <c r="AV101" s="37">
        <f>AV100*(C101/C100)^(('Goal Seek 6th order'!$P$26-1)/'Goal Seek 6th order'!$P$26)</f>
        <v>1851.4834486519067</v>
      </c>
      <c r="AW101" s="37">
        <f>(((4.7*10^13)*'O2N2 @ EGR'!$R$31*('O2N2 @ EGR'!$Q$31^0.5)*(EXP(-67837/AV101))/('Goal Seek 6th order'!$P$27*6))*('Goal Seek 6th order'!$P$28*10^-6))</f>
        <v>3.9271782119009851E-13</v>
      </c>
      <c r="AY101" s="59"/>
      <c r="AZ101" s="37">
        <f>AZ100*(C101/C100)^(('Goal Seek 6th order'!$P$26-1)/'Goal Seek 6th order'!$P$26)</f>
        <v>1759.454013594881</v>
      </c>
      <c r="BA101" s="37">
        <f>(((4.7*10^13)*'O2N2 @ EGR'!$R$32*('O2N2 @ EGR'!$Q$32^0.5)*(EXP(-67837/AZ101))/('Goal Seek 6th order'!$P$27*6))*('Goal Seek 6th order'!$P$28*10^-6))</f>
        <v>6.1846940867906502E-14</v>
      </c>
      <c r="BC101" s="59"/>
    </row>
    <row r="102" spans="2:55" x14ac:dyDescent="0.3">
      <c r="B102" s="42">
        <v>11</v>
      </c>
      <c r="C102" s="42">
        <v>32</v>
      </c>
      <c r="D102" s="37">
        <f>D101*(C102/C101)^(('Goal Seek 6th order'!$P$26-1)/'Goal Seek 6th order'!$P$26)</f>
        <v>2453.6602258462549</v>
      </c>
      <c r="E102" s="37">
        <f>(((4.7*10^13)*'O2N2 @ EGR'!$R$20*('O2N2 @ EGR'!$Q$20^0.5)*(EXP(-67837/D102))/('Goal Seek 6th order'!$P$27*6))*('Goal Seek 6th order'!$P$28*10^-6))</f>
        <v>0</v>
      </c>
      <c r="F102" s="3"/>
      <c r="G102" s="3"/>
      <c r="H102" s="37">
        <f>H101*(C102/C101)^(('Goal Seek 6th order'!$P$26-1)/'Goal Seek 6th order'!$P$26)</f>
        <v>2438.3008549154652</v>
      </c>
      <c r="I102" s="37">
        <f>(((4.7*10^13)*'O2N2 @ EGR'!$R$21*('O2N2 @ EGR'!$Q$21^0.5)*(EXP(-67837/H102))/('Goal Seek 6th order'!$P$27*6))*('Goal Seek 6th order'!$P$28*10^-6))</f>
        <v>4.4454568341952331E-10</v>
      </c>
      <c r="L102" s="37">
        <f>L101*(C102/C101)^(('Goal Seek 6th order'!$P$26-1)/'Goal Seek 6th order'!$P$26)</f>
        <v>2422.8729988823225</v>
      </c>
      <c r="M102" s="37">
        <f>(((4.7*10^13)*'O2N2 @ EGR'!$R$22*('O2N2 @ EGR'!$Q$22^0.5)*(EXP(-67837/L102))/('Goal Seek 6th order'!$P$27*6))*('Goal Seek 6th order'!$P$28*10^-6))</f>
        <v>5.2674631718242918E-10</v>
      </c>
      <c r="P102" s="37">
        <f>P101*(C102/C101)^(('Goal Seek 6th order'!$P$26-1)/'Goal Seek 6th order'!$P$26)</f>
        <v>2407.3757447858047</v>
      </c>
      <c r="Q102" s="37">
        <f>(((4.7*10^13)*'O2N2 @ EGR'!$R$23*('O2N2 @ EGR'!$Q$23^0.5)*(EXP(-67837/P102))/('Goal Seek 6th order'!$P$27*6))*('Goal Seek 6th order'!$P$28*10^-6))</f>
        <v>5.3886304361527428E-10</v>
      </c>
      <c r="T102" s="37">
        <f>T101*(C102/C101)^(('Goal Seek 6th order'!$P$26-1)/'Goal Seek 6th order'!$P$26)</f>
        <v>2391.8081737442549</v>
      </c>
      <c r="U102" s="37">
        <f>(((4.7*10^13)*'O2N2 @ EGR'!$R$24*('O2N2 @ EGR'!$Q$24^0.5)*(EXP(-67837/T102))/('Goal Seek 6th order'!$P$27*6))*('Goal Seek 6th order'!$P$28*10^-6))</f>
        <v>5.1808689850282507E-10</v>
      </c>
      <c r="X102" s="37">
        <f>X101*(C102/C101)^(('Goal Seek 6th order'!$P$26-1)/'Goal Seek 6th order'!$P$26)</f>
        <v>2376.1693621395129</v>
      </c>
      <c r="Y102" s="37">
        <f>(((4.7*10^13)*'O2N2 @ EGR'!$R$25*('O2N2 @ EGR'!$Q$25^0.5)*(EXP(-67837/X102))/('Goal Seek 6th order'!$P$27*6))*('Goal Seek 6th order'!$P$28*10^-6))</f>
        <v>4.8072542664075105E-10</v>
      </c>
      <c r="Z102" s="59"/>
      <c r="AA102" s="59"/>
      <c r="AB102" s="37">
        <f>AB101*(C102/C101)^(('Goal Seek 6th order'!$P$26-1)/'Goal Seek 6th order'!$P$26)</f>
        <v>2296.8738409122489</v>
      </c>
      <c r="AC102" s="37">
        <f>(((4.7*10^13)*'O2N2 @ EGR'!$R$26*('O2N2 @ EGR'!$Q$26^0.5)*(EXP(-67837/AB102))/('Goal Seek 6th order'!$P$27*6))*('Goal Seek 6th order'!$P$28*10^-6))</f>
        <v>2.5404487457614582E-10</v>
      </c>
      <c r="AE102" s="59"/>
      <c r="AF102" s="37">
        <f>AF101*(C102/C101)^(('Goal Seek 6th order'!$P$26-1)/'Goal Seek 6th order'!$P$26)</f>
        <v>2215.6551228785352</v>
      </c>
      <c r="AG102" s="37">
        <f>(((4.7*10^13)*'O2N2 @ EGR'!$R$27*('O2N2 @ EGR'!$Q$27^0.5)*(EXP(-67837/AF102))/('Goal Seek 6th order'!$P$27*6))*('Goal Seek 6th order'!$P$28*10^-6))</f>
        <v>1.0551437806302456E-10</v>
      </c>
      <c r="AI102" s="59"/>
      <c r="AJ102" s="37">
        <f>AJ101*(C102/C101)^(('Goal Seek 6th order'!$P$26-1)/'Goal Seek 6th order'!$P$26)</f>
        <v>2132.3879026573632</v>
      </c>
      <c r="AK102" s="37">
        <f>(((4.7*10^13)*'O2N2 @ EGR'!$R$28*('O2N2 @ EGR'!$Q$28^0.5)*(EXP(-67837/AJ102))/('Goal Seek 6th order'!$P$27*6))*('Goal Seek 6th order'!$P$28*10^-6))</f>
        <v>3.6905806962010084E-11</v>
      </c>
      <c r="AM102" s="59"/>
      <c r="AN102" s="37">
        <f>AN101*(C102/C101)^(('Goal Seek 6th order'!$P$26-1)/'Goal Seek 6th order'!$P$26)</f>
        <v>2046.9416872124045</v>
      </c>
      <c r="AO102" s="37">
        <f>(((4.7*10^13)*'O2N2 @ EGR'!$R$29*('O2N2 @ EGR'!$Q$29^0.5)*(EXP(-67837/AN102))/('Goal Seek 6th order'!$P$27*6))*('Goal Seek 6th order'!$P$28*10^-6))</f>
        <v>1.0948653137425962E-11</v>
      </c>
      <c r="AQ102" s="59"/>
      <c r="AR102" s="37">
        <f>AR101*(C102/C101)^(('Goal Seek 6th order'!$P$26-1)/'Goal Seek 6th order'!$P$26)</f>
        <v>1959.1730552213546</v>
      </c>
      <c r="AS102" s="37">
        <f>(((4.7*10^13)*'O2N2 @ EGR'!$R$30*('O2N2 @ EGR'!$Q$30^0.5)*(EXP(-67837/AR102))/('Goal Seek 6th order'!$P$27*6))*('Goal Seek 6th order'!$P$28*10^-6))</f>
        <v>2.720893215140619E-12</v>
      </c>
      <c r="AU102" s="59"/>
      <c r="AV102" s="37">
        <f>AV101*(C102/C101)^(('Goal Seek 6th order'!$P$26-1)/'Goal Seek 6th order'!$P$26)</f>
        <v>1868.9271952554095</v>
      </c>
      <c r="AW102" s="37">
        <f>(((4.7*10^13)*'O2N2 @ EGR'!$R$31*('O2N2 @ EGR'!$Q$31^0.5)*(EXP(-67837/AV102))/('Goal Seek 6th order'!$P$27*6))*('Goal Seek 6th order'!$P$28*10^-6))</f>
        <v>5.5283866034621003E-13</v>
      </c>
      <c r="AY102" s="59"/>
      <c r="AZ102" s="37">
        <f>AZ101*(C102/C101)^(('Goal Seek 6th order'!$P$26-1)/'Goal Seek 6th order'!$P$26)</f>
        <v>1776.0307051100076</v>
      </c>
      <c r="BA102" s="37">
        <f>(((4.7*10^13)*'O2N2 @ EGR'!$R$32*('O2N2 @ EGR'!$Q$32^0.5)*(EXP(-67837/AZ102))/('Goal Seek 6th order'!$P$27*6))*('Goal Seek 6th order'!$P$28*10^-6))</f>
        <v>8.8634815154048298E-14</v>
      </c>
      <c r="BC102" s="59"/>
    </row>
    <row r="103" spans="2:55" x14ac:dyDescent="0.3">
      <c r="B103" s="42">
        <v>12</v>
      </c>
      <c r="C103" s="42">
        <v>34</v>
      </c>
      <c r="D103" s="37">
        <f>D102*(C103/C102)^(('Goal Seek 6th order'!$P$26-1)/'Goal Seek 6th order'!$P$26)</f>
        <v>2475.3692706679362</v>
      </c>
      <c r="E103" s="37">
        <f>(((4.7*10^13)*'O2N2 @ EGR'!$R$20*('O2N2 @ EGR'!$Q$20^0.5)*(EXP(-67837/D103))/('Goal Seek 6th order'!$P$27*6))*('Goal Seek 6th order'!$P$28*10^-6))</f>
        <v>0</v>
      </c>
      <c r="F103" s="3"/>
      <c r="G103" s="3"/>
      <c r="H103" s="37">
        <f>H102*(C103/C102)^(('Goal Seek 6th order'!$P$26-1)/'Goal Seek 6th order'!$P$26)</f>
        <v>2459.8740059127053</v>
      </c>
      <c r="I103" s="37">
        <f>(((4.7*10^13)*'O2N2 @ EGR'!$R$21*('O2N2 @ EGR'!$Q$21^0.5)*(EXP(-67837/H103))/('Goal Seek 6th order'!$P$27*6))*('Goal Seek 6th order'!$P$28*10^-6))</f>
        <v>5.6739025026725784E-10</v>
      </c>
      <c r="L103" s="37">
        <f>L102*(C103/C102)^(('Goal Seek 6th order'!$P$26-1)/'Goal Seek 6th order'!$P$26)</f>
        <v>2444.3096501251966</v>
      </c>
      <c r="M103" s="37">
        <f>(((4.7*10^13)*'O2N2 @ EGR'!$R$22*('O2N2 @ EGR'!$Q$22^0.5)*(EXP(-67837/L103))/('Goal Seek 6th order'!$P$27*6))*('Goal Seek 6th order'!$P$28*10^-6))</f>
        <v>6.7335133199129018E-10</v>
      </c>
      <c r="P103" s="37">
        <f>P102*(C103/C102)^(('Goal Seek 6th order'!$P$26-1)/'Goal Seek 6th order'!$P$26)</f>
        <v>2428.6752822668586</v>
      </c>
      <c r="Q103" s="37">
        <f>(((4.7*10^13)*'O2N2 @ EGR'!$R$23*('O2N2 @ EGR'!$Q$23^0.5)*(EXP(-67837/P103))/('Goal Seek 6th order'!$P$27*6))*('Goal Seek 6th order'!$P$28*10^-6))</f>
        <v>6.8993011461115388E-10</v>
      </c>
      <c r="T103" s="37">
        <f>T102*(C103/C102)^(('Goal Seek 6th order'!$P$26-1)/'Goal Seek 6th order'!$P$26)</f>
        <v>2412.969975326122</v>
      </c>
      <c r="U103" s="37">
        <f>(((4.7*10^13)*'O2N2 @ EGR'!$R$24*('O2N2 @ EGR'!$Q$24^0.5)*(EXP(-67837/T103))/('Goal Seek 6th order'!$P$27*6))*('Goal Seek 6th order'!$P$28*10^-6))</f>
        <v>6.6439731643448218E-10</v>
      </c>
      <c r="X103" s="37">
        <f>X102*(C103/C102)^(('Goal Seek 6th order'!$P$26-1)/'Goal Seek 6th order'!$P$26)</f>
        <v>2397.1927975130075</v>
      </c>
      <c r="Y103" s="37">
        <f>(((4.7*10^13)*'O2N2 @ EGR'!$R$25*('O2N2 @ EGR'!$Q$25^0.5)*(EXP(-67837/X103))/('Goal Seek 6th order'!$P$27*6))*('Goal Seek 6th order'!$P$28*10^-6))</f>
        <v>6.1749482734195986E-10</v>
      </c>
      <c r="Z103" s="59"/>
      <c r="AA103" s="59"/>
      <c r="AB103" s="37">
        <f>AB102*(C103/C102)^(('Goal Seek 6th order'!$P$26-1)/'Goal Seek 6th order'!$P$26)</f>
        <v>2317.1956999198114</v>
      </c>
      <c r="AC103" s="37">
        <f>(((4.7*10^13)*'O2N2 @ EGR'!$R$26*('O2N2 @ EGR'!$Q$26^0.5)*(EXP(-67837/AB103))/('Goal Seek 6th order'!$P$27*6))*('Goal Seek 6th order'!$P$28*10^-6))</f>
        <v>3.2915510446771562E-10</v>
      </c>
      <c r="AE103" s="59"/>
      <c r="AF103" s="37">
        <f>AF102*(C103/C102)^(('Goal Seek 6th order'!$P$26-1)/'Goal Seek 6th order'!$P$26)</f>
        <v>2235.2583898122721</v>
      </c>
      <c r="AG103" s="37">
        <f>(((4.7*10^13)*'O2N2 @ EGR'!$R$27*('O2N2 @ EGR'!$Q$27^0.5)*(EXP(-67837/AF103))/('Goal Seek 6th order'!$P$27*6))*('Goal Seek 6th order'!$P$28*10^-6))</f>
        <v>1.3801469314815599E-10</v>
      </c>
      <c r="AI103" s="59"/>
      <c r="AJ103" s="37">
        <f>AJ102*(C103/C102)^(('Goal Seek 6th order'!$P$26-1)/'Goal Seek 6th order'!$P$26)</f>
        <v>2151.254453155419</v>
      </c>
      <c r="AK103" s="37">
        <f>(((4.7*10^13)*'O2N2 @ EGR'!$R$28*('O2N2 @ EGR'!$Q$28^0.5)*(EXP(-67837/AJ103))/('Goal Seek 6th order'!$P$27*6))*('Goal Seek 6th order'!$P$28*10^-6))</f>
        <v>4.8782270786414409E-11</v>
      </c>
      <c r="AM103" s="59"/>
      <c r="AN103" s="37">
        <f>AN102*(C103/C102)^(('Goal Seek 6th order'!$P$26-1)/'Goal Seek 6th order'!$P$26)</f>
        <v>2065.0522423605753</v>
      </c>
      <c r="AO103" s="37">
        <f>(((4.7*10^13)*'O2N2 @ EGR'!$R$29*('O2N2 @ EGR'!$Q$29^0.5)*(EXP(-67837/AN103))/('Goal Seek 6th order'!$P$27*6))*('Goal Seek 6th order'!$P$28*10^-6))</f>
        <v>1.4641512209357718E-11</v>
      </c>
      <c r="AQ103" s="59"/>
      <c r="AR103" s="37">
        <f>AR102*(C103/C102)^(('Goal Seek 6th order'!$P$26-1)/'Goal Seek 6th order'!$P$26)</f>
        <v>1976.5070671685719</v>
      </c>
      <c r="AS103" s="37">
        <f>(((4.7*10^13)*'O2N2 @ EGR'!$R$30*('O2N2 @ EGR'!$Q$30^0.5)*(EXP(-67837/AR103))/('Goal Seek 6th order'!$P$27*6))*('Goal Seek 6th order'!$P$28*10^-6))</f>
        <v>3.6863067846341003E-12</v>
      </c>
      <c r="AU103" s="59"/>
      <c r="AV103" s="37">
        <f>AV102*(C103/C102)^(('Goal Seek 6th order'!$P$26-1)/'Goal Seek 6th order'!$P$26)</f>
        <v>1885.4627464384448</v>
      </c>
      <c r="AW103" s="37">
        <f>(((4.7*10^13)*'O2N2 @ EGR'!$R$31*('O2N2 @ EGR'!$Q$31^0.5)*(EXP(-67837/AV103))/('Goal Seek 6th order'!$P$27*6))*('Goal Seek 6th order'!$P$28*10^-6))</f>
        <v>7.6005766112913166E-13</v>
      </c>
      <c r="AY103" s="59"/>
      <c r="AZ103" s="37">
        <f>AZ102*(C103/C102)^(('Goal Seek 6th order'!$P$26-1)/'Goal Seek 6th order'!$P$26)</f>
        <v>1791.744343769418</v>
      </c>
      <c r="BA103" s="37">
        <f>(((4.7*10^13)*'O2N2 @ EGR'!$R$32*('O2N2 @ EGR'!$Q$32^0.5)*(EXP(-67837/AZ103))/('Goal Seek 6th order'!$P$27*6))*('Goal Seek 6th order'!$P$28*10^-6))</f>
        <v>1.2390351893032597E-13</v>
      </c>
      <c r="BC103" s="59"/>
    </row>
    <row r="104" spans="2:55" x14ac:dyDescent="0.3">
      <c r="B104" s="42">
        <v>13</v>
      </c>
      <c r="C104" s="42">
        <v>36</v>
      </c>
      <c r="D104" s="37">
        <f>D103*(C104/C103)^(('Goal Seek 6th order'!$P$26-1)/'Goal Seek 6th order'!$P$26)</f>
        <v>2496.0129875496914</v>
      </c>
      <c r="E104" s="37">
        <f>(((4.7*10^13)*'O2N2 @ EGR'!$R$20*('O2N2 @ EGR'!$Q$20^0.5)*(EXP(-67837/D104))/('Goal Seek 6th order'!$P$27*6))*('Goal Seek 6th order'!$P$28*10^-6))</f>
        <v>0</v>
      </c>
      <c r="F104" s="3"/>
      <c r="G104" s="3"/>
      <c r="H104" s="37">
        <f>H103*(C104/C103)^(('Goal Seek 6th order'!$P$26-1)/'Goal Seek 6th order'!$P$26)</f>
        <v>2480.3884976875624</v>
      </c>
      <c r="I104" s="37">
        <f>(((4.7*10^13)*'O2N2 @ EGR'!$R$21*('O2N2 @ EGR'!$Q$21^0.5)*(EXP(-67837/H104))/('Goal Seek 6th order'!$P$27*6))*('Goal Seek 6th order'!$P$28*10^-6))</f>
        <v>7.1275043684164796E-10</v>
      </c>
      <c r="L104" s="37">
        <f>L103*(C104/C103)^(('Goal Seek 6th order'!$P$26-1)/'Goal Seek 6th order'!$P$26)</f>
        <v>2464.6943405980292</v>
      </c>
      <c r="M104" s="37">
        <f>(((4.7*10^13)*'O2N2 @ EGR'!$R$22*('O2N2 @ EGR'!$Q$22^0.5)*(EXP(-67837/L104))/('Goal Seek 6th order'!$P$27*6))*('Goal Seek 6th order'!$P$28*10^-6))</f>
        <v>8.4708714713845308E-10</v>
      </c>
      <c r="P104" s="37">
        <f>P103*(C104/C103)^(('Goal Seek 6th order'!$P$26-1)/'Goal Seek 6th order'!$P$26)</f>
        <v>2448.9295875613998</v>
      </c>
      <c r="Q104" s="37">
        <f>(((4.7*10^13)*'O2N2 @ EGR'!$R$23*('O2N2 @ EGR'!$Q$23^0.5)*(EXP(-67837/P104))/('Goal Seek 6th order'!$P$27*6))*('Goal Seek 6th order'!$P$28*10^-6))</f>
        <v>8.6922696818457105E-10</v>
      </c>
      <c r="T104" s="37">
        <f>T103*(C104/C103)^(('Goal Seek 6th order'!$P$26-1)/'Goal Seek 6th order'!$P$26)</f>
        <v>2433.0933038351518</v>
      </c>
      <c r="U104" s="37">
        <f>(((4.7*10^13)*'O2N2 @ EGR'!$R$24*('O2N2 @ EGR'!$Q$24^0.5)*(EXP(-67837/T104))/('Goal Seek 6th order'!$P$27*6))*('Goal Seek 6th order'!$P$28*10^-6))</f>
        <v>8.3831833679070549E-10</v>
      </c>
      <c r="X104" s="37">
        <f>X103*(C104/C103)^(('Goal Seek 6th order'!$P$26-1)/'Goal Seek 6th order'!$P$26)</f>
        <v>2417.1845498585021</v>
      </c>
      <c r="Y104" s="37">
        <f>(((4.7*10^13)*'O2N2 @ EGR'!$R$25*('O2N2 @ EGR'!$Q$25^0.5)*(EXP(-67837/X104))/('Goal Seek 6th order'!$P$27*6))*('Goal Seek 6th order'!$P$28*10^-6))</f>
        <v>7.8033130365094479E-10</v>
      </c>
      <c r="Z104" s="59"/>
      <c r="AA104" s="59"/>
      <c r="AB104" s="37">
        <f>AB103*(C104/C103)^(('Goal Seek 6th order'!$P$26-1)/'Goal Seek 6th order'!$P$26)</f>
        <v>2336.5203043558427</v>
      </c>
      <c r="AC104" s="37">
        <f>(((4.7*10^13)*'O2N2 @ EGR'!$R$26*('O2N2 @ EGR'!$Q$26^0.5)*(EXP(-67837/AB104))/('Goal Seek 6th order'!$P$27*6))*('Goal Seek 6th order'!$P$28*10^-6))</f>
        <v>4.1932952164428629E-10</v>
      </c>
      <c r="AE104" s="59"/>
      <c r="AF104" s="37">
        <f>AF103*(C104/C103)^(('Goal Seek 6th order'!$P$26-1)/'Goal Seek 6th order'!$P$26)</f>
        <v>2253.8996656427676</v>
      </c>
      <c r="AG104" s="37">
        <f>(((4.7*10^13)*'O2N2 @ EGR'!$R$27*('O2N2 @ EGR'!$Q$27^0.5)*(EXP(-67837/AF104))/('Goal Seek 6th order'!$P$27*6))*('Goal Seek 6th order'!$P$28*10^-6))</f>
        <v>1.7739231581893049E-10</v>
      </c>
      <c r="AI104" s="59"/>
      <c r="AJ104" s="37">
        <f>AJ103*(C104/C103)^(('Goal Seek 6th order'!$P$26-1)/'Goal Seek 6th order'!$P$26)</f>
        <v>2169.1951654353174</v>
      </c>
      <c r="AK104" s="37">
        <f>(((4.7*10^13)*'O2N2 @ EGR'!$R$28*('O2N2 @ EGR'!$Q$28^0.5)*(EXP(-67837/AJ104))/('Goal Seek 6th order'!$P$27*6))*('Goal Seek 6th order'!$P$28*10^-6))</f>
        <v>6.3318144955470583E-11</v>
      </c>
      <c r="AM104" s="59"/>
      <c r="AN104" s="37">
        <f>AN103*(C104/C103)^(('Goal Seek 6th order'!$P$26-1)/'Goal Seek 6th order'!$P$26)</f>
        <v>2082.2740582498154</v>
      </c>
      <c r="AO104" s="37">
        <f>(((4.7*10^13)*'O2N2 @ EGR'!$R$29*('O2N2 @ EGR'!$Q$29^0.5)*(EXP(-67837/AN104))/('Goal Seek 6th order'!$P$27*6))*('Goal Seek 6th order'!$P$28*10^-6))</f>
        <v>1.9212337808892469E-11</v>
      </c>
      <c r="AQ104" s="59"/>
      <c r="AR104" s="37">
        <f>AR103*(C104/C103)^(('Goal Seek 6th order'!$P$26-1)/'Goal Seek 6th order'!$P$26)</f>
        <v>1992.9904471607647</v>
      </c>
      <c r="AS104" s="37">
        <f>(((4.7*10^13)*'O2N2 @ EGR'!$R$30*('O2N2 @ EGR'!$Q$30^0.5)*(EXP(-67837/AR104))/('Goal Seek 6th order'!$P$27*6))*('Goal Seek 6th order'!$P$28*10^-6))</f>
        <v>4.8963421684325557E-12</v>
      </c>
      <c r="AU104" s="59"/>
      <c r="AV104" s="37">
        <f>AV103*(C104/C103)^(('Goal Seek 6th order'!$P$26-1)/'Goal Seek 6th order'!$P$26)</f>
        <v>1901.1868485309255</v>
      </c>
      <c r="AW104" s="37">
        <f>(((4.7*10^13)*'O2N2 @ EGR'!$R$31*('O2N2 @ EGR'!$Q$31^0.5)*(EXP(-67837/AV104))/('Goal Seek 6th order'!$P$27*6))*('Goal Seek 6th order'!$P$28*10^-6))</f>
        <v>1.0234808575309709E-12</v>
      </c>
      <c r="AY104" s="59"/>
      <c r="AZ104" s="37">
        <f>AZ103*(C104/C103)^(('Goal Seek 6th order'!$P$26-1)/'Goal Seek 6th order'!$P$26)</f>
        <v>1806.6868670509168</v>
      </c>
      <c r="BA104" s="37">
        <f>(((4.7*10^13)*'O2N2 @ EGR'!$R$32*('O2N2 @ EGR'!$Q$32^0.5)*(EXP(-67837/AZ104))/('Goal Seek 6th order'!$P$27*6))*('Goal Seek 6th order'!$P$28*10^-6))</f>
        <v>1.6946360989400523E-13</v>
      </c>
      <c r="BC104" s="59"/>
    </row>
    <row r="105" spans="2:55" x14ac:dyDescent="0.3">
      <c r="B105" s="42">
        <v>14</v>
      </c>
      <c r="C105" s="42">
        <v>38</v>
      </c>
      <c r="D105" s="37">
        <f>D104*(C105/C104)^(('Goal Seek 6th order'!$P$26-1)/'Goal Seek 6th order'!$P$26)</f>
        <v>2515.6986919197975</v>
      </c>
      <c r="E105" s="37">
        <f>(((4.7*10^13)*'O2N2 @ EGR'!$R$20*('O2N2 @ EGR'!$Q$20^0.5)*(EXP(-67837/D105))/('Goal Seek 6th order'!$P$27*6))*('Goal Seek 6th order'!$P$28*10^-6))</f>
        <v>0</v>
      </c>
      <c r="F105" s="3"/>
      <c r="G105" s="3"/>
      <c r="H105" s="37">
        <f>H104*(C105/C104)^(('Goal Seek 6th order'!$P$26-1)/'Goal Seek 6th order'!$P$26)</f>
        <v>2499.9509738974411</v>
      </c>
      <c r="I105" s="37">
        <f>(((4.7*10^13)*'O2N2 @ EGR'!$R$21*('O2N2 @ EGR'!$Q$21^0.5)*(EXP(-67837/H105))/('Goal Seek 6th order'!$P$27*6))*('Goal Seek 6th order'!$P$28*10^-6))</f>
        <v>8.8283992567844661E-10</v>
      </c>
      <c r="L105" s="37">
        <f>L104*(C105/C104)^(('Goal Seek 6th order'!$P$26-1)/'Goal Seek 6th order'!$P$26)</f>
        <v>2484.1330391920287</v>
      </c>
      <c r="M105" s="37">
        <f>(((4.7*10^13)*'O2N2 @ EGR'!$R$22*('O2N2 @ EGR'!$Q$22^0.5)*(EXP(-67837/L105))/('Goal Seek 6th order'!$P$27*6))*('Goal Seek 6th order'!$P$28*10^-6))</f>
        <v>1.0506653205590888E-9</v>
      </c>
      <c r="P105" s="37">
        <f>P104*(C105/C104)^(('Goal Seek 6th order'!$P$26-1)/'Goal Seek 6th order'!$P$26)</f>
        <v>2468.2439517591865</v>
      </c>
      <c r="Q105" s="37">
        <f>(((4.7*10^13)*'O2N2 @ EGR'!$R$23*('O2N2 @ EGR'!$Q$23^0.5)*(EXP(-67837/P105))/('Goal Seek 6th order'!$P$27*6))*('Goal Seek 6th order'!$P$28*10^-6))</f>
        <v>1.0796217584249764E-9</v>
      </c>
      <c r="T105" s="37">
        <f>T104*(C105/C104)^(('Goal Seek 6th order'!$P$26-1)/'Goal Seek 6th order'!$P$26)</f>
        <v>2452.2827694842085</v>
      </c>
      <c r="U105" s="37">
        <f>(((4.7*10^13)*'O2N2 @ EGR'!$R$24*('O2N2 @ EGR'!$Q$24^0.5)*(EXP(-67837/T105))/('Goal Seek 6th order'!$P$27*6))*('Goal Seek 6th order'!$P$28*10^-6))</f>
        <v>1.0427017957865344E-9</v>
      </c>
      <c r="X105" s="37">
        <f>X104*(C105/C104)^(('Goal Seek 6th order'!$P$26-1)/'Goal Seek 6th order'!$P$26)</f>
        <v>2436.2485453961276</v>
      </c>
      <c r="Y105" s="37">
        <f>(((4.7*10^13)*'O2N2 @ EGR'!$R$25*('O2N2 @ EGR'!$Q$25^0.5)*(EXP(-67837/X105))/('Goal Seek 6th order'!$P$27*6))*('Goal Seek 6th order'!$P$28*10^-6))</f>
        <v>9.7197208455063164E-10</v>
      </c>
      <c r="Z105" s="59"/>
      <c r="AA105" s="59"/>
      <c r="AB105" s="37">
        <f>AB104*(C105/C104)^(('Goal Seek 6th order'!$P$26-1)/'Goal Seek 6th order'!$P$26)</f>
        <v>2354.9481123022483</v>
      </c>
      <c r="AC105" s="37">
        <f>(((4.7*10^13)*'O2N2 @ EGR'!$R$26*('O2N2 @ EGR'!$Q$26^0.5)*(EXP(-67837/AB105))/('Goal Seek 6th order'!$P$27*6))*('Goal Seek 6th order'!$P$28*10^-6))</f>
        <v>5.2628724771186261E-10</v>
      </c>
      <c r="AE105" s="59"/>
      <c r="AF105" s="37">
        <f>AF104*(C105/C104)^(('Goal Seek 6th order'!$P$26-1)/'Goal Seek 6th order'!$P$26)</f>
        <v>2271.6758561990846</v>
      </c>
      <c r="AG105" s="37">
        <f>(((4.7*10^13)*'O2N2 @ EGR'!$R$27*('O2N2 @ EGR'!$Q$27^0.5)*(EXP(-67837/AF105))/('Goal Seek 6th order'!$P$27*6))*('Goal Seek 6th order'!$P$28*10^-6))</f>
        <v>2.2450139202695983E-10</v>
      </c>
      <c r="AI105" s="59"/>
      <c r="AJ105" s="37">
        <f>AJ104*(C105/C104)^(('Goal Seek 6th order'!$P$26-1)/'Goal Seek 6th order'!$P$26)</f>
        <v>2186.3033034781984</v>
      </c>
      <c r="AK105" s="37">
        <f>(((4.7*10^13)*'O2N2 @ EGR'!$R$28*('O2N2 @ EGR'!$Q$28^0.5)*(EXP(-67837/AJ105))/('Goal Seek 6th order'!$P$27*6))*('Goal Seek 6th order'!$P$28*10^-6))</f>
        <v>8.0873547866592021E-11</v>
      </c>
      <c r="AM105" s="59"/>
      <c r="AN105" s="37">
        <f>AN104*(C105/C104)^(('Goal Seek 6th order'!$P$26-1)/'Goal Seek 6th order'!$P$26)</f>
        <v>2098.6966617109006</v>
      </c>
      <c r="AO105" s="37">
        <f>(((4.7*10^13)*'O2N2 @ EGR'!$R$29*('O2N2 @ EGR'!$Q$29^0.5)*(EXP(-67837/AN105))/('Goal Seek 6th order'!$P$27*6))*('Goal Seek 6th order'!$P$28*10^-6))</f>
        <v>2.4791051104231018E-11</v>
      </c>
      <c r="AQ105" s="59"/>
      <c r="AR105" s="37">
        <f>AR104*(C105/C104)^(('Goal Seek 6th order'!$P$26-1)/'Goal Seek 6th order'!$P$26)</f>
        <v>2008.7088833031053</v>
      </c>
      <c r="AS105" s="37">
        <f>(((4.7*10^13)*'O2N2 @ EGR'!$R$30*('O2N2 @ EGR'!$Q$30^0.5)*(EXP(-67837/AR105))/('Goal Seek 6th order'!$P$27*6))*('Goal Seek 6th order'!$P$28*10^-6))</f>
        <v>6.3906697445151905E-12</v>
      </c>
      <c r="AU105" s="59"/>
      <c r="AV105" s="37">
        <f>AV104*(C105/C104)^(('Goal Seek 6th order'!$P$26-1)/'Goal Seek 6th order'!$P$26)</f>
        <v>1916.1812425662126</v>
      </c>
      <c r="AW105" s="37">
        <f>(((4.7*10^13)*'O2N2 @ EGR'!$R$31*('O2N2 @ EGR'!$Q$31^0.5)*(EXP(-67837/AV105))/('Goal Seek 6th order'!$P$27*6))*('Goal Seek 6th order'!$P$28*10^-6))</f>
        <v>1.353131423391272E-12</v>
      </c>
      <c r="AY105" s="59"/>
      <c r="AZ105" s="37">
        <f>AZ104*(C105/C104)^(('Goal Seek 6th order'!$P$26-1)/'Goal Seek 6th order'!$P$26)</f>
        <v>1820.9359529857752</v>
      </c>
      <c r="BA105" s="37">
        <f>(((4.7*10^13)*'O2N2 @ EGR'!$R$32*('O2N2 @ EGR'!$Q$32^0.5)*(EXP(-67837/AZ105))/('Goal Seek 6th order'!$P$27*6))*('Goal Seek 6th order'!$P$28*10^-6))</f>
        <v>2.2734180754383357E-13</v>
      </c>
      <c r="BC105" s="59"/>
    </row>
    <row r="106" spans="2:55" x14ac:dyDescent="0.3">
      <c r="B106" s="42">
        <v>15</v>
      </c>
      <c r="C106" s="42">
        <v>40</v>
      </c>
      <c r="D106" s="37">
        <f>D105*(C106/C105)^(('Goal Seek 6th order'!$P$26-1)/'Goal Seek 6th order'!$P$26)</f>
        <v>2534.5179133566944</v>
      </c>
      <c r="E106" s="37">
        <f>(((4.7*10^13)*'O2N2 @ EGR'!$R$20*('O2N2 @ EGR'!$Q$20^0.5)*(EXP(-67837/D106))/('Goal Seek 6th order'!$P$27*6))*('Goal Seek 6th order'!$P$28*10^-6))</f>
        <v>0</v>
      </c>
      <c r="F106" s="3"/>
      <c r="G106" s="3"/>
      <c r="H106" s="37">
        <f>H105*(C106/C105)^(('Goal Seek 6th order'!$P$26-1)/'Goal Seek 6th order'!$P$26)</f>
        <v>2518.6523911658419</v>
      </c>
      <c r="I106" s="37">
        <f>(((4.7*10^13)*'O2N2 @ EGR'!$R$21*('O2N2 @ EGR'!$Q$21^0.5)*(EXP(-67837/H106))/('Goal Seek 6th order'!$P$27*6))*('Goal Seek 6th order'!$P$28*10^-6))</f>
        <v>1.0799049433161864E-9</v>
      </c>
      <c r="L106" s="37">
        <f>L105*(C106/C105)^(('Goal Seek 6th order'!$P$26-1)/'Goal Seek 6th order'!$P$26)</f>
        <v>2502.7161270210368</v>
      </c>
      <c r="M106" s="37">
        <f>(((4.7*10^13)*'O2N2 @ EGR'!$R$22*('O2N2 @ EGR'!$Q$22^0.5)*(EXP(-67837/L106))/('Goal Seek 6th order'!$P$27*6))*('Goal Seek 6th order'!$P$28*10^-6))</f>
        <v>1.2868417657943541E-9</v>
      </c>
      <c r="P106" s="37">
        <f>P105*(C106/C105)^(('Goal Seek 6th order'!$P$26-1)/'Goal Seek 6th order'!$P$26)</f>
        <v>2486.7081778756256</v>
      </c>
      <c r="Q106" s="37">
        <f>(((4.7*10^13)*'O2N2 @ EGR'!$R$23*('O2N2 @ EGR'!$Q$23^0.5)*(EXP(-67837/P106))/('Goal Seek 6th order'!$P$27*6))*('Goal Seek 6th order'!$P$28*10^-6))</f>
        <v>1.3240343784078387E-9</v>
      </c>
      <c r="T106" s="37">
        <f>T105*(C106/C105)^(('Goal Seek 6th order'!$P$26-1)/'Goal Seek 6th order'!$P$26)</f>
        <v>2470.6275945672123</v>
      </c>
      <c r="U106" s="37">
        <f>(((4.7*10^13)*'O2N2 @ EGR'!$R$24*('O2N2 @ EGR'!$Q$24^0.5)*(EXP(-67837/T106))/('Goal Seek 6th order'!$P$27*6))*('Goal Seek 6th order'!$P$28*10^-6))</f>
        <v>1.2804558408998271E-9</v>
      </c>
      <c r="X106" s="37">
        <f>X105*(C106/C105)^(('Goal Seek 6th order'!$P$26-1)/'Goal Seek 6th order'!$P$26)</f>
        <v>2454.4734230408108</v>
      </c>
      <c r="Y106" s="37">
        <f>(((4.7*10^13)*'O2N2 @ EGR'!$R$25*('O2N2 @ EGR'!$Q$25^0.5)*(EXP(-67837/X106))/('Goal Seek 6th order'!$P$27*6))*('Goal Seek 6th order'!$P$28*10^-6))</f>
        <v>1.1952131902399798E-9</v>
      </c>
      <c r="Z106" s="59"/>
      <c r="AA106" s="59"/>
      <c r="AB106" s="37">
        <f>AB105*(C106/C105)^(('Goal Seek 6th order'!$P$26-1)/'Goal Seek 6th order'!$P$26)</f>
        <v>2372.5648046907941</v>
      </c>
      <c r="AC106" s="37">
        <f>(((4.7*10^13)*'O2N2 @ EGR'!$R$26*('O2N2 @ EGR'!$Q$26^0.5)*(EXP(-67837/AB106))/('Goal Seek 6th order'!$P$27*6))*('Goal Seek 6th order'!$P$28*10^-6))</f>
        <v>6.5179995849135077E-10</v>
      </c>
      <c r="AE106" s="59"/>
      <c r="AF106" s="37">
        <f>AF105*(C106/C105)^(('Goal Seek 6th order'!$P$26-1)/'Goal Seek 6th order'!$P$26)</f>
        <v>2288.6696126882762</v>
      </c>
      <c r="AG106" s="37">
        <f>(((4.7*10^13)*'O2N2 @ EGR'!$R$27*('O2N2 @ EGR'!$Q$27^0.5)*(EXP(-67837/AF106))/('Goal Seek 6th order'!$P$27*6))*('Goal Seek 6th order'!$P$28*10^-6))</f>
        <v>2.8023064065881392E-10</v>
      </c>
      <c r="AI106" s="59"/>
      <c r="AJ106" s="37">
        <f>AJ105*(C106/C105)^(('Goal Seek 6th order'!$P$26-1)/'Goal Seek 6th order'!$P$26)</f>
        <v>2202.6584123505477</v>
      </c>
      <c r="AK106" s="37">
        <f>(((4.7*10^13)*'O2N2 @ EGR'!$R$28*('O2N2 @ EGR'!$Q$28^0.5)*(EXP(-67837/AJ106))/('Goal Seek 6th order'!$P$27*6))*('Goal Seek 6th order'!$P$28*10^-6))</f>
        <v>1.0182709277498766E-10</v>
      </c>
      <c r="AM106" s="59"/>
      <c r="AN106" s="37">
        <f>AN105*(C106/C105)^(('Goal Seek 6th order'!$P$26-1)/'Goal Seek 6th order'!$P$26)</f>
        <v>2114.3964103860781</v>
      </c>
      <c r="AO106" s="37">
        <f>(((4.7*10^13)*'O2N2 @ EGR'!$R$29*('O2N2 @ EGR'!$Q$29^0.5)*(EXP(-67837/AN106))/('Goal Seek 6th order'!$P$27*6))*('Goal Seek 6th order'!$P$28*10^-6))</f>
        <v>3.1515811780545394E-11</v>
      </c>
      <c r="AQ106" s="59"/>
      <c r="AR106" s="37">
        <f>AR105*(C106/C105)^(('Goal Seek 6th order'!$P$26-1)/'Goal Seek 6th order'!$P$26)</f>
        <v>2023.735459179843</v>
      </c>
      <c r="AS106" s="37">
        <f>(((4.7*10^13)*'O2N2 @ EGR'!$R$30*('O2N2 @ EGR'!$Q$30^0.5)*(EXP(-67837/AR106))/('Goal Seek 6th order'!$P$27*6))*('Goal Seek 6th order'!$P$28*10^-6))</f>
        <v>8.2120100494283119E-12</v>
      </c>
      <c r="AU106" s="59"/>
      <c r="AV106" s="37">
        <f>AV105*(C106/C105)^(('Goal Seek 6th order'!$P$26-1)/'Goal Seek 6th order'!$P$26)</f>
        <v>1930.5156456618245</v>
      </c>
      <c r="AW106" s="37">
        <f>(((4.7*10^13)*'O2N2 @ EGR'!$R$31*('O2N2 @ EGR'!$Q$31^0.5)*(EXP(-67837/AV106))/('Goal Seek 6th order'!$P$27*6))*('Goal Seek 6th order'!$P$28*10^-6))</f>
        <v>1.7599557052914288E-12</v>
      </c>
      <c r="AY106" s="59"/>
      <c r="AZ106" s="37">
        <f>AZ105*(C106/C105)^(('Goal Seek 6th order'!$P$26-1)/'Goal Seek 6th order'!$P$26)</f>
        <v>1834.5578533475768</v>
      </c>
      <c r="BA106" s="37">
        <f>(((4.7*10^13)*'O2N2 @ EGR'!$R$32*('O2N2 @ EGR'!$Q$32^0.5)*(EXP(-67837/AZ106))/('Goal Seek 6th order'!$P$27*6))*('Goal Seek 6th order'!$P$28*10^-6))</f>
        <v>2.9978670912165291E-13</v>
      </c>
      <c r="BC106" s="59"/>
    </row>
    <row r="107" spans="2:55" x14ac:dyDescent="0.3">
      <c r="AA107"/>
      <c r="AE107" s="59"/>
      <c r="AI107" s="59"/>
      <c r="AM107" s="59"/>
      <c r="AQ107" s="59"/>
      <c r="AU107" s="59"/>
      <c r="AY107" s="59"/>
      <c r="BC107" s="59"/>
    </row>
  </sheetData>
  <mergeCells count="83">
    <mergeCell ref="AZ68:BB68"/>
    <mergeCell ref="B87:BB87"/>
    <mergeCell ref="D89:F89"/>
    <mergeCell ref="H89:J89"/>
    <mergeCell ref="L89:N89"/>
    <mergeCell ref="P89:R89"/>
    <mergeCell ref="T89:V89"/>
    <mergeCell ref="X89:Z89"/>
    <mergeCell ref="AB89:AD89"/>
    <mergeCell ref="AF89:AH89"/>
    <mergeCell ref="AJ89:AL89"/>
    <mergeCell ref="AN89:AP89"/>
    <mergeCell ref="AR89:AT89"/>
    <mergeCell ref="AV89:AX89"/>
    <mergeCell ref="AZ89:BB89"/>
    <mergeCell ref="AR47:AT47"/>
    <mergeCell ref="AV47:AX47"/>
    <mergeCell ref="AZ47:BB47"/>
    <mergeCell ref="B66:BB66"/>
    <mergeCell ref="D68:F68"/>
    <mergeCell ref="H68:J68"/>
    <mergeCell ref="L68:N68"/>
    <mergeCell ref="P68:R68"/>
    <mergeCell ref="T68:V68"/>
    <mergeCell ref="X68:Z68"/>
    <mergeCell ref="AB68:AD68"/>
    <mergeCell ref="AF68:AH68"/>
    <mergeCell ref="AJ68:AL68"/>
    <mergeCell ref="AN68:AP68"/>
    <mergeCell ref="AR68:AT68"/>
    <mergeCell ref="AV68:AX68"/>
    <mergeCell ref="X47:Z47"/>
    <mergeCell ref="AB47:AD47"/>
    <mergeCell ref="AF47:AH47"/>
    <mergeCell ref="AJ47:AL47"/>
    <mergeCell ref="AN47:AP47"/>
    <mergeCell ref="D47:F47"/>
    <mergeCell ref="H47:J47"/>
    <mergeCell ref="L47:N47"/>
    <mergeCell ref="P47:R47"/>
    <mergeCell ref="T47:V47"/>
    <mergeCell ref="AR26:AT26"/>
    <mergeCell ref="AV26:AX26"/>
    <mergeCell ref="AZ26:BB26"/>
    <mergeCell ref="B24:BB24"/>
    <mergeCell ref="B45:BB45"/>
    <mergeCell ref="X26:Z26"/>
    <mergeCell ref="AB26:AD26"/>
    <mergeCell ref="AF26:AH26"/>
    <mergeCell ref="AJ26:AL26"/>
    <mergeCell ref="AN26:AP26"/>
    <mergeCell ref="D26:F26"/>
    <mergeCell ref="H26:J26"/>
    <mergeCell ref="L26:N26"/>
    <mergeCell ref="P26:R26"/>
    <mergeCell ref="T26:V26"/>
    <mergeCell ref="AR23:AT23"/>
    <mergeCell ref="AV23:AX23"/>
    <mergeCell ref="AZ23:BB23"/>
    <mergeCell ref="B2:BB2"/>
    <mergeCell ref="X23:Z23"/>
    <mergeCell ref="AB23:AD23"/>
    <mergeCell ref="AF23:AH23"/>
    <mergeCell ref="AJ23:AL23"/>
    <mergeCell ref="AN23:AP23"/>
    <mergeCell ref="D23:F23"/>
    <mergeCell ref="H23:J23"/>
    <mergeCell ref="L23:N23"/>
    <mergeCell ref="P23:R23"/>
    <mergeCell ref="T23:V23"/>
    <mergeCell ref="AZ4:BB4"/>
    <mergeCell ref="D4:F4"/>
    <mergeCell ref="H4:J4"/>
    <mergeCell ref="L4:N4"/>
    <mergeCell ref="P4:R4"/>
    <mergeCell ref="T4:V4"/>
    <mergeCell ref="X4:Z4"/>
    <mergeCell ref="AV4:AX4"/>
    <mergeCell ref="AB4:AD4"/>
    <mergeCell ref="AF4:AH4"/>
    <mergeCell ref="AJ4:AL4"/>
    <mergeCell ref="AN4:AP4"/>
    <mergeCell ref="AR4:AT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R44"/>
  <sheetViews>
    <sheetView zoomScale="85" zoomScaleNormal="85" workbookViewId="0">
      <selection activeCell="D12" sqref="D12"/>
    </sheetView>
  </sheetViews>
  <sheetFormatPr defaultRowHeight="14.4" x14ac:dyDescent="0.3"/>
  <cols>
    <col min="2" max="2" width="18" customWidth="1"/>
    <col min="3" max="3" width="17" customWidth="1"/>
    <col min="4" max="4" width="15.6640625" customWidth="1"/>
    <col min="5" max="5" width="14.88671875" customWidth="1"/>
    <col min="6" max="6" width="13.6640625" customWidth="1"/>
    <col min="7" max="7" width="14.109375" customWidth="1"/>
    <col min="8" max="8" width="14.33203125" customWidth="1"/>
    <col min="9" max="9" width="14" customWidth="1"/>
    <col min="10" max="10" width="14.6640625" customWidth="1"/>
    <col min="11" max="11" width="14.5546875" customWidth="1"/>
    <col min="12" max="12" width="14" customWidth="1"/>
    <col min="13" max="13" width="19.33203125" customWidth="1"/>
    <col min="14" max="14" width="14.109375" customWidth="1"/>
    <col min="15" max="15" width="13.109375" customWidth="1"/>
    <col min="16" max="16" width="13.88671875" customWidth="1"/>
    <col min="17" max="17" width="13" customWidth="1"/>
  </cols>
  <sheetData>
    <row r="2" spans="2:18" x14ac:dyDescent="0.3">
      <c r="C2" s="7" t="s">
        <v>76</v>
      </c>
      <c r="H2" s="34"/>
    </row>
    <row r="3" spans="2:18" x14ac:dyDescent="0.3">
      <c r="B3" s="4" t="s">
        <v>258</v>
      </c>
      <c r="C3" s="62">
        <v>2296.893099836323</v>
      </c>
      <c r="D3" s="6" t="s">
        <v>78</v>
      </c>
      <c r="E3" s="6"/>
      <c r="F3" s="6"/>
      <c r="G3" s="6"/>
      <c r="M3" s="1"/>
      <c r="N3" s="1"/>
      <c r="O3" s="1"/>
      <c r="P3" s="1"/>
      <c r="Q3" s="1"/>
      <c r="R3" s="1"/>
    </row>
    <row r="4" spans="2:18" x14ac:dyDescent="0.3">
      <c r="B4" s="4" t="s">
        <v>259</v>
      </c>
      <c r="C4" s="62">
        <f>D12*N21*((0*C3^6)+(-0.0000000000000001772*C3^5)+(0.0000000000026421182*C3^4)+(-0.0000000124627120457*C3^3)+(0.0000296635365075066*C3^2)+(0.022887287040501*C3)-9.16331627135478)+F12*N21*((-0.0000000000000000001*C3^6)+(0.0000000000000007567*C3^5)+(-0.0000000000037287389*C3^4)+(0.0000000082065984485*C3^3)+(-0.0000025862295728548*C3^2)+(0.0332742206220155*C3)-9.88071424688911)+Q12*(1-N21)*((0*C3^6)+(0.0000000000000000151*C3^5)+(0.0000000000006480384*C3^4)-(0.0000000037470426353*C3^3)+(0.0000098189461073622*C3^2)+(0.0238524349087728*C3)-7.87103036786887)+H12*((-0.0000000000000000001*C3^6)+(0.0000000000000011254*C3^5)+(-0.0000000000045328333*C3^4)+(0.0000000082869697929*C3^3)+(-0.0000043902754023995*C3^2)+(0.0297231162501513*C3)-8.64611192150597)</f>
        <v>5065.4099986514293</v>
      </c>
      <c r="D4" s="6"/>
      <c r="E4" s="6"/>
      <c r="F4" s="6"/>
      <c r="G4" s="6"/>
      <c r="M4" s="23" t="s">
        <v>0</v>
      </c>
      <c r="N4" s="9"/>
      <c r="O4" s="1"/>
      <c r="P4" s="1"/>
      <c r="Q4" s="1"/>
      <c r="R4" s="1"/>
    </row>
    <row r="5" spans="2:18" x14ac:dyDescent="0.3">
      <c r="M5" s="1"/>
      <c r="N5" s="1"/>
      <c r="O5" s="1"/>
      <c r="P5" s="1"/>
      <c r="Q5" s="1"/>
      <c r="R5" s="1"/>
    </row>
    <row r="6" spans="2:18" x14ac:dyDescent="0.3">
      <c r="M6" s="23" t="s">
        <v>57</v>
      </c>
      <c r="N6" s="55">
        <v>0.20949999999999999</v>
      </c>
      <c r="O6" s="1"/>
      <c r="P6" s="3"/>
      <c r="Q6" s="3"/>
      <c r="R6" s="1"/>
    </row>
    <row r="7" spans="2:18" x14ac:dyDescent="0.3">
      <c r="B7" s="40" t="s">
        <v>77</v>
      </c>
      <c r="C7" s="113" t="s">
        <v>197</v>
      </c>
      <c r="D7" s="113"/>
      <c r="E7" s="113"/>
      <c r="F7" s="113"/>
      <c r="M7" s="23" t="s">
        <v>58</v>
      </c>
      <c r="N7" s="55">
        <v>0.78090000000000004</v>
      </c>
      <c r="O7" s="1"/>
      <c r="P7" s="3"/>
      <c r="Q7" s="3"/>
      <c r="R7" s="1"/>
    </row>
    <row r="8" spans="2:18" x14ac:dyDescent="0.3">
      <c r="B8" s="3"/>
      <c r="M8" s="3"/>
      <c r="N8" s="3"/>
      <c r="O8" s="1"/>
      <c r="P8" s="3"/>
      <c r="Q8" s="3"/>
      <c r="R8" s="1"/>
    </row>
    <row r="9" spans="2:18" x14ac:dyDescent="0.3">
      <c r="D9" s="105" t="s">
        <v>118</v>
      </c>
      <c r="E9" s="105"/>
      <c r="F9" s="105"/>
      <c r="G9" s="105"/>
      <c r="H9" s="105"/>
      <c r="I9" s="105"/>
      <c r="J9" s="105"/>
      <c r="K9" s="105"/>
      <c r="M9" s="1"/>
      <c r="N9" s="1"/>
      <c r="O9" s="1"/>
      <c r="P9" s="1"/>
      <c r="Q9" s="1"/>
      <c r="R9" s="1"/>
    </row>
    <row r="10" spans="2:18" ht="18" customHeight="1" x14ac:dyDescent="0.3">
      <c r="D10" s="136">
        <v>0.05</v>
      </c>
      <c r="E10" s="136"/>
      <c r="F10" s="136"/>
      <c r="G10" s="136"/>
      <c r="H10" s="136"/>
      <c r="I10" s="136"/>
      <c r="J10" s="136"/>
      <c r="K10" s="136"/>
      <c r="M10" s="137" t="s">
        <v>80</v>
      </c>
      <c r="N10" s="137"/>
      <c r="O10" s="137"/>
      <c r="P10" s="137"/>
      <c r="Q10" s="137"/>
      <c r="R10" s="1"/>
    </row>
    <row r="11" spans="2:18" ht="18" customHeight="1" x14ac:dyDescent="0.3">
      <c r="B11" s="22" t="s">
        <v>106</v>
      </c>
      <c r="C11" s="22" t="s">
        <v>160</v>
      </c>
      <c r="D11" s="22" t="s">
        <v>33</v>
      </c>
      <c r="E11" s="22" t="s">
        <v>110</v>
      </c>
      <c r="F11" s="22" t="s">
        <v>59</v>
      </c>
      <c r="G11" s="22" t="s">
        <v>57</v>
      </c>
      <c r="H11" s="22" t="s">
        <v>58</v>
      </c>
      <c r="I11" s="22" t="s">
        <v>91</v>
      </c>
      <c r="J11" s="22" t="s">
        <v>92</v>
      </c>
      <c r="K11" s="22" t="s">
        <v>93</v>
      </c>
      <c r="L11" s="3"/>
      <c r="M11" s="135" t="s">
        <v>81</v>
      </c>
      <c r="N11" s="135"/>
      <c r="O11" s="135"/>
      <c r="P11" s="135"/>
      <c r="Q11" s="135"/>
      <c r="R11" s="1"/>
    </row>
    <row r="12" spans="2:18" x14ac:dyDescent="0.3">
      <c r="B12" s="37">
        <v>1</v>
      </c>
      <c r="C12" s="64">
        <f>(('Goal Seek 6th order'!D11*(ABS('CO2'!$D$3)))+('Goal Seek 6th order'!F11*(ABS(H2O!$D$3)))-(B12*(ABS('Task 1'!$K$9))))</f>
        <v>5065.41</v>
      </c>
      <c r="D12" s="44">
        <f>'Goal Seek 6th order'!$D$11*(1+D10)</f>
        <v>8.4</v>
      </c>
      <c r="E12" s="44">
        <f>'Goal Seek 6th order'!$E$11*(1*D10)</f>
        <v>0</v>
      </c>
      <c r="F12" s="44">
        <f>'Goal Seek 6th order'!$F$11*(1+D10)</f>
        <v>9.4500000000000011</v>
      </c>
      <c r="G12" s="44">
        <f>'Goal Seek 6th order'!$S$11*(1-B12)</f>
        <v>0</v>
      </c>
      <c r="H12" s="37">
        <f>'Goal Seek 6th order'!$H$11*(1+$D$10)</f>
        <v>49.35</v>
      </c>
      <c r="I12" s="37">
        <f>(G12*K12)/(40*10^-6)</f>
        <v>0</v>
      </c>
      <c r="J12" s="37">
        <f>(H12*K12)/(40*10^-6)</f>
        <v>0.13394118384777073</v>
      </c>
      <c r="K12" s="50">
        <f>(($N$24)/(B12+(12.5*(1+3.76))))</f>
        <v>1.0856428275401881E-7</v>
      </c>
      <c r="M12" s="1"/>
      <c r="N12" s="1"/>
      <c r="O12" s="1"/>
      <c r="P12" s="23" t="s">
        <v>56</v>
      </c>
      <c r="Q12" s="37">
        <f>(($Q$13*2)+$Q$14)/2</f>
        <v>12.5</v>
      </c>
      <c r="R12" s="1"/>
    </row>
    <row r="13" spans="2:18" x14ac:dyDescent="0.3">
      <c r="B13" s="37">
        <v>0.99</v>
      </c>
      <c r="C13" s="64">
        <f>(('Goal Seek 6th order'!D12*(ABS('CO2'!$D$3)))+('Goal Seek 6th order'!F12*(ABS(H2O!$D$3)))-(B13*(ABS('Task 1'!$K$9))))</f>
        <v>5014.7559000000001</v>
      </c>
      <c r="D13" s="44">
        <f>D12*B13</f>
        <v>8.3160000000000007</v>
      </c>
      <c r="E13" s="44">
        <f>$E$12*B13</f>
        <v>0</v>
      </c>
      <c r="F13" s="44">
        <f>$F$12*B13</f>
        <v>9.355500000000001</v>
      </c>
      <c r="G13" s="44">
        <f>('Goal Seek 6th order'!$S$11*(1-B13))*(1+$D$10)</f>
        <v>0.13125000000000012</v>
      </c>
      <c r="H13" s="37">
        <f>'Goal Seek 6th order'!$H$11*(1+$D$10)</f>
        <v>49.35</v>
      </c>
      <c r="I13" s="37">
        <f t="shared" ref="I13:I24" si="0">(G13*K13)/(40*10^-6)</f>
        <v>3.5628544294248284E-4</v>
      </c>
      <c r="J13" s="37">
        <f t="shared" ref="J13:J24" si="1">(H13*K13)/(40*10^-6)</f>
        <v>0.13396332654637344</v>
      </c>
      <c r="K13" s="50">
        <f t="shared" ref="K13:K24" si="2">(($N$24)/(B13+(12.5*(1+3.76))))</f>
        <v>1.0858223023008991E-7</v>
      </c>
      <c r="M13" s="23" t="s">
        <v>82</v>
      </c>
      <c r="N13" s="37">
        <v>8</v>
      </c>
      <c r="O13" s="1"/>
      <c r="P13" s="23" t="s">
        <v>33</v>
      </c>
      <c r="Q13" s="37">
        <f>$N$13</f>
        <v>8</v>
      </c>
      <c r="R13" s="1"/>
    </row>
    <row r="14" spans="2:18" x14ac:dyDescent="0.3">
      <c r="B14" s="37">
        <v>0.98</v>
      </c>
      <c r="C14" s="64">
        <f>(('Goal Seek 6th order'!D13*(ABS('CO2'!$D$3)))+('Goal Seek 6th order'!F13*(ABS(H2O!$D$3)))-(B14*(ABS('Task 1'!$K$9))))</f>
        <v>4964.1018000000004</v>
      </c>
      <c r="D14" s="44">
        <f>$D$12*B14</f>
        <v>8.2319999999999993</v>
      </c>
      <c r="E14" s="44">
        <f t="shared" ref="E14:E24" si="3">$E$12*B14</f>
        <v>0</v>
      </c>
      <c r="F14" s="44">
        <f t="shared" ref="F14:F24" si="4">$F$12*B14</f>
        <v>9.261000000000001</v>
      </c>
      <c r="G14" s="44">
        <f>('Goal Seek 6th order'!$S$11*(1-B14))*(1+$D$10)</f>
        <v>0.26250000000000023</v>
      </c>
      <c r="H14" s="37">
        <f>'Goal Seek 6th order'!$H$11*(1+$D$10)</f>
        <v>49.35</v>
      </c>
      <c r="I14" s="37">
        <f t="shared" si="0"/>
        <v>7.1268870514519804E-4</v>
      </c>
      <c r="J14" s="37">
        <f t="shared" si="1"/>
        <v>0.13398547656729712</v>
      </c>
      <c r="K14" s="50">
        <f t="shared" si="2"/>
        <v>1.0860018364117293E-7</v>
      </c>
      <c r="M14" s="23" t="s">
        <v>83</v>
      </c>
      <c r="N14" s="37">
        <v>18</v>
      </c>
      <c r="O14" s="1"/>
      <c r="P14" s="23" t="s">
        <v>59</v>
      </c>
      <c r="Q14" s="37">
        <f>$N$14/2</f>
        <v>9</v>
      </c>
      <c r="R14" s="1"/>
    </row>
    <row r="15" spans="2:18" x14ac:dyDescent="0.3">
      <c r="B15" s="37">
        <v>0.97</v>
      </c>
      <c r="C15" s="64">
        <f>(('Goal Seek 6th order'!D14*(ABS('CO2'!$D$3)))+('Goal Seek 6th order'!F14*(ABS(H2O!$D$3)))-(B15*(ABS('Task 1'!$K$9))))</f>
        <v>4913.4476999999997</v>
      </c>
      <c r="D15" s="44">
        <f t="shared" ref="D15:D24" si="5">$D$12*B15</f>
        <v>8.1479999999999997</v>
      </c>
      <c r="E15" s="44">
        <f t="shared" si="3"/>
        <v>0</v>
      </c>
      <c r="F15" s="44">
        <f t="shared" si="4"/>
        <v>9.166500000000001</v>
      </c>
      <c r="G15" s="44">
        <f>('Goal Seek 6th order'!$S$11*(1-B15))*(1+$D$10)</f>
        <v>0.39375000000000038</v>
      </c>
      <c r="H15" s="37">
        <f>'Goal Seek 6th order'!$H$11*(1+$D$10)</f>
        <v>49.35</v>
      </c>
      <c r="I15" s="37">
        <f t="shared" si="0"/>
        <v>1.0692098450599036E-3</v>
      </c>
      <c r="J15" s="37">
        <f t="shared" si="1"/>
        <v>0.13400763391417447</v>
      </c>
      <c r="K15" s="50">
        <f t="shared" si="2"/>
        <v>1.0861814299021231E-7</v>
      </c>
      <c r="M15" s="1"/>
      <c r="N15" s="1"/>
      <c r="O15" s="1"/>
      <c r="P15" s="23" t="s">
        <v>58</v>
      </c>
      <c r="Q15" s="37">
        <f>3.76*$Q$12</f>
        <v>47</v>
      </c>
      <c r="R15" s="1"/>
    </row>
    <row r="16" spans="2:18" x14ac:dyDescent="0.3">
      <c r="B16" s="37">
        <v>0.96</v>
      </c>
      <c r="C16" s="64">
        <f>(('Goal Seek 6th order'!D15*(ABS('CO2'!$D$3)))+('Goal Seek 6th order'!F15*(ABS(H2O!$D$3)))-(B16*(ABS('Task 1'!$K$9))))</f>
        <v>4862.7935999999991</v>
      </c>
      <c r="D16" s="44">
        <f t="shared" si="5"/>
        <v>8.0640000000000001</v>
      </c>
      <c r="E16" s="44">
        <f t="shared" si="3"/>
        <v>0</v>
      </c>
      <c r="F16" s="44">
        <f t="shared" si="4"/>
        <v>9.072000000000001</v>
      </c>
      <c r="G16" s="44">
        <f>('Goal Seek 6th order'!$S$11*(1-B16))*(1+$D$10)</f>
        <v>0.52500000000000047</v>
      </c>
      <c r="H16" s="37">
        <f>'Goal Seek 6th order'!$H$11*(1+$D$10)</f>
        <v>49.35</v>
      </c>
      <c r="I16" s="37">
        <f t="shared" si="0"/>
        <v>1.4258489211770287E-3</v>
      </c>
      <c r="J16" s="37">
        <f t="shared" si="1"/>
        <v>0.13402979859064057</v>
      </c>
      <c r="K16" s="50">
        <f t="shared" si="2"/>
        <v>1.0863610828015446E-7</v>
      </c>
      <c r="M16" s="23" t="s">
        <v>260</v>
      </c>
      <c r="N16" s="37">
        <f>$Q$12*(($Q$21*2)+3.76*(2*$Q$22))</f>
        <v>1716.6148000000001</v>
      </c>
      <c r="O16" s="1"/>
      <c r="P16" s="9"/>
      <c r="Q16" s="1"/>
      <c r="R16" s="1"/>
    </row>
    <row r="17" spans="2:18" x14ac:dyDescent="0.3">
      <c r="B17" s="37">
        <v>0.95</v>
      </c>
      <c r="C17" s="64">
        <f>(('Goal Seek 6th order'!D16*(ABS('CO2'!$D$3)))+('Goal Seek 6th order'!F16*(ABS(H2O!$D$3)))-(B17*(ABS('Task 1'!$K$9))))</f>
        <v>4812.1394999999993</v>
      </c>
      <c r="D17" s="44">
        <f t="shared" si="5"/>
        <v>7.9799999999999995</v>
      </c>
      <c r="E17" s="44">
        <f t="shared" si="3"/>
        <v>0</v>
      </c>
      <c r="F17" s="44">
        <f t="shared" si="4"/>
        <v>8.9775000000000009</v>
      </c>
      <c r="G17" s="44">
        <f>('Goal Seek 6th order'!$S$11*(1-B17))*(1+$D$10)</f>
        <v>0.65625000000000067</v>
      </c>
      <c r="H17" s="37">
        <f>'Goal Seek 6th order'!$H$11*(1+$D$10)</f>
        <v>49.35</v>
      </c>
      <c r="I17" s="37">
        <f t="shared" si="0"/>
        <v>1.7826059920257064E-3</v>
      </c>
      <c r="J17" s="37">
        <f t="shared" si="1"/>
        <v>0.13405197060033297</v>
      </c>
      <c r="K17" s="50">
        <f t="shared" si="2"/>
        <v>1.0865407951394769E-7</v>
      </c>
      <c r="M17" s="23" t="s">
        <v>261</v>
      </c>
      <c r="N17" s="37">
        <f>($Q$19*$N$13)+($Q$20*$N$14)</f>
        <v>114.23146</v>
      </c>
      <c r="O17" s="1"/>
      <c r="P17" s="130" t="s">
        <v>87</v>
      </c>
      <c r="Q17" s="130"/>
      <c r="R17" s="1"/>
    </row>
    <row r="18" spans="2:18" x14ac:dyDescent="0.3">
      <c r="B18" s="37">
        <v>0.9</v>
      </c>
      <c r="C18" s="64">
        <f>(('Goal Seek 6th order'!D17*(ABS('CO2'!$D$3)))+('Goal Seek 6th order'!F17*(ABS(H2O!$D$3)))-(B18*(ABS('Task 1'!$K$9))))</f>
        <v>4558.8689999999997</v>
      </c>
      <c r="D18" s="44">
        <f t="shared" si="5"/>
        <v>7.5600000000000005</v>
      </c>
      <c r="E18" s="44">
        <f t="shared" si="3"/>
        <v>0</v>
      </c>
      <c r="F18" s="44">
        <f t="shared" si="4"/>
        <v>8.5050000000000008</v>
      </c>
      <c r="G18" s="44">
        <f>('Goal Seek 6th order'!$S$11*(1-B18))*(1+$D$10)</f>
        <v>1.3124999999999998</v>
      </c>
      <c r="H18" s="37">
        <f>'Goal Seek 6th order'!$H$11*(1+$D$10)</f>
        <v>49.35</v>
      </c>
      <c r="I18" s="37">
        <f t="shared" si="0"/>
        <v>3.5681633184752922E-3</v>
      </c>
      <c r="J18" s="37">
        <f t="shared" si="1"/>
        <v>0.13416294077467103</v>
      </c>
      <c r="K18" s="50">
        <f t="shared" si="2"/>
        <v>1.0874402494400892E-7</v>
      </c>
      <c r="M18" s="1"/>
      <c r="N18" s="1"/>
      <c r="O18" s="1"/>
      <c r="P18" s="23" t="s">
        <v>88</v>
      </c>
      <c r="Q18" s="37">
        <v>28.97</v>
      </c>
      <c r="R18" s="37" t="s">
        <v>8</v>
      </c>
    </row>
    <row r="19" spans="2:18" x14ac:dyDescent="0.3">
      <c r="B19" s="37">
        <v>0.85</v>
      </c>
      <c r="C19" s="64">
        <f>(('Goal Seek 6th order'!D18*(ABS('CO2'!$D$3)))+('Goal Seek 6th order'!F18*(ABS(H2O!$D$3)))-(B19*(ABS('Task 1'!$K$9))))</f>
        <v>4305.5985000000001</v>
      </c>
      <c r="D19" s="44">
        <f t="shared" si="5"/>
        <v>7.14</v>
      </c>
      <c r="E19" s="44">
        <f t="shared" si="3"/>
        <v>0</v>
      </c>
      <c r="F19" s="44">
        <f t="shared" si="4"/>
        <v>8.0325000000000006</v>
      </c>
      <c r="G19" s="44">
        <f>('Goal Seek 6th order'!$S$11*(1-B19))*(1+$D$10)</f>
        <v>1.9687500000000002</v>
      </c>
      <c r="H19" s="37">
        <f>'Goal Seek 6th order'!$H$11*(1+$D$10)</f>
        <v>49.35</v>
      </c>
      <c r="I19" s="37">
        <f t="shared" si="0"/>
        <v>5.3566793148941434E-3</v>
      </c>
      <c r="J19" s="37">
        <f t="shared" si="1"/>
        <v>0.13427409482667985</v>
      </c>
      <c r="K19" s="50">
        <f t="shared" si="2"/>
        <v>1.0883411941372226E-7</v>
      </c>
      <c r="M19" s="23" t="s">
        <v>84</v>
      </c>
      <c r="N19" s="37">
        <f>$N$16/$N$17</f>
        <v>15.027513436316056</v>
      </c>
      <c r="O19" s="1"/>
      <c r="P19" s="23" t="s">
        <v>10</v>
      </c>
      <c r="Q19" s="37">
        <v>12.010999999999999</v>
      </c>
      <c r="R19" s="37" t="s">
        <v>8</v>
      </c>
    </row>
    <row r="20" spans="2:18" x14ac:dyDescent="0.3">
      <c r="B20" s="37">
        <v>0.8</v>
      </c>
      <c r="C20" s="64">
        <f>(('Goal Seek 6th order'!D19*(ABS('CO2'!$D$3)))+('Goal Seek 6th order'!F19*(ABS(H2O!$D$3)))-(B20*(ABS('Task 1'!$K$9))))</f>
        <v>4052.328</v>
      </c>
      <c r="D20" s="44">
        <f t="shared" si="5"/>
        <v>6.7200000000000006</v>
      </c>
      <c r="E20" s="44">
        <f t="shared" si="3"/>
        <v>0</v>
      </c>
      <c r="F20" s="44">
        <f t="shared" si="4"/>
        <v>7.5600000000000014</v>
      </c>
      <c r="G20" s="44">
        <f>('Goal Seek 6th order'!$S$11*(1-B20))*(1+$D$10)</f>
        <v>2.6249999999999996</v>
      </c>
      <c r="H20" s="37">
        <f>'Goal Seek 6th order'!$H$11*(1+$D$10)</f>
        <v>49.35</v>
      </c>
      <c r="I20" s="37">
        <f t="shared" si="0"/>
        <v>7.1481613411577992E-3</v>
      </c>
      <c r="J20" s="37">
        <f t="shared" si="1"/>
        <v>0.13438543321376667</v>
      </c>
      <c r="K20" s="50">
        <f t="shared" si="2"/>
        <v>1.0892436329383315E-7</v>
      </c>
      <c r="M20" s="1"/>
      <c r="N20" s="1"/>
      <c r="O20" s="1"/>
      <c r="P20" s="23" t="s">
        <v>11</v>
      </c>
      <c r="Q20" s="37">
        <v>1.00797</v>
      </c>
      <c r="R20" s="37" t="s">
        <v>8</v>
      </c>
    </row>
    <row r="21" spans="2:18" x14ac:dyDescent="0.3">
      <c r="B21" s="37">
        <v>0.75</v>
      </c>
      <c r="C21" s="64">
        <f>(('Goal Seek 6th order'!D20*(ABS('CO2'!$D$3)))+('Goal Seek 6th order'!F20*(ABS(H2O!$D$3)))-(B21*(ABS('Task 1'!$K$9))))</f>
        <v>3799.0574999999999</v>
      </c>
      <c r="D21" s="44">
        <f t="shared" si="5"/>
        <v>6.3000000000000007</v>
      </c>
      <c r="E21" s="44">
        <f t="shared" si="3"/>
        <v>0</v>
      </c>
      <c r="F21" s="44">
        <f t="shared" si="4"/>
        <v>7.0875000000000004</v>
      </c>
      <c r="G21" s="44">
        <f>('Goal Seek 6th order'!$S$11*(1-B21))*(1+$D$10)</f>
        <v>3.28125</v>
      </c>
      <c r="H21" s="37">
        <f>'Goal Seek 6th order'!$H$11*(1+$D$10)</f>
        <v>49.35</v>
      </c>
      <c r="I21" s="37">
        <f t="shared" si="0"/>
        <v>8.9426167815729336E-3</v>
      </c>
      <c r="J21" s="37">
        <f t="shared" si="1"/>
        <v>0.13449695639485693</v>
      </c>
      <c r="K21" s="50">
        <f t="shared" si="2"/>
        <v>1.0901475695631766E-7</v>
      </c>
      <c r="M21" s="23" t="s">
        <v>85</v>
      </c>
      <c r="N21" s="37">
        <v>1</v>
      </c>
      <c r="O21" s="1" t="s">
        <v>90</v>
      </c>
      <c r="P21" s="23" t="s">
        <v>6</v>
      </c>
      <c r="Q21" s="37">
        <v>15.9994</v>
      </c>
      <c r="R21" s="37" t="s">
        <v>8</v>
      </c>
    </row>
    <row r="22" spans="2:18" x14ac:dyDescent="0.3">
      <c r="B22" s="37">
        <v>0.7</v>
      </c>
      <c r="C22" s="64">
        <f>(('Goal Seek 6th order'!D21*(ABS('CO2'!$D$3)))+('Goal Seek 6th order'!F21*(ABS(H2O!$D$3)))-(B22*(ABS('Task 1'!$K$9))))</f>
        <v>3545.7869999999998</v>
      </c>
      <c r="D22" s="44">
        <f t="shared" si="5"/>
        <v>5.88</v>
      </c>
      <c r="E22" s="44">
        <f t="shared" si="3"/>
        <v>0</v>
      </c>
      <c r="F22" s="44">
        <f t="shared" si="4"/>
        <v>6.6150000000000002</v>
      </c>
      <c r="G22" s="44">
        <f>('Goal Seek 6th order'!$S$11*(1-B22))*(1+$D$10)</f>
        <v>3.9375000000000004</v>
      </c>
      <c r="H22" s="37">
        <f>'Goal Seek 6th order'!$H$11*(1+$D$10)</f>
        <v>49.35</v>
      </c>
      <c r="I22" s="37">
        <f t="shared" si="0"/>
        <v>1.0740053044978789E-2</v>
      </c>
      <c r="J22" s="37">
        <f t="shared" si="1"/>
        <v>0.13460866483040082</v>
      </c>
      <c r="K22" s="50">
        <f t="shared" si="2"/>
        <v>1.0910530077438768E-7</v>
      </c>
      <c r="M22" s="23" t="s">
        <v>86</v>
      </c>
      <c r="N22" s="37">
        <v>1</v>
      </c>
      <c r="O22" s="1"/>
      <c r="P22" s="23" t="s">
        <v>7</v>
      </c>
      <c r="Q22" s="37">
        <v>14.0067</v>
      </c>
      <c r="R22" s="37" t="s">
        <v>8</v>
      </c>
    </row>
    <row r="23" spans="2:18" x14ac:dyDescent="0.3">
      <c r="B23" s="37">
        <v>0.65</v>
      </c>
      <c r="C23" s="64">
        <f>(('Goal Seek 6th order'!D22*(ABS('CO2'!$D$3)))+('Goal Seek 6th order'!F22*(ABS(H2O!$D$3)))-(B23*(ABS('Task 1'!$K$9))))</f>
        <v>3292.5165000000002</v>
      </c>
      <c r="D23" s="44">
        <f t="shared" si="5"/>
        <v>5.4600000000000009</v>
      </c>
      <c r="E23" s="44">
        <f t="shared" si="3"/>
        <v>0</v>
      </c>
      <c r="F23" s="44">
        <f t="shared" si="4"/>
        <v>6.142500000000001</v>
      </c>
      <c r="G23" s="44">
        <f>('Goal Seek 6th order'!$S$11*(1-B23))*(1+$D$10)</f>
        <v>4.59375</v>
      </c>
      <c r="H23" s="37">
        <f>'Goal Seek 6th order'!$H$11*(1+$D$10)</f>
        <v>49.35</v>
      </c>
      <c r="I23" s="37">
        <f t="shared" si="0"/>
        <v>1.254047756484916E-2</v>
      </c>
      <c r="J23" s="37">
        <f t="shared" si="1"/>
        <v>0.13472055898237953</v>
      </c>
      <c r="K23" s="50">
        <f t="shared" si="2"/>
        <v>1.0919599512249607E-7</v>
      </c>
      <c r="M23" s="1"/>
      <c r="N23" s="1"/>
      <c r="O23" s="1"/>
      <c r="P23" s="1"/>
      <c r="Q23" s="1"/>
      <c r="R23" s="1"/>
    </row>
    <row r="24" spans="2:18" x14ac:dyDescent="0.3">
      <c r="B24" s="37">
        <v>0.6</v>
      </c>
      <c r="C24" s="64">
        <f>(('Goal Seek 6th order'!D23*(ABS('CO2'!$D$3)))+('Goal Seek 6th order'!F23*(ABS(H2O!$D$3)))-(B24*(ABS('Task 1'!$K$9))))</f>
        <v>3039.2459999999996</v>
      </c>
      <c r="D24" s="44">
        <f t="shared" si="5"/>
        <v>5.04</v>
      </c>
      <c r="E24" s="44">
        <f t="shared" si="3"/>
        <v>0</v>
      </c>
      <c r="F24" s="44">
        <f t="shared" si="4"/>
        <v>5.6700000000000008</v>
      </c>
      <c r="G24" s="44">
        <f>('Goal Seek 6th order'!$S$11*(1-B24))*(1+$D$10)</f>
        <v>5.25</v>
      </c>
      <c r="H24" s="37">
        <f>'Goal Seek 6th order'!$H$11*(1+$D$10)</f>
        <v>49.35</v>
      </c>
      <c r="I24" s="37">
        <f t="shared" si="0"/>
        <v>1.4343897799394854E-2</v>
      </c>
      <c r="J24" s="37">
        <f t="shared" si="1"/>
        <v>0.13483263931431164</v>
      </c>
      <c r="K24" s="50">
        <f t="shared" si="2"/>
        <v>1.0928684037634173E-7</v>
      </c>
      <c r="M24" s="4" t="s">
        <v>60</v>
      </c>
      <c r="N24" s="62">
        <f>(10^5*((400*0.4)*10^-6))/(8314*293)</f>
        <v>6.5681391066181384E-6</v>
      </c>
    </row>
    <row r="25" spans="2:18" x14ac:dyDescent="0.3">
      <c r="M25" s="4" t="s">
        <v>94</v>
      </c>
      <c r="N25" s="62">
        <v>0.9</v>
      </c>
    </row>
    <row r="26" spans="2:18" x14ac:dyDescent="0.3">
      <c r="M26" s="31" t="s">
        <v>95</v>
      </c>
      <c r="N26" s="63">
        <f>1/N25</f>
        <v>1.1111111111111112</v>
      </c>
    </row>
    <row r="27" spans="2:18" x14ac:dyDescent="0.3">
      <c r="B27" s="3"/>
      <c r="C27" s="3"/>
      <c r="D27" s="3"/>
      <c r="E27" s="3"/>
      <c r="M27" s="23" t="s">
        <v>96</v>
      </c>
      <c r="N27" s="37">
        <v>1.17</v>
      </c>
    </row>
    <row r="28" spans="2:18" x14ac:dyDescent="0.3">
      <c r="B28" s="3"/>
      <c r="C28" s="3"/>
      <c r="D28" s="3"/>
      <c r="E28" s="3"/>
      <c r="M28" s="3"/>
      <c r="N28" s="3"/>
    </row>
    <row r="29" spans="2:18" x14ac:dyDescent="0.3">
      <c r="B29" s="3"/>
      <c r="C29" s="3"/>
      <c r="D29" s="3"/>
      <c r="E29" s="3"/>
      <c r="M29" s="3"/>
      <c r="N29" s="3"/>
    </row>
    <row r="30" spans="2:18" x14ac:dyDescent="0.3">
      <c r="B30" s="3"/>
      <c r="C30" s="35">
        <v>0.05</v>
      </c>
      <c r="D30" s="35">
        <v>0.1</v>
      </c>
      <c r="E30" s="35">
        <v>0.15</v>
      </c>
      <c r="F30" s="35">
        <v>0.2</v>
      </c>
      <c r="G30" s="35">
        <v>0.25</v>
      </c>
      <c r="H30" s="35">
        <v>0.3</v>
      </c>
      <c r="I30" s="35">
        <v>0.35</v>
      </c>
      <c r="J30" s="35">
        <v>0.4</v>
      </c>
      <c r="K30" s="35">
        <v>0.45</v>
      </c>
      <c r="L30" s="35">
        <v>0.5</v>
      </c>
      <c r="M30" s="3"/>
      <c r="N30" s="3"/>
    </row>
    <row r="31" spans="2:18" x14ac:dyDescent="0.3">
      <c r="B31" s="22" t="s">
        <v>106</v>
      </c>
      <c r="C31" s="133" t="s">
        <v>266</v>
      </c>
      <c r="D31" s="134"/>
      <c r="E31" s="134"/>
      <c r="F31" s="134"/>
      <c r="G31" s="100"/>
      <c r="H31" s="100"/>
      <c r="I31" s="100"/>
      <c r="J31" s="100"/>
      <c r="K31" s="100"/>
      <c r="L31" s="101"/>
    </row>
    <row r="32" spans="2:18" x14ac:dyDescent="0.3">
      <c r="B32" s="37">
        <v>1</v>
      </c>
      <c r="C32" s="37">
        <v>2296.8931229999998</v>
      </c>
      <c r="D32" s="37">
        <v>2215.5900499999998</v>
      </c>
      <c r="E32" s="37">
        <v>2140.9279430000001</v>
      </c>
      <c r="F32" s="37">
        <v>2072.1279220000001</v>
      </c>
      <c r="G32" s="37">
        <v>2008.52556</v>
      </c>
      <c r="H32" s="37">
        <v>1949.5509219999999</v>
      </c>
      <c r="I32" s="37">
        <v>1894.712158</v>
      </c>
      <c r="J32" s="37">
        <v>1843.584036</v>
      </c>
      <c r="K32" s="37">
        <v>1795.7963749999999</v>
      </c>
      <c r="L32" s="37">
        <v>1751.0259329999999</v>
      </c>
    </row>
    <row r="33" spans="2:12" x14ac:dyDescent="0.3">
      <c r="B33" s="37">
        <v>0.99</v>
      </c>
      <c r="C33" s="37">
        <v>2281.8723599999998</v>
      </c>
      <c r="D33" s="37">
        <v>2201.3235180000001</v>
      </c>
      <c r="E33" s="37">
        <v>2127.3411219999998</v>
      </c>
      <c r="F33" s="37">
        <v>2059.1568590000002</v>
      </c>
      <c r="G33" s="37">
        <v>1996.1148000000001</v>
      </c>
      <c r="H33" s="37">
        <v>1937.6518860000001</v>
      </c>
      <c r="I33" s="37">
        <v>1883.282494</v>
      </c>
      <c r="J33" s="37">
        <v>1832.585988</v>
      </c>
      <c r="K33" s="37">
        <v>1785.196555</v>
      </c>
      <c r="L33" s="37">
        <v>1740.7948249999999</v>
      </c>
    </row>
    <row r="34" spans="2:12" x14ac:dyDescent="0.3">
      <c r="B34" s="37">
        <v>0.98</v>
      </c>
      <c r="C34" s="37">
        <v>2266.7652939999998</v>
      </c>
      <c r="D34" s="37">
        <v>2186.9995749999998</v>
      </c>
      <c r="E34" s="37">
        <v>2113.6964619999999</v>
      </c>
      <c r="F34" s="37">
        <v>2046.12796</v>
      </c>
      <c r="G34" s="37">
        <v>1983.6464820000001</v>
      </c>
      <c r="H34" s="37">
        <v>1925.695872</v>
      </c>
      <c r="I34" s="37">
        <v>1871.7963090000001</v>
      </c>
      <c r="J34" s="37">
        <v>1821.5320810000001</v>
      </c>
      <c r="K34" s="37">
        <v>1774.5415909999999</v>
      </c>
      <c r="L34" s="37">
        <v>1730.5090990000001</v>
      </c>
    </row>
    <row r="35" spans="2:12" x14ac:dyDescent="0.3">
      <c r="B35" s="68">
        <v>0.97</v>
      </c>
      <c r="C35" s="68">
        <v>2251.6608230000002</v>
      </c>
      <c r="D35" s="68">
        <v>2172.6172780000002</v>
      </c>
      <c r="E35" s="68">
        <v>2099.9931259999998</v>
      </c>
      <c r="F35" s="68">
        <v>2033.040454</v>
      </c>
      <c r="G35" s="68">
        <v>1971.119882</v>
      </c>
      <c r="H35" s="68">
        <v>1913.682071</v>
      </c>
      <c r="I35" s="68">
        <v>1860.2529420000001</v>
      </c>
      <c r="J35" s="68">
        <v>1810.516089</v>
      </c>
      <c r="K35" s="68">
        <v>1763.8308589999999</v>
      </c>
      <c r="L35" s="68">
        <v>1720.168375</v>
      </c>
    </row>
    <row r="36" spans="2:12" x14ac:dyDescent="0.3">
      <c r="B36" s="37">
        <v>0.96</v>
      </c>
      <c r="C36" s="37">
        <v>2236.467881</v>
      </c>
      <c r="D36" s="37">
        <v>2158.175698</v>
      </c>
      <c r="E36" s="37">
        <v>2086.230274</v>
      </c>
      <c r="F36" s="37">
        <v>2019.8935650000001</v>
      </c>
      <c r="G36" s="37">
        <v>1958.534269</v>
      </c>
      <c r="H36" s="37">
        <v>1901.609784</v>
      </c>
      <c r="I36" s="37">
        <v>1848.6517229999999</v>
      </c>
      <c r="J36" s="37">
        <v>1799.254117</v>
      </c>
      <c r="K36" s="37">
        <v>1753.0637280000001</v>
      </c>
      <c r="L36" s="37">
        <v>1709.772029</v>
      </c>
    </row>
    <row r="37" spans="2:12" x14ac:dyDescent="0.3">
      <c r="B37" s="37">
        <v>0.95</v>
      </c>
      <c r="C37" s="37">
        <v>2221.2154030000002</v>
      </c>
      <c r="D37" s="37">
        <v>2143.6739050000001</v>
      </c>
      <c r="E37" s="37">
        <v>2072.407064</v>
      </c>
      <c r="F37" s="37">
        <v>2006.6865130000001</v>
      </c>
      <c r="G37" s="37">
        <v>1945.8889079999999</v>
      </c>
      <c r="H37" s="37">
        <v>1889.4783090000001</v>
      </c>
      <c r="I37" s="37">
        <v>1836.9919729999999</v>
      </c>
      <c r="J37" s="37">
        <v>1788.0287530000001</v>
      </c>
      <c r="K37" s="37">
        <v>1742.239556</v>
      </c>
      <c r="L37" s="37">
        <v>1699.319438</v>
      </c>
    </row>
    <row r="38" spans="2:12" x14ac:dyDescent="0.3">
      <c r="B38" s="37">
        <v>0.9</v>
      </c>
      <c r="C38" s="37">
        <v>2144.0230320000001</v>
      </c>
      <c r="D38" s="37">
        <v>2070.229296</v>
      </c>
      <c r="E38" s="37">
        <v>2002.3559749999999</v>
      </c>
      <c r="F38" s="37">
        <v>1939.7210620000001</v>
      </c>
      <c r="G38" s="37">
        <v>1881.7395300000001</v>
      </c>
      <c r="H38" s="37">
        <v>1827.907819</v>
      </c>
      <c r="I38" s="37">
        <v>1777.7908010000001</v>
      </c>
      <c r="J38" s="37">
        <v>1731.0110340000001</v>
      </c>
      <c r="K38" s="37">
        <v>1687.2398760000001</v>
      </c>
      <c r="L38" s="37">
        <v>1646.1900949999999</v>
      </c>
    </row>
    <row r="39" spans="2:12" x14ac:dyDescent="0.3">
      <c r="B39" s="37">
        <v>0.85</v>
      </c>
      <c r="C39" s="37">
        <v>2065.1874680000001</v>
      </c>
      <c r="D39" s="37">
        <v>1995.1401370000001</v>
      </c>
      <c r="E39" s="37">
        <v>1930.6681510000001</v>
      </c>
      <c r="F39" s="37">
        <v>1871.1314620000001</v>
      </c>
      <c r="G39" s="37">
        <v>1815.981984</v>
      </c>
      <c r="H39" s="37">
        <v>1764.7474239999999</v>
      </c>
      <c r="I39" s="37">
        <v>1717.019536</v>
      </c>
      <c r="J39" s="37">
        <v>1672.444088</v>
      </c>
      <c r="K39" s="37">
        <v>1630.7125309999999</v>
      </c>
      <c r="L39" s="37">
        <v>1591.555089</v>
      </c>
    </row>
    <row r="40" spans="2:12" x14ac:dyDescent="0.3">
      <c r="B40" s="37">
        <v>0.8</v>
      </c>
      <c r="C40" s="37">
        <v>1984.5811080000001</v>
      </c>
      <c r="D40" s="37">
        <v>1918.2899070000001</v>
      </c>
      <c r="E40" s="37">
        <v>1857.232825</v>
      </c>
      <c r="F40" s="37">
        <v>1800.8118919999999</v>
      </c>
      <c r="G40" s="37">
        <v>1748.5141599999999</v>
      </c>
      <c r="H40" s="37">
        <v>1699.8982470000001</v>
      </c>
      <c r="I40" s="37">
        <v>1654.5817179999999</v>
      </c>
      <c r="J40" s="37">
        <v>1612.233547</v>
      </c>
      <c r="K40" s="37">
        <v>1572.56504</v>
      </c>
      <c r="L40" s="37">
        <v>1535.3236850000001</v>
      </c>
    </row>
    <row r="41" spans="2:12" x14ac:dyDescent="0.3">
      <c r="B41" s="37">
        <v>0.75</v>
      </c>
      <c r="C41" s="37">
        <v>1902.077405</v>
      </c>
      <c r="D41" s="37">
        <v>1839.5588399999999</v>
      </c>
      <c r="E41" s="37">
        <v>1781.9362269999999</v>
      </c>
      <c r="F41" s="37">
        <v>1728.6521499999999</v>
      </c>
      <c r="G41" s="37">
        <v>1679.228668</v>
      </c>
      <c r="H41" s="37">
        <v>1633.254342</v>
      </c>
      <c r="I41" s="37">
        <v>1590.373527</v>
      </c>
      <c r="J41" s="37">
        <v>1550.277542</v>
      </c>
      <c r="K41" s="37">
        <v>1512.697367</v>
      </c>
      <c r="L41" s="37">
        <v>1477.1976090000001</v>
      </c>
    </row>
    <row r="42" spans="2:12" x14ac:dyDescent="0.3">
      <c r="B42" s="37">
        <v>0.7</v>
      </c>
      <c r="C42" s="37">
        <v>1817.5446440000001</v>
      </c>
      <c r="D42" s="37">
        <v>1758.819933</v>
      </c>
      <c r="E42" s="37">
        <v>1704.6544630000001</v>
      </c>
      <c r="F42" s="37">
        <v>1654.5311160000001</v>
      </c>
      <c r="G42" s="37">
        <v>1608.0067590000001</v>
      </c>
      <c r="H42" s="37">
        <v>1564.7000230000001</v>
      </c>
      <c r="I42" s="37">
        <v>1524.2812630000001</v>
      </c>
      <c r="J42" s="37">
        <v>1486.4643060000001</v>
      </c>
      <c r="K42" s="37">
        <v>1450.9996590000001</v>
      </c>
      <c r="L42" s="37">
        <v>1417.668907</v>
      </c>
    </row>
    <row r="43" spans="2:12" x14ac:dyDescent="0.3">
      <c r="B43" s="37">
        <v>0.65</v>
      </c>
      <c r="C43" s="37">
        <v>1730.8450760000001</v>
      </c>
      <c r="D43" s="37">
        <v>1675.9381679999999</v>
      </c>
      <c r="E43" s="37">
        <v>1625.254758</v>
      </c>
      <c r="F43" s="37">
        <v>1578.318051</v>
      </c>
      <c r="G43" s="37">
        <v>1534.7196730000001</v>
      </c>
      <c r="H43" s="37">
        <v>1494.1082180000001</v>
      </c>
      <c r="I43" s="37">
        <v>1456.179895</v>
      </c>
      <c r="J43" s="37">
        <v>1420.670889</v>
      </c>
      <c r="K43" s="37">
        <v>1387.351077</v>
      </c>
      <c r="L43" s="37">
        <v>1356.0188780000001</v>
      </c>
    </row>
    <row r="44" spans="2:12" x14ac:dyDescent="0.3">
      <c r="B44" s="37">
        <v>0.6</v>
      </c>
      <c r="C44" s="37">
        <v>1641.82728</v>
      </c>
      <c r="D44" s="37">
        <v>1590.763639</v>
      </c>
      <c r="E44" s="37">
        <v>1543.588841</v>
      </c>
      <c r="F44" s="37">
        <v>1499.866516</v>
      </c>
      <c r="G44" s="37">
        <v>1459.222998</v>
      </c>
      <c r="H44" s="37">
        <v>1421.33671</v>
      </c>
      <c r="I44" s="37">
        <v>1385.929545</v>
      </c>
      <c r="J44" s="37">
        <v>1352.7598519999999</v>
      </c>
      <c r="K44" s="37">
        <v>1321.6166969999999</v>
      </c>
      <c r="L44" s="37">
        <v>1292.3151580000001</v>
      </c>
    </row>
  </sheetData>
  <mergeCells count="7">
    <mergeCell ref="C31:F31"/>
    <mergeCell ref="C7:F7"/>
    <mergeCell ref="M11:Q11"/>
    <mergeCell ref="P17:Q17"/>
    <mergeCell ref="D10:K10"/>
    <mergeCell ref="D9:K9"/>
    <mergeCell ref="M10:Q10"/>
  </mergeCells>
  <dataValidations count="1">
    <dataValidation type="list" allowBlank="1" showInputMessage="1" showErrorMessage="1" sqref="D10:K10">
      <formula1>"0.05, 0.1, 0.15, 0.2, 0.25, 0.3, 0.35, 0.4, 0.45, 0.5"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T80"/>
  <sheetViews>
    <sheetView workbookViewId="0">
      <selection activeCell="G4" sqref="G4"/>
    </sheetView>
  </sheetViews>
  <sheetFormatPr defaultRowHeight="14.4" x14ac:dyDescent="0.3"/>
  <cols>
    <col min="2" max="4" width="9.6640625" customWidth="1"/>
    <col min="5" max="5" width="10.6640625" customWidth="1"/>
    <col min="6" max="6" width="10.44140625" customWidth="1"/>
    <col min="7" max="7" width="13.109375" customWidth="1"/>
    <col min="8" max="9" width="13.44140625" customWidth="1"/>
    <col min="10" max="10" width="20.6640625" customWidth="1"/>
    <col min="12" max="14" width="11" customWidth="1"/>
    <col min="15" max="15" width="11.6640625" customWidth="1"/>
    <col min="16" max="16" width="11.33203125" customWidth="1"/>
    <col min="17" max="17" width="13.109375" customWidth="1"/>
    <col min="18" max="18" width="14.44140625" customWidth="1"/>
    <col min="19" max="19" width="14.88671875" customWidth="1"/>
    <col min="20" max="20" width="21.109375" customWidth="1"/>
  </cols>
  <sheetData>
    <row r="2" spans="2:20" x14ac:dyDescent="0.3">
      <c r="B2" s="142">
        <v>0.05</v>
      </c>
      <c r="C2" s="143"/>
      <c r="D2" s="143"/>
      <c r="E2" s="143"/>
      <c r="F2" s="143"/>
      <c r="G2" s="143"/>
      <c r="H2" s="143"/>
      <c r="I2" s="143"/>
      <c r="J2" s="144"/>
      <c r="L2" s="138">
        <v>0.1</v>
      </c>
      <c r="M2" s="138"/>
      <c r="N2" s="138"/>
      <c r="O2" s="138"/>
      <c r="P2" s="138"/>
      <c r="Q2" s="138"/>
      <c r="R2" s="138"/>
      <c r="S2" s="138"/>
      <c r="T2" s="138"/>
    </row>
    <row r="3" spans="2:20" x14ac:dyDescent="0.3">
      <c r="B3" s="22" t="s">
        <v>106</v>
      </c>
      <c r="C3" s="22" t="s">
        <v>33</v>
      </c>
      <c r="D3" s="22" t="s">
        <v>59</v>
      </c>
      <c r="E3" s="22" t="s">
        <v>57</v>
      </c>
      <c r="F3" s="22" t="s">
        <v>58</v>
      </c>
      <c r="G3" s="22" t="s">
        <v>91</v>
      </c>
      <c r="H3" s="32" t="s">
        <v>92</v>
      </c>
      <c r="I3" s="22" t="s">
        <v>93</v>
      </c>
      <c r="J3" s="33" t="s">
        <v>109</v>
      </c>
      <c r="L3" s="38" t="s">
        <v>106</v>
      </c>
      <c r="M3" s="38" t="s">
        <v>33</v>
      </c>
      <c r="N3" s="38" t="s">
        <v>59</v>
      </c>
      <c r="O3" s="38" t="s">
        <v>57</v>
      </c>
      <c r="P3" s="38" t="s">
        <v>58</v>
      </c>
      <c r="Q3" s="38" t="s">
        <v>91</v>
      </c>
      <c r="R3" s="38" t="s">
        <v>92</v>
      </c>
      <c r="S3" s="38" t="s">
        <v>93</v>
      </c>
      <c r="T3" s="39" t="s">
        <v>109</v>
      </c>
    </row>
    <row r="4" spans="2:20" x14ac:dyDescent="0.3">
      <c r="B4" s="37">
        <v>1</v>
      </c>
      <c r="C4" s="44">
        <f>8*(1+B2)</f>
        <v>8.4</v>
      </c>
      <c r="D4" s="44">
        <f>'Goal Seek 6th order'!$F$11*(1+B2)</f>
        <v>9.4500000000000011</v>
      </c>
      <c r="E4" s="44">
        <f>'Goal Seek 6th order'!$S$11*(1-B4)</f>
        <v>0</v>
      </c>
      <c r="F4" s="37">
        <f>'Goal Seek 6th order'!$H$11*(1+$B$2)</f>
        <v>49.35</v>
      </c>
      <c r="G4" s="37">
        <f>(E4*'Goal Seek 6th order'!$K11)/(40*10^-6)</f>
        <v>0</v>
      </c>
      <c r="H4" s="37">
        <f>(F4*'Goal Seek 6th order'!$K11)/(40*10^-6)</f>
        <v>0.13394118384777073</v>
      </c>
      <c r="I4" s="50">
        <f>(('Goal Seek 6th order'!$P$23)/(B4+(12.5*(1+3.76))))</f>
        <v>1.0856428275401881E-7</v>
      </c>
      <c r="J4" s="50">
        <f>I4*(C4+D4+E4+F4)</f>
        <v>7.2955198010700649E-6</v>
      </c>
      <c r="L4" s="37">
        <v>1</v>
      </c>
      <c r="M4" s="44">
        <f>8*(1+L2)</f>
        <v>8.8000000000000007</v>
      </c>
      <c r="N4" s="44">
        <f>'Goal Seek 6th order'!$F$11*(1+L2)</f>
        <v>9.9</v>
      </c>
      <c r="O4" s="44">
        <f>'Goal Seek 6th order'!$S$11*(1-L4)</f>
        <v>0</v>
      </c>
      <c r="P4" s="37">
        <f>'Goal Seek 6th order'!$H$11*(1+$L$2)</f>
        <v>51.7</v>
      </c>
      <c r="Q4" s="37">
        <f>(O4*'Goal Seek 6th order'!$K11)/(40*10^-6)</f>
        <v>0</v>
      </c>
      <c r="R4" s="37">
        <f>(P4*'Goal Seek 6th order'!$K11)/(40*10^-6)</f>
        <v>0.14031933545956934</v>
      </c>
      <c r="S4" s="50">
        <f>(('Goal Seek 6th order'!$P$23)/(L4+(12.5*(1+3.76))))</f>
        <v>1.0856428275401881E-7</v>
      </c>
      <c r="T4" s="50">
        <f>S4*(M4+N4+O4+P4)</f>
        <v>7.6429255058829258E-6</v>
      </c>
    </row>
    <row r="5" spans="2:20" x14ac:dyDescent="0.3">
      <c r="B5" s="37">
        <v>0.99</v>
      </c>
      <c r="C5" s="44">
        <f>$C$4*B5</f>
        <v>8.3160000000000007</v>
      </c>
      <c r="D5" s="44">
        <f>$D$4*B5</f>
        <v>9.355500000000001</v>
      </c>
      <c r="E5" s="44">
        <f>('Goal Seek 6th order'!$S$11*(1-B5))*(1+$B$2)</f>
        <v>0.13125000000000012</v>
      </c>
      <c r="F5" s="37">
        <f>'Goal Seek 6th order'!$H$11*(1+$B$2)</f>
        <v>49.35</v>
      </c>
      <c r="G5" s="37">
        <f>(E5*'Goal Seek 6th order'!$K12)/(40*10^-6)</f>
        <v>3.5628544294248284E-4</v>
      </c>
      <c r="H5" s="37">
        <f>(F5*'Goal Seek 6th order'!$K12)/(40*10^-6)</f>
        <v>0.13396332654637344</v>
      </c>
      <c r="I5" s="50">
        <f>(('Goal Seek 6th order'!$P$23)/(B5+(12.5*(1+3.76))))</f>
        <v>1.0858223023008991E-7</v>
      </c>
      <c r="J5" s="50">
        <f t="shared" ref="J5:J16" si="0">I5*(C5+D5+E5+F5)</f>
        <v>7.2915953610836701E-6</v>
      </c>
      <c r="L5" s="37">
        <v>0.99</v>
      </c>
      <c r="M5" s="44">
        <f>$C$4*L5</f>
        <v>8.3160000000000007</v>
      </c>
      <c r="N5" s="44">
        <f>$D$4*L5</f>
        <v>9.355500000000001</v>
      </c>
      <c r="O5" s="44">
        <f>('Goal Seek 6th order'!$S$11*(1-L5))*(1+$L$2)</f>
        <v>0.13750000000000012</v>
      </c>
      <c r="P5" s="37">
        <f>'Goal Seek 6th order'!$H$11*(1+$L$2)</f>
        <v>51.7</v>
      </c>
      <c r="Q5" s="37">
        <f>(O5*'Goal Seek 6th order'!$K12)/(40*10^-6)</f>
        <v>3.732514164159344E-4</v>
      </c>
      <c r="R5" s="37">
        <f>(P5*'Goal Seek 6th order'!$K12)/(40*10^-6)</f>
        <v>0.14034253257239121</v>
      </c>
      <c r="S5" s="50">
        <f>(('Goal Seek 6th order'!$P$23)/(L5+(12.5*(1+3.76))))</f>
        <v>1.0858223023008991E-7</v>
      </c>
      <c r="T5" s="50">
        <f t="shared" ref="T5:T16" si="1">S5*(M5+N5+O5+P5)</f>
        <v>7.5474422410633193E-6</v>
      </c>
    </row>
    <row r="6" spans="2:20" x14ac:dyDescent="0.3">
      <c r="B6" s="37">
        <v>0.98</v>
      </c>
      <c r="C6" s="44">
        <f t="shared" ref="C6:C16" si="2">$C$4*B6</f>
        <v>8.2319999999999993</v>
      </c>
      <c r="D6" s="44">
        <f t="shared" ref="D6:D16" si="3">$D$4*B6</f>
        <v>9.261000000000001</v>
      </c>
      <c r="E6" s="44">
        <f>('Goal Seek 6th order'!$S$11*(1-B6))*(1+$B$2)</f>
        <v>0.26250000000000023</v>
      </c>
      <c r="F6" s="37">
        <f>'Goal Seek 6th order'!$H$11*(1+$B$2)</f>
        <v>49.35</v>
      </c>
      <c r="G6" s="37">
        <f>(E6*'Goal Seek 6th order'!$K13)/(40*10^-6)</f>
        <v>7.1268870514519804E-4</v>
      </c>
      <c r="H6" s="37">
        <f>(F6*'Goal Seek 6th order'!$K13)/(40*10^-6)</f>
        <v>0.13398547656729712</v>
      </c>
      <c r="I6" s="50">
        <f>(('Goal Seek 6th order'!$P$23)/(B6+(12.5*(1+3.76))))</f>
        <v>1.0860018364117293E-7</v>
      </c>
      <c r="J6" s="50">
        <f t="shared" si="0"/>
        <v>7.2876696233327308E-6</v>
      </c>
      <c r="L6" s="37">
        <v>0.98</v>
      </c>
      <c r="M6" s="44">
        <f t="shared" ref="M6:M16" si="4">$C$4*L6</f>
        <v>8.2319999999999993</v>
      </c>
      <c r="N6" s="44">
        <f t="shared" ref="N6:N16" si="5">$D$4*L6</f>
        <v>9.261000000000001</v>
      </c>
      <c r="O6" s="44">
        <f>('Goal Seek 6th order'!$S$11*(1-L6))*(1+$L$2)</f>
        <v>0.27500000000000024</v>
      </c>
      <c r="P6" s="37">
        <f>'Goal Seek 6th order'!$H$11*(1+$L$2)</f>
        <v>51.7</v>
      </c>
      <c r="Q6" s="37">
        <f>(O6*'Goal Seek 6th order'!$K13)/(40*10^-6)</f>
        <v>7.4662626253306464E-4</v>
      </c>
      <c r="R6" s="37">
        <f>(P6*'Goal Seek 6th order'!$K13)/(40*10^-6)</f>
        <v>0.14036573735621602</v>
      </c>
      <c r="S6" s="50">
        <f>(('Goal Seek 6th order'!$P$23)/(L6+(12.5*(1+3.76))))</f>
        <v>1.0860018364117293E-7</v>
      </c>
      <c r="T6" s="50">
        <f t="shared" si="1"/>
        <v>7.5442375571850016E-6</v>
      </c>
    </row>
    <row r="7" spans="2:20" x14ac:dyDescent="0.3">
      <c r="B7" s="37">
        <v>0.97</v>
      </c>
      <c r="C7" s="44">
        <f t="shared" si="2"/>
        <v>8.1479999999999997</v>
      </c>
      <c r="D7" s="44">
        <f t="shared" si="3"/>
        <v>9.166500000000001</v>
      </c>
      <c r="E7" s="44">
        <f>('Goal Seek 6th order'!$S$11*(1-B7))*(1+$B$2)</f>
        <v>0.39375000000000038</v>
      </c>
      <c r="F7" s="37">
        <f>'Goal Seek 6th order'!$H$11*(1+$B$2)</f>
        <v>49.35</v>
      </c>
      <c r="G7" s="37">
        <f>(E7*'Goal Seek 6th order'!$K14)/(40*10^-6)</f>
        <v>1.0692098450599036E-3</v>
      </c>
      <c r="H7" s="37">
        <f>(F7*'Goal Seek 6th order'!$K14)/(40*10^-6)</f>
        <v>0.13400763391417447</v>
      </c>
      <c r="I7" s="50">
        <f>(('Goal Seek 6th order'!$P$23)/(B7+(12.5*(1+3.76))))</f>
        <v>1.0861814299021231E-7</v>
      </c>
      <c r="J7" s="50">
        <f t="shared" si="0"/>
        <v>7.2837425871734053E-6</v>
      </c>
      <c r="L7" s="37">
        <v>0.97</v>
      </c>
      <c r="M7" s="44">
        <f t="shared" si="4"/>
        <v>8.1479999999999997</v>
      </c>
      <c r="N7" s="44">
        <f t="shared" si="5"/>
        <v>9.166500000000001</v>
      </c>
      <c r="O7" s="44">
        <f>('Goal Seek 6th order'!$S$11*(1-L7))*(1+$L$2)</f>
        <v>0.41250000000000042</v>
      </c>
      <c r="P7" s="37">
        <f>'Goal Seek 6th order'!$H$11*(1+$L$2)</f>
        <v>51.7</v>
      </c>
      <c r="Q7" s="37">
        <f>(O7*'Goal Seek 6th order'!$K14)/(40*10^-6)</f>
        <v>1.1201245995865658E-3</v>
      </c>
      <c r="R7" s="37">
        <f>(P7*'Goal Seek 6th order'!$K14)/(40*10^-6)</f>
        <v>0.14038894981484942</v>
      </c>
      <c r="S7" s="50">
        <f>(('Goal Seek 6th order'!$P$23)/(L7+(12.5*(1+3.76))))</f>
        <v>1.0861814299021231E-7</v>
      </c>
      <c r="T7" s="50">
        <f t="shared" si="1"/>
        <v>7.541031813381471E-6</v>
      </c>
    </row>
    <row r="8" spans="2:20" x14ac:dyDescent="0.3">
      <c r="B8" s="37">
        <v>0.96</v>
      </c>
      <c r="C8" s="44">
        <f t="shared" si="2"/>
        <v>8.0640000000000001</v>
      </c>
      <c r="D8" s="44">
        <f t="shared" si="3"/>
        <v>9.072000000000001</v>
      </c>
      <c r="E8" s="44">
        <f>('Goal Seek 6th order'!$S$11*(1-B8))*(1+$B$2)</f>
        <v>0.52500000000000047</v>
      </c>
      <c r="F8" s="37">
        <f>'Goal Seek 6th order'!$H$11*(1+$B$2)</f>
        <v>49.35</v>
      </c>
      <c r="G8" s="37">
        <f>(E8*'Goal Seek 6th order'!$K15)/(40*10^-6)</f>
        <v>1.4258489211770287E-3</v>
      </c>
      <c r="H8" s="37">
        <f>(F8*'Goal Seek 6th order'!$K15)/(40*10^-6)</f>
        <v>0.13402979859064057</v>
      </c>
      <c r="I8" s="50">
        <f>(('Goal Seek 6th order'!$P$23)/(B8+(12.5*(1+3.76))))</f>
        <v>1.0863610828015446E-7</v>
      </c>
      <c r="J8" s="50">
        <f t="shared" si="0"/>
        <v>7.279814251961431E-6</v>
      </c>
      <c r="L8" s="37">
        <v>0.96</v>
      </c>
      <c r="M8" s="44">
        <f t="shared" si="4"/>
        <v>8.0640000000000001</v>
      </c>
      <c r="N8" s="44">
        <f t="shared" si="5"/>
        <v>9.072000000000001</v>
      </c>
      <c r="O8" s="44">
        <f>('Goal Seek 6th order'!$S$11*(1-L8))*(1+$L$2)</f>
        <v>0.55000000000000049</v>
      </c>
      <c r="P8" s="37">
        <f>'Goal Seek 6th order'!$H$11*(1+$L$2)</f>
        <v>51.7</v>
      </c>
      <c r="Q8" s="37">
        <f>(O8*'Goal Seek 6th order'!$K15)/(40*10^-6)</f>
        <v>1.4937464888521252E-3</v>
      </c>
      <c r="R8" s="37">
        <f>(P8*'Goal Seek 6th order'!$K15)/(40*10^-6)</f>
        <v>0.14041216995209965</v>
      </c>
      <c r="S8" s="50">
        <f>(('Goal Seek 6th order'!$P$23)/(L8+(12.5*(1+3.76))))</f>
        <v>1.0863610828015446E-7</v>
      </c>
      <c r="T8" s="50">
        <f t="shared" si="1"/>
        <v>7.5378250091267979E-6</v>
      </c>
    </row>
    <row r="9" spans="2:20" x14ac:dyDescent="0.3">
      <c r="B9" s="37">
        <v>0.95</v>
      </c>
      <c r="C9" s="44">
        <f t="shared" si="2"/>
        <v>7.9799999999999995</v>
      </c>
      <c r="D9" s="44">
        <f t="shared" si="3"/>
        <v>8.9775000000000009</v>
      </c>
      <c r="E9" s="44">
        <f>('Goal Seek 6th order'!$S$11*(1-B9))*(1+$B$2)</f>
        <v>0.65625000000000067</v>
      </c>
      <c r="F9" s="37">
        <f>'Goal Seek 6th order'!$H$11*(1+$B$2)</f>
        <v>49.35</v>
      </c>
      <c r="G9" s="37">
        <f>(E9*'Goal Seek 6th order'!$K16)/(40*10^-6)</f>
        <v>1.7826059920257064E-3</v>
      </c>
      <c r="H9" s="37">
        <f>(F9*'Goal Seek 6th order'!$K16)/(40*10^-6)</f>
        <v>0.13405197060033297</v>
      </c>
      <c r="I9" s="50">
        <f>(('Goal Seek 6th order'!$P$23)/(B9+(12.5*(1+3.76))))</f>
        <v>1.0865407951394769E-7</v>
      </c>
      <c r="J9" s="50">
        <f t="shared" si="0"/>
        <v>7.2758846170521151E-6</v>
      </c>
      <c r="L9" s="37">
        <v>0.95</v>
      </c>
      <c r="M9" s="44">
        <f t="shared" si="4"/>
        <v>7.9799999999999995</v>
      </c>
      <c r="N9" s="44">
        <f t="shared" si="5"/>
        <v>8.9775000000000009</v>
      </c>
      <c r="O9" s="44">
        <f>('Goal Seek 6th order'!$S$11*(1-L9))*(1+$L$2)</f>
        <v>0.68750000000000067</v>
      </c>
      <c r="P9" s="37">
        <f>'Goal Seek 6th order'!$H$11*(1+$L$2)</f>
        <v>51.7</v>
      </c>
      <c r="Q9" s="37">
        <f>(O9*'Goal Seek 6th order'!$K16)/(40*10^-6)</f>
        <v>1.867491991645978E-3</v>
      </c>
      <c r="R9" s="37">
        <f>(P9*'Goal Seek 6th order'!$K16)/(40*10^-6)</f>
        <v>0.14043539777177741</v>
      </c>
      <c r="S9" s="50">
        <f>(('Goal Seek 6th order'!$P$23)/(L9+(12.5*(1+3.76))))</f>
        <v>1.0865407951394769E-7</v>
      </c>
      <c r="T9" s="50">
        <f t="shared" si="1"/>
        <v>7.534617143894703E-6</v>
      </c>
    </row>
    <row r="10" spans="2:20" x14ac:dyDescent="0.3">
      <c r="B10" s="37">
        <v>0.9</v>
      </c>
      <c r="C10" s="44">
        <f t="shared" si="2"/>
        <v>7.5600000000000005</v>
      </c>
      <c r="D10" s="44">
        <f t="shared" si="3"/>
        <v>8.5050000000000008</v>
      </c>
      <c r="E10" s="44">
        <f>('Goal Seek 6th order'!$S$11*(1-B10))*(1+$B$2)</f>
        <v>1.3124999999999998</v>
      </c>
      <c r="F10" s="37">
        <f>'Goal Seek 6th order'!$H$11*(1+$B$2)</f>
        <v>49.35</v>
      </c>
      <c r="G10" s="37">
        <f>(E10*'Goal Seek 6th order'!$K17)/(40*10^-6)</f>
        <v>3.5681633184752922E-3</v>
      </c>
      <c r="H10" s="37">
        <f>(F10*'Goal Seek 6th order'!$K17)/(40*10^-6)</f>
        <v>0.13416294077467103</v>
      </c>
      <c r="I10" s="50">
        <f>(('Goal Seek 6th order'!$P$23)/(B10+(12.5*(1+3.76))))</f>
        <v>1.0874402494400892E-7</v>
      </c>
      <c r="J10" s="50">
        <f t="shared" si="0"/>
        <v>7.256216924451356E-6</v>
      </c>
      <c r="L10" s="37">
        <v>0.9</v>
      </c>
      <c r="M10" s="44">
        <f t="shared" si="4"/>
        <v>7.5600000000000005</v>
      </c>
      <c r="N10" s="44">
        <f t="shared" si="5"/>
        <v>8.5050000000000008</v>
      </c>
      <c r="O10" s="44">
        <f>('Goal Seek 6th order'!$S$11*(1-L10))*(1+$L$2)</f>
        <v>1.3749999999999998</v>
      </c>
      <c r="P10" s="37">
        <f>'Goal Seek 6th order'!$H$11*(1+$L$2)</f>
        <v>51.7</v>
      </c>
      <c r="Q10" s="37">
        <f>(O10*'Goal Seek 6th order'!$K17)/(40*10^-6)</f>
        <v>3.7380758574503061E-3</v>
      </c>
      <c r="R10" s="37">
        <f>(P10*'Goal Seek 6th order'!$K17)/(40*10^-6)</f>
        <v>0.14055165224013155</v>
      </c>
      <c r="S10" s="50">
        <f>(('Goal Seek 6th order'!$P$23)/(L10+(12.5*(1+3.76))))</f>
        <v>1.0874402494400892E-7</v>
      </c>
      <c r="T10" s="50">
        <f t="shared" si="1"/>
        <v>7.5185618846287768E-6</v>
      </c>
    </row>
    <row r="11" spans="2:20" x14ac:dyDescent="0.3">
      <c r="B11" s="37">
        <v>0.85</v>
      </c>
      <c r="C11" s="44">
        <f t="shared" si="2"/>
        <v>7.14</v>
      </c>
      <c r="D11" s="44">
        <f t="shared" si="3"/>
        <v>8.0325000000000006</v>
      </c>
      <c r="E11" s="44">
        <f>('Goal Seek 6th order'!$S$11*(1-B11))*(1+$B$2)</f>
        <v>1.9687500000000002</v>
      </c>
      <c r="F11" s="37">
        <f>'Goal Seek 6th order'!$H$11*(1+$B$2)</f>
        <v>49.35</v>
      </c>
      <c r="G11" s="37">
        <f>(E11*'Goal Seek 6th order'!$K18)/(40*10^-6)</f>
        <v>5.3566793148941434E-3</v>
      </c>
      <c r="H11" s="37">
        <f>(F11*'Goal Seek 6th order'!$K18)/(40*10^-6)</f>
        <v>0.13427409482667985</v>
      </c>
      <c r="I11" s="50">
        <f>(('Goal Seek 6th order'!$P$23)/(B11+(12.5*(1+3.76))))</f>
        <v>1.0883411941372226E-7</v>
      </c>
      <c r="J11" s="50">
        <f t="shared" si="0"/>
        <v>7.2365166424676614E-6</v>
      </c>
      <c r="L11" s="37">
        <v>0.85</v>
      </c>
      <c r="M11" s="44">
        <f t="shared" si="4"/>
        <v>7.14</v>
      </c>
      <c r="N11" s="44">
        <f t="shared" si="5"/>
        <v>8.0325000000000006</v>
      </c>
      <c r="O11" s="44">
        <f>('Goal Seek 6th order'!$S$11*(1-L11))*(1+$L$2)</f>
        <v>2.0625000000000004</v>
      </c>
      <c r="P11" s="37">
        <f>'Goal Seek 6th order'!$H$11*(1+$L$2)</f>
        <v>51.7</v>
      </c>
      <c r="Q11" s="37">
        <f>(O11*'Goal Seek 6th order'!$K18)/(40*10^-6)</f>
        <v>5.6117592822700554E-3</v>
      </c>
      <c r="R11" s="37">
        <f>(P11*'Goal Seek 6th order'!$K18)/(40*10^-6)</f>
        <v>0.14066809934223604</v>
      </c>
      <c r="S11" s="50">
        <f>(('Goal Seek 6th order'!$P$23)/(L11+(12.5*(1+3.76))))</f>
        <v>1.0883411941372226E-7</v>
      </c>
      <c r="T11" s="50">
        <f t="shared" si="1"/>
        <v>7.5024800217849446E-6</v>
      </c>
    </row>
    <row r="12" spans="2:20" x14ac:dyDescent="0.3">
      <c r="B12" s="37">
        <v>0.8</v>
      </c>
      <c r="C12" s="44">
        <f t="shared" si="2"/>
        <v>6.7200000000000006</v>
      </c>
      <c r="D12" s="44">
        <f t="shared" si="3"/>
        <v>7.5600000000000014</v>
      </c>
      <c r="E12" s="44">
        <f>('Goal Seek 6th order'!$S$11*(1-B12))*(1+$B$2)</f>
        <v>2.6249999999999996</v>
      </c>
      <c r="F12" s="37">
        <f>'Goal Seek 6th order'!$H$11*(1+$B$2)</f>
        <v>49.35</v>
      </c>
      <c r="G12" s="37">
        <f>(E12*'Goal Seek 6th order'!$K19)/(40*10^-6)</f>
        <v>7.1481613411577992E-3</v>
      </c>
      <c r="H12" s="37">
        <f>(F12*'Goal Seek 6th order'!$K19)/(40*10^-6)</f>
        <v>0.13438543321376667</v>
      </c>
      <c r="I12" s="50">
        <f>(('Goal Seek 6th order'!$P$23)/(B12+(12.5*(1+3.76))))</f>
        <v>1.0892436329383315E-7</v>
      </c>
      <c r="J12" s="50">
        <f t="shared" si="0"/>
        <v>7.2167836900329149E-6</v>
      </c>
      <c r="L12" s="37">
        <v>0.8</v>
      </c>
      <c r="M12" s="44">
        <f t="shared" si="4"/>
        <v>6.7200000000000006</v>
      </c>
      <c r="N12" s="44">
        <f t="shared" si="5"/>
        <v>7.5600000000000014</v>
      </c>
      <c r="O12" s="44">
        <f>('Goal Seek 6th order'!$S$11*(1-L12))*(1+$L$2)</f>
        <v>2.7499999999999996</v>
      </c>
      <c r="P12" s="37">
        <f>'Goal Seek 6th order'!$H$11*(1+$L$2)</f>
        <v>51.7</v>
      </c>
      <c r="Q12" s="37">
        <f>(O12*'Goal Seek 6th order'!$K19)/(40*10^-6)</f>
        <v>7.4885499764510291E-3</v>
      </c>
      <c r="R12" s="37">
        <f>(P12*'Goal Seek 6th order'!$K19)/(40*10^-6)</f>
        <v>0.14078473955727935</v>
      </c>
      <c r="S12" s="50">
        <f>(('Goal Seek 6th order'!$P$23)/(L12+(12.5*(1+3.76))))</f>
        <v>1.0892436329383315E-7</v>
      </c>
      <c r="T12" s="50">
        <f t="shared" si="1"/>
        <v>7.4863714891851523E-6</v>
      </c>
    </row>
    <row r="13" spans="2:20" x14ac:dyDescent="0.3">
      <c r="B13" s="37">
        <v>0.75</v>
      </c>
      <c r="C13" s="44">
        <f t="shared" si="2"/>
        <v>6.3000000000000007</v>
      </c>
      <c r="D13" s="44">
        <f t="shared" si="3"/>
        <v>7.0875000000000004</v>
      </c>
      <c r="E13" s="44">
        <f>('Goal Seek 6th order'!$S$11*(1-B13))*(1+$B$2)</f>
        <v>3.28125</v>
      </c>
      <c r="F13" s="37">
        <f>'Goal Seek 6th order'!$H$11*(1+$B$2)</f>
        <v>49.35</v>
      </c>
      <c r="G13" s="37">
        <f>(E13*'Goal Seek 6th order'!$K20)/(40*10^-6)</f>
        <v>8.9426167815729336E-3</v>
      </c>
      <c r="H13" s="37">
        <f>(F13*'Goal Seek 6th order'!$K20)/(40*10^-6)</f>
        <v>0.13449695639485693</v>
      </c>
      <c r="I13" s="50">
        <f>(('Goal Seek 6th order'!$P$23)/(B13+(12.5*(1+3.76))))</f>
        <v>1.0901475695631766E-7</v>
      </c>
      <c r="J13" s="50">
        <f t="shared" si="0"/>
        <v>7.1970179858098975E-6</v>
      </c>
      <c r="L13" s="37">
        <v>0.75</v>
      </c>
      <c r="M13" s="44">
        <f t="shared" si="4"/>
        <v>6.3000000000000007</v>
      </c>
      <c r="N13" s="44">
        <f t="shared" si="5"/>
        <v>7.0875000000000004</v>
      </c>
      <c r="O13" s="44">
        <f>('Goal Seek 6th order'!$S$11*(1-L13))*(1+$L$2)</f>
        <v>3.4375000000000004</v>
      </c>
      <c r="P13" s="37">
        <f>'Goal Seek 6th order'!$H$11*(1+$L$2)</f>
        <v>51.7</v>
      </c>
      <c r="Q13" s="37">
        <f>(O13*'Goal Seek 6th order'!$K20)/(40*10^-6)</f>
        <v>9.3684556759335499E-3</v>
      </c>
      <c r="R13" s="37">
        <f>(P13*'Goal Seek 6th order'!$K20)/(40*10^-6)</f>
        <v>0.14090157336604059</v>
      </c>
      <c r="S13" s="50">
        <f>(('Goal Seek 6th order'!$P$23)/(L13+(12.5*(1+3.76))))</f>
        <v>1.0901475695631766E-7</v>
      </c>
      <c r="T13" s="50">
        <f t="shared" si="1"/>
        <v>7.4702362204316681E-6</v>
      </c>
    </row>
    <row r="14" spans="2:20" x14ac:dyDescent="0.3">
      <c r="B14" s="37">
        <v>0.7</v>
      </c>
      <c r="C14" s="44">
        <f t="shared" si="2"/>
        <v>5.88</v>
      </c>
      <c r="D14" s="44">
        <f t="shared" si="3"/>
        <v>6.6150000000000002</v>
      </c>
      <c r="E14" s="44">
        <f>('Goal Seek 6th order'!$S$11*(1-B14))*(1+$B$2)</f>
        <v>3.9375000000000004</v>
      </c>
      <c r="F14" s="37">
        <f>'Goal Seek 6th order'!$H$11*(1+$B$2)</f>
        <v>49.35</v>
      </c>
      <c r="G14" s="37">
        <f>(E14*'Goal Seek 6th order'!$K21)/(40*10^-6)</f>
        <v>1.0740053044978789E-2</v>
      </c>
      <c r="H14" s="37">
        <f>(F14*'Goal Seek 6th order'!$K21)/(40*10^-6)</f>
        <v>0.13460866483040082</v>
      </c>
      <c r="I14" s="50">
        <f>(('Goal Seek 6th order'!$P$23)/(B14+(12.5*(1+3.76))))</f>
        <v>1.0910530077438768E-7</v>
      </c>
      <c r="J14" s="50">
        <f t="shared" si="0"/>
        <v>7.1772194481911574E-6</v>
      </c>
      <c r="L14" s="37">
        <v>0.7</v>
      </c>
      <c r="M14" s="44">
        <f t="shared" si="4"/>
        <v>5.88</v>
      </c>
      <c r="N14" s="44">
        <f t="shared" si="5"/>
        <v>6.6150000000000002</v>
      </c>
      <c r="O14" s="44">
        <f>('Goal Seek 6th order'!$S$11*(1-L14))*(1+$L$2)</f>
        <v>4.1250000000000009</v>
      </c>
      <c r="P14" s="37">
        <f>'Goal Seek 6th order'!$H$11*(1+$L$2)</f>
        <v>51.7</v>
      </c>
      <c r="Q14" s="37">
        <f>(O14*'Goal Seek 6th order'!$K21)/(40*10^-6)</f>
        <v>1.1251484142358733E-2</v>
      </c>
      <c r="R14" s="37">
        <f>(P14*'Goal Seek 6th order'!$K21)/(40*10^-6)</f>
        <v>0.1410186012508961</v>
      </c>
      <c r="S14" s="50">
        <f>(('Goal Seek 6th order'!$P$23)/(L14+(12.5*(1+3.76))))</f>
        <v>1.0910530077438768E-7</v>
      </c>
      <c r="T14" s="50">
        <f t="shared" si="1"/>
        <v>7.454074148906167E-6</v>
      </c>
    </row>
    <row r="15" spans="2:20" x14ac:dyDescent="0.3">
      <c r="B15" s="37">
        <v>0.65</v>
      </c>
      <c r="C15" s="44">
        <f t="shared" si="2"/>
        <v>5.4600000000000009</v>
      </c>
      <c r="D15" s="44">
        <f t="shared" si="3"/>
        <v>6.142500000000001</v>
      </c>
      <c r="E15" s="44">
        <f>('Goal Seek 6th order'!$S$11*(1-B15))*(1+$B$2)</f>
        <v>4.59375</v>
      </c>
      <c r="F15" s="37">
        <f>'Goal Seek 6th order'!$H$11*(1+$B$2)</f>
        <v>49.35</v>
      </c>
      <c r="G15" s="37">
        <f>(E15*'Goal Seek 6th order'!$K22)/(40*10^-6)</f>
        <v>1.254047756484916E-2</v>
      </c>
      <c r="H15" s="37">
        <f>(F15*'Goal Seek 6th order'!$K22)/(40*10^-6)</f>
        <v>0.13472055898237953</v>
      </c>
      <c r="I15" s="50">
        <f>(('Goal Seek 6th order'!$P$23)/(B15+(12.5*(1+3.76))))</f>
        <v>1.0919599512249607E-7</v>
      </c>
      <c r="J15" s="50">
        <f t="shared" si="0"/>
        <v>7.1573879952979083E-6</v>
      </c>
      <c r="L15" s="37">
        <v>0.65</v>
      </c>
      <c r="M15" s="44">
        <f t="shared" si="4"/>
        <v>5.4600000000000009</v>
      </c>
      <c r="N15" s="44">
        <f t="shared" si="5"/>
        <v>6.142500000000001</v>
      </c>
      <c r="O15" s="44">
        <f>('Goal Seek 6th order'!$S$11*(1-L15))*(1+$L$2)</f>
        <v>4.8125</v>
      </c>
      <c r="P15" s="37">
        <f>'Goal Seek 6th order'!$H$11*(1+$L$2)</f>
        <v>51.7</v>
      </c>
      <c r="Q15" s="37">
        <f>(O15*'Goal Seek 6th order'!$K22)/(40*10^-6)</f>
        <v>1.3137643163175311E-2</v>
      </c>
      <c r="R15" s="37">
        <f>(P15*'Goal Seek 6th order'!$K22)/(40*10^-6)</f>
        <v>0.1411358236958262</v>
      </c>
      <c r="S15" s="50">
        <f>(('Goal Seek 6th order'!$P$23)/(L15+(12.5*(1+3.76))))</f>
        <v>1.0919599512249607E-7</v>
      </c>
      <c r="T15" s="50">
        <f t="shared" si="1"/>
        <v>7.4378852077688202E-6</v>
      </c>
    </row>
    <row r="16" spans="2:20" x14ac:dyDescent="0.3">
      <c r="B16" s="37">
        <v>0.6</v>
      </c>
      <c r="C16" s="44">
        <f t="shared" si="2"/>
        <v>5.04</v>
      </c>
      <c r="D16" s="44">
        <f t="shared" si="3"/>
        <v>5.6700000000000008</v>
      </c>
      <c r="E16" s="44">
        <f>('Goal Seek 6th order'!$S$11*(1-B16))*(1+$B$2)</f>
        <v>5.25</v>
      </c>
      <c r="F16" s="37">
        <f>'Goal Seek 6th order'!$H$11*(1+$B$2)</f>
        <v>49.35</v>
      </c>
      <c r="G16" s="37">
        <f>(E16*'Goal Seek 6th order'!$K23)/(40*10^-6)</f>
        <v>1.4343897799394854E-2</v>
      </c>
      <c r="H16" s="37">
        <f>(F16*'Goal Seek 6th order'!$K23)/(40*10^-6)</f>
        <v>0.13483263931431164</v>
      </c>
      <c r="I16" s="50">
        <f>(('Goal Seek 6th order'!$P$23)/(B16+(12.5*(1+3.76))))</f>
        <v>1.0928684037634173E-7</v>
      </c>
      <c r="J16" s="50">
        <f t="shared" si="0"/>
        <v>7.1375235449788793E-6</v>
      </c>
      <c r="L16" s="37">
        <v>0.6</v>
      </c>
      <c r="M16" s="44">
        <f t="shared" si="4"/>
        <v>5.04</v>
      </c>
      <c r="N16" s="44">
        <f t="shared" si="5"/>
        <v>5.6700000000000008</v>
      </c>
      <c r="O16" s="44">
        <f>('Goal Seek 6th order'!$S$11*(1-L16))*(1+$L$2)</f>
        <v>5.5</v>
      </c>
      <c r="P16" s="37">
        <f>'Goal Seek 6th order'!$H$11*(1+$L$2)</f>
        <v>51.7</v>
      </c>
      <c r="Q16" s="37">
        <f>(O16*'Goal Seek 6th order'!$K23)/(40*10^-6)</f>
        <v>1.5026940551746991E-2</v>
      </c>
      <c r="R16" s="37">
        <f>(P16*'Goal Seek 6th order'!$K23)/(40*10^-6)</f>
        <v>0.14125324118642171</v>
      </c>
      <c r="S16" s="50">
        <f>(('Goal Seek 6th order'!$P$23)/(L16+(12.5*(1+3.76))))</f>
        <v>1.0928684037634173E-7</v>
      </c>
      <c r="T16" s="50">
        <f t="shared" si="1"/>
        <v>7.4216693299573671E-6</v>
      </c>
    </row>
    <row r="18" spans="2:20" x14ac:dyDescent="0.3">
      <c r="B18" s="142">
        <v>0.15</v>
      </c>
      <c r="C18" s="143"/>
      <c r="D18" s="143"/>
      <c r="E18" s="143"/>
      <c r="F18" s="143"/>
      <c r="G18" s="143"/>
      <c r="H18" s="143"/>
      <c r="I18" s="143"/>
      <c r="J18" s="144"/>
      <c r="L18" s="138">
        <v>0.2</v>
      </c>
      <c r="M18" s="138"/>
      <c r="N18" s="138"/>
      <c r="O18" s="138"/>
      <c r="P18" s="138"/>
      <c r="Q18" s="138"/>
      <c r="R18" s="138"/>
      <c r="S18" s="138"/>
      <c r="T18" s="138"/>
    </row>
    <row r="19" spans="2:20" x14ac:dyDescent="0.3">
      <c r="B19" s="22" t="s">
        <v>106</v>
      </c>
      <c r="C19" s="22" t="s">
        <v>33</v>
      </c>
      <c r="D19" s="22" t="s">
        <v>59</v>
      </c>
      <c r="E19" s="22" t="s">
        <v>57</v>
      </c>
      <c r="F19" s="22" t="s">
        <v>58</v>
      </c>
      <c r="G19" s="22" t="s">
        <v>91</v>
      </c>
      <c r="H19" s="22" t="s">
        <v>92</v>
      </c>
      <c r="I19" s="22" t="s">
        <v>93</v>
      </c>
      <c r="J19" s="33" t="s">
        <v>109</v>
      </c>
      <c r="L19" s="38" t="s">
        <v>106</v>
      </c>
      <c r="M19" s="38" t="s">
        <v>33</v>
      </c>
      <c r="N19" s="38" t="s">
        <v>59</v>
      </c>
      <c r="O19" s="38" t="s">
        <v>57</v>
      </c>
      <c r="P19" s="38" t="s">
        <v>58</v>
      </c>
      <c r="Q19" s="38" t="s">
        <v>91</v>
      </c>
      <c r="R19" s="38" t="s">
        <v>92</v>
      </c>
      <c r="S19" s="38" t="s">
        <v>93</v>
      </c>
      <c r="T19" s="39" t="s">
        <v>109</v>
      </c>
    </row>
    <row r="20" spans="2:20" x14ac:dyDescent="0.3">
      <c r="B20" s="37">
        <v>1</v>
      </c>
      <c r="C20" s="44">
        <f>8*(1+B18)</f>
        <v>9.1999999999999993</v>
      </c>
      <c r="D20" s="44">
        <f>'Goal Seek 6th order'!$F$11*(1+B18)</f>
        <v>10.35</v>
      </c>
      <c r="E20" s="44">
        <f>'Goal Seek 6th order'!$S$11*(1-B20)</f>
        <v>0</v>
      </c>
      <c r="F20" s="37">
        <f>'Goal Seek 6th order'!$H$11*(1+$B$18)</f>
        <v>54.05</v>
      </c>
      <c r="G20" s="37">
        <f>(E20*'Goal Seek 6th order'!$K11)/(40*10^-6)</f>
        <v>0</v>
      </c>
      <c r="H20" s="37">
        <f>(F20*'Goal Seek 6th order'!$K11)/(40*10^-6)</f>
        <v>0.14669748707136793</v>
      </c>
      <c r="I20" s="50">
        <f>(('Goal Seek 6th order'!$P$23)/(B20+(12.5*(1+3.76))))</f>
        <v>1.0856428275401881E-7</v>
      </c>
      <c r="J20" s="50">
        <f>I20*(C20+D20+E20+F20)</f>
        <v>7.9903312106957832E-6</v>
      </c>
      <c r="L20" s="37">
        <v>1</v>
      </c>
      <c r="M20" s="44">
        <f>8*(1+L18)</f>
        <v>9.6</v>
      </c>
      <c r="N20" s="44">
        <f>'Goal Seek 6th order'!$F$11*(1+L18)</f>
        <v>10.799999999999999</v>
      </c>
      <c r="O20" s="44">
        <f>'Goal Seek 6th order'!$S$11*(1-L20)</f>
        <v>0</v>
      </c>
      <c r="P20" s="37">
        <f>'Goal Seek 6th order'!$H$11*(1+$L$18)</f>
        <v>56.4</v>
      </c>
      <c r="Q20" s="37">
        <f>(O20*'Goal Seek 6th order'!$K11)/(40*10^-6)</f>
        <v>0</v>
      </c>
      <c r="R20" s="37">
        <f>(P20*'Goal Seek 6th order'!$K11)/(40*10^-6)</f>
        <v>0.15307563868316654</v>
      </c>
      <c r="S20" s="50">
        <f>(('Goal Seek 6th order'!$P$23)/(L20+(12.5*(1+3.76))))</f>
        <v>1.0856428275401881E-7</v>
      </c>
      <c r="T20" s="50">
        <f>S20*(M20+N20+O20+P20)</f>
        <v>8.3377369155086441E-6</v>
      </c>
    </row>
    <row r="21" spans="2:20" x14ac:dyDescent="0.3">
      <c r="B21" s="37">
        <v>0.99</v>
      </c>
      <c r="C21" s="44">
        <f>$C$4*B21</f>
        <v>8.3160000000000007</v>
      </c>
      <c r="D21" s="44">
        <f>$D$4*B21</f>
        <v>9.355500000000001</v>
      </c>
      <c r="E21" s="44">
        <f>('Goal Seek 6th order'!$S$11*(1-B21))*(1+$B$18)</f>
        <v>0.14375000000000013</v>
      </c>
      <c r="F21" s="37">
        <f>'Goal Seek 6th order'!$H$11*(1+$B$18)</f>
        <v>54.05</v>
      </c>
      <c r="G21" s="37">
        <f>(E21*'Goal Seek 6th order'!$K12)/(40*10^-6)</f>
        <v>3.9021738988938596E-4</v>
      </c>
      <c r="H21" s="37">
        <f>(F21*'Goal Seek 6th order'!$K12)/(40*10^-6)</f>
        <v>0.14672173859840901</v>
      </c>
      <c r="I21" s="50">
        <f>(('Goal Seek 6th order'!$P$23)/(B21+(12.5*(1+3.76))))</f>
        <v>1.0858223023008991E-7</v>
      </c>
      <c r="J21" s="50">
        <f t="shared" ref="J21:J32" si="6">I21*(C21+D21+E21+F21)</f>
        <v>7.8032891210429684E-6</v>
      </c>
      <c r="L21" s="37">
        <v>0.99</v>
      </c>
      <c r="M21" s="44">
        <f>$C$4*L21</f>
        <v>8.3160000000000007</v>
      </c>
      <c r="N21" s="44">
        <f>$D$4*L21</f>
        <v>9.355500000000001</v>
      </c>
      <c r="O21" s="44">
        <f>('Goal Seek 6th order'!$S$11*(1-L21))*(1+$L$18)</f>
        <v>0.15000000000000013</v>
      </c>
      <c r="P21" s="37">
        <f>'Goal Seek 6th order'!$H$11*(1+$L$18)</f>
        <v>56.4</v>
      </c>
      <c r="Q21" s="37">
        <f>(O21*'Goal Seek 6th order'!$K12)/(40*10^-6)</f>
        <v>4.0718336336283752E-4</v>
      </c>
      <c r="R21" s="37">
        <f>(P21*'Goal Seek 6th order'!$K12)/(40*10^-6)</f>
        <v>0.15310094462442678</v>
      </c>
      <c r="S21" s="50">
        <f>(('Goal Seek 6th order'!$P$23)/(L21+(12.5*(1+3.76))))</f>
        <v>1.0858223023008991E-7</v>
      </c>
      <c r="T21" s="50">
        <f t="shared" ref="T21:T32" si="7">S21*(M21+N21+O21+P21)</f>
        <v>8.0591360010226167E-6</v>
      </c>
    </row>
    <row r="22" spans="2:20" x14ac:dyDescent="0.3">
      <c r="B22" s="37">
        <v>0.98</v>
      </c>
      <c r="C22" s="44">
        <f t="shared" ref="C22:C32" si="8">$C$4*B22</f>
        <v>8.2319999999999993</v>
      </c>
      <c r="D22" s="44">
        <f t="shared" ref="D22:D32" si="9">$D$4*B22</f>
        <v>9.261000000000001</v>
      </c>
      <c r="E22" s="44">
        <f>('Goal Seek 6th order'!$S$11*(1-B22))*(1+$B$18)</f>
        <v>0.28750000000000026</v>
      </c>
      <c r="F22" s="37">
        <f>'Goal Seek 6th order'!$H$11*(1+$B$18)</f>
        <v>54.05</v>
      </c>
      <c r="G22" s="37">
        <f>(E22*'Goal Seek 6th order'!$K13)/(40*10^-6)</f>
        <v>7.8056381992093113E-4</v>
      </c>
      <c r="H22" s="37">
        <f>(F22*'Goal Seek 6th order'!$K13)/(40*10^-6)</f>
        <v>0.14674599814513492</v>
      </c>
      <c r="I22" s="50">
        <f>(('Goal Seek 6th order'!$P$23)/(B22+(12.5*(1+3.76))))</f>
        <v>1.0860018364117293E-7</v>
      </c>
      <c r="J22" s="50">
        <f t="shared" si="6"/>
        <v>7.8008054910372716E-6</v>
      </c>
      <c r="L22" s="37">
        <v>0.98</v>
      </c>
      <c r="M22" s="44">
        <f t="shared" ref="M22:M32" si="10">$C$4*L22</f>
        <v>8.2319999999999993</v>
      </c>
      <c r="N22" s="44">
        <f t="shared" ref="N22:N32" si="11">$D$4*L22</f>
        <v>9.261000000000001</v>
      </c>
      <c r="O22" s="44">
        <f>('Goal Seek 6th order'!$S$11*(1-L22))*(1+$L$18)</f>
        <v>0.30000000000000027</v>
      </c>
      <c r="P22" s="37">
        <f>'Goal Seek 6th order'!$H$11*(1+$L$18)</f>
        <v>56.4</v>
      </c>
      <c r="Q22" s="37">
        <f>(O22*'Goal Seek 6th order'!$K13)/(40*10^-6)</f>
        <v>8.1450137730879773E-4</v>
      </c>
      <c r="R22" s="37">
        <f>(P22*'Goal Seek 6th order'!$K13)/(40*10^-6)</f>
        <v>0.15312625893405382</v>
      </c>
      <c r="S22" s="50">
        <f>(('Goal Seek 6th order'!$P$23)/(L22+(12.5*(1+3.76))))</f>
        <v>1.0860018364117293E-7</v>
      </c>
      <c r="T22" s="50">
        <f t="shared" si="7"/>
        <v>8.0573734248895424E-6</v>
      </c>
    </row>
    <row r="23" spans="2:20" x14ac:dyDescent="0.3">
      <c r="B23" s="37">
        <v>0.97</v>
      </c>
      <c r="C23" s="44">
        <f t="shared" si="8"/>
        <v>8.1479999999999997</v>
      </c>
      <c r="D23" s="44">
        <f t="shared" si="9"/>
        <v>9.166500000000001</v>
      </c>
      <c r="E23" s="44">
        <f>('Goal Seek 6th order'!$S$11*(1-B23))*(1+$B$18)</f>
        <v>0.43125000000000036</v>
      </c>
      <c r="F23" s="37">
        <f>'Goal Seek 6th order'!$H$11*(1+$B$18)</f>
        <v>54.05</v>
      </c>
      <c r="G23" s="37">
        <f>(E23*'Goal Seek 6th order'!$K14)/(40*10^-6)</f>
        <v>1.1710393541132275E-3</v>
      </c>
      <c r="H23" s="37">
        <f>(F23*'Goal Seek 6th order'!$K14)/(40*10^-6)</f>
        <v>0.14677026571552437</v>
      </c>
      <c r="I23" s="50">
        <f>(('Goal Seek 6th order'!$P$23)/(B23+(12.5*(1+3.76))))</f>
        <v>1.0861814299021231E-7</v>
      </c>
      <c r="J23" s="50">
        <f t="shared" si="6"/>
        <v>7.7983210395895359E-6</v>
      </c>
      <c r="L23" s="37">
        <v>0.97</v>
      </c>
      <c r="M23" s="44">
        <f t="shared" si="10"/>
        <v>8.1479999999999997</v>
      </c>
      <c r="N23" s="44">
        <f t="shared" si="11"/>
        <v>9.166500000000001</v>
      </c>
      <c r="O23" s="44">
        <f>('Goal Seek 6th order'!$S$11*(1-L23))*(1+$L$18)</f>
        <v>0.4500000000000004</v>
      </c>
      <c r="P23" s="37">
        <f>'Goal Seek 6th order'!$H$11*(1+$L$18)</f>
        <v>56.4</v>
      </c>
      <c r="Q23" s="37">
        <f>(O23*'Goal Seek 6th order'!$K14)/(40*10^-6)</f>
        <v>1.2219541086398898E-3</v>
      </c>
      <c r="R23" s="37">
        <f>(P23*'Goal Seek 6th order'!$K14)/(40*10^-6)</f>
        <v>0.15315158161619938</v>
      </c>
      <c r="S23" s="50">
        <f>(('Goal Seek 6th order'!$P$23)/(L23+(12.5*(1+3.76))))</f>
        <v>1.0861814299021231E-7</v>
      </c>
      <c r="T23" s="50">
        <f t="shared" si="7"/>
        <v>8.0556102657976008E-6</v>
      </c>
    </row>
    <row r="24" spans="2:20" x14ac:dyDescent="0.3">
      <c r="B24" s="37">
        <v>0.96</v>
      </c>
      <c r="C24" s="44">
        <f t="shared" si="8"/>
        <v>8.0640000000000001</v>
      </c>
      <c r="D24" s="44">
        <f t="shared" si="9"/>
        <v>9.072000000000001</v>
      </c>
      <c r="E24" s="44">
        <f>('Goal Seek 6th order'!$S$11*(1-B24))*(1+$B$18)</f>
        <v>0.57500000000000051</v>
      </c>
      <c r="F24" s="37">
        <f>'Goal Seek 6th order'!$H$11*(1+$B$18)</f>
        <v>54.05</v>
      </c>
      <c r="G24" s="37">
        <f>(E24*'Goal Seek 6th order'!$K15)/(40*10^-6)</f>
        <v>1.5616440565272218E-3</v>
      </c>
      <c r="H24" s="37">
        <f>(F24*'Goal Seek 6th order'!$K15)/(40*10^-6)</f>
        <v>0.14679454131355871</v>
      </c>
      <c r="I24" s="50">
        <f>(('Goal Seek 6th order'!$P$23)/(B24+(12.5*(1+3.76))))</f>
        <v>1.0863610828015446E-7</v>
      </c>
      <c r="J24" s="50">
        <f t="shared" si="6"/>
        <v>7.795835766292164E-6</v>
      </c>
      <c r="L24" s="37">
        <v>0.96</v>
      </c>
      <c r="M24" s="44">
        <f t="shared" si="10"/>
        <v>8.0640000000000001</v>
      </c>
      <c r="N24" s="44">
        <f t="shared" si="11"/>
        <v>9.072000000000001</v>
      </c>
      <c r="O24" s="44">
        <f>('Goal Seek 6th order'!$S$11*(1-L24))*(1+$L$18)</f>
        <v>0.60000000000000053</v>
      </c>
      <c r="P24" s="37">
        <f>'Goal Seek 6th order'!$H$11*(1+$L$18)</f>
        <v>56.4</v>
      </c>
      <c r="Q24" s="37">
        <f>(O24*'Goal Seek 6th order'!$K15)/(40*10^-6)</f>
        <v>1.6295416242023183E-3</v>
      </c>
      <c r="R24" s="37">
        <f>(P24*'Goal Seek 6th order'!$K15)/(40*10^-6)</f>
        <v>0.15317691267501779</v>
      </c>
      <c r="S24" s="50">
        <f>(('Goal Seek 6th order'!$P$23)/(L24+(12.5*(1+3.76))))</f>
        <v>1.0863610828015446E-7</v>
      </c>
      <c r="T24" s="50">
        <f t="shared" si="7"/>
        <v>8.0538465234575301E-6</v>
      </c>
    </row>
    <row r="25" spans="2:20" x14ac:dyDescent="0.3">
      <c r="B25" s="37">
        <v>0.95</v>
      </c>
      <c r="C25" s="44">
        <f t="shared" si="8"/>
        <v>7.9799999999999995</v>
      </c>
      <c r="D25" s="44">
        <f t="shared" si="9"/>
        <v>8.9775000000000009</v>
      </c>
      <c r="E25" s="44">
        <f>('Goal Seek 6th order'!$S$11*(1-B25))*(1+$B$18)</f>
        <v>0.71875000000000056</v>
      </c>
      <c r="F25" s="37">
        <f>'Goal Seek 6th order'!$H$11*(1+$B$18)</f>
        <v>54.05</v>
      </c>
      <c r="G25" s="37">
        <f>(E25*'Goal Seek 6th order'!$K16)/(40*10^-6)</f>
        <v>1.9523779912662494E-3</v>
      </c>
      <c r="H25" s="37">
        <f>(F25*'Goal Seek 6th order'!$K16)/(40*10^-6)</f>
        <v>0.14681882494322182</v>
      </c>
      <c r="I25" s="50">
        <f>(('Goal Seek 6th order'!$P$23)/(B25+(12.5*(1+3.76))))</f>
        <v>1.0865407951394769E-7</v>
      </c>
      <c r="J25" s="50">
        <f t="shared" si="6"/>
        <v>7.7933496707372892E-6</v>
      </c>
      <c r="L25" s="37">
        <v>0.95</v>
      </c>
      <c r="M25" s="44">
        <f t="shared" si="10"/>
        <v>7.9799999999999995</v>
      </c>
      <c r="N25" s="44">
        <f t="shared" si="11"/>
        <v>8.9775000000000009</v>
      </c>
      <c r="O25" s="44">
        <f>('Goal Seek 6th order'!$S$11*(1-L25))*(1+$L$18)</f>
        <v>0.75000000000000067</v>
      </c>
      <c r="P25" s="37">
        <f>'Goal Seek 6th order'!$H$11*(1+$L$18)</f>
        <v>56.4</v>
      </c>
      <c r="Q25" s="37">
        <f>(O25*'Goal Seek 6th order'!$K16)/(40*10^-6)</f>
        <v>2.0372639908865214E-3</v>
      </c>
      <c r="R25" s="37">
        <f>(P25*'Goal Seek 6th order'!$K16)/(40*10^-6)</f>
        <v>0.15320225211466626</v>
      </c>
      <c r="S25" s="50">
        <f>(('Goal Seek 6th order'!$P$23)/(L25+(12.5*(1+3.76))))</f>
        <v>1.0865407951394769E-7</v>
      </c>
      <c r="T25" s="50">
        <f t="shared" si="7"/>
        <v>8.0520821975798788E-6</v>
      </c>
    </row>
    <row r="26" spans="2:20" x14ac:dyDescent="0.3">
      <c r="B26" s="37">
        <v>0.9</v>
      </c>
      <c r="C26" s="44">
        <f t="shared" si="8"/>
        <v>7.5600000000000005</v>
      </c>
      <c r="D26" s="44">
        <f t="shared" si="9"/>
        <v>8.5050000000000008</v>
      </c>
      <c r="E26" s="44">
        <f>('Goal Seek 6th order'!$S$11*(1-B26))*(1+$B$18)</f>
        <v>1.4374999999999996</v>
      </c>
      <c r="F26" s="37">
        <f>'Goal Seek 6th order'!$H$11*(1+$B$18)</f>
        <v>54.05</v>
      </c>
      <c r="G26" s="37">
        <f>(E26*'Goal Seek 6th order'!$K17)/(40*10^-6)</f>
        <v>3.907988396425319E-3</v>
      </c>
      <c r="H26" s="37">
        <f>(F26*'Goal Seek 6th order'!$K17)/(40*10^-6)</f>
        <v>0.14694036370559208</v>
      </c>
      <c r="I26" s="50">
        <f>(('Goal Seek 6th order'!$P$23)/(B26+(12.5*(1+3.76))))</f>
        <v>1.0874402494400892E-7</v>
      </c>
      <c r="J26" s="50">
        <f t="shared" si="6"/>
        <v>7.7809068448061977E-6</v>
      </c>
      <c r="L26" s="37">
        <v>0.9</v>
      </c>
      <c r="M26" s="44">
        <f t="shared" si="10"/>
        <v>7.5600000000000005</v>
      </c>
      <c r="N26" s="44">
        <f t="shared" si="11"/>
        <v>8.5050000000000008</v>
      </c>
      <c r="O26" s="44">
        <f>('Goal Seek 6th order'!$S$11*(1-L26))*(1+$L$18)</f>
        <v>1.4999999999999998</v>
      </c>
      <c r="P26" s="37">
        <f>'Goal Seek 6th order'!$H$11*(1+$L$18)</f>
        <v>56.4</v>
      </c>
      <c r="Q26" s="37">
        <f>(O26*'Goal Seek 6th order'!$K17)/(40*10^-6)</f>
        <v>4.0779009354003342E-3</v>
      </c>
      <c r="R26" s="37">
        <f>(P26*'Goal Seek 6th order'!$K17)/(40*10^-6)</f>
        <v>0.1533290751710526</v>
      </c>
      <c r="S26" s="50">
        <f>(('Goal Seek 6th order'!$P$23)/(L26+(12.5*(1+3.76))))</f>
        <v>1.0874402494400892E-7</v>
      </c>
      <c r="T26" s="50">
        <f t="shared" si="7"/>
        <v>8.0432518049836202E-6</v>
      </c>
    </row>
    <row r="27" spans="2:20" x14ac:dyDescent="0.3">
      <c r="B27" s="37">
        <v>0.85</v>
      </c>
      <c r="C27" s="44">
        <f t="shared" si="8"/>
        <v>7.14</v>
      </c>
      <c r="D27" s="44">
        <f t="shared" si="9"/>
        <v>8.0325000000000006</v>
      </c>
      <c r="E27" s="44">
        <f>('Goal Seek 6th order'!$S$11*(1-B27))*(1+$B$18)</f>
        <v>2.15625</v>
      </c>
      <c r="F27" s="37">
        <f>'Goal Seek 6th order'!$H$11*(1+$B$18)</f>
        <v>54.05</v>
      </c>
      <c r="G27" s="37">
        <f>(E27*'Goal Seek 6th order'!$K18)/(40*10^-6)</f>
        <v>5.8668392496459658E-3</v>
      </c>
      <c r="H27" s="37">
        <f>(F27*'Goal Seek 6th order'!$K18)/(40*10^-6)</f>
        <v>0.1470621038577922</v>
      </c>
      <c r="I27" s="50">
        <f>(('Goal Seek 6th order'!$P$23)/(B27+(12.5*(1+3.76))))</f>
        <v>1.0883411941372226E-7</v>
      </c>
      <c r="J27" s="50">
        <f t="shared" si="6"/>
        <v>7.7684434011022278E-6</v>
      </c>
      <c r="L27" s="37">
        <v>0.85</v>
      </c>
      <c r="M27" s="44">
        <f t="shared" si="10"/>
        <v>7.14</v>
      </c>
      <c r="N27" s="44">
        <f t="shared" si="11"/>
        <v>8.0325000000000006</v>
      </c>
      <c r="O27" s="44">
        <f>('Goal Seek 6th order'!$S$11*(1-L27))*(1+$L$18)</f>
        <v>2.25</v>
      </c>
      <c r="P27" s="37">
        <f>'Goal Seek 6th order'!$H$11*(1+$L$18)</f>
        <v>56.4</v>
      </c>
      <c r="Q27" s="37">
        <f>(O27*'Goal Seek 6th order'!$K18)/(40*10^-6)</f>
        <v>6.1219192170218779E-3</v>
      </c>
      <c r="R27" s="37">
        <f>(P27*'Goal Seek 6th order'!$K18)/(40*10^-6)</f>
        <v>0.15345610837334839</v>
      </c>
      <c r="S27" s="50">
        <f>(('Goal Seek 6th order'!$P$23)/(L27+(12.5*(1+3.76))))</f>
        <v>1.0883411941372226E-7</v>
      </c>
      <c r="T27" s="50">
        <f t="shared" si="7"/>
        <v>8.0344067804195101E-6</v>
      </c>
    </row>
    <row r="28" spans="2:20" x14ac:dyDescent="0.3">
      <c r="B28" s="37">
        <v>0.8</v>
      </c>
      <c r="C28" s="44">
        <f t="shared" si="8"/>
        <v>6.7200000000000006</v>
      </c>
      <c r="D28" s="44">
        <f t="shared" si="9"/>
        <v>7.5600000000000014</v>
      </c>
      <c r="E28" s="44">
        <f>('Goal Seek 6th order'!$S$11*(1-B28))*(1+$B$18)</f>
        <v>2.8749999999999991</v>
      </c>
      <c r="F28" s="37">
        <f>'Goal Seek 6th order'!$H$11*(1+$B$18)</f>
        <v>54.05</v>
      </c>
      <c r="G28" s="37">
        <f>(E28*'Goal Seek 6th order'!$K19)/(40*10^-6)</f>
        <v>7.8289386117442565E-3</v>
      </c>
      <c r="H28" s="37">
        <f>(F28*'Goal Seek 6th order'!$K19)/(40*10^-6)</f>
        <v>0.14718404590079204</v>
      </c>
      <c r="I28" s="50">
        <f>(('Goal Seek 6th order'!$P$23)/(B28+(12.5*(1+3.76))))</f>
        <v>1.0892436329383315E-7</v>
      </c>
      <c r="J28" s="50">
        <f t="shared" si="6"/>
        <v>7.755959288337389E-6</v>
      </c>
      <c r="L28" s="37">
        <v>0.8</v>
      </c>
      <c r="M28" s="44">
        <f t="shared" si="10"/>
        <v>6.7200000000000006</v>
      </c>
      <c r="N28" s="44">
        <f t="shared" si="11"/>
        <v>7.5600000000000014</v>
      </c>
      <c r="O28" s="44">
        <f>('Goal Seek 6th order'!$S$11*(1-L28))*(1+$L$18)</f>
        <v>2.9999999999999996</v>
      </c>
      <c r="P28" s="37">
        <f>'Goal Seek 6th order'!$H$11*(1+$L$18)</f>
        <v>56.4</v>
      </c>
      <c r="Q28" s="37">
        <f>(O28*'Goal Seek 6th order'!$K19)/(40*10^-6)</f>
        <v>8.1693272470374848E-3</v>
      </c>
      <c r="R28" s="37">
        <f>(P28*'Goal Seek 6th order'!$K19)/(40*10^-6)</f>
        <v>0.15358335224430475</v>
      </c>
      <c r="S28" s="50">
        <f>(('Goal Seek 6th order'!$P$23)/(L28+(12.5*(1+3.76))))</f>
        <v>1.0892436329383315E-7</v>
      </c>
      <c r="T28" s="50">
        <f t="shared" si="7"/>
        <v>8.0255470874896264E-6</v>
      </c>
    </row>
    <row r="29" spans="2:20" x14ac:dyDescent="0.3">
      <c r="B29" s="37">
        <v>0.75</v>
      </c>
      <c r="C29" s="44">
        <f t="shared" si="8"/>
        <v>6.3000000000000007</v>
      </c>
      <c r="D29" s="44">
        <f t="shared" si="9"/>
        <v>7.0875000000000004</v>
      </c>
      <c r="E29" s="44">
        <f>('Goal Seek 6th order'!$S$11*(1-B29))*(1+$B$18)</f>
        <v>3.5937499999999996</v>
      </c>
      <c r="F29" s="37">
        <f>'Goal Seek 6th order'!$H$11*(1+$B$18)</f>
        <v>54.05</v>
      </c>
      <c r="G29" s="37">
        <f>(E29*'Goal Seek 6th order'!$K20)/(40*10^-6)</f>
        <v>9.7942945702941646E-3</v>
      </c>
      <c r="H29" s="37">
        <f>(F29*'Goal Seek 6th order'!$K20)/(40*10^-6)</f>
        <v>0.14730619033722425</v>
      </c>
      <c r="I29" s="50">
        <f>(('Goal Seek 6th order'!$P$23)/(B29+(12.5*(1+3.76))))</f>
        <v>1.0901475695631766E-7</v>
      </c>
      <c r="J29" s="50">
        <f t="shared" si="6"/>
        <v>7.7434544550534386E-6</v>
      </c>
      <c r="L29" s="37">
        <v>0.75</v>
      </c>
      <c r="M29" s="44">
        <f t="shared" si="10"/>
        <v>6.3000000000000007</v>
      </c>
      <c r="N29" s="44">
        <f t="shared" si="11"/>
        <v>7.0875000000000004</v>
      </c>
      <c r="O29" s="44">
        <f>('Goal Seek 6th order'!$S$11*(1-L29))*(1+$L$18)</f>
        <v>3.75</v>
      </c>
      <c r="P29" s="37">
        <f>'Goal Seek 6th order'!$H$11*(1+$L$18)</f>
        <v>56.4</v>
      </c>
      <c r="Q29" s="37">
        <f>(O29*'Goal Seek 6th order'!$K20)/(40*10^-6)</f>
        <v>1.0220133464654781E-2</v>
      </c>
      <c r="R29" s="37">
        <f>(P29*'Goal Seek 6th order'!$K20)/(40*10^-6)</f>
        <v>0.15371080730840789</v>
      </c>
      <c r="S29" s="50">
        <f>(('Goal Seek 6th order'!$P$23)/(L29+(12.5*(1+3.76))))</f>
        <v>1.0901475695631766E-7</v>
      </c>
      <c r="T29" s="50">
        <f t="shared" si="7"/>
        <v>8.0166726896752091E-6</v>
      </c>
    </row>
    <row r="30" spans="2:20" x14ac:dyDescent="0.3">
      <c r="B30" s="37">
        <v>0.7</v>
      </c>
      <c r="C30" s="44">
        <f t="shared" si="8"/>
        <v>5.88</v>
      </c>
      <c r="D30" s="44">
        <f t="shared" si="9"/>
        <v>6.6150000000000002</v>
      </c>
      <c r="E30" s="44">
        <f>('Goal Seek 6th order'!$S$11*(1-B30))*(1+$B$18)</f>
        <v>4.3125</v>
      </c>
      <c r="F30" s="37">
        <f>'Goal Seek 6th order'!$H$11*(1+$B$18)</f>
        <v>54.05</v>
      </c>
      <c r="G30" s="37">
        <f>(E30*'Goal Seek 6th order'!$K21)/(40*10^-6)</f>
        <v>1.1762915239738674E-2</v>
      </c>
      <c r="H30" s="37">
        <f>(F30*'Goal Seek 6th order'!$K21)/(40*10^-6)</f>
        <v>0.14742853767139136</v>
      </c>
      <c r="I30" s="50">
        <f>(('Goal Seek 6th order'!$P$23)/(B30+(12.5*(1+3.76))))</f>
        <v>1.0910530077438768E-7</v>
      </c>
      <c r="J30" s="50">
        <f t="shared" si="6"/>
        <v>7.7309288496211757E-6</v>
      </c>
      <c r="L30" s="37">
        <v>0.7</v>
      </c>
      <c r="M30" s="44">
        <f t="shared" si="10"/>
        <v>5.88</v>
      </c>
      <c r="N30" s="44">
        <f t="shared" si="11"/>
        <v>6.6150000000000002</v>
      </c>
      <c r="O30" s="44">
        <f>('Goal Seek 6th order'!$S$11*(1-L30))*(1+$L$18)</f>
        <v>4.5</v>
      </c>
      <c r="P30" s="37">
        <f>'Goal Seek 6th order'!$H$11*(1+$L$18)</f>
        <v>56.4</v>
      </c>
      <c r="Q30" s="37">
        <f>(O30*'Goal Seek 6th order'!$K21)/(40*10^-6)</f>
        <v>1.2274346337118614E-2</v>
      </c>
      <c r="R30" s="37">
        <f>(P30*'Goal Seek 6th order'!$K21)/(40*10^-6)</f>
        <v>0.15383847409188664</v>
      </c>
      <c r="S30" s="50">
        <f>(('Goal Seek 6th order'!$P$23)/(L30+(12.5*(1+3.76))))</f>
        <v>1.0910530077438768E-7</v>
      </c>
      <c r="T30" s="50">
        <f t="shared" si="7"/>
        <v>8.0077835503361828E-6</v>
      </c>
    </row>
    <row r="31" spans="2:20" x14ac:dyDescent="0.3">
      <c r="B31" s="37">
        <v>0.65</v>
      </c>
      <c r="C31" s="44">
        <f t="shared" si="8"/>
        <v>5.4600000000000009</v>
      </c>
      <c r="D31" s="44">
        <f t="shared" si="9"/>
        <v>6.142500000000001</v>
      </c>
      <c r="E31" s="44">
        <f>('Goal Seek 6th order'!$S$11*(1-B31))*(1+$B$18)</f>
        <v>5.03125</v>
      </c>
      <c r="F31" s="37">
        <f>'Goal Seek 6th order'!$H$11*(1+$B$18)</f>
        <v>54.05</v>
      </c>
      <c r="G31" s="37">
        <f>(E31*'Goal Seek 6th order'!$K22)/(40*10^-6)</f>
        <v>1.3734808761501459E-2</v>
      </c>
      <c r="H31" s="37">
        <f>(F31*'Goal Seek 6th order'!$K22)/(40*10^-6)</f>
        <v>0.14755108840927281</v>
      </c>
      <c r="I31" s="50">
        <f>(('Goal Seek 6th order'!$P$23)/(B31+(12.5*(1+3.76))))</f>
        <v>1.0919599512249607E-7</v>
      </c>
      <c r="J31" s="50">
        <f t="shared" si="6"/>
        <v>7.7183824202397313E-6</v>
      </c>
      <c r="L31" s="37">
        <v>0.65</v>
      </c>
      <c r="M31" s="44">
        <f t="shared" si="10"/>
        <v>5.4600000000000009</v>
      </c>
      <c r="N31" s="44">
        <f t="shared" si="11"/>
        <v>6.142500000000001</v>
      </c>
      <c r="O31" s="44">
        <f>('Goal Seek 6th order'!$S$11*(1-L31))*(1+$L$18)</f>
        <v>5.25</v>
      </c>
      <c r="P31" s="37">
        <f>'Goal Seek 6th order'!$H$11*(1+$L$18)</f>
        <v>56.4</v>
      </c>
      <c r="Q31" s="37">
        <f>(O31*'Goal Seek 6th order'!$K22)/(40*10^-6)</f>
        <v>1.4331974359827609E-2</v>
      </c>
      <c r="R31" s="37">
        <f>(P31*'Goal Seek 6th order'!$K22)/(40*10^-6)</f>
        <v>0.15396635312271947</v>
      </c>
      <c r="S31" s="50">
        <f>(('Goal Seek 6th order'!$P$23)/(L31+(12.5*(1+3.76))))</f>
        <v>1.0919599512249607E-7</v>
      </c>
      <c r="T31" s="50">
        <f t="shared" si="7"/>
        <v>7.9988796327106433E-6</v>
      </c>
    </row>
    <row r="32" spans="2:20" x14ac:dyDescent="0.3">
      <c r="B32" s="37">
        <v>0.6</v>
      </c>
      <c r="C32" s="44">
        <f t="shared" si="8"/>
        <v>5.04</v>
      </c>
      <c r="D32" s="44">
        <f t="shared" si="9"/>
        <v>5.6700000000000008</v>
      </c>
      <c r="E32" s="44">
        <f>('Goal Seek 6th order'!$S$11*(1-B32))*(1+$B$18)</f>
        <v>5.75</v>
      </c>
      <c r="F32" s="37">
        <f>'Goal Seek 6th order'!$H$11*(1+$B$18)</f>
        <v>54.05</v>
      </c>
      <c r="G32" s="37">
        <f>(E32*'Goal Seek 6th order'!$K23)/(40*10^-6)</f>
        <v>1.5709983304099125E-2</v>
      </c>
      <c r="H32" s="37">
        <f>(F32*'Goal Seek 6th order'!$K23)/(40*10^-6)</f>
        <v>0.14767384305853176</v>
      </c>
      <c r="I32" s="50">
        <f>(('Goal Seek 6th order'!$P$23)/(B32+(12.5*(1+3.76))))</f>
        <v>1.0928684037634173E-7</v>
      </c>
      <c r="J32" s="50">
        <f t="shared" si="6"/>
        <v>7.7058151149358549E-6</v>
      </c>
      <c r="L32" s="37">
        <v>0.6</v>
      </c>
      <c r="M32" s="44">
        <f t="shared" si="10"/>
        <v>5.04</v>
      </c>
      <c r="N32" s="44">
        <f t="shared" si="11"/>
        <v>5.6700000000000008</v>
      </c>
      <c r="O32" s="44">
        <f>('Goal Seek 6th order'!$S$11*(1-L32))*(1+$L$18)</f>
        <v>6</v>
      </c>
      <c r="P32" s="37">
        <f>'Goal Seek 6th order'!$H$11*(1+$L$18)</f>
        <v>56.4</v>
      </c>
      <c r="Q32" s="37">
        <f>(O32*'Goal Seek 6th order'!$K23)/(40*10^-6)</f>
        <v>1.6393026056451262E-2</v>
      </c>
      <c r="R32" s="37">
        <f>(P32*'Goal Seek 6th order'!$K23)/(40*10^-6)</f>
        <v>0.15409444493064184</v>
      </c>
      <c r="S32" s="50">
        <f>(('Goal Seek 6th order'!$P$23)/(L32+(12.5*(1+3.76))))</f>
        <v>1.0928684037634173E-7</v>
      </c>
      <c r="T32" s="50">
        <f t="shared" si="7"/>
        <v>7.9899608999143444E-6</v>
      </c>
    </row>
    <row r="34" spans="2:20" x14ac:dyDescent="0.3">
      <c r="B34" s="142">
        <v>0.25</v>
      </c>
      <c r="C34" s="143"/>
      <c r="D34" s="143"/>
      <c r="E34" s="143"/>
      <c r="F34" s="143"/>
      <c r="G34" s="143"/>
      <c r="H34" s="143"/>
      <c r="I34" s="143"/>
      <c r="J34" s="144"/>
      <c r="L34" s="138">
        <v>0.3</v>
      </c>
      <c r="M34" s="138"/>
      <c r="N34" s="138"/>
      <c r="O34" s="138"/>
      <c r="P34" s="138"/>
      <c r="Q34" s="138"/>
      <c r="R34" s="138"/>
      <c r="S34" s="138"/>
      <c r="T34" s="138"/>
    </row>
    <row r="35" spans="2:20" x14ac:dyDescent="0.3">
      <c r="B35" s="22" t="s">
        <v>106</v>
      </c>
      <c r="C35" s="22" t="s">
        <v>33</v>
      </c>
      <c r="D35" s="22" t="s">
        <v>59</v>
      </c>
      <c r="E35" s="22" t="s">
        <v>57</v>
      </c>
      <c r="F35" s="22" t="s">
        <v>58</v>
      </c>
      <c r="G35" s="22" t="s">
        <v>91</v>
      </c>
      <c r="H35" s="22" t="s">
        <v>92</v>
      </c>
      <c r="I35" s="22" t="s">
        <v>93</v>
      </c>
      <c r="J35" s="33" t="s">
        <v>109</v>
      </c>
      <c r="L35" s="38" t="s">
        <v>106</v>
      </c>
      <c r="M35" s="38" t="s">
        <v>33</v>
      </c>
      <c r="N35" s="38" t="s">
        <v>59</v>
      </c>
      <c r="O35" s="38" t="s">
        <v>57</v>
      </c>
      <c r="P35" s="38" t="s">
        <v>58</v>
      </c>
      <c r="Q35" s="38" t="s">
        <v>91</v>
      </c>
      <c r="R35" s="38" t="s">
        <v>92</v>
      </c>
      <c r="S35" s="38" t="s">
        <v>93</v>
      </c>
      <c r="T35" s="39" t="s">
        <v>109</v>
      </c>
    </row>
    <row r="36" spans="2:20" x14ac:dyDescent="0.3">
      <c r="B36" s="37">
        <v>1</v>
      </c>
      <c r="C36" s="44">
        <f>8*(1+B34)</f>
        <v>10</v>
      </c>
      <c r="D36" s="44">
        <f>'Goal Seek 6th order'!$F$11*(1+B34)</f>
        <v>11.25</v>
      </c>
      <c r="E36" s="44">
        <f>'Goal Seek 6th order'!$S$11*(1-B36)</f>
        <v>0</v>
      </c>
      <c r="F36" s="37">
        <f>'Goal Seek 6th order'!$H$11*(1+$B$34)</f>
        <v>58.75</v>
      </c>
      <c r="G36" s="37">
        <f>(E36*'Goal Seek 6th order'!$K11)/(40*10^-6)</f>
        <v>0</v>
      </c>
      <c r="H36" s="37">
        <f>(F36*'Goal Seek 6th order'!$K11)/(40*10^-6)</f>
        <v>0.15945379029496515</v>
      </c>
      <c r="I36" s="50">
        <f>(('Goal Seek 6th order'!$P$23)/(B36+(12.5*(1+3.76))))</f>
        <v>1.0856428275401881E-7</v>
      </c>
      <c r="J36" s="50">
        <f>I36*(C36+D36+E36+F36)</f>
        <v>8.685142620321505E-6</v>
      </c>
      <c r="L36" s="37">
        <v>1</v>
      </c>
      <c r="M36" s="44">
        <f>8*(1+L34)</f>
        <v>10.4</v>
      </c>
      <c r="N36" s="44">
        <f>'Goal Seek 6th order'!$F$11*(1+L34)</f>
        <v>11.700000000000001</v>
      </c>
      <c r="O36" s="44">
        <f>'Goal Seek 6th order'!$S$11*(1-L36)</f>
        <v>0</v>
      </c>
      <c r="P36" s="37">
        <f>'Goal Seek 6th order'!$H$11*(1+$L$34)</f>
        <v>61.1</v>
      </c>
      <c r="Q36" s="37">
        <f>(O36*'Goal Seek 6th order'!$K11)/(40*10^-6)</f>
        <v>0</v>
      </c>
      <c r="R36" s="37">
        <f>(P36*'Goal Seek 6th order'!$K11)/(40*10^-6)</f>
        <v>0.16583194190676376</v>
      </c>
      <c r="S36" s="50">
        <f>(('Goal Seek 6th order'!$P$23)/(L36+(12.5*(1+3.76))))</f>
        <v>1.0856428275401881E-7</v>
      </c>
      <c r="T36" s="50">
        <f>S36*(M36+N36+O36+P36)</f>
        <v>9.0325483251343659E-6</v>
      </c>
    </row>
    <row r="37" spans="2:20" x14ac:dyDescent="0.3">
      <c r="B37" s="37">
        <v>0.99</v>
      </c>
      <c r="C37" s="44">
        <f>$C$4*B37</f>
        <v>8.3160000000000007</v>
      </c>
      <c r="D37" s="44">
        <f>$D$4*B37</f>
        <v>9.355500000000001</v>
      </c>
      <c r="E37" s="44">
        <f>('Goal Seek 6th order'!$S$11*(1-B37))*(1+$B$34)</f>
        <v>0.15625000000000014</v>
      </c>
      <c r="F37" s="37">
        <f>'Goal Seek 6th order'!$H$11*(1+$B$34)</f>
        <v>58.75</v>
      </c>
      <c r="G37" s="37">
        <f>(E37*'Goal Seek 6th order'!$K12)/(40*10^-6)</f>
        <v>4.2414933683628913E-4</v>
      </c>
      <c r="H37" s="37">
        <f>(F37*'Goal Seek 6th order'!$K12)/(40*10^-6)</f>
        <v>0.15948015065044457</v>
      </c>
      <c r="I37" s="50">
        <f>(('Goal Seek 6th order'!$P$23)/(B37+(12.5*(1+3.76))))</f>
        <v>1.0858223023008991E-7</v>
      </c>
      <c r="J37" s="50">
        <f t="shared" ref="J37:J48" si="12">I37*(C37+D37+E37+F37)</f>
        <v>8.3149828810022684E-6</v>
      </c>
      <c r="L37" s="37">
        <v>0.99</v>
      </c>
      <c r="M37" s="44">
        <f>$C$4*L37</f>
        <v>8.3160000000000007</v>
      </c>
      <c r="N37" s="44">
        <f>$D$4*L37</f>
        <v>9.355500000000001</v>
      </c>
      <c r="O37" s="44">
        <f>('Goal Seek 6th order'!$S$11*(1-L37))*(1+$L$34)</f>
        <v>0.16250000000000014</v>
      </c>
      <c r="P37" s="37">
        <f>'Goal Seek 6th order'!$H$11*(1+$L$34)</f>
        <v>61.1</v>
      </c>
      <c r="Q37" s="37">
        <f>(O37*'Goal Seek 6th order'!$K12)/(40*10^-6)</f>
        <v>4.4111531030974069E-4</v>
      </c>
      <c r="R37" s="37">
        <f>(P37*'Goal Seek 6th order'!$K12)/(40*10^-6)</f>
        <v>0.16585935667646237</v>
      </c>
      <c r="S37" s="50">
        <f>(('Goal Seek 6th order'!$P$23)/(L37+(12.5*(1+3.76))))</f>
        <v>1.0858223023008991E-7</v>
      </c>
      <c r="T37" s="50">
        <f t="shared" ref="T37:T48" si="13">S37*(M37+N37+O37+P37)</f>
        <v>8.5708297609819167E-6</v>
      </c>
    </row>
    <row r="38" spans="2:20" x14ac:dyDescent="0.3">
      <c r="B38" s="37">
        <v>0.98</v>
      </c>
      <c r="C38" s="44">
        <f t="shared" ref="C38:C48" si="14">$C$4*B38</f>
        <v>8.2319999999999993</v>
      </c>
      <c r="D38" s="44">
        <f t="shared" ref="D38:D48" si="15">$D$4*B38</f>
        <v>9.261000000000001</v>
      </c>
      <c r="E38" s="44">
        <f>('Goal Seek 6th order'!$S$11*(1-B38))*(1+$B$34)</f>
        <v>0.31250000000000028</v>
      </c>
      <c r="F38" s="37">
        <f>'Goal Seek 6th order'!$H$11*(1+$B$34)</f>
        <v>58.75</v>
      </c>
      <c r="G38" s="37">
        <f>(E38*'Goal Seek 6th order'!$K13)/(40*10^-6)</f>
        <v>8.4843893469666422E-4</v>
      </c>
      <c r="H38" s="37">
        <f>(F38*'Goal Seek 6th order'!$K13)/(40*10^-6)</f>
        <v>0.15950651972297275</v>
      </c>
      <c r="I38" s="50">
        <f>(('Goal Seek 6th order'!$P$23)/(B38+(12.5*(1+3.76))))</f>
        <v>1.0860018364117293E-7</v>
      </c>
      <c r="J38" s="50">
        <f t="shared" si="12"/>
        <v>8.3139413587418133E-6</v>
      </c>
      <c r="L38" s="37">
        <v>0.98</v>
      </c>
      <c r="M38" s="44">
        <f t="shared" ref="M38:M48" si="16">$C$4*L38</f>
        <v>8.2319999999999993</v>
      </c>
      <c r="N38" s="44">
        <f t="shared" ref="N38:N48" si="17">$D$4*L38</f>
        <v>9.261000000000001</v>
      </c>
      <c r="O38" s="44">
        <f>('Goal Seek 6th order'!$S$11*(1-L38))*(1+$L$34)</f>
        <v>0.32500000000000029</v>
      </c>
      <c r="P38" s="37">
        <f>'Goal Seek 6th order'!$H$11*(1+$L$34)</f>
        <v>61.1</v>
      </c>
      <c r="Q38" s="37">
        <f>(O38*'Goal Seek 6th order'!$K13)/(40*10^-6)</f>
        <v>8.8237649208453093E-4</v>
      </c>
      <c r="R38" s="37">
        <f>(P38*'Goal Seek 6th order'!$K13)/(40*10^-6)</f>
        <v>0.16588678051189168</v>
      </c>
      <c r="S38" s="50">
        <f>(('Goal Seek 6th order'!$P$23)/(L38+(12.5*(1+3.76))))</f>
        <v>1.0860018364117293E-7</v>
      </c>
      <c r="T38" s="50">
        <f t="shared" si="13"/>
        <v>8.5705092925940858E-6</v>
      </c>
    </row>
    <row r="39" spans="2:20" x14ac:dyDescent="0.3">
      <c r="B39" s="37">
        <v>0.97</v>
      </c>
      <c r="C39" s="44">
        <f t="shared" si="14"/>
        <v>8.1479999999999997</v>
      </c>
      <c r="D39" s="44">
        <f t="shared" si="15"/>
        <v>9.166500000000001</v>
      </c>
      <c r="E39" s="44">
        <f>('Goal Seek 6th order'!$S$11*(1-B39))*(1+$B$34)</f>
        <v>0.46875000000000044</v>
      </c>
      <c r="F39" s="37">
        <f>'Goal Seek 6th order'!$H$11*(1+$B$34)</f>
        <v>58.75</v>
      </c>
      <c r="G39" s="37">
        <f>(E39*'Goal Seek 6th order'!$K14)/(40*10^-6)</f>
        <v>1.2728688631665518E-3</v>
      </c>
      <c r="H39" s="37">
        <f>(F39*'Goal Seek 6th order'!$K14)/(40*10^-6)</f>
        <v>0.15953289751687436</v>
      </c>
      <c r="I39" s="50">
        <f>(('Goal Seek 6th order'!$P$23)/(B39+(12.5*(1+3.76))))</f>
        <v>1.0861814299021231E-7</v>
      </c>
      <c r="J39" s="50">
        <f t="shared" si="12"/>
        <v>8.3128994920056674E-6</v>
      </c>
      <c r="L39" s="37">
        <v>0.97</v>
      </c>
      <c r="M39" s="44">
        <f t="shared" si="16"/>
        <v>8.1479999999999997</v>
      </c>
      <c r="N39" s="44">
        <f t="shared" si="17"/>
        <v>9.166500000000001</v>
      </c>
      <c r="O39" s="44">
        <f>('Goal Seek 6th order'!$S$11*(1-L39))*(1+$L$34)</f>
        <v>0.48750000000000043</v>
      </c>
      <c r="P39" s="37">
        <f>'Goal Seek 6th order'!$H$11*(1+$L$34)</f>
        <v>61.1</v>
      </c>
      <c r="Q39" s="37">
        <f>(O39*'Goal Seek 6th order'!$K14)/(40*10^-6)</f>
        <v>1.3237836176932139E-3</v>
      </c>
      <c r="R39" s="37">
        <f>(P39*'Goal Seek 6th order'!$K14)/(40*10^-6)</f>
        <v>0.16591421341754931</v>
      </c>
      <c r="S39" s="50">
        <f>(('Goal Seek 6th order'!$P$23)/(L39+(12.5*(1+3.76))))</f>
        <v>1.0861814299021231E-7</v>
      </c>
      <c r="T39" s="50">
        <f t="shared" si="13"/>
        <v>8.5701887182137323E-6</v>
      </c>
    </row>
    <row r="40" spans="2:20" x14ac:dyDescent="0.3">
      <c r="B40" s="37">
        <v>0.96</v>
      </c>
      <c r="C40" s="44">
        <f t="shared" si="14"/>
        <v>8.0640000000000001</v>
      </c>
      <c r="D40" s="44">
        <f t="shared" si="15"/>
        <v>9.072000000000001</v>
      </c>
      <c r="E40" s="44">
        <f>('Goal Seek 6th order'!$S$11*(1-B40))*(1+$B$34)</f>
        <v>0.62500000000000056</v>
      </c>
      <c r="F40" s="37">
        <f>'Goal Seek 6th order'!$H$11*(1+$B$34)</f>
        <v>58.75</v>
      </c>
      <c r="G40" s="37">
        <f>(E40*'Goal Seek 6th order'!$K15)/(40*10^-6)</f>
        <v>1.697439191877415E-3</v>
      </c>
      <c r="H40" s="37">
        <f>(F40*'Goal Seek 6th order'!$K15)/(40*10^-6)</f>
        <v>0.15955928403647687</v>
      </c>
      <c r="I40" s="50">
        <f>(('Goal Seek 6th order'!$P$23)/(B40+(12.5*(1+3.76))))</f>
        <v>1.0863610828015446E-7</v>
      </c>
      <c r="J40" s="50">
        <f t="shared" si="12"/>
        <v>8.3118572806228979E-6</v>
      </c>
      <c r="L40" s="37">
        <v>0.96</v>
      </c>
      <c r="M40" s="44">
        <f t="shared" si="16"/>
        <v>8.0640000000000001</v>
      </c>
      <c r="N40" s="44">
        <f t="shared" si="17"/>
        <v>9.072000000000001</v>
      </c>
      <c r="O40" s="44">
        <f>('Goal Seek 6th order'!$S$11*(1-L40))*(1+$L$34)</f>
        <v>0.65000000000000058</v>
      </c>
      <c r="P40" s="37">
        <f>'Goal Seek 6th order'!$H$11*(1+$L$34)</f>
        <v>61.1</v>
      </c>
      <c r="Q40" s="37">
        <f>(O40*'Goal Seek 6th order'!$K15)/(40*10^-6)</f>
        <v>1.7653367595525118E-3</v>
      </c>
      <c r="R40" s="37">
        <f>(P40*'Goal Seek 6th order'!$K15)/(40*10^-6)</f>
        <v>0.16594165539793596</v>
      </c>
      <c r="S40" s="50">
        <f>(('Goal Seek 6th order'!$P$23)/(L40+(12.5*(1+3.76))))</f>
        <v>1.0863610828015446E-7</v>
      </c>
      <c r="T40" s="50">
        <f t="shared" si="13"/>
        <v>8.5698680377882657E-6</v>
      </c>
    </row>
    <row r="41" spans="2:20" x14ac:dyDescent="0.3">
      <c r="B41" s="37">
        <v>0.95</v>
      </c>
      <c r="C41" s="44">
        <f t="shared" si="14"/>
        <v>7.9799999999999995</v>
      </c>
      <c r="D41" s="44">
        <f t="shared" si="15"/>
        <v>8.9775000000000009</v>
      </c>
      <c r="E41" s="44">
        <f>('Goal Seek 6th order'!$S$11*(1-B41))*(1+$B$34)</f>
        <v>0.78125000000000067</v>
      </c>
      <c r="F41" s="37">
        <f>'Goal Seek 6th order'!$H$11*(1+$B$34)</f>
        <v>58.75</v>
      </c>
      <c r="G41" s="37">
        <f>(E41*'Goal Seek 6th order'!$K16)/(40*10^-6)</f>
        <v>2.1221499905067932E-3</v>
      </c>
      <c r="H41" s="37">
        <f>(F41*'Goal Seek 6th order'!$K16)/(40*10^-6)</f>
        <v>0.1595856792861107</v>
      </c>
      <c r="I41" s="50">
        <f>(('Goal Seek 6th order'!$P$23)/(B41+(12.5*(1+3.76))))</f>
        <v>1.0865407951394769E-7</v>
      </c>
      <c r="J41" s="50">
        <f t="shared" si="12"/>
        <v>8.3108147244224667E-6</v>
      </c>
      <c r="L41" s="37">
        <v>0.95</v>
      </c>
      <c r="M41" s="44">
        <f t="shared" si="16"/>
        <v>7.9799999999999995</v>
      </c>
      <c r="N41" s="44">
        <f t="shared" si="17"/>
        <v>8.9775000000000009</v>
      </c>
      <c r="O41" s="44">
        <f>('Goal Seek 6th order'!$S$11*(1-L41))*(1+$L$34)</f>
        <v>0.81250000000000078</v>
      </c>
      <c r="P41" s="37">
        <f>'Goal Seek 6th order'!$H$11*(1+$L$34)</f>
        <v>61.1</v>
      </c>
      <c r="Q41" s="37">
        <f>(O41*'Goal Seek 6th order'!$K16)/(40*10^-6)</f>
        <v>2.207035990127065E-3</v>
      </c>
      <c r="R41" s="37">
        <f>(P41*'Goal Seek 6th order'!$K16)/(40*10^-6)</f>
        <v>0.16596910645755511</v>
      </c>
      <c r="S41" s="50">
        <f>(('Goal Seek 6th order'!$P$23)/(L41+(12.5*(1+3.76))))</f>
        <v>1.0865407951394769E-7</v>
      </c>
      <c r="T41" s="50">
        <f t="shared" si="13"/>
        <v>8.5695472512650547E-6</v>
      </c>
    </row>
    <row r="42" spans="2:20" x14ac:dyDescent="0.3">
      <c r="B42" s="37">
        <v>0.9</v>
      </c>
      <c r="C42" s="44">
        <f t="shared" si="14"/>
        <v>7.5600000000000005</v>
      </c>
      <c r="D42" s="44">
        <f t="shared" si="15"/>
        <v>8.5050000000000008</v>
      </c>
      <c r="E42" s="44">
        <f>('Goal Seek 6th order'!$S$11*(1-B42))*(1+$B$34)</f>
        <v>1.5624999999999998</v>
      </c>
      <c r="F42" s="37">
        <f>'Goal Seek 6th order'!$H$11*(1+$B$34)</f>
        <v>58.75</v>
      </c>
      <c r="G42" s="37">
        <f>(E42*'Goal Seek 6th order'!$K17)/(40*10^-6)</f>
        <v>4.2478134743753485E-3</v>
      </c>
      <c r="H42" s="37">
        <f>(F42*'Goal Seek 6th order'!$K17)/(40*10^-6)</f>
        <v>0.15971778663651312</v>
      </c>
      <c r="I42" s="50">
        <f>(('Goal Seek 6th order'!$P$23)/(B42+(12.5*(1+3.76))))</f>
        <v>1.0874402494400892E-7</v>
      </c>
      <c r="J42" s="50">
        <f t="shared" si="12"/>
        <v>8.305596765161041E-6</v>
      </c>
      <c r="L42" s="37">
        <v>0.9</v>
      </c>
      <c r="M42" s="44">
        <f t="shared" si="16"/>
        <v>7.5600000000000005</v>
      </c>
      <c r="N42" s="44">
        <f t="shared" si="17"/>
        <v>8.5050000000000008</v>
      </c>
      <c r="O42" s="44">
        <f>('Goal Seek 6th order'!$S$11*(1-L42))*(1+$L$34)</f>
        <v>1.6249999999999998</v>
      </c>
      <c r="P42" s="37">
        <f>'Goal Seek 6th order'!$H$11*(1+$L$34)</f>
        <v>61.1</v>
      </c>
      <c r="Q42" s="37">
        <f>(O42*'Goal Seek 6th order'!$K17)/(40*10^-6)</f>
        <v>4.4177260133503619E-3</v>
      </c>
      <c r="R42" s="37">
        <f>(P42*'Goal Seek 6th order'!$K17)/(40*10^-6)</f>
        <v>0.16610649810197364</v>
      </c>
      <c r="S42" s="50">
        <f>(('Goal Seek 6th order'!$P$23)/(L42+(12.5*(1+3.76))))</f>
        <v>1.0874402494400892E-7</v>
      </c>
      <c r="T42" s="50">
        <f t="shared" si="13"/>
        <v>8.5679417253384636E-6</v>
      </c>
    </row>
    <row r="43" spans="2:20" x14ac:dyDescent="0.3">
      <c r="B43" s="37">
        <v>0.85</v>
      </c>
      <c r="C43" s="44">
        <f t="shared" si="14"/>
        <v>7.14</v>
      </c>
      <c r="D43" s="44">
        <f t="shared" si="15"/>
        <v>8.0325000000000006</v>
      </c>
      <c r="E43" s="44">
        <f>('Goal Seek 6th order'!$S$11*(1-B43))*(1+$B$34)</f>
        <v>2.3437500000000004</v>
      </c>
      <c r="F43" s="37">
        <f>'Goal Seek 6th order'!$H$11*(1+$B$34)</f>
        <v>58.75</v>
      </c>
      <c r="G43" s="37">
        <f>(E43*'Goal Seek 6th order'!$K18)/(40*10^-6)</f>
        <v>6.3769991843977908E-3</v>
      </c>
      <c r="H43" s="37">
        <f>(F43*'Goal Seek 6th order'!$K18)/(40*10^-6)</f>
        <v>0.15985011288890458</v>
      </c>
      <c r="I43" s="50">
        <f>(('Goal Seek 6th order'!$P$23)/(B43+(12.5*(1+3.76))))</f>
        <v>1.0883411941372226E-7</v>
      </c>
      <c r="J43" s="50">
        <f t="shared" si="12"/>
        <v>8.3003701597367959E-6</v>
      </c>
      <c r="L43" s="37">
        <v>0.85</v>
      </c>
      <c r="M43" s="44">
        <f t="shared" si="16"/>
        <v>7.14</v>
      </c>
      <c r="N43" s="44">
        <f t="shared" si="17"/>
        <v>8.0325000000000006</v>
      </c>
      <c r="O43" s="44">
        <f>('Goal Seek 6th order'!$S$11*(1-L43))*(1+$L$34)</f>
        <v>2.4375000000000004</v>
      </c>
      <c r="P43" s="37">
        <f>'Goal Seek 6th order'!$H$11*(1+$L$34)</f>
        <v>61.1</v>
      </c>
      <c r="Q43" s="37">
        <f>(O43*'Goal Seek 6th order'!$K18)/(40*10^-6)</f>
        <v>6.632079151773702E-3</v>
      </c>
      <c r="R43" s="37">
        <f>(P43*'Goal Seek 6th order'!$K18)/(40*10^-6)</f>
        <v>0.16624411740446077</v>
      </c>
      <c r="S43" s="50">
        <f>(('Goal Seek 6th order'!$P$23)/(L43+(12.5*(1+3.76))))</f>
        <v>1.0883411941372226E-7</v>
      </c>
      <c r="T43" s="50">
        <f t="shared" si="13"/>
        <v>8.5663335390540799E-6</v>
      </c>
    </row>
    <row r="44" spans="2:20" x14ac:dyDescent="0.3">
      <c r="B44" s="37">
        <v>0.8</v>
      </c>
      <c r="C44" s="44">
        <f t="shared" si="14"/>
        <v>6.7200000000000006</v>
      </c>
      <c r="D44" s="44">
        <f t="shared" si="15"/>
        <v>7.5600000000000014</v>
      </c>
      <c r="E44" s="44">
        <f>('Goal Seek 6th order'!$S$11*(1-B44))*(1+$B$34)</f>
        <v>3.1249999999999996</v>
      </c>
      <c r="F44" s="37">
        <f>'Goal Seek 6th order'!$H$11*(1+$B$34)</f>
        <v>58.75</v>
      </c>
      <c r="G44" s="37">
        <f>(E44*'Goal Seek 6th order'!$K19)/(40*10^-6)</f>
        <v>8.5097158823307147E-3</v>
      </c>
      <c r="H44" s="37">
        <f>(F44*'Goal Seek 6th order'!$K19)/(40*10^-6)</f>
        <v>0.15998265858781743</v>
      </c>
      <c r="I44" s="50">
        <f>(('Goal Seek 6th order'!$P$23)/(B44+(12.5*(1+3.76))))</f>
        <v>1.0892436329383315E-7</v>
      </c>
      <c r="J44" s="50">
        <f t="shared" si="12"/>
        <v>8.2951348866418639E-6</v>
      </c>
      <c r="L44" s="37">
        <v>0.8</v>
      </c>
      <c r="M44" s="44">
        <f t="shared" si="16"/>
        <v>6.7200000000000006</v>
      </c>
      <c r="N44" s="44">
        <f t="shared" si="17"/>
        <v>7.5600000000000014</v>
      </c>
      <c r="O44" s="44">
        <f>('Goal Seek 6th order'!$S$11*(1-L44))*(1+$L$34)</f>
        <v>3.2499999999999996</v>
      </c>
      <c r="P44" s="37">
        <f>'Goal Seek 6th order'!$H$11*(1+$L$34)</f>
        <v>61.1</v>
      </c>
      <c r="Q44" s="37">
        <f>(O44*'Goal Seek 6th order'!$K19)/(40*10^-6)</f>
        <v>8.850104517623943E-3</v>
      </c>
      <c r="R44" s="37">
        <f>(P44*'Goal Seek 6th order'!$K19)/(40*10^-6)</f>
        <v>0.16638196493133015</v>
      </c>
      <c r="S44" s="50">
        <f>(('Goal Seek 6th order'!$P$23)/(L44+(12.5*(1+3.76))))</f>
        <v>1.0892436329383315E-7</v>
      </c>
      <c r="T44" s="50">
        <f t="shared" si="13"/>
        <v>8.5647226857940997E-6</v>
      </c>
    </row>
    <row r="45" spans="2:20" x14ac:dyDescent="0.3">
      <c r="B45" s="37">
        <v>0.75</v>
      </c>
      <c r="C45" s="44">
        <f t="shared" si="14"/>
        <v>6.3000000000000007</v>
      </c>
      <c r="D45" s="44">
        <f t="shared" si="15"/>
        <v>7.0875000000000004</v>
      </c>
      <c r="E45" s="44">
        <f>('Goal Seek 6th order'!$S$11*(1-B45))*(1+$B$34)</f>
        <v>3.90625</v>
      </c>
      <c r="F45" s="37">
        <f>'Goal Seek 6th order'!$H$11*(1+$B$34)</f>
        <v>58.75</v>
      </c>
      <c r="G45" s="37">
        <f>(E45*'Goal Seek 6th order'!$K20)/(40*10^-6)</f>
        <v>1.0645972359015397E-2</v>
      </c>
      <c r="H45" s="37">
        <f>(F45*'Goal Seek 6th order'!$K20)/(40*10^-6)</f>
        <v>0.16011542427959158</v>
      </c>
      <c r="I45" s="50">
        <f>(('Goal Seek 6th order'!$P$23)/(B45+(12.5*(1+3.76))))</f>
        <v>1.0901475695631766E-7</v>
      </c>
      <c r="J45" s="50">
        <f t="shared" si="12"/>
        <v>8.2898909242969813E-6</v>
      </c>
      <c r="L45" s="37">
        <v>0.75</v>
      </c>
      <c r="M45" s="44">
        <f t="shared" si="16"/>
        <v>6.3000000000000007</v>
      </c>
      <c r="N45" s="44">
        <f t="shared" si="17"/>
        <v>7.0875000000000004</v>
      </c>
      <c r="O45" s="44">
        <f>('Goal Seek 6th order'!$S$11*(1-L45))*(1+$L$34)</f>
        <v>4.0625</v>
      </c>
      <c r="P45" s="37">
        <f>'Goal Seek 6th order'!$H$11*(1+$L$34)</f>
        <v>61.1</v>
      </c>
      <c r="Q45" s="37">
        <f>(O45*'Goal Seek 6th order'!$K20)/(40*10^-6)</f>
        <v>1.1071811253376014E-2</v>
      </c>
      <c r="R45" s="37">
        <f>(P45*'Goal Seek 6th order'!$K20)/(40*10^-6)</f>
        <v>0.16652004125077524</v>
      </c>
      <c r="S45" s="50">
        <f>(('Goal Seek 6th order'!$P$23)/(L45+(12.5*(1+3.76))))</f>
        <v>1.0901475695631766E-7</v>
      </c>
      <c r="T45" s="50">
        <f t="shared" si="13"/>
        <v>8.5631091589187535E-6</v>
      </c>
    </row>
    <row r="46" spans="2:20" x14ac:dyDescent="0.3">
      <c r="B46" s="37">
        <v>0.7</v>
      </c>
      <c r="C46" s="44">
        <f t="shared" si="14"/>
        <v>5.88</v>
      </c>
      <c r="D46" s="44">
        <f t="shared" si="15"/>
        <v>6.6150000000000002</v>
      </c>
      <c r="E46" s="44">
        <f>('Goal Seek 6th order'!$S$11*(1-B46))*(1+$B$34)</f>
        <v>4.6875000000000009</v>
      </c>
      <c r="F46" s="37">
        <f>'Goal Seek 6th order'!$H$11*(1+$B$34)</f>
        <v>58.75</v>
      </c>
      <c r="G46" s="37">
        <f>(E46*'Goal Seek 6th order'!$K21)/(40*10^-6)</f>
        <v>1.278577743449856E-2</v>
      </c>
      <c r="H46" s="37">
        <f>(F46*'Goal Seek 6th order'!$K21)/(40*10^-6)</f>
        <v>0.16024841051238192</v>
      </c>
      <c r="I46" s="50">
        <f>(('Goal Seek 6th order'!$P$23)/(B46+(12.5*(1+3.76))))</f>
        <v>1.0910530077438768E-7</v>
      </c>
      <c r="J46" s="50">
        <f t="shared" si="12"/>
        <v>8.2846382510511932E-6</v>
      </c>
      <c r="L46" s="37">
        <v>0.7</v>
      </c>
      <c r="M46" s="44">
        <f t="shared" si="16"/>
        <v>5.88</v>
      </c>
      <c r="N46" s="44">
        <f t="shared" si="17"/>
        <v>6.6150000000000002</v>
      </c>
      <c r="O46" s="44">
        <f>('Goal Seek 6th order'!$S$11*(1-L46))*(1+$L$34)</f>
        <v>4.8750000000000009</v>
      </c>
      <c r="P46" s="37">
        <f>'Goal Seek 6th order'!$H$11*(1+$L$34)</f>
        <v>61.1</v>
      </c>
      <c r="Q46" s="37">
        <f>(O46*'Goal Seek 6th order'!$K21)/(40*10^-6)</f>
        <v>1.3297208531878501E-2</v>
      </c>
      <c r="R46" s="37">
        <f>(P46*'Goal Seek 6th order'!$K21)/(40*10^-6)</f>
        <v>0.1666583469328772</v>
      </c>
      <c r="S46" s="50">
        <f>(('Goal Seek 6th order'!$P$23)/(L46+(12.5*(1+3.76))))</f>
        <v>1.0910530077438768E-7</v>
      </c>
      <c r="T46" s="50">
        <f t="shared" si="13"/>
        <v>8.5614929517662019E-6</v>
      </c>
    </row>
    <row r="47" spans="2:20" x14ac:dyDescent="0.3">
      <c r="B47" s="37">
        <v>0.65</v>
      </c>
      <c r="C47" s="44">
        <f t="shared" si="14"/>
        <v>5.4600000000000009</v>
      </c>
      <c r="D47" s="44">
        <f t="shared" si="15"/>
        <v>6.142500000000001</v>
      </c>
      <c r="E47" s="44">
        <f>('Goal Seek 6th order'!$S$11*(1-B47))*(1+$B$34)</f>
        <v>5.46875</v>
      </c>
      <c r="F47" s="37">
        <f>'Goal Seek 6th order'!$H$11*(1+$B$34)</f>
        <v>58.75</v>
      </c>
      <c r="G47" s="37">
        <f>(E47*'Goal Seek 6th order'!$K22)/(40*10^-6)</f>
        <v>1.492913995815376E-2</v>
      </c>
      <c r="H47" s="37">
        <f>(F47*'Goal Seek 6th order'!$K22)/(40*10^-6)</f>
        <v>0.16038161783616611</v>
      </c>
      <c r="I47" s="50">
        <f>(('Goal Seek 6th order'!$P$23)/(B47+(12.5*(1+3.76))))</f>
        <v>1.0919599512249607E-7</v>
      </c>
      <c r="J47" s="50">
        <f t="shared" si="12"/>
        <v>8.2793768451815552E-6</v>
      </c>
      <c r="L47" s="37">
        <v>0.65</v>
      </c>
      <c r="M47" s="44">
        <f t="shared" si="16"/>
        <v>5.4600000000000009</v>
      </c>
      <c r="N47" s="44">
        <f t="shared" si="17"/>
        <v>6.142500000000001</v>
      </c>
      <c r="O47" s="44">
        <f>('Goal Seek 6th order'!$S$11*(1-L47))*(1+$L$34)</f>
        <v>5.6875</v>
      </c>
      <c r="P47" s="37">
        <f>'Goal Seek 6th order'!$H$11*(1+$L$34)</f>
        <v>61.1</v>
      </c>
      <c r="Q47" s="37">
        <f>(O47*'Goal Seek 6th order'!$K22)/(40*10^-6)</f>
        <v>1.5526305556479911E-2</v>
      </c>
      <c r="R47" s="37">
        <f>(P47*'Goal Seek 6th order'!$K22)/(40*10^-6)</f>
        <v>0.16679688254961275</v>
      </c>
      <c r="S47" s="50">
        <f>(('Goal Seek 6th order'!$P$23)/(L47+(12.5*(1+3.76))))</f>
        <v>1.0919599512249607E-7</v>
      </c>
      <c r="T47" s="50">
        <f t="shared" si="13"/>
        <v>8.5598740576524672E-6</v>
      </c>
    </row>
    <row r="48" spans="2:20" x14ac:dyDescent="0.3">
      <c r="B48" s="37">
        <v>0.6</v>
      </c>
      <c r="C48" s="44">
        <f t="shared" si="14"/>
        <v>5.04</v>
      </c>
      <c r="D48" s="44">
        <f t="shared" si="15"/>
        <v>5.6700000000000008</v>
      </c>
      <c r="E48" s="44">
        <f>('Goal Seek 6th order'!$S$11*(1-B48))*(1+$B$34)</f>
        <v>6.25</v>
      </c>
      <c r="F48" s="37">
        <f>'Goal Seek 6th order'!$H$11*(1+$B$34)</f>
        <v>58.75</v>
      </c>
      <c r="G48" s="37">
        <f>(E48*'Goal Seek 6th order'!$K23)/(40*10^-6)</f>
        <v>1.7076068808803399E-2</v>
      </c>
      <c r="H48" s="37">
        <f>(F48*'Goal Seek 6th order'!$K23)/(40*10^-6)</f>
        <v>0.16051504680275194</v>
      </c>
      <c r="I48" s="50">
        <f>(('Goal Seek 6th order'!$P$23)/(B48+(12.5*(1+3.76))))</f>
        <v>1.0928684037634173E-7</v>
      </c>
      <c r="J48" s="50">
        <f t="shared" si="12"/>
        <v>8.2741066848928339E-6</v>
      </c>
      <c r="L48" s="37">
        <v>0.6</v>
      </c>
      <c r="M48" s="44">
        <f t="shared" si="16"/>
        <v>5.04</v>
      </c>
      <c r="N48" s="44">
        <f t="shared" si="17"/>
        <v>5.6700000000000008</v>
      </c>
      <c r="O48" s="44">
        <f>('Goal Seek 6th order'!$S$11*(1-L48))*(1+$L$34)</f>
        <v>6.5</v>
      </c>
      <c r="P48" s="37">
        <f>'Goal Seek 6th order'!$H$11*(1+$L$34)</f>
        <v>61.1</v>
      </c>
      <c r="Q48" s="37">
        <f>(O48*'Goal Seek 6th order'!$K23)/(40*10^-6)</f>
        <v>1.7759111561155533E-2</v>
      </c>
      <c r="R48" s="37">
        <f>(P48*'Goal Seek 6th order'!$K23)/(40*10^-6)</f>
        <v>0.16693564867486202</v>
      </c>
      <c r="S48" s="50">
        <f>(('Goal Seek 6th order'!$P$23)/(L48+(12.5*(1+3.76))))</f>
        <v>1.0928684037634173E-7</v>
      </c>
      <c r="T48" s="50">
        <f t="shared" si="13"/>
        <v>8.5582524698713218E-6</v>
      </c>
    </row>
    <row r="50" spans="2:20" x14ac:dyDescent="0.3">
      <c r="B50" s="142">
        <v>0.35</v>
      </c>
      <c r="C50" s="143"/>
      <c r="D50" s="143"/>
      <c r="E50" s="143"/>
      <c r="F50" s="143"/>
      <c r="G50" s="143"/>
      <c r="H50" s="143"/>
      <c r="I50" s="143"/>
      <c r="J50" s="144"/>
      <c r="L50" s="138">
        <v>0.4</v>
      </c>
      <c r="M50" s="138"/>
      <c r="N50" s="138"/>
      <c r="O50" s="138"/>
      <c r="P50" s="138"/>
      <c r="Q50" s="138"/>
      <c r="R50" s="138"/>
      <c r="S50" s="138"/>
      <c r="T50" s="138"/>
    </row>
    <row r="51" spans="2:20" x14ac:dyDescent="0.3">
      <c r="B51" s="22" t="s">
        <v>106</v>
      </c>
      <c r="C51" s="22" t="s">
        <v>33</v>
      </c>
      <c r="D51" s="22" t="s">
        <v>59</v>
      </c>
      <c r="E51" s="22" t="s">
        <v>57</v>
      </c>
      <c r="F51" s="22" t="s">
        <v>58</v>
      </c>
      <c r="G51" s="22" t="s">
        <v>91</v>
      </c>
      <c r="H51" s="22" t="s">
        <v>92</v>
      </c>
      <c r="I51" s="22" t="s">
        <v>93</v>
      </c>
      <c r="J51" s="33" t="s">
        <v>109</v>
      </c>
      <c r="L51" s="38" t="s">
        <v>106</v>
      </c>
      <c r="M51" s="38" t="s">
        <v>33</v>
      </c>
      <c r="N51" s="38" t="s">
        <v>59</v>
      </c>
      <c r="O51" s="38" t="s">
        <v>57</v>
      </c>
      <c r="P51" s="38" t="s">
        <v>58</v>
      </c>
      <c r="Q51" s="38" t="s">
        <v>91</v>
      </c>
      <c r="R51" s="38" t="s">
        <v>92</v>
      </c>
      <c r="S51" s="38" t="s">
        <v>93</v>
      </c>
      <c r="T51" s="39" t="s">
        <v>109</v>
      </c>
    </row>
    <row r="52" spans="2:20" x14ac:dyDescent="0.3">
      <c r="B52" s="37">
        <v>1</v>
      </c>
      <c r="C52" s="44">
        <f>8*(1+B50)</f>
        <v>10.8</v>
      </c>
      <c r="D52" s="44">
        <f>'Goal Seek 6th order'!$F$11*(1+B50)</f>
        <v>12.15</v>
      </c>
      <c r="E52" s="44">
        <f>'Goal Seek 6th order'!$S$11*(1-B52)</f>
        <v>0</v>
      </c>
      <c r="F52" s="37">
        <f>'Goal Seek 6th order'!$H$11*(1+$B$50)</f>
        <v>63.45</v>
      </c>
      <c r="G52" s="37">
        <f>(E52*'Goal Seek 6th order'!$K11)/(40*10^-6)</f>
        <v>0</v>
      </c>
      <c r="H52" s="37">
        <f>(F52*'Goal Seek 6th order'!$K11)/(40*10^-6)</f>
        <v>0.17221009351856237</v>
      </c>
      <c r="I52" s="50">
        <f>(('Goal Seek 6th order'!$P$23)/(B52+(12.5*(1+3.76))))</f>
        <v>1.0856428275401881E-7</v>
      </c>
      <c r="J52" s="50">
        <f>I52*(C52+D52+E52+F52)</f>
        <v>9.3799540299472268E-6</v>
      </c>
      <c r="L52" s="37">
        <v>1</v>
      </c>
      <c r="M52" s="44">
        <f>8*(1+L50)</f>
        <v>11.2</v>
      </c>
      <c r="N52" s="44">
        <f>'Goal Seek 6th order'!$F$11*(1+L50)</f>
        <v>12.6</v>
      </c>
      <c r="O52" s="44">
        <f>'Goal Seek 6th order'!$S$11*(1-L52)</f>
        <v>0</v>
      </c>
      <c r="P52" s="37">
        <f>'Goal Seek 6th order'!$H$11*(1+$L$50)</f>
        <v>65.8</v>
      </c>
      <c r="Q52" s="37">
        <f>(O52*'Goal Seek 6th order'!$K11)/(40*10^-6)</f>
        <v>0</v>
      </c>
      <c r="R52" s="37">
        <f>(P52*'Goal Seek 6th order'!$K11)/(40*10^-6)</f>
        <v>0.17858824513036095</v>
      </c>
      <c r="S52" s="50">
        <f>(('Goal Seek 6th order'!$P$23)/(L52+(12.5*(1+3.76))))</f>
        <v>1.0856428275401881E-7</v>
      </c>
      <c r="T52" s="50">
        <f>S52*(M52+N52+O52+P52)</f>
        <v>9.7273597347600842E-6</v>
      </c>
    </row>
    <row r="53" spans="2:20" x14ac:dyDescent="0.3">
      <c r="B53" s="37">
        <v>0.99</v>
      </c>
      <c r="C53" s="44">
        <f>$C$4*B53</f>
        <v>8.3160000000000007</v>
      </c>
      <c r="D53" s="44">
        <f>$D$4*B53</f>
        <v>9.355500000000001</v>
      </c>
      <c r="E53" s="44">
        <f>('Goal Seek 6th order'!$S$11*(1-B53))*(1+$B$50)</f>
        <v>0.16875000000000015</v>
      </c>
      <c r="F53" s="37">
        <f>'Goal Seek 6th order'!$H$11*(1+$B$50)</f>
        <v>63.45</v>
      </c>
      <c r="G53" s="37">
        <f>(E53*'Goal Seek 6th order'!$K12)/(40*10^-6)</f>
        <v>4.5808128378319225E-4</v>
      </c>
      <c r="H53" s="37">
        <f>(F53*'Goal Seek 6th order'!$K12)/(40*10^-6)</f>
        <v>0.17223856270248014</v>
      </c>
      <c r="I53" s="50">
        <f>(('Goal Seek 6th order'!$P$23)/(B53+(12.5*(1+3.76))))</f>
        <v>1.0858223023008991E-7</v>
      </c>
      <c r="J53" s="50">
        <f t="shared" ref="J53:J64" si="18">I53*(C53+D53+E53+F53)</f>
        <v>8.8266766409615667E-6</v>
      </c>
      <c r="L53" s="37">
        <v>0.99</v>
      </c>
      <c r="M53" s="44">
        <f>$C$4*L53</f>
        <v>8.3160000000000007</v>
      </c>
      <c r="N53" s="44">
        <f>$D$4*L53</f>
        <v>9.355500000000001</v>
      </c>
      <c r="O53" s="44">
        <f>('Goal Seek 6th order'!$S$11*(1-L53))*(1+$L$50)</f>
        <v>0.17500000000000016</v>
      </c>
      <c r="P53" s="37">
        <f>'Goal Seek 6th order'!$H$11*(1+$L$50)</f>
        <v>65.8</v>
      </c>
      <c r="Q53" s="37">
        <f>(O53*'Goal Seek 6th order'!$K12)/(40*10^-6)</f>
        <v>4.7504725725664386E-4</v>
      </c>
      <c r="R53" s="37">
        <f>(P53*'Goal Seek 6th order'!$K12)/(40*10^-6)</f>
        <v>0.17861776872849791</v>
      </c>
      <c r="S53" s="50">
        <f>(('Goal Seek 6th order'!$P$23)/(L53+(12.5*(1+3.76))))</f>
        <v>1.0858223023008991E-7</v>
      </c>
      <c r="T53" s="50">
        <f t="shared" ref="T53:T64" si="19">S53*(M53+N53+O53+P53)</f>
        <v>9.0825235209412167E-6</v>
      </c>
    </row>
    <row r="54" spans="2:20" x14ac:dyDescent="0.3">
      <c r="B54" s="37">
        <v>0.98</v>
      </c>
      <c r="C54" s="44">
        <f t="shared" ref="C54:C64" si="20">$C$4*B54</f>
        <v>8.2319999999999993</v>
      </c>
      <c r="D54" s="44">
        <f t="shared" ref="D54:D64" si="21">$D$4*B54</f>
        <v>9.261000000000001</v>
      </c>
      <c r="E54" s="44">
        <f>('Goal Seek 6th order'!$S$11*(1-B54))*(1+$B$50)</f>
        <v>0.3375000000000003</v>
      </c>
      <c r="F54" s="37">
        <f>'Goal Seek 6th order'!$H$11*(1+$B$50)</f>
        <v>63.45</v>
      </c>
      <c r="G54" s="37">
        <f>(E54*'Goal Seek 6th order'!$K13)/(40*10^-6)</f>
        <v>9.1631404947239742E-4</v>
      </c>
      <c r="H54" s="37">
        <f>(F54*'Goal Seek 6th order'!$K13)/(40*10^-6)</f>
        <v>0.17226704130081058</v>
      </c>
      <c r="I54" s="50">
        <f>(('Goal Seek 6th order'!$P$23)/(B54+(12.5*(1+3.76))))</f>
        <v>1.0860018364117293E-7</v>
      </c>
      <c r="J54" s="50">
        <f t="shared" si="18"/>
        <v>8.8270772264463566E-6</v>
      </c>
      <c r="L54" s="37">
        <v>0.98</v>
      </c>
      <c r="M54" s="44">
        <f t="shared" ref="M54:M64" si="22">$C$4*L54</f>
        <v>8.2319999999999993</v>
      </c>
      <c r="N54" s="44">
        <f t="shared" ref="N54:N64" si="23">$D$4*L54</f>
        <v>9.261000000000001</v>
      </c>
      <c r="O54" s="44">
        <f>('Goal Seek 6th order'!$S$11*(1-L54))*(1+$L$50)</f>
        <v>0.35000000000000031</v>
      </c>
      <c r="P54" s="37">
        <f>'Goal Seek 6th order'!$H$11*(1+$L$50)</f>
        <v>65.8</v>
      </c>
      <c r="Q54" s="37">
        <f>(O54*'Goal Seek 6th order'!$K13)/(40*10^-6)</f>
        <v>9.5025160686026402E-4</v>
      </c>
      <c r="R54" s="37">
        <f>(P54*'Goal Seek 6th order'!$K13)/(40*10^-6)</f>
        <v>0.17864730208972948</v>
      </c>
      <c r="S54" s="50">
        <f>(('Goal Seek 6th order'!$P$23)/(L54+(12.5*(1+3.76))))</f>
        <v>1.0860018364117293E-7</v>
      </c>
      <c r="T54" s="50">
        <f t="shared" si="19"/>
        <v>9.0836451602986275E-6</v>
      </c>
    </row>
    <row r="55" spans="2:20" x14ac:dyDescent="0.3">
      <c r="B55" s="37">
        <v>0.97</v>
      </c>
      <c r="C55" s="44">
        <f t="shared" si="20"/>
        <v>8.1479999999999997</v>
      </c>
      <c r="D55" s="44">
        <f t="shared" si="21"/>
        <v>9.166500000000001</v>
      </c>
      <c r="E55" s="44">
        <f>('Goal Seek 6th order'!$S$11*(1-B55))*(1+$B$50)</f>
        <v>0.50625000000000053</v>
      </c>
      <c r="F55" s="37">
        <f>'Goal Seek 6th order'!$H$11*(1+$B$50)</f>
        <v>63.45</v>
      </c>
      <c r="G55" s="37">
        <f>(E55*'Goal Seek 6th order'!$K14)/(40*10^-6)</f>
        <v>1.3746983722198762E-3</v>
      </c>
      <c r="H55" s="37">
        <f>(F55*'Goal Seek 6th order'!$K14)/(40*10^-6)</f>
        <v>0.17229552931822431</v>
      </c>
      <c r="I55" s="50">
        <f>(('Goal Seek 6th order'!$P$23)/(B55+(12.5*(1+3.76))))</f>
        <v>1.0861814299021231E-7</v>
      </c>
      <c r="J55" s="50">
        <f t="shared" si="18"/>
        <v>8.8274779444217972E-6</v>
      </c>
      <c r="L55" s="37">
        <v>0.97</v>
      </c>
      <c r="M55" s="44">
        <f t="shared" si="22"/>
        <v>8.1479999999999997</v>
      </c>
      <c r="N55" s="44">
        <f t="shared" si="23"/>
        <v>9.166500000000001</v>
      </c>
      <c r="O55" s="44">
        <f>('Goal Seek 6th order'!$S$11*(1-L55))*(1+$L$50)</f>
        <v>0.52500000000000047</v>
      </c>
      <c r="P55" s="37">
        <f>'Goal Seek 6th order'!$H$11*(1+$L$50)</f>
        <v>65.8</v>
      </c>
      <c r="Q55" s="37">
        <f>(O55*'Goal Seek 6th order'!$K14)/(40*10^-6)</f>
        <v>1.425613126746538E-3</v>
      </c>
      <c r="R55" s="37">
        <f>(P55*'Goal Seek 6th order'!$K14)/(40*10^-6)</f>
        <v>0.17867684521889926</v>
      </c>
      <c r="S55" s="50">
        <f>(('Goal Seek 6th order'!$P$23)/(L55+(12.5*(1+3.76))))</f>
        <v>1.0861814299021231E-7</v>
      </c>
      <c r="T55" s="50">
        <f t="shared" si="19"/>
        <v>9.0847671706298621E-6</v>
      </c>
    </row>
    <row r="56" spans="2:20" x14ac:dyDescent="0.3">
      <c r="B56" s="37">
        <v>0.96</v>
      </c>
      <c r="C56" s="44">
        <f t="shared" si="20"/>
        <v>8.0640000000000001</v>
      </c>
      <c r="D56" s="44">
        <f t="shared" si="21"/>
        <v>9.072000000000001</v>
      </c>
      <c r="E56" s="44">
        <f>('Goal Seek 6th order'!$S$11*(1-B56))*(1+$B$50)</f>
        <v>0.6750000000000006</v>
      </c>
      <c r="F56" s="37">
        <f>'Goal Seek 6th order'!$H$11*(1+$B$50)</f>
        <v>63.45</v>
      </c>
      <c r="G56" s="37">
        <f>(E56*'Goal Seek 6th order'!$K15)/(40*10^-6)</f>
        <v>1.8332343272276081E-3</v>
      </c>
      <c r="H56" s="37">
        <f>(F56*'Goal Seek 6th order'!$K15)/(40*10^-6)</f>
        <v>0.17232402675939504</v>
      </c>
      <c r="I56" s="50">
        <f>(('Goal Seek 6th order'!$P$23)/(B56+(12.5*(1+3.76))))</f>
        <v>1.0863610828015446E-7</v>
      </c>
      <c r="J56" s="50">
        <f t="shared" si="18"/>
        <v>8.8278787949536318E-6</v>
      </c>
      <c r="L56" s="37">
        <v>0.96</v>
      </c>
      <c r="M56" s="44">
        <f t="shared" si="22"/>
        <v>8.0640000000000001</v>
      </c>
      <c r="N56" s="44">
        <f t="shared" si="23"/>
        <v>9.072000000000001</v>
      </c>
      <c r="O56" s="44">
        <f>('Goal Seek 6th order'!$S$11*(1-L56))*(1+$L$50)</f>
        <v>0.70000000000000062</v>
      </c>
      <c r="P56" s="37">
        <f>'Goal Seek 6th order'!$H$11*(1+$L$50)</f>
        <v>65.8</v>
      </c>
      <c r="Q56" s="37">
        <f>(O56*'Goal Seek 6th order'!$K15)/(40*10^-6)</f>
        <v>1.9011318949027048E-3</v>
      </c>
      <c r="R56" s="37">
        <f>(P56*'Goal Seek 6th order'!$K15)/(40*10^-6)</f>
        <v>0.17870639812085409</v>
      </c>
      <c r="S56" s="50">
        <f>(('Goal Seek 6th order'!$P$23)/(L56+(12.5*(1+3.76))))</f>
        <v>1.0863610828015446E-7</v>
      </c>
      <c r="T56" s="50">
        <f t="shared" si="19"/>
        <v>9.0858895521189979E-6</v>
      </c>
    </row>
    <row r="57" spans="2:20" x14ac:dyDescent="0.3">
      <c r="B57" s="37">
        <v>0.95</v>
      </c>
      <c r="C57" s="44">
        <f t="shared" si="20"/>
        <v>7.9799999999999995</v>
      </c>
      <c r="D57" s="44">
        <f t="shared" si="21"/>
        <v>8.9775000000000009</v>
      </c>
      <c r="E57" s="44">
        <f>('Goal Seek 6th order'!$S$11*(1-B57))*(1+$B$50)</f>
        <v>0.84375000000000078</v>
      </c>
      <c r="F57" s="37">
        <f>'Goal Seek 6th order'!$H$11*(1+$B$50)</f>
        <v>63.45</v>
      </c>
      <c r="G57" s="37">
        <f>(E57*'Goal Seek 6th order'!$K16)/(40*10^-6)</f>
        <v>2.2919219897473368E-3</v>
      </c>
      <c r="H57" s="37">
        <f>(F57*'Goal Seek 6th order'!$K16)/(40*10^-6)</f>
        <v>0.17235253362899955</v>
      </c>
      <c r="I57" s="50">
        <f>(('Goal Seek 6th order'!$P$23)/(B57+(12.5*(1+3.76))))</f>
        <v>1.0865407951394769E-7</v>
      </c>
      <c r="J57" s="50">
        <f t="shared" si="18"/>
        <v>8.8282797781076426E-6</v>
      </c>
      <c r="L57" s="37">
        <v>0.95</v>
      </c>
      <c r="M57" s="44">
        <f t="shared" si="22"/>
        <v>7.9799999999999995</v>
      </c>
      <c r="N57" s="44">
        <f t="shared" si="23"/>
        <v>8.9775000000000009</v>
      </c>
      <c r="O57" s="44">
        <f>('Goal Seek 6th order'!$S$11*(1-L57))*(1+$L$50)</f>
        <v>0.87500000000000067</v>
      </c>
      <c r="P57" s="37">
        <f>'Goal Seek 6th order'!$H$11*(1+$L$50)</f>
        <v>65.8</v>
      </c>
      <c r="Q57" s="37">
        <f>(O57*'Goal Seek 6th order'!$K16)/(40*10^-6)</f>
        <v>2.3768079893676081E-3</v>
      </c>
      <c r="R57" s="37">
        <f>(P57*'Goal Seek 6th order'!$K16)/(40*10^-6)</f>
        <v>0.17873596080044396</v>
      </c>
      <c r="S57" s="50">
        <f>(('Goal Seek 6th order'!$P$23)/(L57+(12.5*(1+3.76))))</f>
        <v>1.0865407951394769E-7</v>
      </c>
      <c r="T57" s="50">
        <f t="shared" si="19"/>
        <v>9.0870123049502305E-6</v>
      </c>
    </row>
    <row r="58" spans="2:20" x14ac:dyDescent="0.3">
      <c r="B58" s="37">
        <v>0.9</v>
      </c>
      <c r="C58" s="44">
        <f t="shared" si="20"/>
        <v>7.5600000000000005</v>
      </c>
      <c r="D58" s="44">
        <f t="shared" si="21"/>
        <v>8.5050000000000008</v>
      </c>
      <c r="E58" s="44">
        <f>('Goal Seek 6th order'!$S$11*(1-B58))*(1+$B$50)</f>
        <v>1.6874999999999998</v>
      </c>
      <c r="F58" s="37">
        <f>'Goal Seek 6th order'!$H$11*(1+$B$50)</f>
        <v>63.45</v>
      </c>
      <c r="G58" s="37">
        <f>(E58*'Goal Seek 6th order'!$K17)/(40*10^-6)</f>
        <v>4.5876385523253762E-3</v>
      </c>
      <c r="H58" s="37">
        <f>(F58*'Goal Seek 6th order'!$K17)/(40*10^-6)</f>
        <v>0.17249520956743417</v>
      </c>
      <c r="I58" s="50">
        <f>(('Goal Seek 6th order'!$P$23)/(B58+(12.5*(1+3.76))))</f>
        <v>1.0874402494400892E-7</v>
      </c>
      <c r="J58" s="50">
        <f t="shared" si="18"/>
        <v>8.8302866855158844E-6</v>
      </c>
      <c r="L58" s="37">
        <v>0.9</v>
      </c>
      <c r="M58" s="44">
        <f t="shared" si="22"/>
        <v>7.5600000000000005</v>
      </c>
      <c r="N58" s="44">
        <f t="shared" si="23"/>
        <v>8.5050000000000008</v>
      </c>
      <c r="O58" s="44">
        <f>('Goal Seek 6th order'!$S$11*(1-L58))*(1+$L$50)</f>
        <v>1.7499999999999996</v>
      </c>
      <c r="P58" s="37">
        <f>'Goal Seek 6th order'!$H$11*(1+$L$50)</f>
        <v>65.8</v>
      </c>
      <c r="Q58" s="37">
        <f>(O58*'Goal Seek 6th order'!$K17)/(40*10^-6)</f>
        <v>4.7575510913003896E-3</v>
      </c>
      <c r="R58" s="37">
        <f>(P58*'Goal Seek 6th order'!$K17)/(40*10^-6)</f>
        <v>0.17888392103289466</v>
      </c>
      <c r="S58" s="50">
        <f>(('Goal Seek 6th order'!$P$23)/(L58+(12.5*(1+3.76))))</f>
        <v>1.0874402494400892E-7</v>
      </c>
      <c r="T58" s="50">
        <f t="shared" si="19"/>
        <v>9.0926316456933053E-6</v>
      </c>
    </row>
    <row r="59" spans="2:20" x14ac:dyDescent="0.3">
      <c r="B59" s="37">
        <v>0.85</v>
      </c>
      <c r="C59" s="44">
        <f t="shared" si="20"/>
        <v>7.14</v>
      </c>
      <c r="D59" s="44">
        <f t="shared" si="21"/>
        <v>8.0325000000000006</v>
      </c>
      <c r="E59" s="44">
        <f>('Goal Seek 6th order'!$S$11*(1-B59))*(1+$B$50)</f>
        <v>2.5312500000000004</v>
      </c>
      <c r="F59" s="37">
        <f>'Goal Seek 6th order'!$H$11*(1+$B$50)</f>
        <v>63.45</v>
      </c>
      <c r="G59" s="37">
        <f>(E59*'Goal Seek 6th order'!$K18)/(40*10^-6)</f>
        <v>6.8871591191496141E-3</v>
      </c>
      <c r="H59" s="37">
        <f>(F59*'Goal Seek 6th order'!$K18)/(40*10^-6)</f>
        <v>0.17263812192001696</v>
      </c>
      <c r="I59" s="50">
        <f>(('Goal Seek 6th order'!$P$23)/(B59+(12.5*(1+3.76))))</f>
        <v>1.0883411941372226E-7</v>
      </c>
      <c r="J59" s="50">
        <f t="shared" si="18"/>
        <v>8.8322969183713623E-6</v>
      </c>
      <c r="L59" s="37">
        <v>0.85</v>
      </c>
      <c r="M59" s="44">
        <f t="shared" si="22"/>
        <v>7.14</v>
      </c>
      <c r="N59" s="44">
        <f t="shared" si="23"/>
        <v>8.0325000000000006</v>
      </c>
      <c r="O59" s="44">
        <f>('Goal Seek 6th order'!$S$11*(1-L59))*(1+$L$50)</f>
        <v>2.625</v>
      </c>
      <c r="P59" s="37">
        <f>'Goal Seek 6th order'!$H$11*(1+$L$50)</f>
        <v>65.8</v>
      </c>
      <c r="Q59" s="37">
        <f>(O59*'Goal Seek 6th order'!$K18)/(40*10^-6)</f>
        <v>7.1422390865255245E-3</v>
      </c>
      <c r="R59" s="37">
        <f>(P59*'Goal Seek 6th order'!$K18)/(40*10^-6)</f>
        <v>0.17903212643557312</v>
      </c>
      <c r="S59" s="50">
        <f>(('Goal Seek 6th order'!$P$23)/(L59+(12.5*(1+3.76))))</f>
        <v>1.0883411941372226E-7</v>
      </c>
      <c r="T59" s="50">
        <f t="shared" si="19"/>
        <v>9.0982602976886463E-6</v>
      </c>
    </row>
    <row r="60" spans="2:20" x14ac:dyDescent="0.3">
      <c r="B60" s="37">
        <v>0.8</v>
      </c>
      <c r="C60" s="44">
        <f t="shared" si="20"/>
        <v>6.7200000000000006</v>
      </c>
      <c r="D60" s="44">
        <f t="shared" si="21"/>
        <v>7.5600000000000014</v>
      </c>
      <c r="E60" s="44">
        <f>('Goal Seek 6th order'!$S$11*(1-B60))*(1+$B$50)</f>
        <v>3.3749999999999996</v>
      </c>
      <c r="F60" s="37">
        <f>'Goal Seek 6th order'!$H$11*(1+$B$50)</f>
        <v>63.45</v>
      </c>
      <c r="G60" s="37">
        <f>(E60*'Goal Seek 6th order'!$K19)/(40*10^-6)</f>
        <v>9.1904931529171712E-3</v>
      </c>
      <c r="H60" s="37">
        <f>(F60*'Goal Seek 6th order'!$K19)/(40*10^-6)</f>
        <v>0.17278127127484286</v>
      </c>
      <c r="I60" s="50">
        <f>(('Goal Seek 6th order'!$P$23)/(B60+(12.5*(1+3.76))))</f>
        <v>1.0892436329383315E-7</v>
      </c>
      <c r="J60" s="50">
        <f t="shared" si="18"/>
        <v>8.8343104849463372E-6</v>
      </c>
      <c r="L60" s="37">
        <v>0.8</v>
      </c>
      <c r="M60" s="44">
        <f t="shared" si="22"/>
        <v>6.7200000000000006</v>
      </c>
      <c r="N60" s="44">
        <f t="shared" si="23"/>
        <v>7.5600000000000014</v>
      </c>
      <c r="O60" s="44">
        <f>('Goal Seek 6th order'!$S$11*(1-L60))*(1+$L$50)</f>
        <v>3.4999999999999991</v>
      </c>
      <c r="P60" s="37">
        <f>'Goal Seek 6th order'!$H$11*(1+$L$50)</f>
        <v>65.8</v>
      </c>
      <c r="Q60" s="37">
        <f>(O60*'Goal Seek 6th order'!$K19)/(40*10^-6)</f>
        <v>9.5308817882103995E-3</v>
      </c>
      <c r="R60" s="37">
        <f>(P60*'Goal Seek 6th order'!$K19)/(40*10^-6)</f>
        <v>0.17918057761835554</v>
      </c>
      <c r="S60" s="50">
        <f>(('Goal Seek 6th order'!$P$23)/(L60+(12.5*(1+3.76))))</f>
        <v>1.0892436329383315E-7</v>
      </c>
      <c r="T60" s="50">
        <f t="shared" si="19"/>
        <v>9.1038982840985746E-6</v>
      </c>
    </row>
    <row r="61" spans="2:20" x14ac:dyDescent="0.3">
      <c r="B61" s="37">
        <v>0.75</v>
      </c>
      <c r="C61" s="44">
        <f t="shared" si="20"/>
        <v>6.3000000000000007</v>
      </c>
      <c r="D61" s="44">
        <f t="shared" si="21"/>
        <v>7.0875000000000004</v>
      </c>
      <c r="E61" s="44">
        <f>('Goal Seek 6th order'!$S$11*(1-B61))*(1+$B$50)</f>
        <v>4.21875</v>
      </c>
      <c r="F61" s="37">
        <f>'Goal Seek 6th order'!$H$11*(1+$B$50)</f>
        <v>63.45</v>
      </c>
      <c r="G61" s="37">
        <f>(E61*'Goal Seek 6th order'!$K20)/(40*10^-6)</f>
        <v>1.1497650147736628E-2</v>
      </c>
      <c r="H61" s="37">
        <f>(F61*'Goal Seek 6th order'!$K20)/(40*10^-6)</f>
        <v>0.1729246582219589</v>
      </c>
      <c r="I61" s="50">
        <f>(('Goal Seek 6th order'!$P$23)/(B61+(12.5*(1+3.76))))</f>
        <v>1.0901475695631766E-7</v>
      </c>
      <c r="J61" s="50">
        <f t="shared" si="18"/>
        <v>8.8363273935405241E-6</v>
      </c>
      <c r="L61" s="37">
        <v>0.75</v>
      </c>
      <c r="M61" s="44">
        <f t="shared" si="22"/>
        <v>6.3000000000000007</v>
      </c>
      <c r="N61" s="44">
        <f t="shared" si="23"/>
        <v>7.0875000000000004</v>
      </c>
      <c r="O61" s="44">
        <f>('Goal Seek 6th order'!$S$11*(1-L61))*(1+$L$50)</f>
        <v>4.375</v>
      </c>
      <c r="P61" s="37">
        <f>'Goal Seek 6th order'!$H$11*(1+$L$50)</f>
        <v>65.8</v>
      </c>
      <c r="Q61" s="37">
        <f>(O61*'Goal Seek 6th order'!$K20)/(40*10^-6)</f>
        <v>1.1923489042097245E-2</v>
      </c>
      <c r="R61" s="37">
        <f>(P61*'Goal Seek 6th order'!$K20)/(40*10^-6)</f>
        <v>0.17932927519314254</v>
      </c>
      <c r="S61" s="50">
        <f>(('Goal Seek 6th order'!$P$23)/(L61+(12.5*(1+3.76))))</f>
        <v>1.0901475695631766E-7</v>
      </c>
      <c r="T61" s="50">
        <f t="shared" si="19"/>
        <v>9.1095456281622946E-6</v>
      </c>
    </row>
    <row r="62" spans="2:20" x14ac:dyDescent="0.3">
      <c r="B62" s="37">
        <v>0.7</v>
      </c>
      <c r="C62" s="44">
        <f t="shared" si="20"/>
        <v>5.88</v>
      </c>
      <c r="D62" s="44">
        <f t="shared" si="21"/>
        <v>6.6150000000000002</v>
      </c>
      <c r="E62" s="44">
        <f>('Goal Seek 6th order'!$S$11*(1-B62))*(1+$B$50)</f>
        <v>5.0625000000000009</v>
      </c>
      <c r="F62" s="37">
        <f>'Goal Seek 6th order'!$H$11*(1+$B$50)</f>
        <v>63.45</v>
      </c>
      <c r="G62" s="37">
        <f>(E62*'Goal Seek 6th order'!$K21)/(40*10^-6)</f>
        <v>1.3808639629258445E-2</v>
      </c>
      <c r="H62" s="37">
        <f>(F62*'Goal Seek 6th order'!$K21)/(40*10^-6)</f>
        <v>0.17306828335337249</v>
      </c>
      <c r="I62" s="50">
        <f>(('Goal Seek 6th order'!$P$23)/(B62+(12.5*(1+3.76))))</f>
        <v>1.0910530077438768E-7</v>
      </c>
      <c r="J62" s="50">
        <f t="shared" si="18"/>
        <v>8.8383476524812106E-6</v>
      </c>
      <c r="L62" s="37">
        <v>0.7</v>
      </c>
      <c r="M62" s="44">
        <f t="shared" si="22"/>
        <v>5.88</v>
      </c>
      <c r="N62" s="44">
        <f t="shared" si="23"/>
        <v>6.6150000000000002</v>
      </c>
      <c r="O62" s="44">
        <f>('Goal Seek 6th order'!$S$11*(1-L62))*(1+$L$50)</f>
        <v>5.25</v>
      </c>
      <c r="P62" s="37">
        <f>'Goal Seek 6th order'!$H$11*(1+$L$50)</f>
        <v>65.8</v>
      </c>
      <c r="Q62" s="37">
        <f>(O62*'Goal Seek 6th order'!$K21)/(40*10^-6)</f>
        <v>1.4320070726638384E-2</v>
      </c>
      <c r="R62" s="37">
        <f>(P62*'Goal Seek 6th order'!$K21)/(40*10^-6)</f>
        <v>0.17947821977386774</v>
      </c>
      <c r="S62" s="50">
        <f>(('Goal Seek 6th order'!$P$23)/(L62+(12.5*(1+3.76))))</f>
        <v>1.0910530077438768E-7</v>
      </c>
      <c r="T62" s="50">
        <f t="shared" si="19"/>
        <v>9.1152023531962194E-6</v>
      </c>
    </row>
    <row r="63" spans="2:20" x14ac:dyDescent="0.3">
      <c r="B63" s="37">
        <v>0.65</v>
      </c>
      <c r="C63" s="44">
        <f t="shared" si="20"/>
        <v>5.4600000000000009</v>
      </c>
      <c r="D63" s="44">
        <f t="shared" si="21"/>
        <v>6.142500000000001</v>
      </c>
      <c r="E63" s="44">
        <f>('Goal Seek 6th order'!$S$11*(1-B63))*(1+$B$50)</f>
        <v>5.90625</v>
      </c>
      <c r="F63" s="37">
        <f>'Goal Seek 6th order'!$H$11*(1+$B$50)</f>
        <v>63.45</v>
      </c>
      <c r="G63" s="37">
        <f>(E63*'Goal Seek 6th order'!$K22)/(40*10^-6)</f>
        <v>1.6123471154806061E-2</v>
      </c>
      <c r="H63" s="37">
        <f>(F63*'Goal Seek 6th order'!$K22)/(40*10^-6)</f>
        <v>0.17321214726305939</v>
      </c>
      <c r="I63" s="50">
        <f>(('Goal Seek 6th order'!$P$23)/(B63+(12.5*(1+3.76))))</f>
        <v>1.0919599512249607E-7</v>
      </c>
      <c r="J63" s="50">
        <f t="shared" si="18"/>
        <v>8.8403712701233791E-6</v>
      </c>
      <c r="L63" s="37">
        <v>0.65</v>
      </c>
      <c r="M63" s="44">
        <f t="shared" si="22"/>
        <v>5.4600000000000009</v>
      </c>
      <c r="N63" s="44">
        <f t="shared" si="23"/>
        <v>6.142500000000001</v>
      </c>
      <c r="O63" s="44">
        <f>('Goal Seek 6th order'!$S$11*(1-L63))*(1+$L$50)</f>
        <v>6.125</v>
      </c>
      <c r="P63" s="37">
        <f>'Goal Seek 6th order'!$H$11*(1+$L$50)</f>
        <v>65.8</v>
      </c>
      <c r="Q63" s="37">
        <f>(O63*'Goal Seek 6th order'!$K22)/(40*10^-6)</f>
        <v>1.672063675313221E-2</v>
      </c>
      <c r="R63" s="37">
        <f>(P63*'Goal Seek 6th order'!$K22)/(40*10^-6)</f>
        <v>0.17962741197650603</v>
      </c>
      <c r="S63" s="50">
        <f>(('Goal Seek 6th order'!$P$23)/(L63+(12.5*(1+3.76))))</f>
        <v>1.0919599512249607E-7</v>
      </c>
      <c r="T63" s="50">
        <f t="shared" si="19"/>
        <v>9.120868482594291E-6</v>
      </c>
    </row>
    <row r="64" spans="2:20" x14ac:dyDescent="0.3">
      <c r="B64" s="37">
        <v>0.6</v>
      </c>
      <c r="C64" s="44">
        <f t="shared" si="20"/>
        <v>5.04</v>
      </c>
      <c r="D64" s="44">
        <f t="shared" si="21"/>
        <v>5.6700000000000008</v>
      </c>
      <c r="E64" s="44">
        <f>('Goal Seek 6th order'!$S$11*(1-B64))*(1+$B$50)</f>
        <v>6.75</v>
      </c>
      <c r="F64" s="37">
        <f>'Goal Seek 6th order'!$H$11*(1+$B$50)</f>
        <v>63.45</v>
      </c>
      <c r="G64" s="37">
        <f>(E64*'Goal Seek 6th order'!$K23)/(40*10^-6)</f>
        <v>1.844215431350767E-2</v>
      </c>
      <c r="H64" s="37">
        <f>(F64*'Goal Seek 6th order'!$K23)/(40*10^-6)</f>
        <v>0.1733562505469721</v>
      </c>
      <c r="I64" s="50">
        <f>(('Goal Seek 6th order'!$P$23)/(B64+(12.5*(1+3.76))))</f>
        <v>1.0928684037634173E-7</v>
      </c>
      <c r="J64" s="50">
        <f t="shared" si="18"/>
        <v>8.8423982548498096E-6</v>
      </c>
      <c r="L64" s="37">
        <v>0.6</v>
      </c>
      <c r="M64" s="44">
        <f t="shared" si="22"/>
        <v>5.04</v>
      </c>
      <c r="N64" s="44">
        <f t="shared" si="23"/>
        <v>5.6700000000000008</v>
      </c>
      <c r="O64" s="44">
        <f>('Goal Seek 6th order'!$S$11*(1-L64))*(1+$L$50)</f>
        <v>7</v>
      </c>
      <c r="P64" s="37">
        <f>'Goal Seek 6th order'!$H$11*(1+$L$50)</f>
        <v>65.8</v>
      </c>
      <c r="Q64" s="37">
        <f>(O64*'Goal Seek 6th order'!$K23)/(40*10^-6)</f>
        <v>1.9125197065859807E-2</v>
      </c>
      <c r="R64" s="37">
        <f>(P64*'Goal Seek 6th order'!$K23)/(40*10^-6)</f>
        <v>0.17977685241908214</v>
      </c>
      <c r="S64" s="50">
        <f>(('Goal Seek 6th order'!$P$23)/(L64+(12.5*(1+3.76))))</f>
        <v>1.0928684037634173E-7</v>
      </c>
      <c r="T64" s="50">
        <f t="shared" si="19"/>
        <v>9.1265440398282974E-6</v>
      </c>
    </row>
    <row r="66" spans="2:20" x14ac:dyDescent="0.3">
      <c r="B66" s="142">
        <v>0.45</v>
      </c>
      <c r="C66" s="143"/>
      <c r="D66" s="143"/>
      <c r="E66" s="143"/>
      <c r="F66" s="143"/>
      <c r="G66" s="143"/>
      <c r="H66" s="143"/>
      <c r="I66" s="143"/>
      <c r="J66" s="144"/>
      <c r="L66" s="139">
        <v>0.5</v>
      </c>
      <c r="M66" s="140"/>
      <c r="N66" s="140"/>
      <c r="O66" s="140"/>
      <c r="P66" s="140"/>
      <c r="Q66" s="140"/>
      <c r="R66" s="140"/>
      <c r="S66" s="140"/>
      <c r="T66" s="141"/>
    </row>
    <row r="67" spans="2:20" x14ac:dyDescent="0.3">
      <c r="B67" s="22" t="s">
        <v>106</v>
      </c>
      <c r="C67" s="22" t="s">
        <v>33</v>
      </c>
      <c r="D67" s="22" t="s">
        <v>59</v>
      </c>
      <c r="E67" s="22" t="s">
        <v>57</v>
      </c>
      <c r="F67" s="22" t="s">
        <v>58</v>
      </c>
      <c r="G67" s="22" t="s">
        <v>91</v>
      </c>
      <c r="H67" s="22" t="s">
        <v>92</v>
      </c>
      <c r="I67" s="22" t="s">
        <v>93</v>
      </c>
      <c r="J67" s="33" t="s">
        <v>109</v>
      </c>
      <c r="L67" s="38" t="s">
        <v>106</v>
      </c>
      <c r="M67" s="38" t="s">
        <v>33</v>
      </c>
      <c r="N67" s="38" t="s">
        <v>59</v>
      </c>
      <c r="O67" s="38" t="s">
        <v>57</v>
      </c>
      <c r="P67" s="38" t="s">
        <v>58</v>
      </c>
      <c r="Q67" s="38" t="s">
        <v>91</v>
      </c>
      <c r="R67" s="38" t="s">
        <v>92</v>
      </c>
      <c r="S67" s="38" t="s">
        <v>93</v>
      </c>
      <c r="T67" s="39" t="s">
        <v>109</v>
      </c>
    </row>
    <row r="68" spans="2:20" x14ac:dyDescent="0.3">
      <c r="B68" s="37">
        <v>1</v>
      </c>
      <c r="C68" s="44">
        <f>8*(1+B66)</f>
        <v>11.6</v>
      </c>
      <c r="D68" s="44">
        <f>'Goal Seek 6th order'!$F$11*(1+B66)</f>
        <v>13.049999999999999</v>
      </c>
      <c r="E68" s="44">
        <f>'Goal Seek 6th order'!$S$11*(1-B68)</f>
        <v>0</v>
      </c>
      <c r="F68" s="37">
        <f>'Goal Seek 6th order'!$H$11*(1+$B$66)</f>
        <v>68.149999999999991</v>
      </c>
      <c r="G68" s="37">
        <f>(E68*'Goal Seek 6th order'!$K11)/(40*10^-6)</f>
        <v>0</v>
      </c>
      <c r="H68" s="37">
        <f>(F68*'Goal Seek 6th order'!$K11)/(40*10^-6)</f>
        <v>0.18496639674215953</v>
      </c>
      <c r="I68" s="50">
        <f>(('Goal Seek 6th order'!$P$23)/(B68+(12.5*(1+3.76))))</f>
        <v>1.0856428275401881E-7</v>
      </c>
      <c r="J68" s="50">
        <f>I68*(C68+D68+E68+F68)</f>
        <v>1.0074765439572943E-5</v>
      </c>
      <c r="L68" s="37">
        <v>1</v>
      </c>
      <c r="M68" s="44">
        <f>8*(1+L66)</f>
        <v>12</v>
      </c>
      <c r="N68" s="44">
        <f>'Goal Seek 6th order'!$F$11*(1+L66)</f>
        <v>13.5</v>
      </c>
      <c r="O68" s="44">
        <f>'Goal Seek 6th order'!$S$11*(1-L68)</f>
        <v>0</v>
      </c>
      <c r="P68" s="37">
        <f>'Goal Seek 6th order'!$H$11*(1+$L$66)</f>
        <v>70.5</v>
      </c>
      <c r="Q68" s="37">
        <f>(O68*'Goal Seek 6th order'!$K11)/(40*10^-6)</f>
        <v>0</v>
      </c>
      <c r="R68" s="37">
        <f>(P68*'Goal Seek 6th order'!$K11)/(40*10^-6)</f>
        <v>0.1913445483539582</v>
      </c>
      <c r="S68" s="50">
        <f>(('Goal Seek 6th order'!$P$23)/(L68+(12.5*(1+3.76))))</f>
        <v>1.0856428275401881E-7</v>
      </c>
      <c r="T68" s="50">
        <f>S68*(M68+N68+O68+P68)</f>
        <v>1.0422171144385806E-5</v>
      </c>
    </row>
    <row r="69" spans="2:20" x14ac:dyDescent="0.3">
      <c r="B69" s="37">
        <v>0.99</v>
      </c>
      <c r="C69" s="44">
        <f>$C$4*B69</f>
        <v>8.3160000000000007</v>
      </c>
      <c r="D69" s="44">
        <f>$D$4*B69</f>
        <v>9.355500000000001</v>
      </c>
      <c r="E69" s="44">
        <f>('Goal Seek 6th order'!$S$11*(1-B69))*(1+$B$66)</f>
        <v>0.18125000000000016</v>
      </c>
      <c r="F69" s="37">
        <f>'Goal Seek 6th order'!$H$11*(1+$B$66)</f>
        <v>68.149999999999991</v>
      </c>
      <c r="G69" s="37">
        <f>(E69*'Goal Seek 6th order'!$K12)/(40*10^-6)</f>
        <v>4.9201323073009542E-4</v>
      </c>
      <c r="H69" s="37">
        <f>(F69*'Goal Seek 6th order'!$K12)/(40*10^-6)</f>
        <v>0.18499697475451568</v>
      </c>
      <c r="I69" s="50">
        <f>(('Goal Seek 6th order'!$P$23)/(B69+(12.5*(1+3.76))))</f>
        <v>1.0858223023008991E-7</v>
      </c>
      <c r="J69" s="50">
        <f t="shared" ref="J69:J80" si="24">I69*(C69+D69+E69+F69)</f>
        <v>9.3383704009208633E-6</v>
      </c>
      <c r="L69" s="37">
        <v>0.99</v>
      </c>
      <c r="M69" s="44">
        <f>$C$4*L69</f>
        <v>8.3160000000000007</v>
      </c>
      <c r="N69" s="44">
        <f>$D$4*L69</f>
        <v>9.355500000000001</v>
      </c>
      <c r="O69" s="44">
        <f>('Goal Seek 6th order'!$S$11*(1-L69))*(1+$L$66)</f>
        <v>0.18750000000000017</v>
      </c>
      <c r="P69" s="37">
        <f>'Goal Seek 6th order'!$H$11*(1+$L$66)</f>
        <v>70.5</v>
      </c>
      <c r="Q69" s="37">
        <f>(O69*'Goal Seek 6th order'!$K12)/(40*10^-6)</f>
        <v>5.0897920420354687E-4</v>
      </c>
      <c r="R69" s="37">
        <f>(P69*'Goal Seek 6th order'!$K12)/(40*10^-6)</f>
        <v>0.19137618078053348</v>
      </c>
      <c r="S69" s="50">
        <f>(('Goal Seek 6th order'!$P$23)/(L69+(12.5*(1+3.76))))</f>
        <v>1.0858223023008991E-7</v>
      </c>
      <c r="T69" s="50">
        <f t="shared" ref="T69:T80" si="25">S69*(M69+N69+O69+P69)</f>
        <v>9.594217280900515E-6</v>
      </c>
    </row>
    <row r="70" spans="2:20" x14ac:dyDescent="0.3">
      <c r="B70" s="37">
        <v>0.98</v>
      </c>
      <c r="C70" s="44">
        <f t="shared" ref="C70:C80" si="26">$C$4*B70</f>
        <v>8.2319999999999993</v>
      </c>
      <c r="D70" s="44">
        <f t="shared" ref="D70:D80" si="27">$D$4*B70</f>
        <v>9.261000000000001</v>
      </c>
      <c r="E70" s="44">
        <f>('Goal Seek 6th order'!$S$11*(1-B70))*(1+$B$66)</f>
        <v>0.36250000000000032</v>
      </c>
      <c r="F70" s="37">
        <f>'Goal Seek 6th order'!$H$11*(1+$B$66)</f>
        <v>68.149999999999991</v>
      </c>
      <c r="G70" s="37">
        <f>(E70*'Goal Seek 6th order'!$K13)/(40*10^-6)</f>
        <v>9.8418916424813062E-4</v>
      </c>
      <c r="H70" s="37">
        <f>(F70*'Goal Seek 6th order'!$K13)/(40*10^-6)</f>
        <v>0.18502756287864836</v>
      </c>
      <c r="I70" s="50">
        <f>(('Goal Seek 6th order'!$P$23)/(B70+(12.5*(1+3.76))))</f>
        <v>1.0860018364117293E-7</v>
      </c>
      <c r="J70" s="50">
        <f t="shared" si="24"/>
        <v>9.3402130941508983E-6</v>
      </c>
      <c r="L70" s="37">
        <v>0.98</v>
      </c>
      <c r="M70" s="44">
        <f t="shared" ref="M70:M80" si="28">$C$4*L70</f>
        <v>8.2319999999999993</v>
      </c>
      <c r="N70" s="44">
        <f t="shared" ref="N70:N80" si="29">$D$4*L70</f>
        <v>9.261000000000001</v>
      </c>
      <c r="O70" s="44">
        <f>('Goal Seek 6th order'!$S$11*(1-L70))*(1+$L$66)</f>
        <v>0.37500000000000033</v>
      </c>
      <c r="P70" s="37">
        <f>'Goal Seek 6th order'!$H$11*(1+$L$66)</f>
        <v>70.5</v>
      </c>
      <c r="Q70" s="37">
        <f>(O70*'Goal Seek 6th order'!$K13)/(40*10^-6)</f>
        <v>1.0181267216359971E-3</v>
      </c>
      <c r="R70" s="37">
        <f>(P70*'Goal Seek 6th order'!$K13)/(40*10^-6)</f>
        <v>0.19140782366756731</v>
      </c>
      <c r="S70" s="50">
        <f>(('Goal Seek 6th order'!$P$23)/(L70+(12.5*(1+3.76))))</f>
        <v>1.0860018364117293E-7</v>
      </c>
      <c r="T70" s="50">
        <f t="shared" si="25"/>
        <v>9.5967810280031691E-6</v>
      </c>
    </row>
    <row r="71" spans="2:20" x14ac:dyDescent="0.3">
      <c r="B71" s="37">
        <v>0.97</v>
      </c>
      <c r="C71" s="44">
        <f t="shared" si="26"/>
        <v>8.1479999999999997</v>
      </c>
      <c r="D71" s="44">
        <f t="shared" si="27"/>
        <v>9.166500000000001</v>
      </c>
      <c r="E71" s="44">
        <f>('Goal Seek 6th order'!$S$11*(1-B71))*(1+$B$66)</f>
        <v>0.54375000000000051</v>
      </c>
      <c r="F71" s="37">
        <f>'Goal Seek 6th order'!$H$11*(1+$B$66)</f>
        <v>68.149999999999991</v>
      </c>
      <c r="G71" s="37">
        <f>(E71*'Goal Seek 6th order'!$K14)/(40*10^-6)</f>
        <v>1.4765278812732001E-3</v>
      </c>
      <c r="H71" s="37">
        <f>(F71*'Goal Seek 6th order'!$K14)/(40*10^-6)</f>
        <v>0.18505816111957424</v>
      </c>
      <c r="I71" s="50">
        <f>(('Goal Seek 6th order'!$P$23)/(B71+(12.5*(1+3.76))))</f>
        <v>1.0861814299021231E-7</v>
      </c>
      <c r="J71" s="50">
        <f t="shared" si="24"/>
        <v>9.342056396837927E-6</v>
      </c>
      <c r="L71" s="37">
        <v>0.97</v>
      </c>
      <c r="M71" s="44">
        <f t="shared" si="28"/>
        <v>8.1479999999999997</v>
      </c>
      <c r="N71" s="44">
        <f t="shared" si="29"/>
        <v>9.166500000000001</v>
      </c>
      <c r="O71" s="44">
        <f>('Goal Seek 6th order'!$S$11*(1-L71))*(1+$L$66)</f>
        <v>0.56250000000000044</v>
      </c>
      <c r="P71" s="37">
        <f>'Goal Seek 6th order'!$H$11*(1+$L$66)</f>
        <v>70.5</v>
      </c>
      <c r="Q71" s="37">
        <f>(O71*'Goal Seek 6th order'!$K14)/(40*10^-6)</f>
        <v>1.5274426357998621E-3</v>
      </c>
      <c r="R71" s="37">
        <f>(P71*'Goal Seek 6th order'!$K14)/(40*10^-6)</f>
        <v>0.19143947702024919</v>
      </c>
      <c r="S71" s="50">
        <f>(('Goal Seek 6th order'!$P$23)/(L71+(12.5*(1+3.76))))</f>
        <v>1.0861814299021231E-7</v>
      </c>
      <c r="T71" s="50">
        <f t="shared" si="25"/>
        <v>9.5993456230459953E-6</v>
      </c>
    </row>
    <row r="72" spans="2:20" x14ac:dyDescent="0.3">
      <c r="B72" s="37">
        <v>0.96</v>
      </c>
      <c r="C72" s="44">
        <f t="shared" si="26"/>
        <v>8.0640000000000001</v>
      </c>
      <c r="D72" s="44">
        <f t="shared" si="27"/>
        <v>9.072000000000001</v>
      </c>
      <c r="E72" s="44">
        <f>('Goal Seek 6th order'!$S$11*(1-B72))*(1+$B$66)</f>
        <v>0.72500000000000064</v>
      </c>
      <c r="F72" s="37">
        <f>'Goal Seek 6th order'!$H$11*(1+$B$66)</f>
        <v>68.149999999999991</v>
      </c>
      <c r="G72" s="37">
        <f>(E72*'Goal Seek 6th order'!$K15)/(40*10^-6)</f>
        <v>1.9690294625778013E-3</v>
      </c>
      <c r="H72" s="37">
        <f>(F72*'Goal Seek 6th order'!$K15)/(40*10^-6)</f>
        <v>0.18508876948231315</v>
      </c>
      <c r="I72" s="50">
        <f>(('Goal Seek 6th order'!$P$23)/(B72+(12.5*(1+3.76))))</f>
        <v>1.0863610828015446E-7</v>
      </c>
      <c r="J72" s="50">
        <f t="shared" si="24"/>
        <v>9.343900309284364E-6</v>
      </c>
      <c r="L72" s="37">
        <v>0.96</v>
      </c>
      <c r="M72" s="44">
        <f t="shared" si="28"/>
        <v>8.0640000000000001</v>
      </c>
      <c r="N72" s="44">
        <f t="shared" si="29"/>
        <v>9.072000000000001</v>
      </c>
      <c r="O72" s="44">
        <f>('Goal Seek 6th order'!$S$11*(1-L72))*(1+$L$66)</f>
        <v>0.75000000000000067</v>
      </c>
      <c r="P72" s="37">
        <f>'Goal Seek 6th order'!$H$11*(1+$L$66)</f>
        <v>70.5</v>
      </c>
      <c r="Q72" s="37">
        <f>(O72*'Goal Seek 6th order'!$K15)/(40*10^-6)</f>
        <v>2.0369270302528983E-3</v>
      </c>
      <c r="R72" s="37">
        <f>(P72*'Goal Seek 6th order'!$K15)/(40*10^-6)</f>
        <v>0.19147114084377226</v>
      </c>
      <c r="S72" s="50">
        <f>(('Goal Seek 6th order'!$P$23)/(L72+(12.5*(1+3.76))))</f>
        <v>1.0863610828015446E-7</v>
      </c>
      <c r="T72" s="50">
        <f t="shared" si="25"/>
        <v>9.6019110664497318E-6</v>
      </c>
    </row>
    <row r="73" spans="2:20" x14ac:dyDescent="0.3">
      <c r="B73" s="37">
        <v>0.95</v>
      </c>
      <c r="C73" s="44">
        <f t="shared" si="26"/>
        <v>7.9799999999999995</v>
      </c>
      <c r="D73" s="44">
        <f t="shared" si="27"/>
        <v>8.9775000000000009</v>
      </c>
      <c r="E73" s="44">
        <f>('Goal Seek 6th order'!$S$11*(1-B73))*(1+$B$66)</f>
        <v>0.90625000000000078</v>
      </c>
      <c r="F73" s="37">
        <f>'Goal Seek 6th order'!$H$11*(1+$B$66)</f>
        <v>68.149999999999991</v>
      </c>
      <c r="G73" s="37">
        <f>(E73*'Goal Seek 6th order'!$K16)/(40*10^-6)</f>
        <v>2.4616939889878795E-3</v>
      </c>
      <c r="H73" s="37">
        <f>(F73*'Goal Seek 6th order'!$K16)/(40*10^-6)</f>
        <v>0.18511938797188837</v>
      </c>
      <c r="I73" s="50">
        <f>(('Goal Seek 6th order'!$P$23)/(B73+(12.5*(1+3.76))))</f>
        <v>1.0865407951394769E-7</v>
      </c>
      <c r="J73" s="50">
        <f t="shared" si="24"/>
        <v>9.3457448317928167E-6</v>
      </c>
      <c r="L73" s="37">
        <v>0.95</v>
      </c>
      <c r="M73" s="44">
        <f t="shared" si="28"/>
        <v>7.9799999999999995</v>
      </c>
      <c r="N73" s="44">
        <f t="shared" si="29"/>
        <v>8.9775000000000009</v>
      </c>
      <c r="O73" s="44">
        <f>('Goal Seek 6th order'!$S$11*(1-L73))*(1+$L$66)</f>
        <v>0.93750000000000089</v>
      </c>
      <c r="P73" s="37">
        <f>'Goal Seek 6th order'!$H$11*(1+$L$66)</f>
        <v>70.5</v>
      </c>
      <c r="Q73" s="37">
        <f>(O73*'Goal Seek 6th order'!$K16)/(40*10^-6)</f>
        <v>2.5465799886081517E-3</v>
      </c>
      <c r="R73" s="37">
        <f>(P73*'Goal Seek 6th order'!$K16)/(40*10^-6)</f>
        <v>0.19150281514333284</v>
      </c>
      <c r="S73" s="50">
        <f>(('Goal Seek 6th order'!$P$23)/(L73+(12.5*(1+3.76))))</f>
        <v>1.0865407951394769E-7</v>
      </c>
      <c r="T73" s="50">
        <f t="shared" si="25"/>
        <v>9.6044773586354064E-6</v>
      </c>
    </row>
    <row r="74" spans="2:20" x14ac:dyDescent="0.3">
      <c r="B74" s="37">
        <v>0.9</v>
      </c>
      <c r="C74" s="44">
        <f t="shared" si="26"/>
        <v>7.5600000000000005</v>
      </c>
      <c r="D74" s="44">
        <f t="shared" si="27"/>
        <v>8.5050000000000008</v>
      </c>
      <c r="E74" s="44">
        <f>('Goal Seek 6th order'!$S$11*(1-B74))*(1+$B$66)</f>
        <v>1.8124999999999996</v>
      </c>
      <c r="F74" s="37">
        <f>'Goal Seek 6th order'!$H$11*(1+$B$66)</f>
        <v>68.149999999999991</v>
      </c>
      <c r="G74" s="37">
        <f>(E74*'Goal Seek 6th order'!$K17)/(40*10^-6)</f>
        <v>4.9274636302754039E-3</v>
      </c>
      <c r="H74" s="37">
        <f>(F74*'Goal Seek 6th order'!$K17)/(40*10^-6)</f>
        <v>0.18527263249835521</v>
      </c>
      <c r="I74" s="50">
        <f>(('Goal Seek 6th order'!$P$23)/(B74+(12.5*(1+3.76))))</f>
        <v>1.0874402494400892E-7</v>
      </c>
      <c r="J74" s="50">
        <f t="shared" si="24"/>
        <v>9.3549766058707261E-6</v>
      </c>
      <c r="L74" s="37">
        <v>0.9</v>
      </c>
      <c r="M74" s="44">
        <f t="shared" si="28"/>
        <v>7.5600000000000005</v>
      </c>
      <c r="N74" s="44">
        <f t="shared" si="29"/>
        <v>8.5050000000000008</v>
      </c>
      <c r="O74" s="44">
        <f>('Goal Seek 6th order'!$S$11*(1-L74))*(1+$L$66)</f>
        <v>1.8749999999999996</v>
      </c>
      <c r="P74" s="37">
        <f>'Goal Seek 6th order'!$H$11*(1+$L$66)</f>
        <v>70.5</v>
      </c>
      <c r="Q74" s="37">
        <f>(O74*'Goal Seek 6th order'!$K17)/(40*10^-6)</f>
        <v>5.0973761692504173E-3</v>
      </c>
      <c r="R74" s="37">
        <f>(P74*'Goal Seek 6th order'!$K17)/(40*10^-6)</f>
        <v>0.19166134396381576</v>
      </c>
      <c r="S74" s="50">
        <f>(('Goal Seek 6th order'!$P$23)/(L74+(12.5*(1+3.76))))</f>
        <v>1.0874402494400892E-7</v>
      </c>
      <c r="T74" s="50">
        <f t="shared" si="25"/>
        <v>9.6173215660481486E-6</v>
      </c>
    </row>
    <row r="75" spans="2:20" x14ac:dyDescent="0.3">
      <c r="B75" s="37">
        <v>0.85</v>
      </c>
      <c r="C75" s="44">
        <f t="shared" si="26"/>
        <v>7.14</v>
      </c>
      <c r="D75" s="44">
        <f t="shared" si="27"/>
        <v>8.0325000000000006</v>
      </c>
      <c r="E75" s="44">
        <f>('Goal Seek 6th order'!$S$11*(1-B75))*(1+$B$66)</f>
        <v>2.7187500000000004</v>
      </c>
      <c r="F75" s="37">
        <f>'Goal Seek 6th order'!$H$11*(1+$B$66)</f>
        <v>68.149999999999991</v>
      </c>
      <c r="G75" s="37">
        <f>(E75*'Goal Seek 6th order'!$K18)/(40*10^-6)</f>
        <v>7.3973190539014374E-3</v>
      </c>
      <c r="H75" s="37">
        <f>(F75*'Goal Seek 6th order'!$K18)/(40*10^-6)</f>
        <v>0.18542613095112928</v>
      </c>
      <c r="I75" s="50">
        <f>(('Goal Seek 6th order'!$P$23)/(B75+(12.5*(1+3.76))))</f>
        <v>1.0883411941372226E-7</v>
      </c>
      <c r="J75" s="50">
        <f t="shared" si="24"/>
        <v>9.3642236770059287E-6</v>
      </c>
      <c r="L75" s="37">
        <v>0.85</v>
      </c>
      <c r="M75" s="44">
        <f t="shared" si="28"/>
        <v>7.14</v>
      </c>
      <c r="N75" s="44">
        <f t="shared" si="29"/>
        <v>8.0325000000000006</v>
      </c>
      <c r="O75" s="44">
        <f>('Goal Seek 6th order'!$S$11*(1-L75))*(1+$L$66)</f>
        <v>2.8125000000000004</v>
      </c>
      <c r="P75" s="37">
        <f>'Goal Seek 6th order'!$H$11*(1+$L$66)</f>
        <v>70.5</v>
      </c>
      <c r="Q75" s="37">
        <f>(O75*'Goal Seek 6th order'!$K18)/(40*10^-6)</f>
        <v>7.6523990212773486E-3</v>
      </c>
      <c r="R75" s="37">
        <f>(P75*'Goal Seek 6th order'!$K18)/(40*10^-6)</f>
        <v>0.1918201354666855</v>
      </c>
      <c r="S75" s="50">
        <f>(('Goal Seek 6th order'!$P$23)/(L75+(12.5*(1+3.76))))</f>
        <v>1.0883411941372226E-7</v>
      </c>
      <c r="T75" s="50">
        <f t="shared" si="25"/>
        <v>9.6301870563232144E-6</v>
      </c>
    </row>
    <row r="76" spans="2:20" x14ac:dyDescent="0.3">
      <c r="B76" s="37">
        <v>0.8</v>
      </c>
      <c r="C76" s="44">
        <f t="shared" si="26"/>
        <v>6.7200000000000006</v>
      </c>
      <c r="D76" s="44">
        <f t="shared" si="27"/>
        <v>7.5600000000000014</v>
      </c>
      <c r="E76" s="44">
        <f>('Goal Seek 6th order'!$S$11*(1-B76))*(1+$B$66)</f>
        <v>3.6249999999999991</v>
      </c>
      <c r="F76" s="37">
        <f>'Goal Seek 6th order'!$H$11*(1+$B$66)</f>
        <v>68.149999999999991</v>
      </c>
      <c r="G76" s="37">
        <f>(E76*'Goal Seek 6th order'!$K19)/(40*10^-6)</f>
        <v>9.8712704235036277E-3</v>
      </c>
      <c r="H76" s="37">
        <f>(F76*'Goal Seek 6th order'!$K19)/(40*10^-6)</f>
        <v>0.18557988396186822</v>
      </c>
      <c r="I76" s="50">
        <f>(('Goal Seek 6th order'!$P$23)/(B76+(12.5*(1+3.76))))</f>
        <v>1.0892436329383315E-7</v>
      </c>
      <c r="J76" s="50">
        <f t="shared" si="24"/>
        <v>9.3734860832508104E-6</v>
      </c>
      <c r="L76" s="37">
        <v>0.8</v>
      </c>
      <c r="M76" s="44">
        <f t="shared" si="28"/>
        <v>6.7200000000000006</v>
      </c>
      <c r="N76" s="44">
        <f t="shared" si="29"/>
        <v>7.5600000000000014</v>
      </c>
      <c r="O76" s="44">
        <f>('Goal Seek 6th order'!$S$11*(1-L76))*(1+$L$66)</f>
        <v>3.7499999999999991</v>
      </c>
      <c r="P76" s="37">
        <f>'Goal Seek 6th order'!$H$11*(1+$L$66)</f>
        <v>70.5</v>
      </c>
      <c r="Q76" s="37">
        <f>(O76*'Goal Seek 6th order'!$K19)/(40*10^-6)</f>
        <v>1.0211659058796856E-2</v>
      </c>
      <c r="R76" s="37">
        <f>(P76*'Goal Seek 6th order'!$K19)/(40*10^-6)</f>
        <v>0.19197919030538094</v>
      </c>
      <c r="S76" s="50">
        <f>(('Goal Seek 6th order'!$P$23)/(L76+(12.5*(1+3.76))))</f>
        <v>1.0892436329383315E-7</v>
      </c>
      <c r="T76" s="50">
        <f t="shared" si="25"/>
        <v>9.6430738824030479E-6</v>
      </c>
    </row>
    <row r="77" spans="2:20" x14ac:dyDescent="0.3">
      <c r="B77" s="37">
        <v>0.75</v>
      </c>
      <c r="C77" s="44">
        <f t="shared" si="26"/>
        <v>6.3000000000000007</v>
      </c>
      <c r="D77" s="44">
        <f t="shared" si="27"/>
        <v>7.0875000000000004</v>
      </c>
      <c r="E77" s="44">
        <f>('Goal Seek 6th order'!$S$11*(1-B77))*(1+$B$66)</f>
        <v>4.53125</v>
      </c>
      <c r="F77" s="37">
        <f>'Goal Seek 6th order'!$H$11*(1+$B$66)</f>
        <v>68.149999999999991</v>
      </c>
      <c r="G77" s="37">
        <f>(E77*'Goal Seek 6th order'!$K20)/(40*10^-6)</f>
        <v>1.2349327936457859E-2</v>
      </c>
      <c r="H77" s="37">
        <f>(F77*'Goal Seek 6th order'!$K20)/(40*10^-6)</f>
        <v>0.1857338921643262</v>
      </c>
      <c r="I77" s="50">
        <f>(('Goal Seek 6th order'!$P$23)/(B77+(12.5*(1+3.76))))</f>
        <v>1.0901475695631766E-7</v>
      </c>
      <c r="J77" s="50">
        <f t="shared" si="24"/>
        <v>9.3827638627840651E-6</v>
      </c>
      <c r="L77" s="37">
        <v>0.75</v>
      </c>
      <c r="M77" s="44">
        <f t="shared" si="28"/>
        <v>6.3000000000000007</v>
      </c>
      <c r="N77" s="44">
        <f t="shared" si="29"/>
        <v>7.0875000000000004</v>
      </c>
      <c r="O77" s="44">
        <f>('Goal Seek 6th order'!$S$11*(1-L77))*(1+$L$66)</f>
        <v>4.6875</v>
      </c>
      <c r="P77" s="37">
        <f>'Goal Seek 6th order'!$H$11*(1+$L$66)</f>
        <v>70.5</v>
      </c>
      <c r="Q77" s="37">
        <f>(O77*'Goal Seek 6th order'!$K20)/(40*10^-6)</f>
        <v>1.2775166830818478E-2</v>
      </c>
      <c r="R77" s="37">
        <f>(P77*'Goal Seek 6th order'!$K20)/(40*10^-6)</f>
        <v>0.19213850913550989</v>
      </c>
      <c r="S77" s="50">
        <f>(('Goal Seek 6th order'!$P$23)/(L77+(12.5*(1+3.76))))</f>
        <v>1.0901475695631766E-7</v>
      </c>
      <c r="T77" s="50">
        <f t="shared" si="25"/>
        <v>9.6559820974058373E-6</v>
      </c>
    </row>
    <row r="78" spans="2:20" x14ac:dyDescent="0.3">
      <c r="B78" s="37">
        <v>0.7</v>
      </c>
      <c r="C78" s="44">
        <f t="shared" si="26"/>
        <v>5.88</v>
      </c>
      <c r="D78" s="44">
        <f t="shared" si="27"/>
        <v>6.6150000000000002</v>
      </c>
      <c r="E78" s="44">
        <f>('Goal Seek 6th order'!$S$11*(1-B78))*(1+$B$66)</f>
        <v>5.4375000000000009</v>
      </c>
      <c r="F78" s="37">
        <f>'Goal Seek 6th order'!$H$11*(1+$B$66)</f>
        <v>68.149999999999991</v>
      </c>
      <c r="G78" s="37">
        <f>(E78*'Goal Seek 6th order'!$K21)/(40*10^-6)</f>
        <v>1.483150182401833E-2</v>
      </c>
      <c r="H78" s="37">
        <f>(F78*'Goal Seek 6th order'!$K21)/(40*10^-6)</f>
        <v>0.185888156194363</v>
      </c>
      <c r="I78" s="50">
        <f>(('Goal Seek 6th order'!$P$23)/(B78+(12.5*(1+3.76))))</f>
        <v>1.0910530077438768E-7</v>
      </c>
      <c r="J78" s="50">
        <f t="shared" si="24"/>
        <v>9.3920570539112264E-6</v>
      </c>
      <c r="L78" s="37">
        <v>0.7</v>
      </c>
      <c r="M78" s="44">
        <f t="shared" si="28"/>
        <v>5.88</v>
      </c>
      <c r="N78" s="44">
        <f t="shared" si="29"/>
        <v>6.6150000000000002</v>
      </c>
      <c r="O78" s="44">
        <f>('Goal Seek 6th order'!$S$11*(1-L78))*(1+$L$66)</f>
        <v>5.6250000000000009</v>
      </c>
      <c r="P78" s="37">
        <f>'Goal Seek 6th order'!$H$11*(1+$L$66)</f>
        <v>70.5</v>
      </c>
      <c r="Q78" s="37">
        <f>(O78*'Goal Seek 6th order'!$K21)/(40*10^-6)</f>
        <v>1.534293292139827E-2</v>
      </c>
      <c r="R78" s="37">
        <f>(P78*'Goal Seek 6th order'!$K21)/(40*10^-6)</f>
        <v>0.19229809261485831</v>
      </c>
      <c r="S78" s="50">
        <f>(('Goal Seek 6th order'!$P$23)/(L78+(12.5*(1+3.76))))</f>
        <v>1.0910530077438768E-7</v>
      </c>
      <c r="T78" s="50">
        <f t="shared" si="25"/>
        <v>9.6689117546262368E-6</v>
      </c>
    </row>
    <row r="79" spans="2:20" x14ac:dyDescent="0.3">
      <c r="B79" s="37">
        <v>0.65</v>
      </c>
      <c r="C79" s="44">
        <f t="shared" si="26"/>
        <v>5.4600000000000009</v>
      </c>
      <c r="D79" s="44">
        <f t="shared" si="27"/>
        <v>6.142500000000001</v>
      </c>
      <c r="E79" s="44">
        <f>('Goal Seek 6th order'!$S$11*(1-B79))*(1+$B$66)</f>
        <v>6.34375</v>
      </c>
      <c r="F79" s="37">
        <f>'Goal Seek 6th order'!$H$11*(1+$B$66)</f>
        <v>68.149999999999991</v>
      </c>
      <c r="G79" s="37">
        <f>(E79*'Goal Seek 6th order'!$K22)/(40*10^-6)</f>
        <v>1.7317802351458363E-2</v>
      </c>
      <c r="H79" s="37">
        <f>(F79*'Goal Seek 6th order'!$K22)/(40*10^-6)</f>
        <v>0.18604267668995267</v>
      </c>
      <c r="I79" s="50">
        <f>(('Goal Seek 6th order'!$P$23)/(B79+(12.5*(1+3.76))))</f>
        <v>1.0919599512249607E-7</v>
      </c>
      <c r="J79" s="50">
        <f t="shared" si="24"/>
        <v>9.4013656950652013E-6</v>
      </c>
      <c r="L79" s="37">
        <v>0.65</v>
      </c>
      <c r="M79" s="44">
        <f t="shared" si="28"/>
        <v>5.4600000000000009</v>
      </c>
      <c r="N79" s="44">
        <f t="shared" si="29"/>
        <v>6.142500000000001</v>
      </c>
      <c r="O79" s="44">
        <f>('Goal Seek 6th order'!$S$11*(1-L79))*(1+$L$66)</f>
        <v>6.5625</v>
      </c>
      <c r="P79" s="37">
        <f>'Goal Seek 6th order'!$H$11*(1+$L$66)</f>
        <v>70.5</v>
      </c>
      <c r="Q79" s="37">
        <f>(O79*'Goal Seek 6th order'!$K22)/(40*10^-6)</f>
        <v>1.7914967949784512E-2</v>
      </c>
      <c r="R79" s="37">
        <f>(P79*'Goal Seek 6th order'!$K22)/(40*10^-6)</f>
        <v>0.19245794140339936</v>
      </c>
      <c r="S79" s="50">
        <f>(('Goal Seek 6th order'!$P$23)/(L79+(12.5*(1+3.76))))</f>
        <v>1.0919599512249607E-7</v>
      </c>
      <c r="T79" s="50">
        <f t="shared" si="25"/>
        <v>9.6818629075361149E-6</v>
      </c>
    </row>
    <row r="80" spans="2:20" x14ac:dyDescent="0.3">
      <c r="B80" s="37">
        <v>0.6</v>
      </c>
      <c r="C80" s="44">
        <f t="shared" si="26"/>
        <v>5.04</v>
      </c>
      <c r="D80" s="44">
        <f t="shared" si="27"/>
        <v>5.6700000000000008</v>
      </c>
      <c r="E80" s="44">
        <f>('Goal Seek 6th order'!$S$11*(1-B80))*(1+$B$66)</f>
        <v>7.25</v>
      </c>
      <c r="F80" s="37">
        <f>'Goal Seek 6th order'!$H$11*(1+$B$66)</f>
        <v>68.149999999999991</v>
      </c>
      <c r="G80" s="37">
        <f>(E80*'Goal Seek 6th order'!$K23)/(40*10^-6)</f>
        <v>1.9808239818211941E-2</v>
      </c>
      <c r="H80" s="37">
        <f>(F80*'Goal Seek 6th order'!$K23)/(40*10^-6)</f>
        <v>0.18619745429119222</v>
      </c>
      <c r="I80" s="50">
        <f>(('Goal Seek 6th order'!$P$23)/(B80+(12.5*(1+3.76))))</f>
        <v>1.0928684037634173E-7</v>
      </c>
      <c r="J80" s="50">
        <f t="shared" si="24"/>
        <v>9.4106898248067852E-6</v>
      </c>
      <c r="L80" s="37">
        <v>0.6</v>
      </c>
      <c r="M80" s="44">
        <f t="shared" si="28"/>
        <v>5.04</v>
      </c>
      <c r="N80" s="44">
        <f t="shared" si="29"/>
        <v>5.6700000000000008</v>
      </c>
      <c r="O80" s="44">
        <f>('Goal Seek 6th order'!$S$11*(1-L80))*(1+$L$66)</f>
        <v>7.5</v>
      </c>
      <c r="P80" s="37">
        <f>'Goal Seek 6th order'!$H$11*(1+$L$66)</f>
        <v>70.5</v>
      </c>
      <c r="Q80" s="37">
        <f>(O80*'Goal Seek 6th order'!$K23)/(40*10^-6)</f>
        <v>2.0491282570564078E-2</v>
      </c>
      <c r="R80" s="37">
        <f>(P80*'Goal Seek 6th order'!$K23)/(40*10^-6)</f>
        <v>0.19261805616330235</v>
      </c>
      <c r="S80" s="50">
        <f>(('Goal Seek 6th order'!$P$23)/(L80+(12.5*(1+3.76))))</f>
        <v>1.0928684037634173E-7</v>
      </c>
      <c r="T80" s="50">
        <f t="shared" si="25"/>
        <v>9.6948356097852764E-6</v>
      </c>
    </row>
  </sheetData>
  <mergeCells count="10">
    <mergeCell ref="L50:T50"/>
    <mergeCell ref="L66:T66"/>
    <mergeCell ref="B2:J2"/>
    <mergeCell ref="B18:J18"/>
    <mergeCell ref="L2:T2"/>
    <mergeCell ref="B34:J34"/>
    <mergeCell ref="B50:J50"/>
    <mergeCell ref="B66:J66"/>
    <mergeCell ref="L18:T18"/>
    <mergeCell ref="L34:T3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2:G32"/>
  <sheetViews>
    <sheetView zoomScale="85" zoomScaleNormal="85" workbookViewId="0">
      <selection activeCell="AF11" sqref="AF11"/>
    </sheetView>
  </sheetViews>
  <sheetFormatPr defaultRowHeight="14.4" x14ac:dyDescent="0.3"/>
  <cols>
    <col min="3" max="3" width="11.6640625" customWidth="1"/>
    <col min="7" max="7" width="10" customWidth="1"/>
  </cols>
  <sheetData>
    <row r="2" spans="2:7" x14ac:dyDescent="0.3">
      <c r="C2" s="105" t="s">
        <v>267</v>
      </c>
      <c r="D2" s="105"/>
      <c r="E2" s="105"/>
      <c r="F2" s="105"/>
      <c r="G2" s="105"/>
    </row>
    <row r="3" spans="2:7" x14ac:dyDescent="0.3">
      <c r="B3" s="22" t="s">
        <v>106</v>
      </c>
      <c r="C3" s="41">
        <v>0</v>
      </c>
      <c r="D3" s="41">
        <v>0.05</v>
      </c>
      <c r="E3" s="41">
        <v>0.1</v>
      </c>
      <c r="F3" s="41">
        <v>0.15</v>
      </c>
      <c r="G3" s="41">
        <v>0.2</v>
      </c>
    </row>
    <row r="4" spans="2:7" x14ac:dyDescent="0.3">
      <c r="B4" s="40">
        <v>1</v>
      </c>
      <c r="C4" s="37">
        <f>Nox!$F$6</f>
        <v>0</v>
      </c>
      <c r="D4" s="37">
        <f>Nox!F28</f>
        <v>0</v>
      </c>
      <c r="E4" s="37">
        <f>Nox!F49</f>
        <v>0</v>
      </c>
      <c r="F4" s="37">
        <f>Nox!F70</f>
        <v>0</v>
      </c>
      <c r="G4" s="37">
        <f>Nox!F91</f>
        <v>0</v>
      </c>
    </row>
    <row r="5" spans="2:7" x14ac:dyDescent="0.3">
      <c r="B5" s="40">
        <v>0.99</v>
      </c>
      <c r="C5" s="37">
        <f>Nox!$J$6</f>
        <v>19993.740482036883</v>
      </c>
      <c r="D5" s="37">
        <f>Nox!$J$28</f>
        <v>8096.9460710466465</v>
      </c>
      <c r="E5" s="37">
        <f>Nox!$J$49</f>
        <v>3363.5095197348446</v>
      </c>
      <c r="F5" s="37">
        <f>Nox!$J$70</f>
        <v>1414.4928670716349</v>
      </c>
      <c r="G5" s="37">
        <f>Nox!$J$91</f>
        <v>602.12776983675712</v>
      </c>
    </row>
    <row r="6" spans="2:7" x14ac:dyDescent="0.3">
      <c r="B6" s="40">
        <v>0.98</v>
      </c>
      <c r="C6" s="37">
        <f>Nox!$N$6</f>
        <v>24046.514288941093</v>
      </c>
      <c r="D6" s="37">
        <f>Nox!$N$28</f>
        <v>9702.2222892530735</v>
      </c>
      <c r="E6" s="37">
        <f>Nox!$N$49</f>
        <v>4017.9175107862102</v>
      </c>
      <c r="F6" s="37">
        <f>Nox!$N$70</f>
        <v>1684.056161518087</v>
      </c>
      <c r="G6" s="37">
        <f>Nox!$N$91</f>
        <v>714.53910929662948</v>
      </c>
    </row>
    <row r="7" spans="2:7" x14ac:dyDescent="0.3">
      <c r="B7" s="40">
        <v>0.97</v>
      </c>
      <c r="C7" s="37">
        <f>Nox!$R$6</f>
        <v>24986.096891175293</v>
      </c>
      <c r="D7" s="37">
        <f>Nox!$R$28</f>
        <v>10046.288871288503</v>
      </c>
      <c r="E7" s="37">
        <f>Nox!$R$49</f>
        <v>4144.5274185162834</v>
      </c>
      <c r="F7" s="37">
        <f>Nox!$R$70</f>
        <v>1731.2132134887277</v>
      </c>
      <c r="G7" s="37">
        <f>Nox!$R$91</f>
        <v>732.10896823201517</v>
      </c>
    </row>
    <row r="8" spans="2:7" x14ac:dyDescent="0.3">
      <c r="B8" s="40">
        <v>0.96</v>
      </c>
      <c r="C8" s="37">
        <f>Nox!$V$6</f>
        <v>24389.927913861513</v>
      </c>
      <c r="D8" s="37">
        <f>Nox!$V$28</f>
        <v>9775.7102372451391</v>
      </c>
      <c r="E8" s="37">
        <f>Nox!$V$49</f>
        <v>4018.5717126332893</v>
      </c>
      <c r="F8" s="37">
        <f>Nox!$V$70</f>
        <v>1672.7822274783548</v>
      </c>
      <c r="G8" s="37">
        <f>Nox!$V$91</f>
        <v>705.00808737130467</v>
      </c>
    </row>
    <row r="9" spans="2:7" x14ac:dyDescent="0.3">
      <c r="B9" s="40">
        <v>0.95</v>
      </c>
      <c r="C9" s="37">
        <f>Nox!$Z$6</f>
        <v>22992.878493989869</v>
      </c>
      <c r="D9" s="37">
        <f>Nox!$Z$28</f>
        <v>9182.6612105315762</v>
      </c>
      <c r="E9" s="37">
        <f>Nox!$Z$49</f>
        <v>3761.106848864988</v>
      </c>
      <c r="F9" s="37">
        <f>Nox!$Z$70</f>
        <v>1560.0814166945061</v>
      </c>
      <c r="G9" s="37">
        <f>Nox!$Z$91</f>
        <v>655.24670342182549</v>
      </c>
    </row>
    <row r="10" spans="2:7" x14ac:dyDescent="0.3">
      <c r="B10" s="40">
        <v>0.9</v>
      </c>
      <c r="C10" s="37">
        <f>Nox!$AD$6</f>
        <v>13220.220166754832</v>
      </c>
      <c r="D10" s="37">
        <f>Nox!$AD$28</f>
        <v>5179.569106012148</v>
      </c>
      <c r="E10" s="37">
        <f>Nox!$AD$49</f>
        <v>2081.0996331305696</v>
      </c>
      <c r="F10" s="37">
        <f>Nox!$AD$70</f>
        <v>847.23707278678819</v>
      </c>
      <c r="G10" s="37">
        <f>Nox!$AD$91</f>
        <v>349.43013881888243</v>
      </c>
    </row>
    <row r="11" spans="2:7" x14ac:dyDescent="0.3">
      <c r="B11" s="40">
        <v>0.85</v>
      </c>
      <c r="C11" s="37">
        <f>Nox!$AH$6</f>
        <v>6028.2484346555384</v>
      </c>
      <c r="D11" s="37">
        <f>Nox!$AH$28</f>
        <v>2312.3083761117459</v>
      </c>
      <c r="E11" s="37">
        <f>Nox!$AH$49</f>
        <v>909.6405845462217</v>
      </c>
      <c r="F11" s="37">
        <f>Nox!$AH$70</f>
        <v>362.81497964706728</v>
      </c>
      <c r="G11" s="37">
        <f>Nox!$AH$91</f>
        <v>146.68747117892076</v>
      </c>
    </row>
    <row r="12" spans="2:7" x14ac:dyDescent="0.3">
      <c r="B12" s="40">
        <v>0.8</v>
      </c>
      <c r="C12" s="37">
        <f>Nox!$AL$6</f>
        <v>2338.3243359300282</v>
      </c>
      <c r="D12" s="37">
        <f>Nox!$AL$28</f>
        <v>876.21595073561684</v>
      </c>
      <c r="E12" s="37">
        <f>Nox!$AL$49</f>
        <v>336.79134917413637</v>
      </c>
      <c r="F12" s="37">
        <f>Nox!$AL$70</f>
        <v>131.3445468000231</v>
      </c>
      <c r="G12" s="37">
        <f>Nox!$AL$91</f>
        <v>51.95659694071491</v>
      </c>
    </row>
    <row r="13" spans="2:7" x14ac:dyDescent="0.3">
      <c r="B13" s="40">
        <v>0.75</v>
      </c>
      <c r="C13" s="37">
        <f>Nox!$AP$6</f>
        <v>778.17457378531128</v>
      </c>
      <c r="D13" s="37">
        <f>Nox!$AP$28</f>
        <v>284.17760930440579</v>
      </c>
      <c r="E13" s="37">
        <f>Nox!$AP$49</f>
        <v>106.47795067580186</v>
      </c>
      <c r="F13" s="37">
        <f>Nox!$AP$70</f>
        <v>40.511438520465148</v>
      </c>
      <c r="G13" s="37">
        <f>Nox!$AP$91</f>
        <v>15.64538131377771</v>
      </c>
    </row>
    <row r="14" spans="2:7" x14ac:dyDescent="0.3">
      <c r="B14" s="40">
        <v>0.7</v>
      </c>
      <c r="C14" s="37">
        <f>Nox!$AT$6</f>
        <v>219.83365695815331</v>
      </c>
      <c r="D14" s="37">
        <f>Nox!$AT$28</f>
        <v>78.024951386838652</v>
      </c>
      <c r="E14" s="37">
        <f>Nox!$AT$49</f>
        <v>28.423618121169046</v>
      </c>
      <c r="F14" s="37">
        <f>Nox!$AT$70</f>
        <v>10.523350058323867</v>
      </c>
      <c r="G14" s="37">
        <f>Nox!$AT$91</f>
        <v>3.9578908091374538</v>
      </c>
    </row>
    <row r="15" spans="2:7" x14ac:dyDescent="0.3">
      <c r="B15" s="40">
        <v>0.65</v>
      </c>
      <c r="C15" s="37">
        <f>Nox!$AX$6</f>
        <v>51.572248472555742</v>
      </c>
      <c r="D15" s="37">
        <f>Nox!$AX$28</f>
        <v>17.734640580749538</v>
      </c>
      <c r="E15" s="37">
        <f>Nox!$AX$49</f>
        <v>6.2621115703412586</v>
      </c>
      <c r="F15" s="37">
        <f>Nox!$AX$70</f>
        <v>2.249393628736275</v>
      </c>
      <c r="G15" s="37">
        <f>Nox!$AX$91</f>
        <v>0.82153517264283471</v>
      </c>
    </row>
    <row r="16" spans="2:7" x14ac:dyDescent="0.3">
      <c r="B16" s="40">
        <v>0.6</v>
      </c>
      <c r="C16" s="37">
        <f>Nox!$BB$6</f>
        <v>7.9520033138841857</v>
      </c>
      <c r="D16" s="37">
        <f>Nox!$BB$28</f>
        <v>3.2285157744388626</v>
      </c>
      <c r="E16" s="37">
        <f>Nox!$BB$49</f>
        <v>1.1010320210327869</v>
      </c>
      <c r="F16" s="37">
        <f>Nox!$BB$70</f>
        <v>0.38238877149160722</v>
      </c>
      <c r="G16" s="37">
        <f>Nox!$BB$91</f>
        <v>0.13516136647918081</v>
      </c>
    </row>
    <row r="18" spans="2:7" x14ac:dyDescent="0.3">
      <c r="C18" s="105" t="s">
        <v>268</v>
      </c>
      <c r="D18" s="105"/>
      <c r="E18" s="105"/>
      <c r="F18" s="105"/>
      <c r="G18" s="105"/>
    </row>
    <row r="19" spans="2:7" x14ac:dyDescent="0.3">
      <c r="B19" s="22" t="s">
        <v>106</v>
      </c>
      <c r="C19" s="41">
        <v>0</v>
      </c>
      <c r="D19" s="41">
        <v>0.05</v>
      </c>
      <c r="E19" s="41">
        <v>0.1</v>
      </c>
      <c r="F19" s="41">
        <v>0.15</v>
      </c>
      <c r="G19" s="41">
        <v>0.2</v>
      </c>
    </row>
    <row r="20" spans="2:7" x14ac:dyDescent="0.3">
      <c r="B20" s="40">
        <v>1</v>
      </c>
      <c r="C20" s="37">
        <f>Nox!$F$6</f>
        <v>0</v>
      </c>
      <c r="D20" s="37">
        <f>Nox!F44</f>
        <v>0</v>
      </c>
      <c r="E20" s="37">
        <f>Nox!F65</f>
        <v>0</v>
      </c>
      <c r="F20" s="37">
        <f>Nox!F86</f>
        <v>0</v>
      </c>
      <c r="G20" s="37">
        <f>Nox!F107</f>
        <v>0</v>
      </c>
    </row>
    <row r="21" spans="2:7" x14ac:dyDescent="0.3">
      <c r="B21" s="40">
        <v>0.99</v>
      </c>
      <c r="C21" s="37">
        <v>19989.005865217216</v>
      </c>
      <c r="D21" s="37">
        <v>8080.9922960130161</v>
      </c>
      <c r="E21" s="37">
        <v>3311.9263972037315</v>
      </c>
      <c r="F21" s="37">
        <v>1374.8212571218999</v>
      </c>
      <c r="G21" s="37">
        <v>578.40645686030132</v>
      </c>
    </row>
    <row r="22" spans="2:7" x14ac:dyDescent="0.3">
      <c r="B22" s="40">
        <v>0.98</v>
      </c>
      <c r="C22" s="37">
        <v>24044.706220980759</v>
      </c>
      <c r="D22" s="37">
        <v>9669.4068432933964</v>
      </c>
      <c r="E22" s="37">
        <v>3942.3576206292323</v>
      </c>
      <c r="F22" s="37">
        <v>1628.9930336336024</v>
      </c>
      <c r="G22" s="37">
        <v>682.09853245764759</v>
      </c>
    </row>
    <row r="23" spans="2:7" x14ac:dyDescent="0.3">
      <c r="B23" s="40">
        <v>0.97</v>
      </c>
      <c r="C23" s="37">
        <v>24972.134414682132</v>
      </c>
      <c r="D23" s="37">
        <v>9993.3148017889744</v>
      </c>
      <c r="E23" s="37">
        <v>4052.6330202687668</v>
      </c>
      <c r="F23" s="37">
        <v>1666.7135853246807</v>
      </c>
      <c r="G23" s="37">
        <v>694.26073922711691</v>
      </c>
    </row>
    <row r="24" spans="2:7" x14ac:dyDescent="0.3">
      <c r="B24" s="40">
        <v>0.96</v>
      </c>
      <c r="C24" s="37">
        <v>24383.467811199935</v>
      </c>
      <c r="D24" s="37">
        <v>9704.7127364527332</v>
      </c>
      <c r="E24" s="37">
        <v>3916.5886980921564</v>
      </c>
      <c r="F24" s="37">
        <v>1602.0549534032803</v>
      </c>
      <c r="G24" s="37">
        <v>664.21346032066526</v>
      </c>
    </row>
    <row r="25" spans="2:7" x14ac:dyDescent="0.3">
      <c r="B25" s="40">
        <v>0.95</v>
      </c>
      <c r="C25" s="37">
        <v>22990.207044419934</v>
      </c>
      <c r="D25" s="37">
        <v>9098.8847738658187</v>
      </c>
      <c r="E25" s="37">
        <v>3652.8974491684503</v>
      </c>
      <c r="F25" s="37">
        <v>1486.5012801136629</v>
      </c>
      <c r="G25" s="37">
        <v>613.3829761679483</v>
      </c>
    </row>
    <row r="26" spans="2:7" x14ac:dyDescent="0.3">
      <c r="B26" s="40">
        <v>0.9</v>
      </c>
      <c r="C26" s="37">
        <v>13216.173660750883</v>
      </c>
      <c r="D26" s="37">
        <v>5084.2591187353501</v>
      </c>
      <c r="E26" s="37">
        <v>1984.5756840548129</v>
      </c>
      <c r="F26" s="37">
        <v>786.3947093237914</v>
      </c>
      <c r="G26" s="37">
        <v>315.9991044608646</v>
      </c>
    </row>
    <row r="27" spans="2:7" x14ac:dyDescent="0.3">
      <c r="B27" s="40">
        <v>0.85</v>
      </c>
      <c r="C27" s="37">
        <v>6027.0929373854797</v>
      </c>
      <c r="D27" s="37">
        <v>2246.3155951108006</v>
      </c>
      <c r="E27" s="37">
        <v>850.82186670027636</v>
      </c>
      <c r="F27" s="37">
        <v>327.23691511240656</v>
      </c>
      <c r="G27" s="37">
        <v>127.78104261894396</v>
      </c>
    </row>
    <row r="28" spans="2:7" x14ac:dyDescent="0.3">
      <c r="B28" s="40">
        <v>0.8</v>
      </c>
      <c r="C28" s="37">
        <v>2337.9121515873408</v>
      </c>
      <c r="D28" s="37">
        <v>842.00405556660712</v>
      </c>
      <c r="E28" s="37">
        <v>308.37965569522203</v>
      </c>
      <c r="F28" s="37">
        <v>114.83324740139567</v>
      </c>
      <c r="G28" s="37">
        <v>43.456428664782472</v>
      </c>
    </row>
    <row r="29" spans="2:7" x14ac:dyDescent="0.3">
      <c r="B29" s="40">
        <v>0.75</v>
      </c>
      <c r="C29" s="37">
        <v>778.12089561471316</v>
      </c>
      <c r="D29" s="37">
        <v>269.79117527253732</v>
      </c>
      <c r="E29" s="37">
        <v>95.255825975423861</v>
      </c>
      <c r="F29" s="37">
        <v>34.235761356460671</v>
      </c>
      <c r="G29" s="37">
        <v>12.518548130383961</v>
      </c>
    </row>
    <row r="30" spans="2:7" x14ac:dyDescent="0.3">
      <c r="B30" s="40">
        <v>0.7</v>
      </c>
      <c r="C30" s="37">
        <v>219.82932524416466</v>
      </c>
      <c r="D30" s="37">
        <v>73.09390391663203</v>
      </c>
      <c r="E30" s="37">
        <v>24.787771708502834</v>
      </c>
      <c r="F30" s="37">
        <v>8.5678964767551129</v>
      </c>
      <c r="G30" s="37">
        <v>3.0164504100102922</v>
      </c>
    </row>
    <row r="31" spans="2:7" x14ac:dyDescent="0.3">
      <c r="B31" s="40">
        <v>0.65</v>
      </c>
      <c r="C31" s="37">
        <v>51.567728255172398</v>
      </c>
      <c r="D31" s="37">
        <v>16.372208328805989</v>
      </c>
      <c r="E31" s="37">
        <v>5.3096167530402107</v>
      </c>
      <c r="F31" s="37">
        <v>1.7576277877615207</v>
      </c>
      <c r="G31" s="37">
        <v>0.59339687140969655</v>
      </c>
    </row>
    <row r="32" spans="2:7" x14ac:dyDescent="0.3">
      <c r="B32" s="40">
        <v>0.6</v>
      </c>
      <c r="C32" s="37">
        <v>9.7253463048714437</v>
      </c>
      <c r="D32" s="37">
        <v>2.9326335857079413</v>
      </c>
      <c r="E32" s="37">
        <v>0.90493954761559214</v>
      </c>
      <c r="F32" s="37">
        <v>0.28546502400518181</v>
      </c>
      <c r="G32" s="37">
        <v>9.1991029268535279E-2</v>
      </c>
    </row>
  </sheetData>
  <mergeCells count="2">
    <mergeCell ref="C2:G2"/>
    <mergeCell ref="C18:G18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L147"/>
  <sheetViews>
    <sheetView zoomScaleNormal="100" workbookViewId="0">
      <selection activeCell="Q28" sqref="Q28"/>
    </sheetView>
  </sheetViews>
  <sheetFormatPr defaultRowHeight="14.4" x14ac:dyDescent="0.3"/>
  <cols>
    <col min="2" max="2" width="12.44140625" customWidth="1"/>
    <col min="3" max="3" width="11.6640625" customWidth="1"/>
    <col min="4" max="5" width="10.109375" customWidth="1"/>
    <col min="6" max="6" width="9.109375" customWidth="1"/>
  </cols>
  <sheetData>
    <row r="2" spans="2:12" x14ac:dyDescent="0.3">
      <c r="B2" s="5" t="s">
        <v>63</v>
      </c>
      <c r="C2" s="5"/>
      <c r="D2" s="5"/>
      <c r="E2" s="5"/>
    </row>
    <row r="3" spans="2:12" x14ac:dyDescent="0.3">
      <c r="B3" s="5" t="s">
        <v>99</v>
      </c>
      <c r="C3" s="5"/>
      <c r="D3" s="25">
        <v>-393.52199999999999</v>
      </c>
      <c r="E3" s="5" t="s">
        <v>101</v>
      </c>
    </row>
    <row r="4" spans="2:12" x14ac:dyDescent="0.3">
      <c r="B4" s="5" t="s">
        <v>71</v>
      </c>
      <c r="C4" s="5"/>
      <c r="D4" s="5"/>
      <c r="E4" s="5"/>
      <c r="I4" s="20"/>
    </row>
    <row r="6" spans="2:12" ht="40.5" customHeight="1" x14ac:dyDescent="0.3">
      <c r="B6" s="21" t="s">
        <v>61</v>
      </c>
      <c r="C6" s="21" t="s">
        <v>62</v>
      </c>
      <c r="D6" s="21" t="s">
        <v>89</v>
      </c>
      <c r="E6" s="21" t="s">
        <v>149</v>
      </c>
      <c r="F6" s="21" t="s">
        <v>150</v>
      </c>
      <c r="G6" s="3"/>
      <c r="H6" s="3"/>
      <c r="I6" s="3"/>
      <c r="J6" s="3"/>
      <c r="K6" s="3"/>
      <c r="L6" s="3"/>
    </row>
    <row r="7" spans="2:12" x14ac:dyDescent="0.3">
      <c r="B7" s="66">
        <v>298</v>
      </c>
      <c r="C7" s="66">
        <v>0</v>
      </c>
      <c r="D7" s="37">
        <f>C7*10^6</f>
        <v>0</v>
      </c>
      <c r="E7" s="37">
        <f>(0.0000035719219468973*B7^2)+(0.046058346211035*B7)-15.6735718562136</f>
        <v>-1.6309837287529021</v>
      </c>
      <c r="F7" s="37">
        <f>((0*B7^6)+(-0.0000000000000001772*B7^5)+(0.0000000000026421182*B7^4)+(-0.0000000124627120457*B7^3)+(0.0000296635365075066*B7^2)+(0.022887287040501*B7)+(-9.16331627135478))</f>
        <v>-1.8052455426111891E-2</v>
      </c>
      <c r="G7" s="3"/>
      <c r="H7" s="3"/>
      <c r="I7" s="3"/>
      <c r="J7" s="3"/>
      <c r="K7" s="3"/>
      <c r="L7" s="3"/>
    </row>
    <row r="8" spans="2:12" x14ac:dyDescent="0.3">
      <c r="B8" s="66">
        <v>300</v>
      </c>
      <c r="C8" s="66">
        <v>67</v>
      </c>
      <c r="D8" s="37">
        <f>C8*10^-3</f>
        <v>6.7000000000000004E-2</v>
      </c>
      <c r="E8" s="37">
        <f t="shared" ref="E8:E71" si="0">(0.0000035719219468973*B8^2)+(0.046058346211035*B8)-15.6735718562136</f>
        <v>-1.5345950176823422</v>
      </c>
      <c r="F8" s="37">
        <f t="shared" ref="F8:F71" si="1">((0*B8^6)+(-0.0000000000000001772*B8^5)+(0.0000000000026421182*B8^4)+(-0.0000000124627120457*B8^3)+(0.0000296635365075066*B8^2)+(0.022887287040501*B8)+(-9.16331627135478))</f>
        <v>5.7065462657213573E-2</v>
      </c>
      <c r="G8" s="3"/>
      <c r="H8" s="3"/>
      <c r="I8" s="3"/>
      <c r="J8" s="3"/>
      <c r="K8" s="3"/>
      <c r="L8" s="3"/>
    </row>
    <row r="9" spans="2:12" x14ac:dyDescent="0.3">
      <c r="B9" s="66">
        <v>310</v>
      </c>
      <c r="C9" s="66">
        <v>443</v>
      </c>
      <c r="D9" s="37">
        <f t="shared" ref="D9:D72" si="2">C9*10^-3</f>
        <v>0.443</v>
      </c>
      <c r="E9" s="37">
        <f t="shared" si="0"/>
        <v>-1.0522228316959197</v>
      </c>
      <c r="F9" s="37">
        <f t="shared" si="1"/>
        <v>0.43502512288456785</v>
      </c>
      <c r="G9" s="3"/>
      <c r="H9" s="3"/>
      <c r="I9" s="3"/>
      <c r="J9" s="3"/>
      <c r="K9" s="3"/>
      <c r="L9" s="3"/>
    </row>
    <row r="10" spans="2:12" x14ac:dyDescent="0.3">
      <c r="B10" s="66">
        <v>320</v>
      </c>
      <c r="C10" s="66">
        <v>822</v>
      </c>
      <c r="D10" s="37">
        <f t="shared" si="2"/>
        <v>0.82200000000000006</v>
      </c>
      <c r="E10" s="37">
        <f t="shared" si="0"/>
        <v>-0.56913626132011608</v>
      </c>
      <c r="F10" s="37">
        <f t="shared" si="1"/>
        <v>0.81689360446251058</v>
      </c>
      <c r="G10" s="3"/>
      <c r="H10" s="3"/>
      <c r="I10" s="3"/>
      <c r="J10" s="3"/>
      <c r="K10" s="3"/>
      <c r="L10" s="3"/>
    </row>
    <row r="11" spans="2:12" x14ac:dyDescent="0.3">
      <c r="B11" s="66">
        <v>330</v>
      </c>
      <c r="C11" s="66">
        <v>1206</v>
      </c>
      <c r="D11" s="37">
        <f t="shared" si="2"/>
        <v>1.206</v>
      </c>
      <c r="E11" s="37">
        <f t="shared" si="0"/>
        <v>-8.5335306554934931E-2</v>
      </c>
      <c r="F11" s="37">
        <f t="shared" si="1"/>
        <v>1.2026150503063597</v>
      </c>
      <c r="G11" s="3"/>
      <c r="H11" s="3"/>
      <c r="I11" s="3"/>
      <c r="J11" s="3"/>
      <c r="K11" s="3"/>
      <c r="L11" s="3"/>
    </row>
    <row r="12" spans="2:12" x14ac:dyDescent="0.3">
      <c r="B12" s="66">
        <v>340</v>
      </c>
      <c r="C12" s="66">
        <v>1595</v>
      </c>
      <c r="D12" s="37">
        <f t="shared" si="2"/>
        <v>1.595</v>
      </c>
      <c r="E12" s="37">
        <f t="shared" si="0"/>
        <v>0.39918003259962909</v>
      </c>
      <c r="F12" s="37">
        <f t="shared" si="1"/>
        <v>1.5921341693950026</v>
      </c>
      <c r="G12" s="3"/>
      <c r="H12" s="3"/>
      <c r="I12" s="3"/>
      <c r="J12" s="3"/>
      <c r="K12" s="3"/>
      <c r="L12" s="3"/>
    </row>
    <row r="13" spans="2:12" x14ac:dyDescent="0.3">
      <c r="B13" s="66">
        <v>350</v>
      </c>
      <c r="C13" s="66">
        <v>1987</v>
      </c>
      <c r="D13" s="37">
        <f t="shared" si="2"/>
        <v>1.9870000000000001</v>
      </c>
      <c r="E13" s="37">
        <f t="shared" si="0"/>
        <v>0.88440975614357065</v>
      </c>
      <c r="F13" s="37">
        <f t="shared" si="1"/>
        <v>1.985396234644492</v>
      </c>
      <c r="G13" s="3"/>
      <c r="H13" s="3"/>
      <c r="I13" s="3"/>
      <c r="J13" s="3"/>
      <c r="K13" s="3"/>
      <c r="L13" s="3"/>
    </row>
    <row r="14" spans="2:12" x14ac:dyDescent="0.3">
      <c r="B14" s="66">
        <v>360</v>
      </c>
      <c r="C14" s="66">
        <v>2384</v>
      </c>
      <c r="D14" s="37">
        <f t="shared" si="2"/>
        <v>2.3839999999999999</v>
      </c>
      <c r="E14" s="37">
        <f t="shared" si="0"/>
        <v>1.3703538640768915</v>
      </c>
      <c r="F14" s="37">
        <f t="shared" si="1"/>
        <v>2.3823470807816474</v>
      </c>
      <c r="G14" s="3"/>
      <c r="H14" s="3"/>
      <c r="I14" s="3"/>
      <c r="J14" s="3"/>
      <c r="K14" s="3"/>
      <c r="L14" s="3"/>
    </row>
    <row r="15" spans="2:12" x14ac:dyDescent="0.3">
      <c r="B15" s="66">
        <v>370</v>
      </c>
      <c r="C15" s="66">
        <v>2784</v>
      </c>
      <c r="D15" s="37">
        <f t="shared" si="2"/>
        <v>2.7840000000000003</v>
      </c>
      <c r="E15" s="37">
        <f t="shared" si="0"/>
        <v>1.8570123563995917</v>
      </c>
      <c r="F15" s="37">
        <f t="shared" si="1"/>
        <v>2.7829331022176618</v>
      </c>
      <c r="G15" s="3"/>
      <c r="H15" s="3"/>
      <c r="I15" s="3"/>
      <c r="J15" s="3"/>
      <c r="K15" s="3"/>
      <c r="L15" s="3"/>
    </row>
    <row r="16" spans="2:12" x14ac:dyDescent="0.3">
      <c r="B16" s="66">
        <v>380</v>
      </c>
      <c r="C16" s="66">
        <v>3188</v>
      </c>
      <c r="D16" s="37">
        <f t="shared" si="2"/>
        <v>3.1880000000000002</v>
      </c>
      <c r="E16" s="37">
        <f t="shared" si="0"/>
        <v>2.3443852331116712</v>
      </c>
      <c r="F16" s="37">
        <f t="shared" si="1"/>
        <v>3.187101250921696</v>
      </c>
      <c r="G16" s="3"/>
      <c r="H16" s="3"/>
      <c r="I16" s="3"/>
      <c r="J16" s="3"/>
      <c r="K16" s="3"/>
      <c r="L16" s="3"/>
    </row>
    <row r="17" spans="2:12" x14ac:dyDescent="0.3">
      <c r="B17" s="66">
        <v>390</v>
      </c>
      <c r="C17" s="66">
        <v>3596</v>
      </c>
      <c r="D17" s="37">
        <f t="shared" si="2"/>
        <v>3.5960000000000001</v>
      </c>
      <c r="E17" s="37">
        <f t="shared" si="0"/>
        <v>2.8324724942131301</v>
      </c>
      <c r="F17" s="37">
        <f t="shared" si="1"/>
        <v>3.5947990342944678</v>
      </c>
      <c r="G17" s="3"/>
      <c r="H17" s="3"/>
      <c r="I17" s="3"/>
      <c r="J17" s="3"/>
      <c r="K17" s="3"/>
      <c r="L17" s="3"/>
    </row>
    <row r="18" spans="2:12" x14ac:dyDescent="0.3">
      <c r="B18" s="66">
        <v>400</v>
      </c>
      <c r="C18" s="66">
        <v>4008</v>
      </c>
      <c r="D18" s="37">
        <f t="shared" si="2"/>
        <v>4.008</v>
      </c>
      <c r="E18" s="37">
        <f t="shared" si="0"/>
        <v>3.3212741397039682</v>
      </c>
      <c r="F18" s="37">
        <f t="shared" si="1"/>
        <v>4.0059745130418776</v>
      </c>
      <c r="G18" s="3"/>
      <c r="H18" s="3"/>
      <c r="I18" s="3"/>
      <c r="J18" s="3"/>
      <c r="K18" s="3"/>
      <c r="L18" s="3"/>
    </row>
    <row r="19" spans="2:12" x14ac:dyDescent="0.3">
      <c r="B19" s="66">
        <v>410</v>
      </c>
      <c r="C19" s="66">
        <v>4423</v>
      </c>
      <c r="D19" s="37">
        <f t="shared" si="2"/>
        <v>4.423</v>
      </c>
      <c r="E19" s="37">
        <f t="shared" si="0"/>
        <v>3.8107901695841857</v>
      </c>
      <c r="F19" s="37">
        <f t="shared" si="1"/>
        <v>4.420576299048582</v>
      </c>
      <c r="G19" s="3"/>
      <c r="H19" s="3"/>
      <c r="I19" s="3"/>
      <c r="J19" s="3"/>
      <c r="K19" s="3"/>
      <c r="L19" s="3"/>
    </row>
    <row r="20" spans="2:12" x14ac:dyDescent="0.3">
      <c r="B20" s="66">
        <v>420</v>
      </c>
      <c r="C20" s="66">
        <v>4842</v>
      </c>
      <c r="D20" s="37">
        <f t="shared" si="2"/>
        <v>4.8420000000000005</v>
      </c>
      <c r="E20" s="37">
        <f t="shared" si="0"/>
        <v>4.3010205838537825</v>
      </c>
      <c r="F20" s="37">
        <f t="shared" si="1"/>
        <v>4.8385535532516144</v>
      </c>
      <c r="G20" s="3"/>
      <c r="H20" s="3"/>
      <c r="I20" s="3"/>
      <c r="J20" s="3"/>
      <c r="K20" s="3"/>
      <c r="L20" s="3"/>
    </row>
    <row r="21" spans="2:12" x14ac:dyDescent="0.3">
      <c r="B21" s="66">
        <v>430</v>
      </c>
      <c r="C21" s="66">
        <v>4964</v>
      </c>
      <c r="D21" s="37">
        <f t="shared" si="2"/>
        <v>4.9640000000000004</v>
      </c>
      <c r="E21" s="37">
        <f t="shared" si="0"/>
        <v>4.7919653825127622</v>
      </c>
      <c r="F21" s="37">
        <f t="shared" si="1"/>
        <v>5.2598559835139724</v>
      </c>
      <c r="G21" s="3"/>
      <c r="H21" s="3"/>
      <c r="I21" s="3"/>
      <c r="J21" s="3"/>
      <c r="K21" s="3"/>
      <c r="L21" s="3"/>
    </row>
    <row r="22" spans="2:12" x14ac:dyDescent="0.3">
      <c r="B22" s="66">
        <v>440</v>
      </c>
      <c r="C22" s="66">
        <v>5690</v>
      </c>
      <c r="D22" s="37">
        <f t="shared" si="2"/>
        <v>5.69</v>
      </c>
      <c r="E22" s="37">
        <f t="shared" si="0"/>
        <v>5.2836245655611176</v>
      </c>
      <c r="F22" s="37">
        <f t="shared" si="1"/>
        <v>5.6844338424982208</v>
      </c>
      <c r="G22" s="3"/>
      <c r="H22" s="3"/>
      <c r="I22" s="3"/>
      <c r="J22" s="3"/>
      <c r="K22" s="3"/>
      <c r="L22" s="3"/>
    </row>
    <row r="23" spans="2:12" x14ac:dyDescent="0.3">
      <c r="B23" s="66">
        <v>450</v>
      </c>
      <c r="C23" s="66">
        <v>6119</v>
      </c>
      <c r="D23" s="37">
        <f t="shared" si="2"/>
        <v>6.1189999999999998</v>
      </c>
      <c r="E23" s="37">
        <f t="shared" si="0"/>
        <v>5.7759981329988559</v>
      </c>
      <c r="F23" s="37">
        <f t="shared" si="1"/>
        <v>6.1122379255400929</v>
      </c>
      <c r="G23" s="3"/>
      <c r="H23" s="3"/>
      <c r="I23" s="3"/>
      <c r="J23" s="3"/>
      <c r="K23" s="3"/>
      <c r="L23" s="3"/>
    </row>
    <row r="24" spans="2:12" x14ac:dyDescent="0.3">
      <c r="B24" s="66">
        <v>460</v>
      </c>
      <c r="C24" s="66">
        <v>6552</v>
      </c>
      <c r="D24" s="37">
        <f t="shared" si="2"/>
        <v>6.5520000000000005</v>
      </c>
      <c r="E24" s="37">
        <f t="shared" si="0"/>
        <v>6.26908608482597</v>
      </c>
      <c r="F24" s="37">
        <f t="shared" si="1"/>
        <v>6.543219568522094</v>
      </c>
      <c r="G24" s="3"/>
      <c r="H24" s="3"/>
      <c r="I24" s="3"/>
      <c r="J24" s="3"/>
      <c r="K24" s="3"/>
      <c r="L24" s="3"/>
    </row>
    <row r="25" spans="2:12" x14ac:dyDescent="0.3">
      <c r="B25" s="66">
        <v>470</v>
      </c>
      <c r="C25" s="66">
        <v>6987</v>
      </c>
      <c r="D25" s="37">
        <f t="shared" si="2"/>
        <v>6.9870000000000001</v>
      </c>
      <c r="E25" s="37">
        <f t="shared" si="0"/>
        <v>6.7628884210424633</v>
      </c>
      <c r="F25" s="37">
        <f t="shared" si="1"/>
        <v>6.9773306457470881</v>
      </c>
      <c r="G25" s="3"/>
      <c r="H25" s="3"/>
      <c r="I25" s="3"/>
      <c r="J25" s="3"/>
      <c r="K25" s="3"/>
      <c r="L25" s="3"/>
    </row>
    <row r="26" spans="2:12" x14ac:dyDescent="0.3">
      <c r="B26" s="66">
        <v>480</v>
      </c>
      <c r="C26" s="66">
        <v>7427</v>
      </c>
      <c r="D26" s="37">
        <f t="shared" si="2"/>
        <v>7.4270000000000005</v>
      </c>
      <c r="E26" s="37">
        <f t="shared" si="0"/>
        <v>7.2574051416483396</v>
      </c>
      <c r="F26" s="37">
        <f t="shared" si="1"/>
        <v>7.4145235678119192</v>
      </c>
      <c r="G26" s="3"/>
      <c r="H26" s="3"/>
      <c r="I26" s="3"/>
      <c r="J26" s="3"/>
      <c r="K26" s="3"/>
      <c r="L26" s="3"/>
    </row>
    <row r="27" spans="2:12" x14ac:dyDescent="0.3">
      <c r="B27" s="66">
        <v>490</v>
      </c>
      <c r="C27" s="66">
        <v>7868</v>
      </c>
      <c r="D27" s="37">
        <f t="shared" si="2"/>
        <v>7.8680000000000003</v>
      </c>
      <c r="E27" s="37">
        <f t="shared" si="0"/>
        <v>7.7526362466435916</v>
      </c>
      <c r="F27" s="37">
        <f t="shared" si="1"/>
        <v>7.8547512794809862</v>
      </c>
      <c r="G27" s="3"/>
      <c r="H27" s="3"/>
      <c r="I27" s="3"/>
      <c r="J27" s="3"/>
      <c r="K27" s="3"/>
      <c r="L27" s="3"/>
    </row>
    <row r="28" spans="2:12" x14ac:dyDescent="0.3">
      <c r="B28" s="66">
        <v>500</v>
      </c>
      <c r="C28" s="66">
        <v>8314</v>
      </c>
      <c r="D28" s="37">
        <f t="shared" si="2"/>
        <v>8.3140000000000001</v>
      </c>
      <c r="E28" s="37">
        <f t="shared" si="0"/>
        <v>8.2485817360282265</v>
      </c>
      <c r="F28" s="37">
        <f t="shared" si="1"/>
        <v>8.2979672575598684</v>
      </c>
      <c r="G28" s="3"/>
      <c r="H28" s="3"/>
      <c r="I28" s="3"/>
      <c r="J28" s="3"/>
      <c r="K28" s="3"/>
      <c r="L28" s="3"/>
    </row>
    <row r="29" spans="2:12" x14ac:dyDescent="0.3">
      <c r="B29" s="66">
        <v>510</v>
      </c>
      <c r="C29" s="66">
        <v>8762</v>
      </c>
      <c r="D29" s="37">
        <f t="shared" si="2"/>
        <v>8.7620000000000005</v>
      </c>
      <c r="E29" s="37">
        <f t="shared" si="0"/>
        <v>8.7452416098022372</v>
      </c>
      <c r="F29" s="37">
        <f t="shared" si="1"/>
        <v>8.74412550876891</v>
      </c>
      <c r="G29" s="3"/>
      <c r="H29" s="3"/>
      <c r="I29" s="3"/>
      <c r="J29" s="3"/>
      <c r="K29" s="3"/>
      <c r="L29" s="3"/>
    </row>
    <row r="30" spans="2:12" x14ac:dyDescent="0.3">
      <c r="B30" s="66">
        <v>520</v>
      </c>
      <c r="C30" s="66">
        <v>9212</v>
      </c>
      <c r="D30" s="37">
        <f t="shared" si="2"/>
        <v>9.2119999999999997</v>
      </c>
      <c r="E30" s="37">
        <f t="shared" si="0"/>
        <v>9.2426158679656307</v>
      </c>
      <c r="F30" s="37">
        <f t="shared" si="1"/>
        <v>9.1931805676168139</v>
      </c>
      <c r="G30" s="3"/>
      <c r="H30" s="3"/>
      <c r="I30" s="3"/>
      <c r="J30" s="3"/>
      <c r="K30" s="3"/>
      <c r="L30" s="3"/>
    </row>
    <row r="31" spans="2:12" x14ac:dyDescent="0.3">
      <c r="B31" s="66">
        <v>530</v>
      </c>
      <c r="C31" s="66">
        <v>9665</v>
      </c>
      <c r="D31" s="37">
        <f t="shared" si="2"/>
        <v>9.6650000000000009</v>
      </c>
      <c r="E31" s="37">
        <f t="shared" si="0"/>
        <v>9.7407045105184</v>
      </c>
      <c r="F31" s="37">
        <f t="shared" si="1"/>
        <v>9.6450874942742573</v>
      </c>
      <c r="G31" s="3"/>
      <c r="H31" s="3"/>
      <c r="I31" s="3"/>
      <c r="J31" s="3"/>
      <c r="K31" s="3"/>
      <c r="L31" s="3"/>
    </row>
    <row r="32" spans="2:12" x14ac:dyDescent="0.3">
      <c r="B32" s="66">
        <v>540</v>
      </c>
      <c r="C32" s="66">
        <v>10121</v>
      </c>
      <c r="D32" s="37">
        <f t="shared" si="2"/>
        <v>10.121</v>
      </c>
      <c r="E32" s="37">
        <f t="shared" si="0"/>
        <v>10.239507537460552</v>
      </c>
      <c r="F32" s="37">
        <f t="shared" si="1"/>
        <v>10.099801872447493</v>
      </c>
      <c r="G32" s="3"/>
      <c r="H32" s="3"/>
      <c r="I32" s="3"/>
      <c r="J32" s="3"/>
      <c r="K32" s="3"/>
      <c r="L32" s="3"/>
    </row>
    <row r="33" spans="2:12" x14ac:dyDescent="0.3">
      <c r="B33" s="66">
        <v>550</v>
      </c>
      <c r="C33" s="66">
        <v>10581</v>
      </c>
      <c r="D33" s="37">
        <f t="shared" si="2"/>
        <v>10.581</v>
      </c>
      <c r="E33" s="37">
        <f t="shared" si="0"/>
        <v>10.739024948792087</v>
      </c>
      <c r="F33" s="37">
        <f t="shared" si="1"/>
        <v>10.55727980725193</v>
      </c>
      <c r="G33" s="3"/>
      <c r="H33" s="3"/>
      <c r="I33" s="3"/>
      <c r="J33" s="3"/>
      <c r="K33" s="3"/>
      <c r="L33" s="3"/>
    </row>
    <row r="34" spans="2:12" x14ac:dyDescent="0.3">
      <c r="B34" s="66">
        <v>560</v>
      </c>
      <c r="C34" s="66">
        <v>11043</v>
      </c>
      <c r="D34" s="37">
        <f t="shared" si="2"/>
        <v>11.043000000000001</v>
      </c>
      <c r="E34" s="37">
        <f t="shared" si="0"/>
        <v>11.239256744512995</v>
      </c>
      <c r="F34" s="37">
        <f t="shared" si="1"/>
        <v>11.01747792308575</v>
      </c>
      <c r="G34" s="3"/>
      <c r="H34" s="3"/>
      <c r="I34" s="3"/>
      <c r="J34" s="3"/>
      <c r="K34" s="3"/>
      <c r="L34" s="3"/>
    </row>
    <row r="35" spans="2:12" x14ac:dyDescent="0.3">
      <c r="B35" s="66">
        <v>570</v>
      </c>
      <c r="C35" s="66">
        <v>11506</v>
      </c>
      <c r="D35" s="37">
        <f t="shared" si="2"/>
        <v>11.506</v>
      </c>
      <c r="E35" s="37">
        <f t="shared" si="0"/>
        <v>11.740202924623285</v>
      </c>
      <c r="F35" s="37">
        <f t="shared" si="1"/>
        <v>11.480353361503507</v>
      </c>
      <c r="G35" s="3"/>
      <c r="H35" s="3"/>
      <c r="I35" s="3"/>
      <c r="J35" s="3"/>
      <c r="K35" s="3"/>
      <c r="L35" s="3"/>
    </row>
    <row r="36" spans="2:12" x14ac:dyDescent="0.3">
      <c r="B36" s="66">
        <v>580</v>
      </c>
      <c r="C36" s="66">
        <v>11973</v>
      </c>
      <c r="D36" s="37">
        <f t="shared" si="2"/>
        <v>11.973000000000001</v>
      </c>
      <c r="E36" s="37">
        <f t="shared" si="0"/>
        <v>12.241863489122954</v>
      </c>
      <c r="F36" s="37">
        <f t="shared" si="1"/>
        <v>11.945863779089713</v>
      </c>
      <c r="G36" s="3"/>
      <c r="H36" s="3"/>
      <c r="I36" s="3"/>
      <c r="J36" s="3"/>
      <c r="K36" s="3"/>
      <c r="L36" s="3"/>
    </row>
    <row r="37" spans="2:12" x14ac:dyDescent="0.3">
      <c r="B37" s="66">
        <v>590</v>
      </c>
      <c r="C37" s="66">
        <v>12443</v>
      </c>
      <c r="D37" s="37">
        <f t="shared" si="2"/>
        <v>12.443</v>
      </c>
      <c r="E37" s="37">
        <f t="shared" si="0"/>
        <v>12.744238438012003</v>
      </c>
      <c r="F37" s="37">
        <f t="shared" si="1"/>
        <v>12.413967345332459</v>
      </c>
      <c r="G37" s="3"/>
      <c r="H37" s="3"/>
      <c r="I37" s="3"/>
      <c r="J37" s="3"/>
      <c r="K37" s="3"/>
      <c r="L37" s="3"/>
    </row>
    <row r="38" spans="2:12" x14ac:dyDescent="0.3">
      <c r="B38" s="66">
        <v>600</v>
      </c>
      <c r="C38" s="66">
        <v>12916</v>
      </c>
      <c r="D38" s="37">
        <f t="shared" si="2"/>
        <v>12.916</v>
      </c>
      <c r="E38" s="37">
        <f t="shared" si="0"/>
        <v>13.247327771290427</v>
      </c>
      <c r="F38" s="37">
        <f t="shared" si="1"/>
        <v>12.884622740496994</v>
      </c>
      <c r="G38" s="3"/>
      <c r="H38" s="3"/>
      <c r="I38" s="3"/>
      <c r="J38" s="3"/>
      <c r="K38" s="3"/>
      <c r="L38" s="3"/>
    </row>
    <row r="39" spans="2:12" x14ac:dyDescent="0.3">
      <c r="B39" s="66">
        <v>610</v>
      </c>
      <c r="C39" s="66">
        <v>13390</v>
      </c>
      <c r="D39" s="37">
        <f t="shared" si="2"/>
        <v>13.39</v>
      </c>
      <c r="E39" s="37">
        <f t="shared" si="0"/>
        <v>13.751131488958235</v>
      </c>
      <c r="F39" s="37">
        <f t="shared" si="1"/>
        <v>13.357789153499347</v>
      </c>
      <c r="G39" s="3"/>
      <c r="H39" s="3"/>
      <c r="I39" s="3"/>
      <c r="J39" s="3"/>
      <c r="K39" s="3"/>
      <c r="L39" s="3"/>
    </row>
    <row r="40" spans="2:12" x14ac:dyDescent="0.3">
      <c r="B40" s="66">
        <v>620</v>
      </c>
      <c r="C40" s="66">
        <v>13867</v>
      </c>
      <c r="D40" s="37">
        <f t="shared" si="2"/>
        <v>13.867000000000001</v>
      </c>
      <c r="E40" s="37">
        <f t="shared" si="0"/>
        <v>14.255649591015422</v>
      </c>
      <c r="F40" s="37">
        <f t="shared" si="1"/>
        <v>13.8334262797799</v>
      </c>
      <c r="G40" s="3"/>
      <c r="H40" s="3"/>
      <c r="I40" s="3"/>
      <c r="J40" s="3"/>
      <c r="K40" s="3"/>
      <c r="L40" s="3"/>
    </row>
    <row r="41" spans="2:12" x14ac:dyDescent="0.3">
      <c r="B41" s="66">
        <v>630</v>
      </c>
      <c r="C41" s="66">
        <v>14345</v>
      </c>
      <c r="D41" s="37">
        <f t="shared" si="2"/>
        <v>14.345000000000001</v>
      </c>
      <c r="E41" s="37">
        <f t="shared" si="0"/>
        <v>14.760882077461988</v>
      </c>
      <c r="F41" s="37">
        <f t="shared" si="1"/>
        <v>14.311494319177015</v>
      </c>
      <c r="G41" s="3"/>
      <c r="H41" s="3"/>
      <c r="I41" s="3"/>
      <c r="J41" s="3"/>
      <c r="K41" s="3"/>
      <c r="L41" s="3"/>
    </row>
    <row r="42" spans="2:12" x14ac:dyDescent="0.3">
      <c r="B42" s="66">
        <v>640</v>
      </c>
      <c r="C42" s="66">
        <v>14826</v>
      </c>
      <c r="D42" s="37">
        <f t="shared" si="2"/>
        <v>14.826000000000001</v>
      </c>
      <c r="E42" s="37">
        <f t="shared" si="0"/>
        <v>15.266828948297933</v>
      </c>
      <c r="F42" s="37">
        <f t="shared" si="1"/>
        <v>14.791953973800616</v>
      </c>
      <c r="G42" s="3"/>
      <c r="H42" s="3"/>
      <c r="I42" s="3"/>
      <c r="J42" s="3"/>
      <c r="K42" s="3"/>
      <c r="L42" s="3"/>
    </row>
    <row r="43" spans="2:12" x14ac:dyDescent="0.3">
      <c r="B43" s="66">
        <v>650</v>
      </c>
      <c r="C43" s="66">
        <v>15310</v>
      </c>
      <c r="D43" s="37">
        <f t="shared" si="2"/>
        <v>15.31</v>
      </c>
      <c r="E43" s="37">
        <f t="shared" si="0"/>
        <v>15.773490203523258</v>
      </c>
      <c r="F43" s="37">
        <f t="shared" si="1"/>
        <v>15.274766445905797</v>
      </c>
    </row>
    <row r="44" spans="2:12" x14ac:dyDescent="0.3">
      <c r="B44" s="66">
        <v>660</v>
      </c>
      <c r="C44" s="66">
        <v>15796</v>
      </c>
      <c r="D44" s="37">
        <f t="shared" si="2"/>
        <v>15.796000000000001</v>
      </c>
      <c r="E44" s="37">
        <f t="shared" si="0"/>
        <v>16.280865843137967</v>
      </c>
      <c r="F44" s="37">
        <f t="shared" si="1"/>
        <v>15.759893435766422</v>
      </c>
    </row>
    <row r="45" spans="2:12" x14ac:dyDescent="0.3">
      <c r="B45" s="66">
        <v>670</v>
      </c>
      <c r="C45" s="66">
        <v>16284</v>
      </c>
      <c r="D45" s="37">
        <f t="shared" si="2"/>
        <v>16.283999999999999</v>
      </c>
      <c r="E45" s="37">
        <f t="shared" si="0"/>
        <v>16.78895586714205</v>
      </c>
      <c r="F45" s="37">
        <f t="shared" si="1"/>
        <v>16.247297139548714</v>
      </c>
    </row>
    <row r="46" spans="2:12" x14ac:dyDescent="0.3">
      <c r="B46" s="66">
        <v>680</v>
      </c>
      <c r="C46" s="66">
        <v>16774</v>
      </c>
      <c r="D46" s="37">
        <f t="shared" si="2"/>
        <v>16.774000000000001</v>
      </c>
      <c r="E46" s="37">
        <f t="shared" si="0"/>
        <v>17.297760275535516</v>
      </c>
      <c r="F46" s="37">
        <f t="shared" si="1"/>
        <v>16.736940247184883</v>
      </c>
    </row>
    <row r="47" spans="2:12" x14ac:dyDescent="0.3">
      <c r="B47" s="66">
        <v>690</v>
      </c>
      <c r="C47" s="66">
        <v>17267</v>
      </c>
      <c r="D47" s="37">
        <f t="shared" si="2"/>
        <v>17.266999999999999</v>
      </c>
      <c r="E47" s="37">
        <f t="shared" si="0"/>
        <v>17.807279068318358</v>
      </c>
      <c r="F47" s="37">
        <f t="shared" si="1"/>
        <v>17.228785940246681</v>
      </c>
    </row>
    <row r="48" spans="2:12" x14ac:dyDescent="0.3">
      <c r="B48" s="66">
        <v>700</v>
      </c>
      <c r="C48" s="66">
        <v>17761</v>
      </c>
      <c r="D48" s="37">
        <f t="shared" si="2"/>
        <v>17.760999999999999</v>
      </c>
      <c r="E48" s="37">
        <f t="shared" si="0"/>
        <v>18.317512245490583</v>
      </c>
      <c r="F48" s="37">
        <f t="shared" si="1"/>
        <v>17.722797889819056</v>
      </c>
    </row>
    <row r="49" spans="2:6" x14ac:dyDescent="0.3">
      <c r="B49" s="66">
        <v>710</v>
      </c>
      <c r="C49" s="66">
        <v>18258</v>
      </c>
      <c r="D49" s="37">
        <f t="shared" si="2"/>
        <v>18.257999999999999</v>
      </c>
      <c r="E49" s="37">
        <f t="shared" si="0"/>
        <v>18.828459807052184</v>
      </c>
      <c r="F49" s="37">
        <f t="shared" si="1"/>
        <v>18.218940254373699</v>
      </c>
    </row>
    <row r="50" spans="2:6" x14ac:dyDescent="0.3">
      <c r="B50" s="66">
        <v>720</v>
      </c>
      <c r="C50" s="66">
        <v>18757</v>
      </c>
      <c r="D50" s="37">
        <f t="shared" si="2"/>
        <v>18.757000000000001</v>
      </c>
      <c r="E50" s="37">
        <f t="shared" si="0"/>
        <v>19.34012175300316</v>
      </c>
      <c r="F50" s="37">
        <f t="shared" si="1"/>
        <v>18.717177677642681</v>
      </c>
    </row>
    <row r="51" spans="2:6" x14ac:dyDescent="0.3">
      <c r="B51" s="66">
        <v>730</v>
      </c>
      <c r="C51" s="66">
        <v>19258</v>
      </c>
      <c r="D51" s="37">
        <f t="shared" si="2"/>
        <v>19.257999999999999</v>
      </c>
      <c r="E51" s="37">
        <f t="shared" si="0"/>
        <v>19.852498083343527</v>
      </c>
      <c r="F51" s="37">
        <f t="shared" si="1"/>
        <v>19.217475286492043</v>
      </c>
    </row>
    <row r="52" spans="2:6" x14ac:dyDescent="0.3">
      <c r="B52" s="66">
        <v>740</v>
      </c>
      <c r="C52" s="66">
        <v>19760</v>
      </c>
      <c r="D52" s="37">
        <f t="shared" si="2"/>
        <v>19.760000000000002</v>
      </c>
      <c r="E52" s="37">
        <f t="shared" si="0"/>
        <v>20.365588798073262</v>
      </c>
      <c r="F52" s="37">
        <f t="shared" si="1"/>
        <v>19.719798688795386</v>
      </c>
    </row>
    <row r="53" spans="2:6" x14ac:dyDescent="0.3">
      <c r="B53" s="66">
        <v>750</v>
      </c>
      <c r="C53" s="66">
        <v>20265</v>
      </c>
      <c r="D53" s="37">
        <f t="shared" si="2"/>
        <v>20.265000000000001</v>
      </c>
      <c r="E53" s="37">
        <f t="shared" si="0"/>
        <v>20.879393897192386</v>
      </c>
      <c r="F53" s="37">
        <f t="shared" si="1"/>
        <v>20.224113971307496</v>
      </c>
    </row>
    <row r="54" spans="2:6" x14ac:dyDescent="0.3">
      <c r="B54" s="66">
        <v>760</v>
      </c>
      <c r="C54" s="66">
        <v>19771</v>
      </c>
      <c r="D54" s="37">
        <f t="shared" si="2"/>
        <v>19.771000000000001</v>
      </c>
      <c r="E54" s="37">
        <f t="shared" si="0"/>
        <v>21.39391338070088</v>
      </c>
      <c r="F54" s="37">
        <f t="shared" si="1"/>
        <v>20.730387697537903</v>
      </c>
    </row>
    <row r="55" spans="2:6" x14ac:dyDescent="0.3">
      <c r="B55" s="66">
        <v>770</v>
      </c>
      <c r="C55" s="66">
        <v>21280</v>
      </c>
      <c r="D55" s="37">
        <f t="shared" si="2"/>
        <v>21.28</v>
      </c>
      <c r="E55" s="37">
        <f t="shared" si="0"/>
        <v>21.909147248598764</v>
      </c>
      <c r="F55" s="37">
        <f t="shared" si="1"/>
        <v>21.238586905624516</v>
      </c>
    </row>
    <row r="56" spans="2:6" x14ac:dyDescent="0.3">
      <c r="B56" s="66">
        <v>780</v>
      </c>
      <c r="C56" s="66">
        <v>21790</v>
      </c>
      <c r="D56" s="37">
        <f t="shared" si="2"/>
        <v>21.79</v>
      </c>
      <c r="E56" s="37">
        <f t="shared" si="0"/>
        <v>22.425095500886016</v>
      </c>
      <c r="F56" s="37">
        <f t="shared" si="1"/>
        <v>21.74867910620722</v>
      </c>
    </row>
    <row r="57" spans="2:6" x14ac:dyDescent="0.3">
      <c r="B57" s="66">
        <v>790</v>
      </c>
      <c r="C57" s="66">
        <v>21801</v>
      </c>
      <c r="D57" s="37">
        <f t="shared" si="2"/>
        <v>21.801000000000002</v>
      </c>
      <c r="E57" s="37">
        <f t="shared" si="0"/>
        <v>22.941758137562658</v>
      </c>
      <c r="F57" s="37">
        <f t="shared" si="1"/>
        <v>22.260632280301458</v>
      </c>
    </row>
    <row r="58" spans="2:6" x14ac:dyDescent="0.3">
      <c r="B58" s="66">
        <v>800</v>
      </c>
      <c r="C58" s="66">
        <v>22815</v>
      </c>
      <c r="D58" s="37">
        <f t="shared" si="2"/>
        <v>22.815000000000001</v>
      </c>
      <c r="E58" s="37">
        <f t="shared" si="0"/>
        <v>23.459135158628676</v>
      </c>
      <c r="F58" s="37">
        <f t="shared" si="1"/>
        <v>22.774414877171846</v>
      </c>
    </row>
    <row r="59" spans="2:6" x14ac:dyDescent="0.3">
      <c r="B59" s="66">
        <v>810</v>
      </c>
      <c r="C59" s="66">
        <v>23330</v>
      </c>
      <c r="D59" s="37">
        <f t="shared" si="2"/>
        <v>23.330000000000002</v>
      </c>
      <c r="E59" s="37">
        <f t="shared" si="0"/>
        <v>23.97722656408407</v>
      </c>
      <c r="F59" s="37">
        <f t="shared" si="1"/>
        <v>23.28999581220576</v>
      </c>
    </row>
    <row r="60" spans="2:6" x14ac:dyDescent="0.3">
      <c r="B60" s="66">
        <v>820</v>
      </c>
      <c r="C60" s="66">
        <v>23848</v>
      </c>
      <c r="D60" s="37">
        <f t="shared" si="2"/>
        <v>23.847999999999999</v>
      </c>
      <c r="E60" s="37">
        <f t="shared" si="0"/>
        <v>24.496032353928847</v>
      </c>
      <c r="F60" s="37">
        <f t="shared" si="1"/>
        <v>23.807344464786951</v>
      </c>
    </row>
    <row r="61" spans="2:6" x14ac:dyDescent="0.3">
      <c r="B61" s="66">
        <v>830</v>
      </c>
      <c r="C61" s="66">
        <v>24366</v>
      </c>
      <c r="D61" s="37">
        <f t="shared" si="2"/>
        <v>24.366</v>
      </c>
      <c r="E61" s="37">
        <f t="shared" si="0"/>
        <v>25.015552528162999</v>
      </c>
      <c r="F61" s="37">
        <f t="shared" si="1"/>
        <v>24.326430676169146</v>
      </c>
    </row>
    <row r="62" spans="2:6" x14ac:dyDescent="0.3">
      <c r="B62" s="66">
        <v>840</v>
      </c>
      <c r="C62" s="66">
        <v>24887</v>
      </c>
      <c r="D62" s="37">
        <f t="shared" si="2"/>
        <v>24.887</v>
      </c>
      <c r="E62" s="37">
        <f t="shared" si="0"/>
        <v>25.535787086786534</v>
      </c>
      <c r="F62" s="37">
        <f t="shared" si="1"/>
        <v>24.847224747349614</v>
      </c>
    </row>
    <row r="63" spans="2:6" x14ac:dyDescent="0.3">
      <c r="B63" s="66">
        <v>850</v>
      </c>
      <c r="C63" s="66">
        <v>25409</v>
      </c>
      <c r="D63" s="37">
        <f t="shared" si="2"/>
        <v>25.408999999999999</v>
      </c>
      <c r="E63" s="37">
        <f t="shared" si="0"/>
        <v>26.056736029799453</v>
      </c>
      <c r="F63" s="37">
        <f t="shared" si="1"/>
        <v>25.369697436942829</v>
      </c>
    </row>
    <row r="64" spans="2:6" x14ac:dyDescent="0.3">
      <c r="B64" s="66">
        <v>860</v>
      </c>
      <c r="C64" s="66">
        <v>25932</v>
      </c>
      <c r="D64" s="37">
        <f t="shared" si="2"/>
        <v>25.932000000000002</v>
      </c>
      <c r="E64" s="37">
        <f t="shared" si="0"/>
        <v>26.578399357201747</v>
      </c>
      <c r="F64" s="37">
        <f t="shared" si="1"/>
        <v>25.893819959053992</v>
      </c>
    </row>
    <row r="65" spans="2:6" x14ac:dyDescent="0.3">
      <c r="B65" s="66">
        <v>870</v>
      </c>
      <c r="C65" s="66">
        <v>26457</v>
      </c>
      <c r="D65" s="37">
        <f t="shared" si="2"/>
        <v>26.457000000000001</v>
      </c>
      <c r="E65" s="37">
        <f t="shared" si="0"/>
        <v>27.100777068993423</v>
      </c>
      <c r="F65" s="37">
        <f t="shared" si="1"/>
        <v>26.419563981152713</v>
      </c>
    </row>
    <row r="66" spans="2:6" x14ac:dyDescent="0.3">
      <c r="B66" s="66">
        <v>880</v>
      </c>
      <c r="C66" s="66">
        <v>26983</v>
      </c>
      <c r="D66" s="37">
        <f t="shared" si="2"/>
        <v>26.983000000000001</v>
      </c>
      <c r="E66" s="37">
        <f t="shared" si="0"/>
        <v>27.623869165174476</v>
      </c>
      <c r="F66" s="37">
        <f t="shared" si="1"/>
        <v>26.94690162194653</v>
      </c>
    </row>
    <row r="67" spans="2:6" x14ac:dyDescent="0.3">
      <c r="B67" s="66">
        <v>890</v>
      </c>
      <c r="C67" s="66">
        <v>27512</v>
      </c>
      <c r="D67" s="37">
        <f t="shared" si="2"/>
        <v>27.512</v>
      </c>
      <c r="E67" s="37">
        <f t="shared" si="0"/>
        <v>28.147675645744904</v>
      </c>
      <c r="F67" s="37">
        <f t="shared" si="1"/>
        <v>27.475805449254587</v>
      </c>
    </row>
    <row r="68" spans="2:6" x14ac:dyDescent="0.3">
      <c r="B68" s="66">
        <v>900</v>
      </c>
      <c r="C68" s="66">
        <v>28041</v>
      </c>
      <c r="D68" s="37">
        <f t="shared" si="2"/>
        <v>28.041</v>
      </c>
      <c r="E68" s="37">
        <f t="shared" si="0"/>
        <v>28.672196510704715</v>
      </c>
      <c r="F68" s="37">
        <f t="shared" si="1"/>
        <v>28.006248477881165</v>
      </c>
    </row>
    <row r="69" spans="2:6" x14ac:dyDescent="0.3">
      <c r="B69" s="66">
        <v>910</v>
      </c>
      <c r="C69" s="66">
        <v>28571</v>
      </c>
      <c r="D69" s="37">
        <f t="shared" si="2"/>
        <v>28.571000000000002</v>
      </c>
      <c r="E69" s="37">
        <f t="shared" si="0"/>
        <v>29.197431760053909</v>
      </c>
      <c r="F69" s="37">
        <f t="shared" si="1"/>
        <v>28.538204167489333</v>
      </c>
    </row>
    <row r="70" spans="2:6" x14ac:dyDescent="0.3">
      <c r="B70" s="66">
        <v>920</v>
      </c>
      <c r="C70" s="66">
        <v>29103</v>
      </c>
      <c r="D70" s="37">
        <f t="shared" si="2"/>
        <v>29.103000000000002</v>
      </c>
      <c r="E70" s="37">
        <f t="shared" si="0"/>
        <v>29.723381393792479</v>
      </c>
      <c r="F70" s="37">
        <f t="shared" si="1"/>
        <v>29.071646420474515</v>
      </c>
    </row>
    <row r="71" spans="2:6" x14ac:dyDescent="0.3">
      <c r="B71" s="66">
        <v>930</v>
      </c>
      <c r="C71" s="66">
        <v>29636</v>
      </c>
      <c r="D71" s="37">
        <f t="shared" si="2"/>
        <v>29.635999999999999</v>
      </c>
      <c r="E71" s="37">
        <f t="shared" si="0"/>
        <v>30.250045411920432</v>
      </c>
      <c r="F71" s="37">
        <f t="shared" si="1"/>
        <v>29.606549579838116</v>
      </c>
    </row>
    <row r="72" spans="2:6" x14ac:dyDescent="0.3">
      <c r="B72" s="66">
        <v>940</v>
      </c>
      <c r="C72" s="66">
        <v>30171</v>
      </c>
      <c r="D72" s="37">
        <f t="shared" si="2"/>
        <v>30.170999999999999</v>
      </c>
      <c r="E72" s="37">
        <f t="shared" ref="E72:E135" si="3">(0.0000035719219468973*B72^2)+(0.046058346211035*B72)-15.6735718562136</f>
        <v>30.777423814437761</v>
      </c>
      <c r="F72" s="37">
        <f t="shared" ref="F72:F135" si="4">((0*B72^6)+(-0.0000000000000001772*B72^5)+(0.0000000000026421182*B72^4)+(-0.0000000124627120457*B72^3)+(0.0000296635365075066*B72^2)+(0.022887287040501*B72)+(-9.16331627135478))</f>
        <v>30.142888427061102</v>
      </c>
    </row>
    <row r="73" spans="2:6" x14ac:dyDescent="0.3">
      <c r="B73" s="66">
        <v>950</v>
      </c>
      <c r="C73" s="66">
        <v>30706</v>
      </c>
      <c r="D73" s="37">
        <f t="shared" ref="D73:D136" si="5">C73*10^-3</f>
        <v>30.706</v>
      </c>
      <c r="E73" s="37">
        <f t="shared" si="3"/>
        <v>31.305516601344465</v>
      </c>
      <c r="F73" s="37">
        <f t="shared" si="4"/>
        <v>30.680638179977585</v>
      </c>
    </row>
    <row r="74" spans="2:6" x14ac:dyDescent="0.3">
      <c r="B74" s="66">
        <v>960</v>
      </c>
      <c r="C74" s="66">
        <v>31243</v>
      </c>
      <c r="D74" s="37">
        <f t="shared" si="5"/>
        <v>31.243000000000002</v>
      </c>
      <c r="E74" s="37">
        <f t="shared" si="3"/>
        <v>31.834323772640559</v>
      </c>
      <c r="F74" s="37">
        <f t="shared" si="4"/>
        <v>31.219774490648497</v>
      </c>
    </row>
    <row r="75" spans="2:6" x14ac:dyDescent="0.3">
      <c r="B75" s="66">
        <v>970</v>
      </c>
      <c r="C75" s="66">
        <v>31781</v>
      </c>
      <c r="D75" s="37">
        <f t="shared" si="5"/>
        <v>31.781000000000002</v>
      </c>
      <c r="E75" s="37">
        <f t="shared" si="3"/>
        <v>32.363845328326022</v>
      </c>
      <c r="F75" s="37">
        <f t="shared" si="4"/>
        <v>31.7602734432351</v>
      </c>
    </row>
    <row r="76" spans="2:6" x14ac:dyDescent="0.3">
      <c r="B76" s="66">
        <v>980</v>
      </c>
      <c r="C76" s="66">
        <v>32321</v>
      </c>
      <c r="D76" s="37">
        <f t="shared" si="5"/>
        <v>32.320999999999998</v>
      </c>
      <c r="E76" s="37">
        <f t="shared" si="3"/>
        <v>32.894081268400868</v>
      </c>
      <c r="F76" s="37">
        <f t="shared" si="4"/>
        <v>32.302111551872621</v>
      </c>
    </row>
    <row r="77" spans="2:6" x14ac:dyDescent="0.3">
      <c r="B77" s="66">
        <v>990</v>
      </c>
      <c r="C77" s="66">
        <v>32862</v>
      </c>
      <c r="D77" s="37">
        <f t="shared" si="5"/>
        <v>32.862000000000002</v>
      </c>
      <c r="E77" s="37">
        <f t="shared" si="3"/>
        <v>33.425031592865096</v>
      </c>
      <c r="F77" s="37">
        <f t="shared" si="4"/>
        <v>32.845265758543867</v>
      </c>
    </row>
    <row r="78" spans="2:6" x14ac:dyDescent="0.3">
      <c r="B78" s="66">
        <v>1000</v>
      </c>
      <c r="C78" s="66">
        <v>33432</v>
      </c>
      <c r="D78" s="37">
        <f t="shared" si="5"/>
        <v>33.432000000000002</v>
      </c>
      <c r="E78" s="37">
        <f t="shared" si="3"/>
        <v>33.956696301718701</v>
      </c>
      <c r="F78" s="37">
        <f t="shared" si="4"/>
        <v>33.389713430952817</v>
      </c>
    </row>
    <row r="79" spans="2:6" x14ac:dyDescent="0.3">
      <c r="B79" s="66">
        <v>1020</v>
      </c>
      <c r="C79" s="66">
        <v>34495</v>
      </c>
      <c r="D79" s="37">
        <f t="shared" si="5"/>
        <v>34.494999999999997</v>
      </c>
      <c r="E79" s="37">
        <f t="shared" si="3"/>
        <v>35.022168872594051</v>
      </c>
      <c r="F79" s="37">
        <f t="shared" si="4"/>
        <v>34.48240075964717</v>
      </c>
    </row>
    <row r="80" spans="2:6" x14ac:dyDescent="0.3">
      <c r="B80" s="66">
        <v>1040</v>
      </c>
      <c r="C80" s="66">
        <v>35589</v>
      </c>
      <c r="D80" s="37">
        <f t="shared" si="5"/>
        <v>35.588999999999999</v>
      </c>
      <c r="E80" s="37">
        <f t="shared" si="3"/>
        <v>36.090498981026919</v>
      </c>
      <c r="F80" s="37">
        <f t="shared" si="4"/>
        <v>35.580000913207634</v>
      </c>
    </row>
    <row r="81" spans="2:6" x14ac:dyDescent="0.3">
      <c r="B81" s="66">
        <v>1060</v>
      </c>
      <c r="C81" s="66">
        <v>36687</v>
      </c>
      <c r="D81" s="37">
        <f t="shared" si="5"/>
        <v>36.686999999999998</v>
      </c>
      <c r="E81" s="37">
        <f t="shared" si="3"/>
        <v>37.161686627017303</v>
      </c>
      <c r="F81" s="37">
        <f t="shared" si="4"/>
        <v>36.68234794233522</v>
      </c>
    </row>
    <row r="82" spans="2:6" x14ac:dyDescent="0.3">
      <c r="B82" s="66">
        <v>1080</v>
      </c>
      <c r="C82" s="66">
        <v>37789</v>
      </c>
      <c r="D82" s="37">
        <f t="shared" si="5"/>
        <v>37.789000000000001</v>
      </c>
      <c r="E82" s="37">
        <f t="shared" si="3"/>
        <v>38.235731810565213</v>
      </c>
      <c r="F82" s="37">
        <f t="shared" si="4"/>
        <v>37.789282505135276</v>
      </c>
    </row>
    <row r="83" spans="2:6" x14ac:dyDescent="0.3">
      <c r="B83" s="66">
        <v>1100</v>
      </c>
      <c r="C83" s="66">
        <v>38894</v>
      </c>
      <c r="D83" s="37">
        <f t="shared" si="5"/>
        <v>38.893999999999998</v>
      </c>
      <c r="E83" s="37">
        <f t="shared" si="3"/>
        <v>39.312634531670639</v>
      </c>
      <c r="F83" s="37">
        <f t="shared" si="4"/>
        <v>38.900651799072605</v>
      </c>
    </row>
    <row r="84" spans="2:6" x14ac:dyDescent="0.3">
      <c r="B84" s="66">
        <v>1120</v>
      </c>
      <c r="C84" s="66">
        <v>40005</v>
      </c>
      <c r="D84" s="37">
        <f t="shared" si="5"/>
        <v>40.005000000000003</v>
      </c>
      <c r="E84" s="37">
        <f t="shared" si="3"/>
        <v>40.392394790333583</v>
      </c>
      <c r="F84" s="37">
        <f t="shared" si="4"/>
        <v>40.016309492926716</v>
      </c>
    </row>
    <row r="85" spans="2:6" x14ac:dyDescent="0.3">
      <c r="B85" s="66">
        <v>1140</v>
      </c>
      <c r="C85" s="66">
        <v>41120</v>
      </c>
      <c r="D85" s="37">
        <f t="shared" si="5"/>
        <v>41.12</v>
      </c>
      <c r="E85" s="37">
        <f t="shared" si="3"/>
        <v>41.475012586554037</v>
      </c>
      <c r="F85" s="37">
        <f t="shared" si="4"/>
        <v>41.136115658747009</v>
      </c>
    </row>
    <row r="86" spans="2:6" x14ac:dyDescent="0.3">
      <c r="B86" s="66">
        <v>1160</v>
      </c>
      <c r="C86" s="66">
        <v>42238</v>
      </c>
      <c r="D86" s="37">
        <f t="shared" si="5"/>
        <v>42.238</v>
      </c>
      <c r="E86" s="37">
        <f t="shared" si="3"/>
        <v>42.560487920332015</v>
      </c>
      <c r="F86" s="37">
        <f t="shared" si="4"/>
        <v>42.259936703807945</v>
      </c>
    </row>
    <row r="87" spans="2:6" x14ac:dyDescent="0.3">
      <c r="B87" s="66">
        <v>1180</v>
      </c>
      <c r="C87" s="66">
        <v>43060</v>
      </c>
      <c r="D87" s="37">
        <f t="shared" si="5"/>
        <v>43.06</v>
      </c>
      <c r="E87" s="37">
        <f t="shared" si="3"/>
        <v>43.648820791667504</v>
      </c>
      <c r="F87" s="37">
        <f t="shared" si="4"/>
        <v>43.387645302564302</v>
      </c>
    </row>
    <row r="88" spans="2:6" x14ac:dyDescent="0.3">
      <c r="B88" s="66">
        <v>1200</v>
      </c>
      <c r="C88" s="66">
        <v>44484</v>
      </c>
      <c r="D88" s="37">
        <f t="shared" si="5"/>
        <v>44.484000000000002</v>
      </c>
      <c r="E88" s="37">
        <f t="shared" si="3"/>
        <v>44.740011200560517</v>
      </c>
      <c r="F88" s="37">
        <f t="shared" si="4"/>
        <v>44.51912032860632</v>
      </c>
    </row>
    <row r="89" spans="2:6" x14ac:dyDescent="0.3">
      <c r="B89" s="66">
        <v>1220</v>
      </c>
      <c r="C89" s="66">
        <v>45613</v>
      </c>
      <c r="D89" s="37">
        <f t="shared" si="5"/>
        <v>45.613</v>
      </c>
      <c r="E89" s="37">
        <f t="shared" si="3"/>
        <v>45.834059147011047</v>
      </c>
      <c r="F89" s="37">
        <f t="shared" si="4"/>
        <v>45.654246786614962</v>
      </c>
    </row>
    <row r="90" spans="2:6" x14ac:dyDescent="0.3">
      <c r="B90" s="66">
        <v>1240</v>
      </c>
      <c r="C90" s="66">
        <v>46744</v>
      </c>
      <c r="D90" s="37">
        <f t="shared" si="5"/>
        <v>46.744</v>
      </c>
      <c r="E90" s="37">
        <f t="shared" si="3"/>
        <v>46.930964631019094</v>
      </c>
      <c r="F90" s="37">
        <f t="shared" si="4"/>
        <v>46.79291574431705</v>
      </c>
    </row>
    <row r="91" spans="2:6" x14ac:dyDescent="0.3">
      <c r="B91" s="66">
        <v>1260</v>
      </c>
      <c r="C91" s="66">
        <v>47880</v>
      </c>
      <c r="D91" s="37">
        <f t="shared" si="5"/>
        <v>47.88</v>
      </c>
      <c r="E91" s="37">
        <f t="shared" si="3"/>
        <v>48.030727652584659</v>
      </c>
      <c r="F91" s="37">
        <f t="shared" si="4"/>
        <v>47.935024264440493</v>
      </c>
    </row>
    <row r="92" spans="2:6" x14ac:dyDescent="0.3">
      <c r="B92" s="66">
        <v>1280</v>
      </c>
      <c r="C92" s="66">
        <v>49017</v>
      </c>
      <c r="D92" s="37">
        <f t="shared" si="5"/>
        <v>49.017000000000003</v>
      </c>
      <c r="E92" s="37">
        <f t="shared" si="3"/>
        <v>49.133348211707741</v>
      </c>
      <c r="F92" s="37">
        <f t="shared" si="4"/>
        <v>49.080475336669501</v>
      </c>
    </row>
    <row r="93" spans="2:6" x14ac:dyDescent="0.3">
      <c r="B93" s="66">
        <v>1300</v>
      </c>
      <c r="C93" s="66">
        <v>50158</v>
      </c>
      <c r="D93" s="37">
        <f t="shared" si="5"/>
        <v>50.158000000000001</v>
      </c>
      <c r="E93" s="37">
        <f t="shared" si="3"/>
        <v>50.23882630838834</v>
      </c>
      <c r="F93" s="37">
        <f t="shared" si="4"/>
        <v>50.229177809599783</v>
      </c>
    </row>
    <row r="94" spans="2:6" x14ac:dyDescent="0.3">
      <c r="B94" s="66">
        <v>1320</v>
      </c>
      <c r="C94" s="66">
        <v>51302</v>
      </c>
      <c r="D94" s="37">
        <f t="shared" si="5"/>
        <v>51.302</v>
      </c>
      <c r="E94" s="37">
        <f t="shared" si="3"/>
        <v>51.347161942626457</v>
      </c>
      <c r="F94" s="37">
        <f t="shared" si="4"/>
        <v>51.381046322693699</v>
      </c>
    </row>
    <row r="95" spans="2:6" x14ac:dyDescent="0.3">
      <c r="B95" s="66">
        <v>1340</v>
      </c>
      <c r="C95" s="66">
        <v>52449</v>
      </c>
      <c r="D95" s="37">
        <f t="shared" si="5"/>
        <v>52.448999999999998</v>
      </c>
      <c r="E95" s="37">
        <f t="shared" si="3"/>
        <v>52.458355114422091</v>
      </c>
      <c r="F95" s="37">
        <f t="shared" si="4"/>
        <v>52.536001238235528</v>
      </c>
    </row>
    <row r="96" spans="2:6" x14ac:dyDescent="0.3">
      <c r="B96" s="66">
        <v>1360</v>
      </c>
      <c r="C96" s="66">
        <v>53599</v>
      </c>
      <c r="D96" s="37">
        <f t="shared" si="5"/>
        <v>53.599000000000004</v>
      </c>
      <c r="E96" s="37">
        <f t="shared" si="3"/>
        <v>53.572405823775256</v>
      </c>
      <c r="F96" s="37">
        <f t="shared" si="4"/>
        <v>53.693968573286647</v>
      </c>
    </row>
    <row r="97" spans="2:6" x14ac:dyDescent="0.3">
      <c r="B97" s="66">
        <v>1380</v>
      </c>
      <c r="C97" s="66">
        <v>54752</v>
      </c>
      <c r="D97" s="37">
        <f t="shared" si="5"/>
        <v>54.752000000000002</v>
      </c>
      <c r="E97" s="37">
        <f t="shared" si="3"/>
        <v>54.689314070685924</v>
      </c>
      <c r="F97" s="37">
        <f t="shared" si="4"/>
        <v>54.854879931640674</v>
      </c>
    </row>
    <row r="98" spans="2:6" x14ac:dyDescent="0.3">
      <c r="B98" s="66">
        <v>1400</v>
      </c>
      <c r="C98" s="66">
        <v>55907</v>
      </c>
      <c r="D98" s="37">
        <f t="shared" si="5"/>
        <v>55.907000000000004</v>
      </c>
      <c r="E98" s="37">
        <f t="shared" si="3"/>
        <v>55.80907985515411</v>
      </c>
      <c r="F98" s="37">
        <f t="shared" si="4"/>
        <v>56.018672435778761</v>
      </c>
    </row>
    <row r="99" spans="2:6" x14ac:dyDescent="0.3">
      <c r="B99" s="66">
        <v>1420</v>
      </c>
      <c r="C99" s="66">
        <v>57063</v>
      </c>
      <c r="D99" s="37">
        <f t="shared" si="5"/>
        <v>57.063000000000002</v>
      </c>
      <c r="E99" s="37">
        <f t="shared" si="3"/>
        <v>56.931703177179827</v>
      </c>
      <c r="F99" s="37">
        <f t="shared" si="4"/>
        <v>57.185288658824724</v>
      </c>
    </row>
    <row r="100" spans="2:6" x14ac:dyDescent="0.3">
      <c r="B100" s="66">
        <v>1440</v>
      </c>
      <c r="C100" s="66">
        <v>58222</v>
      </c>
      <c r="D100" s="37">
        <f t="shared" si="5"/>
        <v>58.222000000000001</v>
      </c>
      <c r="E100" s="37">
        <f t="shared" si="3"/>
        <v>58.057184036763047</v>
      </c>
      <c r="F100" s="37">
        <f t="shared" si="4"/>
        <v>58.354676556500273</v>
      </c>
    </row>
    <row r="101" spans="2:6" x14ac:dyDescent="0.3">
      <c r="B101" s="66">
        <v>1460</v>
      </c>
      <c r="C101" s="66">
        <v>59384</v>
      </c>
      <c r="D101" s="37">
        <f t="shared" si="5"/>
        <v>59.384</v>
      </c>
      <c r="E101" s="37">
        <f t="shared" si="3"/>
        <v>59.185522433903785</v>
      </c>
      <c r="F101" s="37">
        <f t="shared" si="4"/>
        <v>59.526789399080208</v>
      </c>
    </row>
    <row r="102" spans="2:6" x14ac:dyDescent="0.3">
      <c r="B102" s="66">
        <v>1480</v>
      </c>
      <c r="C102" s="66">
        <v>57547</v>
      </c>
      <c r="D102" s="37"/>
      <c r="E102" s="37">
        <f t="shared" si="3"/>
        <v>60.316718368602054</v>
      </c>
      <c r="F102" s="37">
        <f t="shared" si="4"/>
        <v>60.701585703347597</v>
      </c>
    </row>
    <row r="103" spans="2:6" x14ac:dyDescent="0.3">
      <c r="B103" s="66">
        <v>1500</v>
      </c>
      <c r="C103" s="66">
        <v>61714</v>
      </c>
      <c r="D103" s="37">
        <f t="shared" si="5"/>
        <v>61.713999999999999</v>
      </c>
      <c r="E103" s="37">
        <f t="shared" si="3"/>
        <v>61.450771840857826</v>
      </c>
      <c r="F103" s="37">
        <f t="shared" si="4"/>
        <v>61.879029164549074</v>
      </c>
    </row>
    <row r="104" spans="2:6" x14ac:dyDescent="0.3">
      <c r="B104" s="66">
        <v>1520</v>
      </c>
      <c r="C104" s="66">
        <v>62882</v>
      </c>
      <c r="D104" s="37">
        <f t="shared" si="5"/>
        <v>62.881999999999998</v>
      </c>
      <c r="E104" s="37">
        <f t="shared" si="3"/>
        <v>62.587682850671129</v>
      </c>
      <c r="F104" s="37">
        <f t="shared" si="4"/>
        <v>63.059088588349844</v>
      </c>
    </row>
    <row r="105" spans="2:6" x14ac:dyDescent="0.3">
      <c r="B105" s="66">
        <v>1540</v>
      </c>
      <c r="C105" s="66">
        <v>64053</v>
      </c>
      <c r="D105" s="37">
        <f t="shared" si="5"/>
        <v>64.052999999999997</v>
      </c>
      <c r="E105" s="37">
        <f t="shared" si="3"/>
        <v>63.727451398041936</v>
      </c>
      <c r="F105" s="37">
        <f t="shared" si="4"/>
        <v>64.241737822789077</v>
      </c>
    </row>
    <row r="106" spans="2:6" x14ac:dyDescent="0.3">
      <c r="B106" s="66">
        <v>1560</v>
      </c>
      <c r="C106" s="66">
        <v>65226</v>
      </c>
      <c r="D106" s="37">
        <f t="shared" si="5"/>
        <v>65.225999999999999</v>
      </c>
      <c r="E106" s="37">
        <f t="shared" si="3"/>
        <v>64.870077482970274</v>
      </c>
      <c r="F106" s="37">
        <f t="shared" si="4"/>
        <v>65.42695569023499</v>
      </c>
    </row>
    <row r="107" spans="2:6" x14ac:dyDescent="0.3">
      <c r="B107" s="66">
        <v>1580</v>
      </c>
      <c r="C107" s="66">
        <v>67403</v>
      </c>
      <c r="D107" s="37">
        <f t="shared" si="5"/>
        <v>67.403000000000006</v>
      </c>
      <c r="E107" s="37">
        <f t="shared" si="3"/>
        <v>66.015561105456115</v>
      </c>
      <c r="F107" s="37">
        <f t="shared" si="4"/>
        <v>66.614725919340145</v>
      </c>
    </row>
    <row r="108" spans="2:6" x14ac:dyDescent="0.3">
      <c r="B108" s="66">
        <v>1600</v>
      </c>
      <c r="C108" s="66">
        <v>67580</v>
      </c>
      <c r="D108" s="37">
        <f t="shared" si="5"/>
        <v>67.58</v>
      </c>
      <c r="E108" s="37">
        <f t="shared" si="3"/>
        <v>67.163902265499487</v>
      </c>
      <c r="F108" s="37">
        <f t="shared" si="4"/>
        <v>67.805037076996513</v>
      </c>
    </row>
    <row r="109" spans="2:6" x14ac:dyDescent="0.3">
      <c r="B109" s="66">
        <v>1620</v>
      </c>
      <c r="C109" s="66">
        <v>68759</v>
      </c>
      <c r="D109" s="37">
        <f t="shared" si="5"/>
        <v>68.759</v>
      </c>
      <c r="E109" s="37">
        <f t="shared" si="3"/>
        <v>68.315100963100377</v>
      </c>
      <c r="F109" s="37">
        <f t="shared" si="4"/>
        <v>68.997882500290842</v>
      </c>
    </row>
    <row r="110" spans="2:6" x14ac:dyDescent="0.3">
      <c r="B110" s="66">
        <v>1640</v>
      </c>
      <c r="C110" s="66">
        <v>69939</v>
      </c>
      <c r="D110" s="37">
        <f t="shared" si="5"/>
        <v>69.939000000000007</v>
      </c>
      <c r="E110" s="37">
        <f t="shared" si="3"/>
        <v>69.46915719825877</v>
      </c>
      <c r="F110" s="37">
        <f t="shared" si="4"/>
        <v>70.193260228459707</v>
      </c>
    </row>
    <row r="111" spans="2:6" x14ac:dyDescent="0.3">
      <c r="B111" s="66">
        <v>1660</v>
      </c>
      <c r="C111" s="66">
        <v>71122</v>
      </c>
      <c r="D111" s="37">
        <f t="shared" si="5"/>
        <v>71.122</v>
      </c>
      <c r="E111" s="37">
        <f t="shared" si="3"/>
        <v>70.626070970974695</v>
      </c>
      <c r="F111" s="37">
        <f t="shared" si="4"/>
        <v>71.391172934844775</v>
      </c>
    </row>
    <row r="112" spans="2:6" x14ac:dyDescent="0.3">
      <c r="B112" s="66">
        <v>1680</v>
      </c>
      <c r="C112" s="66">
        <v>72306</v>
      </c>
      <c r="D112" s="37">
        <f t="shared" si="5"/>
        <v>72.305999999999997</v>
      </c>
      <c r="E112" s="37">
        <f t="shared" si="3"/>
        <v>71.785842281248136</v>
      </c>
      <c r="F112" s="37">
        <f t="shared" si="4"/>
        <v>72.591627858848028</v>
      </c>
    </row>
    <row r="113" spans="2:6" x14ac:dyDescent="0.3">
      <c r="B113" s="66">
        <v>1700</v>
      </c>
      <c r="C113" s="66">
        <v>73492</v>
      </c>
      <c r="D113" s="37">
        <f t="shared" si="5"/>
        <v>73.492000000000004</v>
      </c>
      <c r="E113" s="37">
        <f t="shared" si="3"/>
        <v>72.948471129079095</v>
      </c>
      <c r="F113" s="37">
        <f t="shared" si="4"/>
        <v>73.79463673788689</v>
      </c>
    </row>
    <row r="114" spans="2:6" x14ac:dyDescent="0.3">
      <c r="B114" s="66">
        <v>1720</v>
      </c>
      <c r="C114" s="66">
        <v>74679</v>
      </c>
      <c r="D114" s="37">
        <f t="shared" si="5"/>
        <v>74.679000000000002</v>
      </c>
      <c r="E114" s="37">
        <f t="shared" si="3"/>
        <v>74.113957514467586</v>
      </c>
      <c r="F114" s="37">
        <f t="shared" si="4"/>
        <v>75.000215739349557</v>
      </c>
    </row>
    <row r="115" spans="2:6" x14ac:dyDescent="0.3">
      <c r="B115" s="66">
        <v>1740</v>
      </c>
      <c r="C115" s="66">
        <v>75867</v>
      </c>
      <c r="D115" s="37">
        <f t="shared" si="5"/>
        <v>75.867000000000004</v>
      </c>
      <c r="E115" s="37">
        <f t="shared" si="3"/>
        <v>75.282301437413579</v>
      </c>
      <c r="F115" s="37">
        <f t="shared" si="4"/>
        <v>76.208385392550014</v>
      </c>
    </row>
    <row r="116" spans="2:6" x14ac:dyDescent="0.3">
      <c r="B116" s="66">
        <v>1760</v>
      </c>
      <c r="C116" s="66">
        <v>77056</v>
      </c>
      <c r="D116" s="37">
        <f t="shared" si="5"/>
        <v>77.055999999999997</v>
      </c>
      <c r="E116" s="37">
        <f t="shared" si="3"/>
        <v>76.45350289791709</v>
      </c>
      <c r="F116" s="37">
        <f t="shared" si="4"/>
        <v>77.419170520683366</v>
      </c>
    </row>
    <row r="117" spans="2:6" x14ac:dyDescent="0.3">
      <c r="B117" s="66">
        <v>1780</v>
      </c>
      <c r="C117" s="66">
        <v>78248</v>
      </c>
      <c r="D117" s="37">
        <f t="shared" si="5"/>
        <v>78.248000000000005</v>
      </c>
      <c r="E117" s="37">
        <f t="shared" si="3"/>
        <v>77.627561895978118</v>
      </c>
      <c r="F117" s="37">
        <f t="shared" si="4"/>
        <v>78.632600172781082</v>
      </c>
    </row>
    <row r="118" spans="2:6" x14ac:dyDescent="0.3">
      <c r="B118" s="66">
        <v>1800</v>
      </c>
      <c r="C118" s="66">
        <v>79442</v>
      </c>
      <c r="D118" s="37">
        <f t="shared" si="5"/>
        <v>79.442000000000007</v>
      </c>
      <c r="E118" s="37">
        <f t="shared" si="3"/>
        <v>78.804478431596664</v>
      </c>
      <c r="F118" s="37">
        <f t="shared" si="4"/>
        <v>79.84870755566601</v>
      </c>
    </row>
    <row r="119" spans="2:6" x14ac:dyDescent="0.3">
      <c r="B119" s="66">
        <v>1820</v>
      </c>
      <c r="C119" s="66">
        <v>80636</v>
      </c>
      <c r="D119" s="37">
        <f t="shared" si="5"/>
        <v>80.635999999999996</v>
      </c>
      <c r="E119" s="37">
        <f t="shared" si="3"/>
        <v>79.984252504772726</v>
      </c>
      <c r="F119" s="37">
        <f t="shared" si="4"/>
        <v>81.067529965907738</v>
      </c>
    </row>
    <row r="120" spans="2:6" x14ac:dyDescent="0.3">
      <c r="B120" s="66">
        <v>1840</v>
      </c>
      <c r="C120" s="66">
        <v>81832</v>
      </c>
      <c r="D120" s="37">
        <f t="shared" si="5"/>
        <v>81.832000000000008</v>
      </c>
      <c r="E120" s="37">
        <f t="shared" si="3"/>
        <v>81.166884115506306</v>
      </c>
      <c r="F120" s="37">
        <f t="shared" si="4"/>
        <v>82.289108721777751</v>
      </c>
    </row>
    <row r="121" spans="2:6" x14ac:dyDescent="0.3">
      <c r="B121" s="66">
        <v>1860</v>
      </c>
      <c r="C121" s="66">
        <v>83030</v>
      </c>
      <c r="D121" s="37">
        <f t="shared" si="5"/>
        <v>83.03</v>
      </c>
      <c r="E121" s="37">
        <f t="shared" si="3"/>
        <v>82.352373263797404</v>
      </c>
      <c r="F121" s="37">
        <f t="shared" si="4"/>
        <v>83.513489095204591</v>
      </c>
    </row>
    <row r="122" spans="2:6" x14ac:dyDescent="0.3">
      <c r="B122" s="66">
        <v>1880</v>
      </c>
      <c r="C122" s="66">
        <v>84229</v>
      </c>
      <c r="D122" s="37">
        <f t="shared" si="5"/>
        <v>84.228999999999999</v>
      </c>
      <c r="E122" s="37">
        <f t="shared" si="3"/>
        <v>83.540719949646018</v>
      </c>
      <c r="F122" s="37">
        <f t="shared" si="4"/>
        <v>84.740720243729129</v>
      </c>
    </row>
    <row r="123" spans="2:6" x14ac:dyDescent="0.3">
      <c r="B123" s="66">
        <v>1900</v>
      </c>
      <c r="C123" s="66">
        <v>85429</v>
      </c>
      <c r="D123" s="37">
        <f t="shared" si="5"/>
        <v>85.429000000000002</v>
      </c>
      <c r="E123" s="37">
        <f t="shared" si="3"/>
        <v>84.731924173052164</v>
      </c>
      <c r="F123" s="37">
        <f t="shared" si="4"/>
        <v>85.970855142459641</v>
      </c>
    </row>
    <row r="124" spans="2:6" x14ac:dyDescent="0.3">
      <c r="B124" s="66">
        <v>1920</v>
      </c>
      <c r="C124" s="66">
        <v>86631</v>
      </c>
      <c r="D124" s="37">
        <f t="shared" si="5"/>
        <v>86.631</v>
      </c>
      <c r="E124" s="37">
        <f t="shared" si="3"/>
        <v>85.925985934015813</v>
      </c>
      <c r="F124" s="37">
        <f t="shared" si="4"/>
        <v>87.20395051602722</v>
      </c>
    </row>
    <row r="125" spans="2:6" x14ac:dyDescent="0.3">
      <c r="B125" s="66">
        <v>1940</v>
      </c>
      <c r="C125" s="66">
        <v>87833</v>
      </c>
      <c r="D125" s="37">
        <f t="shared" si="5"/>
        <v>87.832999999999998</v>
      </c>
      <c r="E125" s="37">
        <f t="shared" si="3"/>
        <v>87.122905232536979</v>
      </c>
      <c r="F125" s="37">
        <f t="shared" si="4"/>
        <v>88.440066770540767</v>
      </c>
    </row>
    <row r="126" spans="2:6" x14ac:dyDescent="0.3">
      <c r="B126" s="66">
        <v>1960</v>
      </c>
      <c r="C126" s="66">
        <v>89037</v>
      </c>
      <c r="D126" s="37">
        <f t="shared" si="5"/>
        <v>89.037000000000006</v>
      </c>
      <c r="E126" s="37">
        <f t="shared" si="3"/>
        <v>88.322682068615677</v>
      </c>
      <c r="F126" s="37">
        <f t="shared" si="4"/>
        <v>89.679267925542206</v>
      </c>
    </row>
    <row r="127" spans="2:6" x14ac:dyDescent="0.3">
      <c r="B127" s="66">
        <v>1980</v>
      </c>
      <c r="C127" s="66">
        <v>90242</v>
      </c>
      <c r="D127" s="37">
        <f t="shared" si="5"/>
        <v>90.242000000000004</v>
      </c>
      <c r="E127" s="37">
        <f t="shared" si="3"/>
        <v>89.525316442251878</v>
      </c>
      <c r="F127" s="37">
        <f t="shared" si="4"/>
        <v>90.921621545961926</v>
      </c>
    </row>
    <row r="128" spans="2:6" x14ac:dyDescent="0.3">
      <c r="B128" s="66">
        <v>2000</v>
      </c>
      <c r="C128" s="66">
        <v>91440</v>
      </c>
      <c r="D128" s="37">
        <f t="shared" si="5"/>
        <v>91.44</v>
      </c>
      <c r="E128" s="37">
        <f t="shared" si="3"/>
        <v>90.730808353445596</v>
      </c>
      <c r="F128" s="37">
        <f t="shared" si="4"/>
        <v>92.167198674073603</v>
      </c>
    </row>
    <row r="129" spans="2:6" x14ac:dyDescent="0.3">
      <c r="B129" s="66">
        <v>2050</v>
      </c>
      <c r="C129" s="66">
        <v>94471</v>
      </c>
      <c r="D129" s="37">
        <f t="shared" si="5"/>
        <v>94.471000000000004</v>
      </c>
      <c r="E129" s="37">
        <f t="shared" si="3"/>
        <v>93.757039858244056</v>
      </c>
      <c r="F129" s="37">
        <f t="shared" si="4"/>
        <v>95.295741134821299</v>
      </c>
    </row>
    <row r="130" spans="2:6" x14ac:dyDescent="0.3">
      <c r="B130" s="66">
        <v>2100</v>
      </c>
      <c r="C130" s="66">
        <v>97500</v>
      </c>
      <c r="D130" s="37">
        <f t="shared" si="5"/>
        <v>97.5</v>
      </c>
      <c r="E130" s="37">
        <f t="shared" si="3"/>
        <v>96.801130972776988</v>
      </c>
      <c r="F130" s="37">
        <f t="shared" si="4"/>
        <v>98.446158249993744</v>
      </c>
    </row>
    <row r="131" spans="2:6" x14ac:dyDescent="0.3">
      <c r="B131" s="66">
        <v>2150</v>
      </c>
      <c r="C131" s="66">
        <v>100534</v>
      </c>
      <c r="D131" s="37">
        <f t="shared" si="5"/>
        <v>100.53400000000001</v>
      </c>
      <c r="E131" s="37">
        <f t="shared" si="3"/>
        <v>99.863081697044422</v>
      </c>
      <c r="F131" s="37">
        <f t="shared" si="4"/>
        <v>101.61982716510164</v>
      </c>
    </row>
    <row r="132" spans="2:6" x14ac:dyDescent="0.3">
      <c r="B132" s="66">
        <v>2200</v>
      </c>
      <c r="C132" s="66">
        <v>103575</v>
      </c>
      <c r="D132" s="37">
        <f t="shared" si="5"/>
        <v>103.575</v>
      </c>
      <c r="E132" s="37">
        <f t="shared" si="3"/>
        <v>102.94289203104634</v>
      </c>
      <c r="F132" s="37">
        <f t="shared" si="4"/>
        <v>104.81824225338576</v>
      </c>
    </row>
    <row r="133" spans="2:6" x14ac:dyDescent="0.3">
      <c r="B133" s="66">
        <v>2250</v>
      </c>
      <c r="C133" s="66">
        <v>106620</v>
      </c>
      <c r="D133" s="37">
        <f t="shared" si="5"/>
        <v>106.62</v>
      </c>
      <c r="E133" s="37">
        <f t="shared" si="3"/>
        <v>106.04056197478275</v>
      </c>
      <c r="F133" s="37">
        <f t="shared" si="4"/>
        <v>108.04300847081683</v>
      </c>
    </row>
    <row r="134" spans="2:6" x14ac:dyDescent="0.3">
      <c r="B134" s="66">
        <v>2300</v>
      </c>
      <c r="C134" s="66">
        <v>109671</v>
      </c>
      <c r="D134" s="37">
        <f t="shared" si="5"/>
        <v>109.67100000000001</v>
      </c>
      <c r="E134" s="37">
        <f t="shared" si="3"/>
        <v>109.15609152825363</v>
      </c>
      <c r="F134" s="37">
        <f t="shared" si="4"/>
        <v>111.29583471109552</v>
      </c>
    </row>
    <row r="135" spans="2:6" x14ac:dyDescent="0.3">
      <c r="B135" s="66">
        <v>2350</v>
      </c>
      <c r="C135" s="66">
        <v>112727</v>
      </c>
      <c r="D135" s="37">
        <f t="shared" si="5"/>
        <v>112.727</v>
      </c>
      <c r="E135" s="37">
        <f t="shared" si="3"/>
        <v>112.28948069145899</v>
      </c>
      <c r="F135" s="37">
        <f t="shared" si="4"/>
        <v>114.57852716065264</v>
      </c>
    </row>
    <row r="136" spans="2:6" x14ac:dyDescent="0.3">
      <c r="B136" s="66">
        <v>2400</v>
      </c>
      <c r="C136" s="66">
        <v>115788</v>
      </c>
      <c r="D136" s="37">
        <f t="shared" si="5"/>
        <v>115.788</v>
      </c>
      <c r="E136" s="37">
        <f t="shared" ref="E136:E147" si="6">(0.0000035719219468973*B136^2)+(0.046058346211035*B136)-15.6735718562136</f>
        <v>115.44072946439887</v>
      </c>
      <c r="F136" s="37">
        <f t="shared" ref="F136:F147" si="7">((0*B136^6)+(-0.0000000000000001772*B136^5)+(0.0000000000026421182*B136^4)+(-0.0000000124627120457*B136^3)+(0.0000296635365075066*B136^2)+(0.022887287040501*B136)+(-9.16331627135478))</f>
        <v>117.8929826536488</v>
      </c>
    </row>
    <row r="137" spans="2:6" x14ac:dyDescent="0.3">
      <c r="B137" s="66">
        <v>2450</v>
      </c>
      <c r="C137" s="66">
        <v>118855</v>
      </c>
      <c r="D137" s="37">
        <f t="shared" ref="D137:D147" si="8">C137*10^-3</f>
        <v>118.855</v>
      </c>
      <c r="E137" s="37">
        <f t="shared" si="6"/>
        <v>118.60983784707319</v>
      </c>
      <c r="F137" s="37">
        <f t="shared" si="7"/>
        <v>121.24118202697488</v>
      </c>
    </row>
    <row r="138" spans="2:6" x14ac:dyDescent="0.3">
      <c r="B138" s="66">
        <v>2500</v>
      </c>
      <c r="C138" s="66">
        <v>121926</v>
      </c>
      <c r="D138" s="37">
        <f t="shared" si="8"/>
        <v>121.926</v>
      </c>
      <c r="E138" s="37">
        <f t="shared" si="6"/>
        <v>121.79680583948202</v>
      </c>
      <c r="F138" s="37">
        <f t="shared" si="7"/>
        <v>124.62518347525148</v>
      </c>
    </row>
    <row r="139" spans="2:6" x14ac:dyDescent="0.3">
      <c r="B139" s="66">
        <v>2550</v>
      </c>
      <c r="C139" s="66">
        <v>125004</v>
      </c>
      <c r="D139" s="37">
        <f t="shared" si="8"/>
        <v>125.004</v>
      </c>
      <c r="E139" s="37">
        <f t="shared" si="6"/>
        <v>125.00163344162534</v>
      </c>
      <c r="F139" s="37">
        <f t="shared" si="7"/>
        <v>128.04711590582937</v>
      </c>
    </row>
    <row r="140" spans="2:6" x14ac:dyDescent="0.3">
      <c r="B140" s="66">
        <v>2600</v>
      </c>
      <c r="C140" s="66">
        <v>128085</v>
      </c>
      <c r="D140" s="37">
        <f t="shared" si="8"/>
        <v>128.08500000000001</v>
      </c>
      <c r="E140" s="37">
        <f t="shared" si="6"/>
        <v>128.22432065350313</v>
      </c>
      <c r="F140" s="37">
        <f t="shared" si="7"/>
        <v>131.50917229378925</v>
      </c>
    </row>
    <row r="141" spans="2:6" x14ac:dyDescent="0.3">
      <c r="B141" s="66">
        <v>2650</v>
      </c>
      <c r="C141" s="66">
        <v>131169</v>
      </c>
      <c r="D141" s="37">
        <f t="shared" si="8"/>
        <v>131.16900000000001</v>
      </c>
      <c r="E141" s="37">
        <f t="shared" si="6"/>
        <v>131.46486747511543</v>
      </c>
      <c r="F141" s="37">
        <f t="shared" si="7"/>
        <v>135.01360303694187</v>
      </c>
    </row>
    <row r="142" spans="2:6" x14ac:dyDescent="0.3">
      <c r="B142" s="66">
        <v>2700</v>
      </c>
      <c r="C142" s="66">
        <v>134256</v>
      </c>
      <c r="D142" s="37">
        <f t="shared" si="8"/>
        <v>134.256</v>
      </c>
      <c r="E142" s="37">
        <f t="shared" si="6"/>
        <v>134.72327390646223</v>
      </c>
      <c r="F142" s="37">
        <f t="shared" si="7"/>
        <v>138.56270931082796</v>
      </c>
    </row>
    <row r="143" spans="2:6" x14ac:dyDescent="0.3">
      <c r="B143" s="66">
        <v>2750</v>
      </c>
      <c r="C143" s="66">
        <v>137349</v>
      </c>
      <c r="D143" s="37">
        <f t="shared" si="8"/>
        <v>137.34899999999999</v>
      </c>
      <c r="E143" s="37">
        <f t="shared" si="6"/>
        <v>137.99953994754347</v>
      </c>
      <c r="F143" s="37">
        <f t="shared" si="7"/>
        <v>142.15883642371818</v>
      </c>
    </row>
    <row r="144" spans="2:6" x14ac:dyDescent="0.3">
      <c r="B144" s="66">
        <v>2800</v>
      </c>
      <c r="C144" s="66">
        <v>140444</v>
      </c>
      <c r="D144" s="37">
        <f t="shared" si="8"/>
        <v>140.44400000000002</v>
      </c>
      <c r="E144" s="37">
        <f t="shared" si="6"/>
        <v>141.29366559835924</v>
      </c>
      <c r="F144" s="37">
        <f t="shared" si="7"/>
        <v>145.80436717161334</v>
      </c>
    </row>
    <row r="145" spans="2:6" x14ac:dyDescent="0.3">
      <c r="B145" s="66">
        <v>2850</v>
      </c>
      <c r="C145" s="66">
        <v>143544</v>
      </c>
      <c r="D145" s="37">
        <f t="shared" si="8"/>
        <v>143.54400000000001</v>
      </c>
      <c r="E145" s="37">
        <f t="shared" si="6"/>
        <v>144.60565085890946</v>
      </c>
      <c r="F145" s="37">
        <f t="shared" si="7"/>
        <v>149.50171519324417</v>
      </c>
    </row>
    <row r="146" spans="2:6" x14ac:dyDescent="0.3">
      <c r="B146" s="66">
        <v>2900</v>
      </c>
      <c r="C146" s="66">
        <v>146645</v>
      </c>
      <c r="D146" s="37">
        <f t="shared" si="8"/>
        <v>146.64500000000001</v>
      </c>
      <c r="E146" s="37">
        <f t="shared" si="6"/>
        <v>147.93549572919417</v>
      </c>
      <c r="F146" s="37">
        <f t="shared" si="7"/>
        <v>153.25331832507138</v>
      </c>
    </row>
    <row r="147" spans="2:6" x14ac:dyDescent="0.3">
      <c r="B147" s="66">
        <v>3000</v>
      </c>
      <c r="C147" s="66">
        <v>152862</v>
      </c>
      <c r="D147" s="37">
        <f t="shared" si="8"/>
        <v>152.86199999999999</v>
      </c>
      <c r="E147" s="37">
        <f t="shared" si="6"/>
        <v>154.64876429896708</v>
      </c>
      <c r="F147" s="37">
        <f t="shared" si="7"/>
        <v>160.92912238380765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E147"/>
  <sheetViews>
    <sheetView workbookViewId="0">
      <selection activeCell="H23" sqref="H23"/>
    </sheetView>
  </sheetViews>
  <sheetFormatPr defaultRowHeight="14.4" x14ac:dyDescent="0.3"/>
  <cols>
    <col min="2" max="2" width="12.44140625" customWidth="1"/>
    <col min="3" max="3" width="11.6640625" customWidth="1"/>
    <col min="4" max="4" width="11.33203125" customWidth="1"/>
  </cols>
  <sheetData>
    <row r="2" spans="2:5" x14ac:dyDescent="0.3">
      <c r="B2" s="5" t="s">
        <v>65</v>
      </c>
      <c r="C2" s="5"/>
      <c r="D2" s="5"/>
      <c r="E2" s="5"/>
    </row>
    <row r="3" spans="2:5" x14ac:dyDescent="0.3">
      <c r="B3" s="5" t="s">
        <v>66</v>
      </c>
      <c r="C3" s="5"/>
      <c r="D3" s="5"/>
      <c r="E3" s="5"/>
    </row>
    <row r="4" spans="2:5" x14ac:dyDescent="0.3">
      <c r="B4" s="5" t="s">
        <v>67</v>
      </c>
      <c r="C4" s="5"/>
      <c r="D4" s="5"/>
      <c r="E4" s="5"/>
    </row>
    <row r="6" spans="2:5" ht="28.8" x14ac:dyDescent="0.3">
      <c r="B6" s="21" t="s">
        <v>61</v>
      </c>
      <c r="C6" s="21" t="s">
        <v>62</v>
      </c>
      <c r="D6" s="21" t="s">
        <v>89</v>
      </c>
      <c r="E6" s="21" t="s">
        <v>149</v>
      </c>
    </row>
    <row r="7" spans="2:5" x14ac:dyDescent="0.3">
      <c r="B7" s="66">
        <v>298</v>
      </c>
      <c r="C7" s="66">
        <v>0</v>
      </c>
      <c r="D7" s="37">
        <f>C7*10^-3</f>
        <v>0</v>
      </c>
      <c r="E7" s="37">
        <f>(0.0000016229*B7^2)+(0.0296756405*B7)-9.3858403064</f>
        <v>-0.39837942579999996</v>
      </c>
    </row>
    <row r="8" spans="2:5" x14ac:dyDescent="0.3">
      <c r="B8" s="66">
        <v>300</v>
      </c>
      <c r="C8" s="66">
        <v>54</v>
      </c>
      <c r="D8" s="37">
        <f t="shared" ref="D8:D71" si="0">C8*10^-3</f>
        <v>5.3999999999999999E-2</v>
      </c>
      <c r="E8" s="37">
        <f t="shared" ref="E8:E71" si="1">(0.0000016229*B8^2)+(0.0296756405*B8)-9.3858403064</f>
        <v>-0.33708715640000086</v>
      </c>
    </row>
    <row r="9" spans="2:5" x14ac:dyDescent="0.3">
      <c r="B9" s="66">
        <v>310</v>
      </c>
      <c r="C9" s="66">
        <v>345</v>
      </c>
      <c r="D9" s="37">
        <f t="shared" si="0"/>
        <v>0.34500000000000003</v>
      </c>
      <c r="E9" s="37">
        <f t="shared" si="1"/>
        <v>-3.0431061399999848E-2</v>
      </c>
    </row>
    <row r="10" spans="2:5" x14ac:dyDescent="0.3">
      <c r="B10" s="66">
        <v>320</v>
      </c>
      <c r="C10" s="66">
        <v>637</v>
      </c>
      <c r="D10" s="37">
        <f t="shared" si="0"/>
        <v>0.63700000000000001</v>
      </c>
      <c r="E10" s="37">
        <f t="shared" si="1"/>
        <v>0.2765496136000003</v>
      </c>
    </row>
    <row r="11" spans="2:5" x14ac:dyDescent="0.3">
      <c r="B11" s="66">
        <v>330</v>
      </c>
      <c r="C11" s="66">
        <v>928</v>
      </c>
      <c r="D11" s="37">
        <f t="shared" si="0"/>
        <v>0.92800000000000005</v>
      </c>
      <c r="E11" s="37">
        <f t="shared" si="1"/>
        <v>0.58385486859999958</v>
      </c>
    </row>
    <row r="12" spans="2:5" x14ac:dyDescent="0.3">
      <c r="B12" s="66">
        <v>340</v>
      </c>
      <c r="C12" s="66">
        <v>1220</v>
      </c>
      <c r="D12" s="37">
        <f t="shared" si="0"/>
        <v>1.22</v>
      </c>
      <c r="E12" s="37">
        <f t="shared" si="1"/>
        <v>0.89148470359999976</v>
      </c>
    </row>
    <row r="13" spans="2:5" x14ac:dyDescent="0.3">
      <c r="B13" s="66">
        <v>350</v>
      </c>
      <c r="C13" s="66">
        <v>1512</v>
      </c>
      <c r="D13" s="37">
        <f t="shared" si="0"/>
        <v>1.512</v>
      </c>
      <c r="E13" s="37">
        <f t="shared" si="1"/>
        <v>1.1994391185999991</v>
      </c>
    </row>
    <row r="14" spans="2:5" x14ac:dyDescent="0.3">
      <c r="B14" s="66">
        <v>360</v>
      </c>
      <c r="C14" s="66">
        <v>1804</v>
      </c>
      <c r="D14" s="37">
        <f t="shared" si="0"/>
        <v>1.804</v>
      </c>
      <c r="E14" s="37">
        <f t="shared" si="1"/>
        <v>1.5077181135999993</v>
      </c>
    </row>
    <row r="15" spans="2:5" x14ac:dyDescent="0.3">
      <c r="B15" s="66">
        <v>370</v>
      </c>
      <c r="C15" s="66">
        <v>2096</v>
      </c>
      <c r="D15" s="37">
        <f t="shared" si="0"/>
        <v>2.0960000000000001</v>
      </c>
      <c r="E15" s="37">
        <f t="shared" si="1"/>
        <v>1.8163216886000004</v>
      </c>
    </row>
    <row r="16" spans="2:5" x14ac:dyDescent="0.3">
      <c r="B16" s="66">
        <v>380</v>
      </c>
      <c r="C16" s="66">
        <v>2389</v>
      </c>
      <c r="D16" s="37">
        <f t="shared" si="0"/>
        <v>2.3890000000000002</v>
      </c>
      <c r="E16" s="37">
        <f t="shared" si="1"/>
        <v>2.1252498435999989</v>
      </c>
    </row>
    <row r="17" spans="2:5" x14ac:dyDescent="0.3">
      <c r="B17" s="66">
        <v>390</v>
      </c>
      <c r="C17" s="66">
        <v>2682</v>
      </c>
      <c r="D17" s="37">
        <f t="shared" si="0"/>
        <v>2.6819999999999999</v>
      </c>
      <c r="E17" s="37">
        <f t="shared" si="1"/>
        <v>2.4345025786000001</v>
      </c>
    </row>
    <row r="18" spans="2:5" x14ac:dyDescent="0.3">
      <c r="B18" s="66">
        <v>400</v>
      </c>
      <c r="C18" s="66">
        <v>2975</v>
      </c>
      <c r="D18" s="37">
        <f t="shared" si="0"/>
        <v>2.9750000000000001</v>
      </c>
      <c r="E18" s="37">
        <f t="shared" si="1"/>
        <v>2.7440798936000004</v>
      </c>
    </row>
    <row r="19" spans="2:5" x14ac:dyDescent="0.3">
      <c r="B19" s="66">
        <v>410</v>
      </c>
      <c r="C19" s="66">
        <v>3269</v>
      </c>
      <c r="D19" s="37">
        <f t="shared" si="0"/>
        <v>3.2690000000000001</v>
      </c>
      <c r="E19" s="37">
        <f t="shared" si="1"/>
        <v>3.0539817885999998</v>
      </c>
    </row>
    <row r="20" spans="2:5" x14ac:dyDescent="0.3">
      <c r="B20" s="66">
        <v>420</v>
      </c>
      <c r="C20" s="66">
        <v>3563</v>
      </c>
      <c r="D20" s="37">
        <f t="shared" si="0"/>
        <v>3.5630000000000002</v>
      </c>
      <c r="E20" s="37">
        <f t="shared" si="1"/>
        <v>3.3642082636000001</v>
      </c>
    </row>
    <row r="21" spans="2:5" x14ac:dyDescent="0.3">
      <c r="B21" s="66">
        <v>430</v>
      </c>
      <c r="C21" s="66">
        <v>3857</v>
      </c>
      <c r="D21" s="37">
        <f t="shared" si="0"/>
        <v>3.8570000000000002</v>
      </c>
      <c r="E21" s="37">
        <f t="shared" si="1"/>
        <v>3.6747593185999996</v>
      </c>
    </row>
    <row r="22" spans="2:5" x14ac:dyDescent="0.3">
      <c r="B22" s="66">
        <v>440</v>
      </c>
      <c r="C22" s="66">
        <v>4152</v>
      </c>
      <c r="D22" s="37">
        <f t="shared" si="0"/>
        <v>4.1520000000000001</v>
      </c>
      <c r="E22" s="37">
        <f t="shared" si="1"/>
        <v>3.9856349536</v>
      </c>
    </row>
    <row r="23" spans="2:5" x14ac:dyDescent="0.3">
      <c r="B23" s="66">
        <v>450</v>
      </c>
      <c r="C23" s="66">
        <v>4447</v>
      </c>
      <c r="D23" s="37">
        <f t="shared" si="0"/>
        <v>4.4470000000000001</v>
      </c>
      <c r="E23" s="37">
        <f t="shared" si="1"/>
        <v>4.2968351685999995</v>
      </c>
    </row>
    <row r="24" spans="2:5" x14ac:dyDescent="0.3">
      <c r="B24" s="66">
        <v>460</v>
      </c>
      <c r="C24" s="66">
        <v>4743</v>
      </c>
      <c r="D24" s="37">
        <f t="shared" si="0"/>
        <v>4.7430000000000003</v>
      </c>
      <c r="E24" s="37">
        <f t="shared" si="1"/>
        <v>4.6083599635999999</v>
      </c>
    </row>
    <row r="25" spans="2:5" x14ac:dyDescent="0.3">
      <c r="B25" s="66">
        <v>470</v>
      </c>
      <c r="C25" s="66">
        <v>5039</v>
      </c>
      <c r="D25" s="37">
        <f t="shared" si="0"/>
        <v>5.0389999999999997</v>
      </c>
      <c r="E25" s="37">
        <f t="shared" si="1"/>
        <v>4.9202093385999994</v>
      </c>
    </row>
    <row r="26" spans="2:5" x14ac:dyDescent="0.3">
      <c r="B26" s="66">
        <v>480</v>
      </c>
      <c r="C26" s="66">
        <v>5336</v>
      </c>
      <c r="D26" s="37">
        <f t="shared" si="0"/>
        <v>5.3360000000000003</v>
      </c>
      <c r="E26" s="37">
        <f t="shared" si="1"/>
        <v>5.2323832935999999</v>
      </c>
    </row>
    <row r="27" spans="2:5" x14ac:dyDescent="0.3">
      <c r="B27" s="66">
        <v>490</v>
      </c>
      <c r="C27" s="66">
        <v>5633</v>
      </c>
      <c r="D27" s="37">
        <f t="shared" si="0"/>
        <v>5.633</v>
      </c>
      <c r="E27" s="37">
        <f t="shared" si="1"/>
        <v>5.5448818285999995</v>
      </c>
    </row>
    <row r="28" spans="2:5" x14ac:dyDescent="0.3">
      <c r="B28" s="66">
        <v>500</v>
      </c>
      <c r="C28" s="66">
        <v>5931</v>
      </c>
      <c r="D28" s="37">
        <f t="shared" si="0"/>
        <v>5.931</v>
      </c>
      <c r="E28" s="37">
        <f t="shared" si="1"/>
        <v>5.8577049435999999</v>
      </c>
    </row>
    <row r="29" spans="2:5" x14ac:dyDescent="0.3">
      <c r="B29" s="66">
        <v>510</v>
      </c>
      <c r="C29" s="66">
        <v>6229</v>
      </c>
      <c r="D29" s="37">
        <f t="shared" si="0"/>
        <v>6.2290000000000001</v>
      </c>
      <c r="E29" s="37">
        <f t="shared" si="1"/>
        <v>6.1708526385999996</v>
      </c>
    </row>
    <row r="30" spans="2:5" x14ac:dyDescent="0.3">
      <c r="B30" s="66">
        <v>520</v>
      </c>
      <c r="C30" s="66">
        <v>6528</v>
      </c>
      <c r="D30" s="37">
        <f t="shared" si="0"/>
        <v>6.5280000000000005</v>
      </c>
      <c r="E30" s="37">
        <f t="shared" si="1"/>
        <v>6.4843249136000001</v>
      </c>
    </row>
    <row r="31" spans="2:5" x14ac:dyDescent="0.3">
      <c r="B31" s="66">
        <v>530</v>
      </c>
      <c r="C31" s="66">
        <v>6828</v>
      </c>
      <c r="D31" s="37">
        <f t="shared" si="0"/>
        <v>6.8280000000000003</v>
      </c>
      <c r="E31" s="37">
        <f t="shared" si="1"/>
        <v>6.7981217685999997</v>
      </c>
    </row>
    <row r="32" spans="2:5" x14ac:dyDescent="0.3">
      <c r="B32" s="66">
        <v>540</v>
      </c>
      <c r="C32" s="66">
        <v>7128</v>
      </c>
      <c r="D32" s="37">
        <f t="shared" si="0"/>
        <v>7.1280000000000001</v>
      </c>
      <c r="E32" s="37">
        <f t="shared" si="1"/>
        <v>7.1122432036000003</v>
      </c>
    </row>
    <row r="33" spans="2:5" x14ac:dyDescent="0.3">
      <c r="B33" s="66">
        <v>550</v>
      </c>
      <c r="C33" s="66">
        <v>7428</v>
      </c>
      <c r="D33" s="37">
        <f t="shared" si="0"/>
        <v>7.4279999999999999</v>
      </c>
      <c r="E33" s="37">
        <f t="shared" si="1"/>
        <v>7.4266892185999982</v>
      </c>
    </row>
    <row r="34" spans="2:5" x14ac:dyDescent="0.3">
      <c r="B34" s="66">
        <v>560</v>
      </c>
      <c r="C34" s="66">
        <v>7730</v>
      </c>
      <c r="D34" s="37">
        <f t="shared" si="0"/>
        <v>7.73</v>
      </c>
      <c r="E34" s="37">
        <f t="shared" si="1"/>
        <v>7.7414598136000006</v>
      </c>
    </row>
    <row r="35" spans="2:5" x14ac:dyDescent="0.3">
      <c r="B35" s="66">
        <v>570</v>
      </c>
      <c r="C35" s="66">
        <v>8032</v>
      </c>
      <c r="D35" s="37">
        <f t="shared" si="0"/>
        <v>8.032</v>
      </c>
      <c r="E35" s="37">
        <f t="shared" si="1"/>
        <v>8.0565549886000003</v>
      </c>
    </row>
    <row r="36" spans="2:5" x14ac:dyDescent="0.3">
      <c r="B36" s="66">
        <v>580</v>
      </c>
      <c r="C36" s="66">
        <v>8334</v>
      </c>
      <c r="D36" s="37">
        <f t="shared" si="0"/>
        <v>8.3339999999999996</v>
      </c>
      <c r="E36" s="37">
        <f t="shared" si="1"/>
        <v>8.3719747436000009</v>
      </c>
    </row>
    <row r="37" spans="2:5" x14ac:dyDescent="0.3">
      <c r="B37" s="66">
        <v>590</v>
      </c>
      <c r="C37" s="66">
        <v>8638</v>
      </c>
      <c r="D37" s="37">
        <f t="shared" si="0"/>
        <v>8.6379999999999999</v>
      </c>
      <c r="E37" s="37">
        <f t="shared" si="1"/>
        <v>8.6877190785999989</v>
      </c>
    </row>
    <row r="38" spans="2:5" x14ac:dyDescent="0.3">
      <c r="B38" s="66">
        <v>600</v>
      </c>
      <c r="C38" s="66">
        <v>8942</v>
      </c>
      <c r="D38" s="37">
        <f t="shared" si="0"/>
        <v>8.9420000000000002</v>
      </c>
      <c r="E38" s="37">
        <f t="shared" si="1"/>
        <v>9.0037879935999978</v>
      </c>
    </row>
    <row r="39" spans="2:5" x14ac:dyDescent="0.3">
      <c r="B39" s="66">
        <v>610</v>
      </c>
      <c r="C39" s="66">
        <v>9246</v>
      </c>
      <c r="D39" s="37">
        <f t="shared" si="0"/>
        <v>9.2460000000000004</v>
      </c>
      <c r="E39" s="37">
        <f t="shared" si="1"/>
        <v>9.3201814886000012</v>
      </c>
    </row>
    <row r="40" spans="2:5" x14ac:dyDescent="0.3">
      <c r="B40" s="66">
        <v>620</v>
      </c>
      <c r="C40" s="66">
        <v>9552</v>
      </c>
      <c r="D40" s="37">
        <f t="shared" si="0"/>
        <v>9.5519999999999996</v>
      </c>
      <c r="E40" s="37">
        <f t="shared" si="1"/>
        <v>9.6368995635999983</v>
      </c>
    </row>
    <row r="41" spans="2:5" x14ac:dyDescent="0.3">
      <c r="B41" s="66">
        <v>630</v>
      </c>
      <c r="C41" s="66">
        <v>9858</v>
      </c>
      <c r="D41" s="37">
        <f t="shared" si="0"/>
        <v>9.8580000000000005</v>
      </c>
      <c r="E41" s="37">
        <f t="shared" si="1"/>
        <v>9.9539422185999999</v>
      </c>
    </row>
    <row r="42" spans="2:5" x14ac:dyDescent="0.3">
      <c r="B42" s="66">
        <v>640</v>
      </c>
      <c r="C42" s="66">
        <v>10164</v>
      </c>
      <c r="D42" s="37">
        <f t="shared" si="0"/>
        <v>10.164</v>
      </c>
      <c r="E42" s="37">
        <f t="shared" si="1"/>
        <v>10.271309453599999</v>
      </c>
    </row>
    <row r="43" spans="2:5" x14ac:dyDescent="0.3">
      <c r="B43" s="66">
        <v>650</v>
      </c>
      <c r="C43" s="66">
        <v>10472</v>
      </c>
      <c r="D43" s="37">
        <f t="shared" si="0"/>
        <v>10.472</v>
      </c>
      <c r="E43" s="37">
        <f t="shared" si="1"/>
        <v>10.589001268599999</v>
      </c>
    </row>
    <row r="44" spans="2:5" x14ac:dyDescent="0.3">
      <c r="B44" s="66">
        <v>660</v>
      </c>
      <c r="C44" s="66">
        <v>10780</v>
      </c>
      <c r="D44" s="37">
        <f t="shared" si="0"/>
        <v>10.78</v>
      </c>
      <c r="E44" s="37">
        <f t="shared" si="1"/>
        <v>10.9070176636</v>
      </c>
    </row>
    <row r="45" spans="2:5" x14ac:dyDescent="0.3">
      <c r="B45" s="66">
        <v>670</v>
      </c>
      <c r="C45" s="66">
        <v>11089</v>
      </c>
      <c r="D45" s="37">
        <f t="shared" si="0"/>
        <v>11.089</v>
      </c>
      <c r="E45" s="37">
        <f t="shared" si="1"/>
        <v>11.225358638600001</v>
      </c>
    </row>
    <row r="46" spans="2:5" x14ac:dyDescent="0.3">
      <c r="B46" s="66">
        <v>680</v>
      </c>
      <c r="C46" s="66">
        <v>11399</v>
      </c>
      <c r="D46" s="37">
        <f t="shared" si="0"/>
        <v>11.399000000000001</v>
      </c>
      <c r="E46" s="37">
        <f t="shared" si="1"/>
        <v>11.5440241936</v>
      </c>
    </row>
    <row r="47" spans="2:5" x14ac:dyDescent="0.3">
      <c r="B47" s="66">
        <v>690</v>
      </c>
      <c r="C47" s="66">
        <v>11709</v>
      </c>
      <c r="D47" s="37">
        <f t="shared" si="0"/>
        <v>11.709</v>
      </c>
      <c r="E47" s="37">
        <f t="shared" si="1"/>
        <v>11.8630143286</v>
      </c>
    </row>
    <row r="48" spans="2:5" x14ac:dyDescent="0.3">
      <c r="B48" s="66">
        <v>700</v>
      </c>
      <c r="C48" s="66">
        <v>12021</v>
      </c>
      <c r="D48" s="37">
        <f t="shared" si="0"/>
        <v>12.021000000000001</v>
      </c>
      <c r="E48" s="37">
        <f t="shared" si="1"/>
        <v>12.182329043600001</v>
      </c>
    </row>
    <row r="49" spans="2:5" x14ac:dyDescent="0.3">
      <c r="B49" s="66">
        <v>710</v>
      </c>
      <c r="C49" s="66">
        <v>12333</v>
      </c>
      <c r="D49" s="37">
        <f t="shared" si="0"/>
        <v>12.333</v>
      </c>
      <c r="E49" s="37">
        <f t="shared" si="1"/>
        <v>12.501968338599999</v>
      </c>
    </row>
    <row r="50" spans="2:5" x14ac:dyDescent="0.3">
      <c r="B50" s="66">
        <v>720</v>
      </c>
      <c r="C50" s="66">
        <v>12646</v>
      </c>
      <c r="D50" s="37">
        <f t="shared" si="0"/>
        <v>12.646000000000001</v>
      </c>
      <c r="E50" s="37">
        <f t="shared" si="1"/>
        <v>12.821932213599998</v>
      </c>
    </row>
    <row r="51" spans="2:5" x14ac:dyDescent="0.3">
      <c r="B51" s="66">
        <v>730</v>
      </c>
      <c r="C51" s="66">
        <v>12959</v>
      </c>
      <c r="D51" s="37">
        <f t="shared" si="0"/>
        <v>12.959</v>
      </c>
      <c r="E51" s="37">
        <f t="shared" si="1"/>
        <v>13.142220668599998</v>
      </c>
    </row>
    <row r="52" spans="2:5" x14ac:dyDescent="0.3">
      <c r="B52" s="66">
        <v>740</v>
      </c>
      <c r="C52" s="66">
        <v>13274</v>
      </c>
      <c r="D52" s="37">
        <f t="shared" si="0"/>
        <v>13.274000000000001</v>
      </c>
      <c r="E52" s="37">
        <f t="shared" si="1"/>
        <v>13.462833703599999</v>
      </c>
    </row>
    <row r="53" spans="2:5" x14ac:dyDescent="0.3">
      <c r="B53" s="66">
        <v>750</v>
      </c>
      <c r="C53" s="66">
        <v>13589</v>
      </c>
      <c r="D53" s="37">
        <f t="shared" si="0"/>
        <v>13.589</v>
      </c>
      <c r="E53" s="37">
        <f t="shared" si="1"/>
        <v>13.783771318600001</v>
      </c>
    </row>
    <row r="54" spans="2:5" x14ac:dyDescent="0.3">
      <c r="B54" s="66">
        <v>760</v>
      </c>
      <c r="C54" s="66">
        <v>13904</v>
      </c>
      <c r="D54" s="37">
        <f t="shared" si="0"/>
        <v>13.904</v>
      </c>
      <c r="E54" s="37">
        <f t="shared" si="1"/>
        <v>14.1050335136</v>
      </c>
    </row>
    <row r="55" spans="2:5" x14ac:dyDescent="0.3">
      <c r="B55" s="66">
        <v>770</v>
      </c>
      <c r="C55" s="66">
        <v>14221</v>
      </c>
      <c r="D55" s="37">
        <f t="shared" si="0"/>
        <v>14.221</v>
      </c>
      <c r="E55" s="37">
        <f t="shared" si="1"/>
        <v>14.426620288600001</v>
      </c>
    </row>
    <row r="56" spans="2:5" x14ac:dyDescent="0.3">
      <c r="B56" s="66">
        <v>780</v>
      </c>
      <c r="C56" s="66">
        <v>14539</v>
      </c>
      <c r="D56" s="37">
        <f t="shared" si="0"/>
        <v>14.539</v>
      </c>
      <c r="E56" s="37">
        <f t="shared" si="1"/>
        <v>14.748531643599998</v>
      </c>
    </row>
    <row r="57" spans="2:5" x14ac:dyDescent="0.3">
      <c r="B57" s="66">
        <v>790</v>
      </c>
      <c r="C57" s="66">
        <v>14857</v>
      </c>
      <c r="D57" s="37">
        <f t="shared" si="0"/>
        <v>14.857000000000001</v>
      </c>
      <c r="E57" s="37">
        <f t="shared" si="1"/>
        <v>15.0707675786</v>
      </c>
    </row>
    <row r="58" spans="2:5" x14ac:dyDescent="0.3">
      <c r="B58" s="66">
        <v>800</v>
      </c>
      <c r="C58" s="66">
        <v>15175</v>
      </c>
      <c r="D58" s="37">
        <f t="shared" si="0"/>
        <v>15.175000000000001</v>
      </c>
      <c r="E58" s="37">
        <f t="shared" si="1"/>
        <v>15.393328093599999</v>
      </c>
    </row>
    <row r="59" spans="2:5" x14ac:dyDescent="0.3">
      <c r="B59" s="66">
        <v>810</v>
      </c>
      <c r="C59" s="66">
        <v>15495</v>
      </c>
      <c r="D59" s="37">
        <f t="shared" si="0"/>
        <v>15.495000000000001</v>
      </c>
      <c r="E59" s="37">
        <f t="shared" si="1"/>
        <v>15.716213188599999</v>
      </c>
    </row>
    <row r="60" spans="2:5" x14ac:dyDescent="0.3">
      <c r="B60" s="66">
        <v>820</v>
      </c>
      <c r="C60" s="66">
        <v>15814</v>
      </c>
      <c r="D60" s="37">
        <f t="shared" si="0"/>
        <v>15.814</v>
      </c>
      <c r="E60" s="37">
        <f t="shared" si="1"/>
        <v>16.039422863600002</v>
      </c>
    </row>
    <row r="61" spans="2:5" x14ac:dyDescent="0.3">
      <c r="B61" s="66">
        <v>830</v>
      </c>
      <c r="C61" s="66">
        <v>16134</v>
      </c>
      <c r="D61" s="37">
        <f t="shared" si="0"/>
        <v>16.134</v>
      </c>
      <c r="E61" s="37">
        <f t="shared" si="1"/>
        <v>16.362957118600001</v>
      </c>
    </row>
    <row r="62" spans="2:5" x14ac:dyDescent="0.3">
      <c r="B62" s="66">
        <v>840</v>
      </c>
      <c r="C62" s="66">
        <v>16455</v>
      </c>
      <c r="D62" s="37">
        <f t="shared" si="0"/>
        <v>16.455000000000002</v>
      </c>
      <c r="E62" s="37">
        <f t="shared" si="1"/>
        <v>16.686815953599996</v>
      </c>
    </row>
    <row r="63" spans="2:5" x14ac:dyDescent="0.3">
      <c r="B63" s="66">
        <v>850</v>
      </c>
      <c r="C63" s="66">
        <v>16777</v>
      </c>
      <c r="D63" s="37">
        <f t="shared" si="0"/>
        <v>16.777000000000001</v>
      </c>
      <c r="E63" s="37">
        <f t="shared" si="1"/>
        <v>17.010999368599997</v>
      </c>
    </row>
    <row r="64" spans="2:5" x14ac:dyDescent="0.3">
      <c r="B64" s="66">
        <v>860</v>
      </c>
      <c r="C64" s="66">
        <v>17099</v>
      </c>
      <c r="D64" s="37">
        <f t="shared" si="0"/>
        <v>17.099</v>
      </c>
      <c r="E64" s="37">
        <f t="shared" si="1"/>
        <v>17.335507363600001</v>
      </c>
    </row>
    <row r="65" spans="2:5" x14ac:dyDescent="0.3">
      <c r="B65" s="66">
        <v>870</v>
      </c>
      <c r="C65" s="66">
        <v>17422</v>
      </c>
      <c r="D65" s="37">
        <f t="shared" si="0"/>
        <v>17.422000000000001</v>
      </c>
      <c r="E65" s="37">
        <f t="shared" si="1"/>
        <v>17.660339938599996</v>
      </c>
    </row>
    <row r="66" spans="2:5" x14ac:dyDescent="0.3">
      <c r="B66" s="66">
        <v>880</v>
      </c>
      <c r="C66" s="66">
        <v>17746</v>
      </c>
      <c r="D66" s="37">
        <f t="shared" si="0"/>
        <v>17.745999999999999</v>
      </c>
      <c r="E66" s="37">
        <f t="shared" si="1"/>
        <v>17.985497093600003</v>
      </c>
    </row>
    <row r="67" spans="2:5" x14ac:dyDescent="0.3">
      <c r="B67" s="66">
        <v>890</v>
      </c>
      <c r="C67" s="66">
        <v>18071</v>
      </c>
      <c r="D67" s="37">
        <f t="shared" si="0"/>
        <v>18.071000000000002</v>
      </c>
      <c r="E67" s="37">
        <f t="shared" si="1"/>
        <v>18.3109788286</v>
      </c>
    </row>
    <row r="68" spans="2:5" x14ac:dyDescent="0.3">
      <c r="B68" s="66">
        <v>900</v>
      </c>
      <c r="C68" s="66">
        <v>18397</v>
      </c>
      <c r="D68" s="37">
        <f t="shared" si="0"/>
        <v>18.397000000000002</v>
      </c>
      <c r="E68" s="37">
        <f t="shared" si="1"/>
        <v>18.636785143600001</v>
      </c>
    </row>
    <row r="69" spans="2:5" x14ac:dyDescent="0.3">
      <c r="B69" s="66">
        <v>910</v>
      </c>
      <c r="C69" s="66">
        <v>18723</v>
      </c>
      <c r="D69" s="37">
        <f t="shared" si="0"/>
        <v>18.722999999999999</v>
      </c>
      <c r="E69" s="37">
        <f t="shared" si="1"/>
        <v>18.9629160386</v>
      </c>
    </row>
    <row r="70" spans="2:5" x14ac:dyDescent="0.3">
      <c r="B70" s="66">
        <v>920</v>
      </c>
      <c r="C70" s="66">
        <v>19050</v>
      </c>
      <c r="D70" s="37">
        <f t="shared" si="0"/>
        <v>19.05</v>
      </c>
      <c r="E70" s="37">
        <f t="shared" si="1"/>
        <v>19.289371513600003</v>
      </c>
    </row>
    <row r="71" spans="2:5" x14ac:dyDescent="0.3">
      <c r="B71" s="66">
        <v>930</v>
      </c>
      <c r="C71" s="66">
        <v>19377</v>
      </c>
      <c r="D71" s="37">
        <f t="shared" si="0"/>
        <v>19.376999999999999</v>
      </c>
      <c r="E71" s="37">
        <f t="shared" si="1"/>
        <v>19.616151568600003</v>
      </c>
    </row>
    <row r="72" spans="2:5" x14ac:dyDescent="0.3">
      <c r="B72" s="66">
        <v>940</v>
      </c>
      <c r="C72" s="66">
        <v>19706</v>
      </c>
      <c r="D72" s="37">
        <f t="shared" ref="D72:D135" si="2">C72*10^-3</f>
        <v>19.706</v>
      </c>
      <c r="E72" s="37">
        <f t="shared" ref="E72:E135" si="3">(0.0000016229*B72^2)+(0.0296756405*B72)-9.3858403064</f>
        <v>19.943256203600001</v>
      </c>
    </row>
    <row r="73" spans="2:5" x14ac:dyDescent="0.3">
      <c r="B73" s="66">
        <v>950</v>
      </c>
      <c r="C73" s="66">
        <v>20034</v>
      </c>
      <c r="D73" s="37">
        <f t="shared" si="2"/>
        <v>20.033999999999999</v>
      </c>
      <c r="E73" s="37">
        <f t="shared" si="3"/>
        <v>20.270685418600003</v>
      </c>
    </row>
    <row r="74" spans="2:5" x14ac:dyDescent="0.3">
      <c r="B74" s="66">
        <v>960</v>
      </c>
      <c r="C74" s="66">
        <v>20364</v>
      </c>
      <c r="D74" s="37">
        <f t="shared" si="2"/>
        <v>20.364000000000001</v>
      </c>
      <c r="E74" s="37">
        <f t="shared" si="3"/>
        <v>20.598439213600003</v>
      </c>
    </row>
    <row r="75" spans="2:5" x14ac:dyDescent="0.3">
      <c r="B75" s="66">
        <v>970</v>
      </c>
      <c r="C75" s="66">
        <v>20693</v>
      </c>
      <c r="D75" s="37">
        <f t="shared" si="2"/>
        <v>20.693000000000001</v>
      </c>
      <c r="E75" s="37">
        <f t="shared" si="3"/>
        <v>20.926517588599999</v>
      </c>
    </row>
    <row r="76" spans="2:5" x14ac:dyDescent="0.3">
      <c r="B76" s="66">
        <v>980</v>
      </c>
      <c r="C76" s="66">
        <v>21024</v>
      </c>
      <c r="D76" s="37">
        <f t="shared" si="2"/>
        <v>21.024000000000001</v>
      </c>
      <c r="E76" s="37">
        <f t="shared" si="3"/>
        <v>21.254920543600001</v>
      </c>
    </row>
    <row r="77" spans="2:5" x14ac:dyDescent="0.3">
      <c r="B77" s="66">
        <v>990</v>
      </c>
      <c r="C77" s="66">
        <v>21355</v>
      </c>
      <c r="D77" s="37">
        <f t="shared" si="2"/>
        <v>21.355</v>
      </c>
      <c r="E77" s="37">
        <f t="shared" si="3"/>
        <v>21.5836480786</v>
      </c>
    </row>
    <row r="78" spans="2:5" x14ac:dyDescent="0.3">
      <c r="B78" s="66">
        <v>1000</v>
      </c>
      <c r="C78" s="66">
        <v>21686</v>
      </c>
      <c r="D78" s="37">
        <f t="shared" si="2"/>
        <v>21.686</v>
      </c>
      <c r="E78" s="37">
        <f t="shared" si="3"/>
        <v>21.912700193600003</v>
      </c>
    </row>
    <row r="79" spans="2:5" x14ac:dyDescent="0.3">
      <c r="B79" s="66">
        <v>1020</v>
      </c>
      <c r="C79" s="66">
        <v>22351</v>
      </c>
      <c r="D79" s="37">
        <f t="shared" si="2"/>
        <v>22.350999999999999</v>
      </c>
      <c r="E79" s="37">
        <f t="shared" si="3"/>
        <v>22.571778163600001</v>
      </c>
    </row>
    <row r="80" spans="2:5" x14ac:dyDescent="0.3">
      <c r="B80" s="66">
        <v>1040</v>
      </c>
      <c r="C80" s="66">
        <v>23019</v>
      </c>
      <c r="D80" s="37">
        <f t="shared" si="2"/>
        <v>23.019000000000002</v>
      </c>
      <c r="E80" s="37">
        <f t="shared" si="3"/>
        <v>23.232154453600003</v>
      </c>
    </row>
    <row r="81" spans="2:5" x14ac:dyDescent="0.3">
      <c r="B81" s="66">
        <v>1060</v>
      </c>
      <c r="C81" s="66">
        <v>23688</v>
      </c>
      <c r="D81" s="37">
        <f t="shared" si="2"/>
        <v>23.687999999999999</v>
      </c>
      <c r="E81" s="37">
        <f t="shared" si="3"/>
        <v>23.893829063600002</v>
      </c>
    </row>
    <row r="82" spans="2:5" x14ac:dyDescent="0.3">
      <c r="B82" s="66">
        <v>1080</v>
      </c>
      <c r="C82" s="66">
        <v>24360</v>
      </c>
      <c r="D82" s="37">
        <f t="shared" si="2"/>
        <v>24.36</v>
      </c>
      <c r="E82" s="37">
        <f t="shared" si="3"/>
        <v>24.556801993600004</v>
      </c>
    </row>
    <row r="83" spans="2:5" x14ac:dyDescent="0.3">
      <c r="B83" s="66">
        <v>1100</v>
      </c>
      <c r="C83" s="66">
        <v>25033</v>
      </c>
      <c r="D83" s="37">
        <f t="shared" si="2"/>
        <v>25.033000000000001</v>
      </c>
      <c r="E83" s="37">
        <f t="shared" si="3"/>
        <v>25.221073243600003</v>
      </c>
    </row>
    <row r="84" spans="2:5" x14ac:dyDescent="0.3">
      <c r="B84" s="66">
        <v>1120</v>
      </c>
      <c r="C84" s="66">
        <v>25708</v>
      </c>
      <c r="D84" s="37">
        <f t="shared" si="2"/>
        <v>25.708000000000002</v>
      </c>
      <c r="E84" s="37">
        <f t="shared" si="3"/>
        <v>25.886642813599998</v>
      </c>
    </row>
    <row r="85" spans="2:5" x14ac:dyDescent="0.3">
      <c r="B85" s="66">
        <v>1140</v>
      </c>
      <c r="C85" s="66">
        <v>26385</v>
      </c>
      <c r="D85" s="37">
        <f t="shared" si="2"/>
        <v>26.385000000000002</v>
      </c>
      <c r="E85" s="37">
        <f t="shared" si="3"/>
        <v>26.553510703600004</v>
      </c>
    </row>
    <row r="86" spans="2:5" x14ac:dyDescent="0.3">
      <c r="B86" s="66">
        <v>1160</v>
      </c>
      <c r="C86" s="66">
        <v>27064</v>
      </c>
      <c r="D86" s="37">
        <f t="shared" si="2"/>
        <v>27.064</v>
      </c>
      <c r="E86" s="37">
        <f t="shared" si="3"/>
        <v>27.2216769136</v>
      </c>
    </row>
    <row r="87" spans="2:5" x14ac:dyDescent="0.3">
      <c r="B87" s="66">
        <v>1180</v>
      </c>
      <c r="C87" s="66">
        <v>27737</v>
      </c>
      <c r="D87" s="37">
        <f t="shared" si="2"/>
        <v>27.737000000000002</v>
      </c>
      <c r="E87" s="37">
        <f t="shared" si="3"/>
        <v>27.891141443599999</v>
      </c>
    </row>
    <row r="88" spans="2:5" x14ac:dyDescent="0.3">
      <c r="B88" s="66">
        <v>1200</v>
      </c>
      <c r="C88" s="66">
        <v>28426</v>
      </c>
      <c r="D88" s="37">
        <f t="shared" si="2"/>
        <v>28.426000000000002</v>
      </c>
      <c r="E88" s="37">
        <f t="shared" si="3"/>
        <v>28.561904293600001</v>
      </c>
    </row>
    <row r="89" spans="2:5" x14ac:dyDescent="0.3">
      <c r="B89" s="66">
        <v>1220</v>
      </c>
      <c r="C89" s="66">
        <v>29111</v>
      </c>
      <c r="D89" s="37">
        <f t="shared" si="2"/>
        <v>29.111000000000001</v>
      </c>
      <c r="E89" s="37">
        <f t="shared" si="3"/>
        <v>29.233965463600001</v>
      </c>
    </row>
    <row r="90" spans="2:5" x14ac:dyDescent="0.3">
      <c r="B90" s="66">
        <v>1240</v>
      </c>
      <c r="C90" s="66">
        <v>29797</v>
      </c>
      <c r="D90" s="37">
        <f t="shared" si="2"/>
        <v>29.797000000000001</v>
      </c>
      <c r="E90" s="37">
        <f t="shared" si="3"/>
        <v>29.907324953600003</v>
      </c>
    </row>
    <row r="91" spans="2:5" x14ac:dyDescent="0.3">
      <c r="B91" s="66">
        <v>1260</v>
      </c>
      <c r="C91" s="66">
        <v>30485</v>
      </c>
      <c r="D91" s="37">
        <f t="shared" si="2"/>
        <v>30.484999999999999</v>
      </c>
      <c r="E91" s="37">
        <f t="shared" si="3"/>
        <v>30.581982763600003</v>
      </c>
    </row>
    <row r="92" spans="2:5" x14ac:dyDescent="0.3">
      <c r="B92" s="66">
        <v>1280</v>
      </c>
      <c r="C92" s="66">
        <v>31175</v>
      </c>
      <c r="D92" s="37">
        <f t="shared" si="2"/>
        <v>31.175000000000001</v>
      </c>
      <c r="E92" s="37">
        <f t="shared" si="3"/>
        <v>31.257938893599999</v>
      </c>
    </row>
    <row r="93" spans="2:5" x14ac:dyDescent="0.3">
      <c r="B93" s="66">
        <v>1300</v>
      </c>
      <c r="C93" s="66">
        <v>31865</v>
      </c>
      <c r="D93" s="37">
        <f t="shared" si="2"/>
        <v>31.865000000000002</v>
      </c>
      <c r="E93" s="37">
        <f t="shared" si="3"/>
        <v>31.935193343599998</v>
      </c>
    </row>
    <row r="94" spans="2:5" x14ac:dyDescent="0.3">
      <c r="B94" s="66">
        <v>1320</v>
      </c>
      <c r="C94" s="66">
        <v>32557</v>
      </c>
      <c r="D94" s="37">
        <f t="shared" si="2"/>
        <v>32.557000000000002</v>
      </c>
      <c r="E94" s="37">
        <f t="shared" si="3"/>
        <v>32.613746113600001</v>
      </c>
    </row>
    <row r="95" spans="2:5" x14ac:dyDescent="0.3">
      <c r="B95" s="66">
        <v>1340</v>
      </c>
      <c r="C95" s="66">
        <v>33250</v>
      </c>
      <c r="D95" s="37">
        <f t="shared" si="2"/>
        <v>33.25</v>
      </c>
      <c r="E95" s="37">
        <f t="shared" si="3"/>
        <v>33.293597203600001</v>
      </c>
    </row>
    <row r="96" spans="2:5" x14ac:dyDescent="0.3">
      <c r="B96" s="66">
        <v>1360</v>
      </c>
      <c r="C96" s="66">
        <v>33944</v>
      </c>
      <c r="D96" s="37">
        <f t="shared" si="2"/>
        <v>33.944000000000003</v>
      </c>
      <c r="E96" s="37">
        <f t="shared" si="3"/>
        <v>33.974746613600004</v>
      </c>
    </row>
    <row r="97" spans="2:5" x14ac:dyDescent="0.3">
      <c r="B97" s="66">
        <v>1380</v>
      </c>
      <c r="C97" s="66">
        <v>34640</v>
      </c>
      <c r="D97" s="37">
        <f t="shared" si="2"/>
        <v>34.64</v>
      </c>
      <c r="E97" s="37">
        <f t="shared" si="3"/>
        <v>34.657194343600004</v>
      </c>
    </row>
    <row r="98" spans="2:5" x14ac:dyDescent="0.3">
      <c r="B98" s="66">
        <v>1400</v>
      </c>
      <c r="C98" s="66">
        <v>35358</v>
      </c>
      <c r="D98" s="37">
        <f t="shared" si="2"/>
        <v>35.358000000000004</v>
      </c>
      <c r="E98" s="37">
        <f t="shared" si="3"/>
        <v>35.3409403936</v>
      </c>
    </row>
    <row r="99" spans="2:5" x14ac:dyDescent="0.3">
      <c r="B99" s="66">
        <v>1420</v>
      </c>
      <c r="C99" s="66">
        <v>36038</v>
      </c>
      <c r="D99" s="37">
        <f t="shared" si="2"/>
        <v>36.038000000000004</v>
      </c>
      <c r="E99" s="37">
        <f t="shared" si="3"/>
        <v>36.0259847636</v>
      </c>
    </row>
    <row r="100" spans="2:5" x14ac:dyDescent="0.3">
      <c r="B100" s="66">
        <v>1440</v>
      </c>
      <c r="C100" s="66">
        <v>36739</v>
      </c>
      <c r="D100" s="37">
        <f t="shared" si="2"/>
        <v>36.738999999999997</v>
      </c>
      <c r="E100" s="37">
        <f t="shared" si="3"/>
        <v>36.712327453600004</v>
      </c>
    </row>
    <row r="101" spans="2:5" x14ac:dyDescent="0.3">
      <c r="B101" s="66">
        <v>1460</v>
      </c>
      <c r="C101" s="66">
        <v>37441</v>
      </c>
      <c r="D101" s="37">
        <f t="shared" si="2"/>
        <v>37.441000000000003</v>
      </c>
      <c r="E101" s="37">
        <f t="shared" si="3"/>
        <v>37.399968463600004</v>
      </c>
    </row>
    <row r="102" spans="2:5" x14ac:dyDescent="0.3">
      <c r="B102" s="66">
        <v>1480</v>
      </c>
      <c r="C102" s="66">
        <v>38144</v>
      </c>
      <c r="D102" s="37">
        <f t="shared" si="2"/>
        <v>38.143999999999998</v>
      </c>
      <c r="E102" s="37">
        <f t="shared" si="3"/>
        <v>38.088907793600001</v>
      </c>
    </row>
    <row r="103" spans="2:5" x14ac:dyDescent="0.3">
      <c r="B103" s="66">
        <v>1500</v>
      </c>
      <c r="C103" s="66">
        <v>38848</v>
      </c>
      <c r="D103" s="37">
        <f t="shared" si="2"/>
        <v>38.847999999999999</v>
      </c>
      <c r="E103" s="37">
        <f t="shared" si="3"/>
        <v>38.779145443600001</v>
      </c>
    </row>
    <row r="104" spans="2:5" x14ac:dyDescent="0.3">
      <c r="B104" s="66">
        <v>1520</v>
      </c>
      <c r="C104" s="66">
        <v>39553</v>
      </c>
      <c r="D104" s="37">
        <f t="shared" si="2"/>
        <v>39.552999999999997</v>
      </c>
      <c r="E104" s="37">
        <f t="shared" si="3"/>
        <v>39.470681413600005</v>
      </c>
    </row>
    <row r="105" spans="2:5" x14ac:dyDescent="0.3">
      <c r="B105" s="66">
        <v>1540</v>
      </c>
      <c r="C105" s="66">
        <v>40259</v>
      </c>
      <c r="D105" s="37">
        <f t="shared" si="2"/>
        <v>40.259</v>
      </c>
      <c r="E105" s="37">
        <f t="shared" si="3"/>
        <v>40.163515703599998</v>
      </c>
    </row>
    <row r="106" spans="2:5" x14ac:dyDescent="0.3">
      <c r="B106" s="66">
        <v>1560</v>
      </c>
      <c r="C106" s="66">
        <v>40966</v>
      </c>
      <c r="D106" s="37">
        <f t="shared" si="2"/>
        <v>40.966000000000001</v>
      </c>
      <c r="E106" s="37">
        <f t="shared" si="3"/>
        <v>40.857648313600002</v>
      </c>
    </row>
    <row r="107" spans="2:5" x14ac:dyDescent="0.3">
      <c r="B107" s="66">
        <v>1580</v>
      </c>
      <c r="C107" s="66">
        <v>41675</v>
      </c>
      <c r="D107" s="37">
        <f t="shared" si="2"/>
        <v>41.675000000000004</v>
      </c>
      <c r="E107" s="37">
        <f t="shared" si="3"/>
        <v>41.553079243600003</v>
      </c>
    </row>
    <row r="108" spans="2:5" x14ac:dyDescent="0.3">
      <c r="B108" s="66">
        <v>1600</v>
      </c>
      <c r="C108" s="66">
        <v>42384</v>
      </c>
      <c r="D108" s="37">
        <f t="shared" si="2"/>
        <v>42.384</v>
      </c>
      <c r="E108" s="37">
        <f t="shared" si="3"/>
        <v>42.2498084936</v>
      </c>
    </row>
    <row r="109" spans="2:5" x14ac:dyDescent="0.3">
      <c r="B109" s="66">
        <v>1620</v>
      </c>
      <c r="C109" s="66">
        <v>43094</v>
      </c>
      <c r="D109" s="37">
        <f t="shared" si="2"/>
        <v>43.094000000000001</v>
      </c>
      <c r="E109" s="37">
        <f t="shared" si="3"/>
        <v>42.947836063600001</v>
      </c>
    </row>
    <row r="110" spans="2:5" x14ac:dyDescent="0.3">
      <c r="B110" s="66">
        <v>1640</v>
      </c>
      <c r="C110" s="66">
        <v>43803</v>
      </c>
      <c r="D110" s="37">
        <f t="shared" si="2"/>
        <v>43.803000000000004</v>
      </c>
      <c r="E110" s="37">
        <f t="shared" si="3"/>
        <v>43.647161953600005</v>
      </c>
    </row>
    <row r="111" spans="2:5" x14ac:dyDescent="0.3">
      <c r="B111" s="66">
        <v>1660</v>
      </c>
      <c r="C111" s="66">
        <v>44515</v>
      </c>
      <c r="D111" s="37">
        <f t="shared" si="2"/>
        <v>44.515000000000001</v>
      </c>
      <c r="E111" s="37">
        <f t="shared" si="3"/>
        <v>44.347786163599999</v>
      </c>
    </row>
    <row r="112" spans="2:5" x14ac:dyDescent="0.3">
      <c r="B112" s="66">
        <v>1680</v>
      </c>
      <c r="C112" s="66">
        <v>45226</v>
      </c>
      <c r="D112" s="37">
        <f t="shared" si="2"/>
        <v>45.225999999999999</v>
      </c>
      <c r="E112" s="37">
        <f t="shared" si="3"/>
        <v>45.049708693600003</v>
      </c>
    </row>
    <row r="113" spans="2:5" x14ac:dyDescent="0.3">
      <c r="B113" s="66">
        <v>1700</v>
      </c>
      <c r="C113" s="66">
        <v>45940</v>
      </c>
      <c r="D113" s="37">
        <f t="shared" si="2"/>
        <v>45.94</v>
      </c>
      <c r="E113" s="37">
        <f t="shared" si="3"/>
        <v>45.752929543600004</v>
      </c>
    </row>
    <row r="114" spans="2:5" x14ac:dyDescent="0.3">
      <c r="B114" s="66">
        <v>1720</v>
      </c>
      <c r="C114" s="66">
        <v>46654</v>
      </c>
      <c r="D114" s="37">
        <f t="shared" si="2"/>
        <v>46.654000000000003</v>
      </c>
      <c r="E114" s="37">
        <f t="shared" si="3"/>
        <v>46.457448713600002</v>
      </c>
    </row>
    <row r="115" spans="2:5" x14ac:dyDescent="0.3">
      <c r="B115" s="66">
        <v>1740</v>
      </c>
      <c r="C115" s="66">
        <v>47370</v>
      </c>
      <c r="D115" s="37">
        <f t="shared" si="2"/>
        <v>47.37</v>
      </c>
      <c r="E115" s="37">
        <f t="shared" si="3"/>
        <v>47.163266203600003</v>
      </c>
    </row>
    <row r="116" spans="2:5" x14ac:dyDescent="0.3">
      <c r="B116" s="66">
        <v>1760</v>
      </c>
      <c r="C116" s="66">
        <v>48087</v>
      </c>
      <c r="D116" s="37">
        <f t="shared" si="2"/>
        <v>48.087000000000003</v>
      </c>
      <c r="E116" s="37">
        <f t="shared" si="3"/>
        <v>47.8703820136</v>
      </c>
    </row>
    <row r="117" spans="2:5" x14ac:dyDescent="0.3">
      <c r="B117" s="66">
        <v>1780</v>
      </c>
      <c r="C117" s="66">
        <v>48804</v>
      </c>
      <c r="D117" s="37">
        <f t="shared" si="2"/>
        <v>48.804000000000002</v>
      </c>
      <c r="E117" s="37">
        <f t="shared" si="3"/>
        <v>48.578796143600002</v>
      </c>
    </row>
    <row r="118" spans="2:5" x14ac:dyDescent="0.3">
      <c r="B118" s="66">
        <v>1800</v>
      </c>
      <c r="C118" s="66">
        <v>49522</v>
      </c>
      <c r="D118" s="37">
        <f t="shared" si="2"/>
        <v>49.521999999999998</v>
      </c>
      <c r="E118" s="37">
        <f t="shared" si="3"/>
        <v>49.2885085936</v>
      </c>
    </row>
    <row r="119" spans="2:5" x14ac:dyDescent="0.3">
      <c r="B119" s="66">
        <v>1820</v>
      </c>
      <c r="C119" s="66">
        <v>50241</v>
      </c>
      <c r="D119" s="37">
        <f t="shared" si="2"/>
        <v>50.241</v>
      </c>
      <c r="E119" s="37">
        <f t="shared" si="3"/>
        <v>49.999519363600001</v>
      </c>
    </row>
    <row r="120" spans="2:5" x14ac:dyDescent="0.3">
      <c r="B120" s="66">
        <v>1840</v>
      </c>
      <c r="C120" s="66">
        <v>50960</v>
      </c>
      <c r="D120" s="37">
        <f t="shared" si="2"/>
        <v>50.96</v>
      </c>
      <c r="E120" s="37">
        <f t="shared" si="3"/>
        <v>50.711828453599999</v>
      </c>
    </row>
    <row r="121" spans="2:5" x14ac:dyDescent="0.3">
      <c r="B121" s="66">
        <v>1860</v>
      </c>
      <c r="C121" s="66">
        <v>51682</v>
      </c>
      <c r="D121" s="37">
        <f t="shared" si="2"/>
        <v>51.682000000000002</v>
      </c>
      <c r="E121" s="37">
        <f t="shared" si="3"/>
        <v>51.425435863600001</v>
      </c>
    </row>
    <row r="122" spans="2:5" x14ac:dyDescent="0.3">
      <c r="B122" s="66">
        <v>1880</v>
      </c>
      <c r="C122" s="66">
        <v>52403</v>
      </c>
      <c r="D122" s="37">
        <f t="shared" si="2"/>
        <v>52.402999999999999</v>
      </c>
      <c r="E122" s="37">
        <f t="shared" si="3"/>
        <v>52.140341593599999</v>
      </c>
    </row>
    <row r="123" spans="2:5" x14ac:dyDescent="0.3">
      <c r="B123" s="66">
        <v>1900</v>
      </c>
      <c r="C123" s="66">
        <v>53125</v>
      </c>
      <c r="D123" s="37">
        <f t="shared" si="2"/>
        <v>53.125</v>
      </c>
      <c r="E123" s="37">
        <f t="shared" si="3"/>
        <v>52.856545643600001</v>
      </c>
    </row>
    <row r="124" spans="2:5" x14ac:dyDescent="0.3">
      <c r="B124" s="66">
        <v>1920</v>
      </c>
      <c r="C124" s="66">
        <v>53847</v>
      </c>
      <c r="D124" s="37">
        <f t="shared" si="2"/>
        <v>53.847000000000001</v>
      </c>
      <c r="E124" s="37">
        <f t="shared" si="3"/>
        <v>53.574048013599999</v>
      </c>
    </row>
    <row r="125" spans="2:5" x14ac:dyDescent="0.3">
      <c r="B125" s="66">
        <v>1940</v>
      </c>
      <c r="C125" s="66">
        <v>54569</v>
      </c>
      <c r="D125" s="37">
        <f t="shared" si="2"/>
        <v>54.569000000000003</v>
      </c>
      <c r="E125" s="37">
        <f t="shared" si="3"/>
        <v>54.292848703600001</v>
      </c>
    </row>
    <row r="126" spans="2:5" x14ac:dyDescent="0.3">
      <c r="B126" s="66">
        <v>1960</v>
      </c>
      <c r="C126" s="66">
        <v>55292</v>
      </c>
      <c r="D126" s="37">
        <f t="shared" si="2"/>
        <v>55.292000000000002</v>
      </c>
      <c r="E126" s="37">
        <f t="shared" si="3"/>
        <v>55.012947713599999</v>
      </c>
    </row>
    <row r="127" spans="2:5" x14ac:dyDescent="0.3">
      <c r="B127" s="66">
        <v>1980</v>
      </c>
      <c r="C127" s="66">
        <v>56015</v>
      </c>
      <c r="D127" s="37">
        <f t="shared" si="2"/>
        <v>56.015000000000001</v>
      </c>
      <c r="E127" s="37">
        <f t="shared" si="3"/>
        <v>55.734345043600001</v>
      </c>
    </row>
    <row r="128" spans="2:5" x14ac:dyDescent="0.3">
      <c r="B128" s="66">
        <v>2000</v>
      </c>
      <c r="C128" s="66">
        <v>56739</v>
      </c>
      <c r="D128" s="37">
        <f t="shared" si="2"/>
        <v>56.739000000000004</v>
      </c>
      <c r="E128" s="37">
        <f t="shared" si="3"/>
        <v>56.457040693600007</v>
      </c>
    </row>
    <row r="129" spans="2:5" x14ac:dyDescent="0.3">
      <c r="B129" s="66">
        <v>2050</v>
      </c>
      <c r="C129" s="66">
        <v>58555</v>
      </c>
      <c r="D129" s="37">
        <f t="shared" si="2"/>
        <v>58.555</v>
      </c>
      <c r="E129" s="37">
        <f t="shared" si="3"/>
        <v>58.269459968600003</v>
      </c>
    </row>
    <row r="130" spans="2:5" x14ac:dyDescent="0.3">
      <c r="B130" s="66">
        <v>2100</v>
      </c>
      <c r="C130" s="66">
        <v>60375</v>
      </c>
      <c r="D130" s="37">
        <f t="shared" si="2"/>
        <v>60.375</v>
      </c>
      <c r="E130" s="37">
        <f t="shared" si="3"/>
        <v>60.089993743600004</v>
      </c>
    </row>
    <row r="131" spans="2:5" x14ac:dyDescent="0.3">
      <c r="B131" s="66">
        <v>2150</v>
      </c>
      <c r="C131" s="66">
        <v>62195</v>
      </c>
      <c r="D131" s="37">
        <f t="shared" si="2"/>
        <v>62.195</v>
      </c>
      <c r="E131" s="37">
        <f t="shared" si="3"/>
        <v>61.918642018599996</v>
      </c>
    </row>
    <row r="132" spans="2:5" x14ac:dyDescent="0.3">
      <c r="B132" s="66">
        <v>2200</v>
      </c>
      <c r="C132" s="66">
        <v>64019</v>
      </c>
      <c r="D132" s="37">
        <f t="shared" si="2"/>
        <v>64.019000000000005</v>
      </c>
      <c r="E132" s="37">
        <f t="shared" si="3"/>
        <v>63.755404793600007</v>
      </c>
    </row>
    <row r="133" spans="2:5" x14ac:dyDescent="0.3">
      <c r="B133" s="66">
        <v>2250</v>
      </c>
      <c r="C133" s="66">
        <v>65847</v>
      </c>
      <c r="D133" s="37">
        <f t="shared" si="2"/>
        <v>65.847000000000008</v>
      </c>
      <c r="E133" s="37">
        <f t="shared" si="3"/>
        <v>65.600282068599995</v>
      </c>
    </row>
    <row r="134" spans="2:5" x14ac:dyDescent="0.3">
      <c r="B134" s="66">
        <v>2300</v>
      </c>
      <c r="C134" s="66">
        <v>67676</v>
      </c>
      <c r="D134" s="37">
        <f t="shared" si="2"/>
        <v>67.676000000000002</v>
      </c>
      <c r="E134" s="37">
        <f t="shared" si="3"/>
        <v>67.453273843600002</v>
      </c>
    </row>
    <row r="135" spans="2:5" x14ac:dyDescent="0.3">
      <c r="B135" s="66">
        <v>2350</v>
      </c>
      <c r="C135" s="66">
        <v>69509</v>
      </c>
      <c r="D135" s="37">
        <f t="shared" si="2"/>
        <v>69.509</v>
      </c>
      <c r="E135" s="37">
        <f t="shared" si="3"/>
        <v>69.314380118599999</v>
      </c>
    </row>
    <row r="136" spans="2:5" x14ac:dyDescent="0.3">
      <c r="B136" s="66">
        <v>2400</v>
      </c>
      <c r="C136" s="66">
        <v>71346</v>
      </c>
      <c r="D136" s="37">
        <f t="shared" ref="D136:D147" si="4">C136*10^-3</f>
        <v>71.346000000000004</v>
      </c>
      <c r="E136" s="37">
        <f t="shared" ref="E136:E147" si="5">(0.0000016229*B136^2)+(0.0296756405*B136)-9.3858403064</f>
        <v>71.183600893600001</v>
      </c>
    </row>
    <row r="137" spans="2:5" x14ac:dyDescent="0.3">
      <c r="B137" s="66">
        <v>2450</v>
      </c>
      <c r="C137" s="66">
        <v>73183</v>
      </c>
      <c r="D137" s="37">
        <f t="shared" si="4"/>
        <v>73.183000000000007</v>
      </c>
      <c r="E137" s="37">
        <f t="shared" si="5"/>
        <v>73.060936168599994</v>
      </c>
    </row>
    <row r="138" spans="2:5" x14ac:dyDescent="0.3">
      <c r="B138" s="66">
        <v>2500</v>
      </c>
      <c r="C138" s="66">
        <v>75023</v>
      </c>
      <c r="D138" s="37">
        <f t="shared" si="4"/>
        <v>75.022999999999996</v>
      </c>
      <c r="E138" s="37">
        <f t="shared" si="5"/>
        <v>74.946385943599992</v>
      </c>
    </row>
    <row r="139" spans="2:5" x14ac:dyDescent="0.3">
      <c r="B139" s="66">
        <v>2550</v>
      </c>
      <c r="C139" s="66">
        <v>76868</v>
      </c>
      <c r="D139" s="37">
        <f t="shared" si="4"/>
        <v>76.867999999999995</v>
      </c>
      <c r="E139" s="37">
        <f t="shared" si="5"/>
        <v>76.839950218600009</v>
      </c>
    </row>
    <row r="140" spans="2:5" x14ac:dyDescent="0.3">
      <c r="B140" s="66">
        <v>2600</v>
      </c>
      <c r="C140" s="66">
        <v>78714</v>
      </c>
      <c r="D140" s="37">
        <f t="shared" si="4"/>
        <v>78.713999999999999</v>
      </c>
      <c r="E140" s="37">
        <f t="shared" si="5"/>
        <v>78.741628993600003</v>
      </c>
    </row>
    <row r="141" spans="2:5" x14ac:dyDescent="0.3">
      <c r="B141" s="66">
        <v>2650</v>
      </c>
      <c r="C141" s="66">
        <v>80561</v>
      </c>
      <c r="D141" s="37">
        <f t="shared" si="4"/>
        <v>80.561000000000007</v>
      </c>
      <c r="E141" s="37">
        <f t="shared" si="5"/>
        <v>80.651422268600001</v>
      </c>
    </row>
    <row r="142" spans="2:5" x14ac:dyDescent="0.3">
      <c r="B142" s="66">
        <v>2700</v>
      </c>
      <c r="C142" s="66">
        <v>82408</v>
      </c>
      <c r="D142" s="37">
        <f t="shared" si="4"/>
        <v>82.408000000000001</v>
      </c>
      <c r="E142" s="37">
        <f t="shared" si="5"/>
        <v>82.56933004359999</v>
      </c>
    </row>
    <row r="143" spans="2:5" x14ac:dyDescent="0.3">
      <c r="B143" s="66">
        <v>2750</v>
      </c>
      <c r="C143" s="66">
        <v>84261</v>
      </c>
      <c r="D143" s="37">
        <f t="shared" si="4"/>
        <v>84.260999999999996</v>
      </c>
      <c r="E143" s="37">
        <f t="shared" si="5"/>
        <v>84.495352318600013</v>
      </c>
    </row>
    <row r="144" spans="2:5" x14ac:dyDescent="0.3">
      <c r="B144" s="66">
        <v>2800</v>
      </c>
      <c r="C144" s="66">
        <v>86115</v>
      </c>
      <c r="D144" s="37">
        <f t="shared" si="4"/>
        <v>86.114999999999995</v>
      </c>
      <c r="E144" s="37">
        <f t="shared" si="5"/>
        <v>86.429489093599997</v>
      </c>
    </row>
    <row r="145" spans="2:5" x14ac:dyDescent="0.3">
      <c r="B145" s="66">
        <v>2850</v>
      </c>
      <c r="C145" s="66">
        <v>87970</v>
      </c>
      <c r="D145" s="37">
        <f t="shared" si="4"/>
        <v>87.97</v>
      </c>
      <c r="E145" s="37">
        <f t="shared" si="5"/>
        <v>88.371740368600001</v>
      </c>
    </row>
    <row r="146" spans="2:5" x14ac:dyDescent="0.3">
      <c r="B146" s="66">
        <v>2900</v>
      </c>
      <c r="C146" s="66">
        <v>89826</v>
      </c>
      <c r="D146" s="37">
        <f t="shared" si="4"/>
        <v>89.826000000000008</v>
      </c>
      <c r="E146" s="37">
        <f t="shared" si="5"/>
        <v>90.322106143599996</v>
      </c>
    </row>
    <row r="147" spans="2:5" x14ac:dyDescent="0.3">
      <c r="B147" s="66">
        <v>3000</v>
      </c>
      <c r="C147" s="66">
        <v>93541</v>
      </c>
      <c r="D147" s="37">
        <f t="shared" si="4"/>
        <v>93.540999999999997</v>
      </c>
      <c r="E147" s="37">
        <f t="shared" si="5"/>
        <v>94.247181193599999</v>
      </c>
    </row>
  </sheetData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L147"/>
  <sheetViews>
    <sheetView workbookViewId="0">
      <selection activeCell="R18" sqref="R18"/>
    </sheetView>
  </sheetViews>
  <sheetFormatPr defaultRowHeight="14.4" x14ac:dyDescent="0.3"/>
  <cols>
    <col min="2" max="2" width="12.44140625" customWidth="1"/>
    <col min="3" max="3" width="11.6640625" customWidth="1"/>
    <col min="4" max="4" width="10.5546875" customWidth="1"/>
  </cols>
  <sheetData>
    <row r="2" spans="2:12" x14ac:dyDescent="0.3">
      <c r="B2" s="5" t="s">
        <v>74</v>
      </c>
      <c r="C2" s="5"/>
      <c r="D2" s="5"/>
      <c r="E2" s="5"/>
    </row>
    <row r="3" spans="2:12" x14ac:dyDescent="0.3">
      <c r="B3" s="5" t="s">
        <v>102</v>
      </c>
      <c r="C3" s="5"/>
      <c r="D3" s="5">
        <v>-241.82599999999999</v>
      </c>
      <c r="E3" s="5" t="s">
        <v>100</v>
      </c>
    </row>
    <row r="4" spans="2:12" x14ac:dyDescent="0.3">
      <c r="B4" s="5" t="s">
        <v>75</v>
      </c>
      <c r="C4" s="5"/>
      <c r="D4" s="5"/>
      <c r="E4" s="5"/>
    </row>
    <row r="6" spans="2:12" ht="41.25" customHeight="1" x14ac:dyDescent="0.3">
      <c r="B6" s="21" t="s">
        <v>61</v>
      </c>
      <c r="C6" s="21" t="s">
        <v>62</v>
      </c>
      <c r="D6" s="21" t="s">
        <v>89</v>
      </c>
      <c r="E6" s="21" t="s">
        <v>149</v>
      </c>
      <c r="F6" s="21" t="s">
        <v>150</v>
      </c>
      <c r="G6" s="3"/>
      <c r="H6" s="3"/>
      <c r="I6" s="3"/>
      <c r="J6" s="3"/>
      <c r="K6" s="3"/>
      <c r="L6" s="3"/>
    </row>
    <row r="7" spans="2:12" x14ac:dyDescent="0.3">
      <c r="B7" s="66">
        <v>298</v>
      </c>
      <c r="C7" s="66">
        <v>0</v>
      </c>
      <c r="D7" s="37">
        <f>C7*10^-3</f>
        <v>0</v>
      </c>
      <c r="E7" s="37">
        <f>(0.0000046754*B7^2)+(0.0319430103*B7)-10.334265086</f>
        <v>-0.40005379499999982</v>
      </c>
      <c r="F7" s="37">
        <f>(-0.0000000000000000001*B7^6)+(0.0000000000000007567*B7^5)+(-0.0000000000037287389*B7^4)+(0.0000000082065984485*B7^3)+(-0.0000025862295728548*B7^2)+(0.0332742206220155*B7)+(-9.88071424688911)</f>
        <v>-5.1850873589973645E-3</v>
      </c>
      <c r="G7" s="3"/>
      <c r="H7" s="3"/>
      <c r="I7" s="3"/>
      <c r="J7" s="3"/>
      <c r="K7" s="3"/>
      <c r="L7" s="3"/>
    </row>
    <row r="8" spans="2:12" x14ac:dyDescent="0.3">
      <c r="B8" s="66">
        <v>300</v>
      </c>
      <c r="C8" s="66">
        <v>62</v>
      </c>
      <c r="D8" s="37">
        <f t="shared" ref="D8:D71" si="0">C8*10^-3</f>
        <v>6.2E-2</v>
      </c>
      <c r="E8" s="37">
        <f t="shared" ref="E8:E71" si="1">(0.0000046754*B8^2)+(0.0319430103*B8)-10.334265086</f>
        <v>-0.33057599600000209</v>
      </c>
      <c r="F8" s="37">
        <f t="shared" ref="F8:F71" si="2">(-0.0000000000000000001*B8^6)+(0.0000000000000007567*B8^5)+(-0.0000000000037287389*B8^4)+(0.0000000082065984485*B8^3)+(-0.0000025862295728548*B8^2)+(0.0332742206220155*B8)+(-9.88071424688911)</f>
        <v>6.1932532178110122E-2</v>
      </c>
      <c r="G8" s="3"/>
      <c r="H8" s="3"/>
      <c r="I8" s="3"/>
      <c r="J8" s="3"/>
      <c r="K8" s="3"/>
      <c r="L8" s="3"/>
    </row>
    <row r="9" spans="2:12" x14ac:dyDescent="0.3">
      <c r="B9" s="66">
        <v>310</v>
      </c>
      <c r="C9" s="66">
        <v>398</v>
      </c>
      <c r="D9" s="37">
        <f t="shared" si="0"/>
        <v>0.39800000000000002</v>
      </c>
      <c r="E9" s="37">
        <f t="shared" si="1"/>
        <v>1.7374046999998782E-2</v>
      </c>
      <c r="F9" s="37">
        <f t="shared" si="2"/>
        <v>0.39788218907501438</v>
      </c>
      <c r="G9" s="3"/>
      <c r="H9" s="3"/>
      <c r="I9" s="3"/>
      <c r="J9" s="3"/>
      <c r="K9" s="3"/>
      <c r="L9" s="3"/>
    </row>
    <row r="10" spans="2:12" x14ac:dyDescent="0.3">
      <c r="B10" s="66">
        <v>320</v>
      </c>
      <c r="C10" s="66">
        <v>735</v>
      </c>
      <c r="D10" s="37">
        <f t="shared" si="0"/>
        <v>0.73499999999999999</v>
      </c>
      <c r="E10" s="37">
        <f t="shared" si="1"/>
        <v>0.3662591699999993</v>
      </c>
      <c r="F10" s="37">
        <f t="shared" si="2"/>
        <v>0.73445329033494389</v>
      </c>
      <c r="G10" s="3"/>
      <c r="H10" s="3"/>
      <c r="I10" s="3"/>
      <c r="J10" s="3"/>
      <c r="K10" s="3"/>
      <c r="L10" s="3"/>
    </row>
    <row r="11" spans="2:12" x14ac:dyDescent="0.3">
      <c r="B11" s="66">
        <v>330</v>
      </c>
      <c r="C11" s="66">
        <v>1072</v>
      </c>
      <c r="D11" s="37">
        <f t="shared" si="0"/>
        <v>1.0720000000000001</v>
      </c>
      <c r="E11" s="37">
        <f t="shared" si="1"/>
        <v>0.71607937299999946</v>
      </c>
      <c r="F11" s="37">
        <f t="shared" si="2"/>
        <v>1.0716710170770032</v>
      </c>
      <c r="G11" s="3"/>
      <c r="H11" s="3"/>
      <c r="I11" s="3"/>
      <c r="J11" s="3"/>
      <c r="K11" s="3"/>
      <c r="L11" s="3"/>
    </row>
    <row r="12" spans="2:12" x14ac:dyDescent="0.3">
      <c r="B12" s="66">
        <v>340</v>
      </c>
      <c r="C12" s="66">
        <v>1410</v>
      </c>
      <c r="D12" s="37">
        <f t="shared" si="0"/>
        <v>1.41</v>
      </c>
      <c r="E12" s="37">
        <f t="shared" si="1"/>
        <v>1.0668346559999993</v>
      </c>
      <c r="F12" s="37">
        <f t="shared" si="2"/>
        <v>1.4095599092197659</v>
      </c>
      <c r="G12" s="3"/>
      <c r="H12" s="3"/>
      <c r="I12" s="3"/>
      <c r="J12" s="3"/>
      <c r="K12" s="3"/>
      <c r="L12" s="3"/>
    </row>
    <row r="13" spans="2:12" x14ac:dyDescent="0.3">
      <c r="B13" s="66">
        <v>350</v>
      </c>
      <c r="C13" s="66">
        <v>1748</v>
      </c>
      <c r="D13" s="37">
        <f t="shared" si="0"/>
        <v>1.748</v>
      </c>
      <c r="E13" s="37">
        <f t="shared" si="1"/>
        <v>1.4185250189999987</v>
      </c>
      <c r="F13" s="37">
        <f t="shared" si="2"/>
        <v>1.7481438722216662</v>
      </c>
      <c r="G13" s="3"/>
      <c r="H13" s="3"/>
      <c r="I13" s="3"/>
      <c r="J13" s="3"/>
      <c r="K13" s="3"/>
      <c r="L13" s="3"/>
    </row>
    <row r="14" spans="2:12" x14ac:dyDescent="0.3">
      <c r="B14" s="66">
        <v>360</v>
      </c>
      <c r="C14" s="66">
        <v>2088</v>
      </c>
      <c r="D14" s="37">
        <f t="shared" si="0"/>
        <v>2.0880000000000001</v>
      </c>
      <c r="E14" s="37">
        <f t="shared" si="1"/>
        <v>1.7711504619999996</v>
      </c>
      <c r="F14" s="37">
        <f t="shared" si="2"/>
        <v>2.0874461837494014</v>
      </c>
      <c r="G14" s="3"/>
      <c r="H14" s="3"/>
      <c r="I14" s="3"/>
      <c r="J14" s="3"/>
      <c r="K14" s="3"/>
      <c r="L14" s="3"/>
    </row>
    <row r="15" spans="2:12" x14ac:dyDescent="0.3">
      <c r="B15" s="66">
        <v>370</v>
      </c>
      <c r="C15" s="66">
        <v>2427</v>
      </c>
      <c r="D15" s="37">
        <f t="shared" si="0"/>
        <v>2.427</v>
      </c>
      <c r="E15" s="37">
        <f t="shared" si="1"/>
        <v>2.1247109850000001</v>
      </c>
      <c r="F15" s="37">
        <f t="shared" si="2"/>
        <v>2.4274895002743353</v>
      </c>
      <c r="G15" s="3"/>
      <c r="H15" s="3"/>
      <c r="I15" s="3"/>
      <c r="J15" s="3"/>
      <c r="K15" s="3"/>
      <c r="L15" s="3"/>
    </row>
    <row r="16" spans="2:12" x14ac:dyDescent="0.3">
      <c r="B16" s="66">
        <v>380</v>
      </c>
      <c r="C16" s="66">
        <v>2768</v>
      </c>
      <c r="D16" s="37">
        <f t="shared" si="0"/>
        <v>2.7680000000000002</v>
      </c>
      <c r="E16" s="37">
        <f t="shared" si="1"/>
        <v>2.4792065880000003</v>
      </c>
      <c r="F16" s="37">
        <f t="shared" si="2"/>
        <v>2.7682958635968973</v>
      </c>
      <c r="G16" s="3"/>
      <c r="H16" s="3"/>
      <c r="I16" s="3"/>
      <c r="J16" s="3"/>
      <c r="K16" s="3"/>
      <c r="L16" s="3"/>
    </row>
    <row r="17" spans="2:12" x14ac:dyDescent="0.3">
      <c r="B17" s="66">
        <v>390</v>
      </c>
      <c r="C17" s="66">
        <v>3110</v>
      </c>
      <c r="D17" s="37">
        <f t="shared" si="0"/>
        <v>3.11</v>
      </c>
      <c r="E17" s="37">
        <f t="shared" si="1"/>
        <v>2.8346372709999983</v>
      </c>
      <c r="F17" s="37">
        <f t="shared" si="2"/>
        <v>3.1098867072989744</v>
      </c>
      <c r="G17" s="3"/>
      <c r="H17" s="3"/>
      <c r="I17" s="3"/>
      <c r="J17" s="3"/>
      <c r="K17" s="3"/>
      <c r="L17" s="3"/>
    </row>
    <row r="18" spans="2:12" x14ac:dyDescent="0.3">
      <c r="B18" s="66">
        <v>400</v>
      </c>
      <c r="C18" s="66">
        <v>3452</v>
      </c>
      <c r="D18" s="37">
        <f t="shared" si="0"/>
        <v>3.452</v>
      </c>
      <c r="E18" s="37">
        <f t="shared" si="1"/>
        <v>3.1910030339999977</v>
      </c>
      <c r="F18" s="37">
        <f t="shared" si="2"/>
        <v>3.4522828631243225</v>
      </c>
      <c r="G18" s="3"/>
      <c r="H18" s="3"/>
      <c r="I18" s="3"/>
      <c r="J18" s="3"/>
      <c r="K18" s="3"/>
      <c r="L18" s="3"/>
    </row>
    <row r="19" spans="2:12" x14ac:dyDescent="0.3">
      <c r="B19" s="66">
        <v>410</v>
      </c>
      <c r="C19" s="66">
        <v>3795</v>
      </c>
      <c r="D19" s="37">
        <f t="shared" si="0"/>
        <v>3.7949999999999999</v>
      </c>
      <c r="E19" s="37">
        <f t="shared" si="1"/>
        <v>3.5483038769999986</v>
      </c>
      <c r="F19" s="37">
        <f t="shared" si="2"/>
        <v>3.7955045672869634</v>
      </c>
      <c r="G19" s="3"/>
      <c r="H19" s="3"/>
      <c r="I19" s="3"/>
      <c r="J19" s="3"/>
      <c r="K19" s="3"/>
      <c r="L19" s="3"/>
    </row>
    <row r="20" spans="2:12" x14ac:dyDescent="0.3">
      <c r="B20" s="66">
        <v>420</v>
      </c>
      <c r="C20" s="66">
        <v>4139</v>
      </c>
      <c r="D20" s="37">
        <f t="shared" si="0"/>
        <v>4.1390000000000002</v>
      </c>
      <c r="E20" s="37">
        <f t="shared" si="1"/>
        <v>3.9065397999999991</v>
      </c>
      <c r="F20" s="37">
        <f t="shared" si="2"/>
        <v>4.1395714667075794</v>
      </c>
      <c r="G20" s="3"/>
      <c r="H20" s="3"/>
      <c r="I20" s="3"/>
      <c r="J20" s="3"/>
      <c r="K20" s="3"/>
      <c r="L20" s="3"/>
    </row>
    <row r="21" spans="2:12" x14ac:dyDescent="0.3">
      <c r="B21" s="66">
        <v>430</v>
      </c>
      <c r="C21" s="66">
        <v>4484</v>
      </c>
      <c r="D21" s="37">
        <f t="shared" si="0"/>
        <v>4.484</v>
      </c>
      <c r="E21" s="37">
        <f t="shared" si="1"/>
        <v>4.2657108029999993</v>
      </c>
      <c r="F21" s="37">
        <f t="shared" si="2"/>
        <v>4.4845026251779139</v>
      </c>
      <c r="G21" s="3"/>
      <c r="H21" s="3"/>
      <c r="I21" s="3"/>
      <c r="J21" s="3"/>
      <c r="K21" s="3"/>
      <c r="L21" s="3"/>
    </row>
    <row r="22" spans="2:12" x14ac:dyDescent="0.3">
      <c r="B22" s="66">
        <v>440</v>
      </c>
      <c r="C22" s="66">
        <v>4830</v>
      </c>
      <c r="D22" s="37">
        <f t="shared" si="0"/>
        <v>4.83</v>
      </c>
      <c r="E22" s="37">
        <f t="shared" si="1"/>
        <v>4.6258168859999991</v>
      </c>
      <c r="F22" s="37">
        <f t="shared" si="2"/>
        <v>4.8303165294531833</v>
      </c>
      <c r="G22" s="3"/>
      <c r="H22" s="3"/>
      <c r="I22" s="3"/>
      <c r="J22" s="3"/>
      <c r="K22" s="3"/>
      <c r="L22" s="3"/>
    </row>
    <row r="23" spans="2:12" x14ac:dyDescent="0.3">
      <c r="B23" s="66">
        <v>450</v>
      </c>
      <c r="C23" s="66">
        <v>5176</v>
      </c>
      <c r="D23" s="37">
        <f t="shared" si="0"/>
        <v>5.1760000000000002</v>
      </c>
      <c r="E23" s="37">
        <f t="shared" si="1"/>
        <v>4.9868580489999985</v>
      </c>
      <c r="F23" s="37">
        <f t="shared" si="2"/>
        <v>5.1770310952724579</v>
      </c>
      <c r="G23" s="3"/>
      <c r="H23" s="3"/>
      <c r="I23" s="3"/>
      <c r="J23" s="3"/>
      <c r="K23" s="3"/>
      <c r="L23" s="3"/>
    </row>
    <row r="24" spans="2:12" x14ac:dyDescent="0.3">
      <c r="B24" s="66">
        <v>460</v>
      </c>
      <c r="C24" s="66">
        <v>5524</v>
      </c>
      <c r="D24" s="37">
        <f t="shared" si="0"/>
        <v>5.524</v>
      </c>
      <c r="E24" s="37">
        <f t="shared" si="1"/>
        <v>5.3488342919999994</v>
      </c>
      <c r="F24" s="37">
        <f t="shared" si="2"/>
        <v>5.524663673307078</v>
      </c>
      <c r="G24" s="3"/>
      <c r="H24" s="3"/>
      <c r="I24" s="3"/>
      <c r="J24" s="3"/>
      <c r="K24" s="3"/>
      <c r="L24" s="3"/>
    </row>
    <row r="25" spans="2:12" x14ac:dyDescent="0.3">
      <c r="B25" s="66">
        <v>470</v>
      </c>
      <c r="C25" s="66">
        <v>5873</v>
      </c>
      <c r="D25" s="37">
        <f t="shared" si="0"/>
        <v>5.8730000000000002</v>
      </c>
      <c r="E25" s="37">
        <f t="shared" si="1"/>
        <v>5.7117456149999963</v>
      </c>
      <c r="F25" s="37">
        <f t="shared" si="2"/>
        <v>5.8732310550370475</v>
      </c>
      <c r="G25" s="3"/>
      <c r="H25" s="3"/>
      <c r="I25" s="3"/>
      <c r="J25" s="3"/>
      <c r="K25" s="3"/>
      <c r="L25" s="3"/>
    </row>
    <row r="26" spans="2:12" x14ac:dyDescent="0.3">
      <c r="B26" s="66">
        <v>480</v>
      </c>
      <c r="C26" s="66">
        <v>6222</v>
      </c>
      <c r="D26" s="37">
        <f t="shared" si="0"/>
        <v>6.2220000000000004</v>
      </c>
      <c r="E26" s="37">
        <f t="shared" si="1"/>
        <v>6.0755920179999965</v>
      </c>
      <c r="F26" s="37">
        <f t="shared" si="2"/>
        <v>6.222749478555432</v>
      </c>
      <c r="G26" s="3"/>
      <c r="H26" s="3"/>
      <c r="I26" s="3"/>
      <c r="J26" s="3"/>
      <c r="K26" s="3"/>
      <c r="L26" s="3"/>
    </row>
    <row r="27" spans="2:12" x14ac:dyDescent="0.3">
      <c r="B27" s="66">
        <v>490</v>
      </c>
      <c r="C27" s="66">
        <v>6573</v>
      </c>
      <c r="D27" s="37">
        <f t="shared" si="0"/>
        <v>6.5730000000000004</v>
      </c>
      <c r="E27" s="37">
        <f t="shared" si="1"/>
        <v>6.4403735009999981</v>
      </c>
      <c r="F27" s="37">
        <f t="shared" si="2"/>
        <v>6.5732346343007677</v>
      </c>
      <c r="G27" s="3"/>
      <c r="H27" s="3"/>
      <c r="I27" s="3"/>
      <c r="J27" s="3"/>
      <c r="K27" s="3"/>
      <c r="L27" s="3"/>
    </row>
    <row r="28" spans="2:12" x14ac:dyDescent="0.3">
      <c r="B28" s="66">
        <v>500</v>
      </c>
      <c r="C28" s="66">
        <v>6924</v>
      </c>
      <c r="D28" s="37">
        <f t="shared" si="0"/>
        <v>6.9240000000000004</v>
      </c>
      <c r="E28" s="37">
        <f t="shared" si="1"/>
        <v>6.8060900639999975</v>
      </c>
      <c r="F28" s="37">
        <f t="shared" si="2"/>
        <v>6.9247016707174396</v>
      </c>
      <c r="G28" s="3"/>
      <c r="H28" s="3"/>
      <c r="I28" s="3"/>
      <c r="J28" s="3"/>
      <c r="K28" s="3"/>
      <c r="L28" s="3"/>
    </row>
    <row r="29" spans="2:12" x14ac:dyDescent="0.3">
      <c r="B29" s="66">
        <v>510</v>
      </c>
      <c r="C29" s="66">
        <v>7277</v>
      </c>
      <c r="D29" s="37">
        <f t="shared" si="0"/>
        <v>7.2770000000000001</v>
      </c>
      <c r="E29" s="37">
        <f t="shared" si="1"/>
        <v>7.1727417070000019</v>
      </c>
      <c r="F29" s="37">
        <f t="shared" si="2"/>
        <v>7.2771651998441165</v>
      </c>
      <c r="G29" s="3"/>
      <c r="H29" s="3"/>
      <c r="I29" s="3"/>
      <c r="J29" s="3"/>
      <c r="K29" s="3"/>
      <c r="L29" s="3"/>
    </row>
    <row r="30" spans="2:12" x14ac:dyDescent="0.3">
      <c r="B30" s="66">
        <v>520</v>
      </c>
      <c r="C30" s="66">
        <v>7630</v>
      </c>
      <c r="D30" s="37">
        <f t="shared" si="0"/>
        <v>7.63</v>
      </c>
      <c r="E30" s="37">
        <f t="shared" si="1"/>
        <v>7.5403284299999971</v>
      </c>
      <c r="F30" s="37">
        <f t="shared" si="2"/>
        <v>7.6306393028301152</v>
      </c>
      <c r="G30" s="3"/>
      <c r="H30" s="3"/>
      <c r="I30" s="3"/>
      <c r="J30" s="3"/>
      <c r="K30" s="3"/>
      <c r="L30" s="3"/>
    </row>
    <row r="31" spans="2:12" x14ac:dyDescent="0.3">
      <c r="B31" s="66">
        <v>530</v>
      </c>
      <c r="C31" s="66">
        <v>7985</v>
      </c>
      <c r="D31" s="37">
        <f t="shared" si="0"/>
        <v>7.9850000000000003</v>
      </c>
      <c r="E31" s="37">
        <f t="shared" si="1"/>
        <v>7.9088502329999972</v>
      </c>
      <c r="F31" s="37">
        <f t="shared" si="2"/>
        <v>7.9851375353798311</v>
      </c>
      <c r="G31" s="3"/>
      <c r="H31" s="3"/>
      <c r="I31" s="3"/>
      <c r="J31" s="3"/>
      <c r="K31" s="3"/>
      <c r="L31" s="3"/>
    </row>
    <row r="32" spans="2:12" x14ac:dyDescent="0.3">
      <c r="B32" s="66">
        <v>540</v>
      </c>
      <c r="C32" s="66">
        <v>8341</v>
      </c>
      <c r="D32" s="37">
        <f t="shared" si="0"/>
        <v>8.3409999999999993</v>
      </c>
      <c r="E32" s="37">
        <f t="shared" si="1"/>
        <v>8.2783071159999988</v>
      </c>
      <c r="F32" s="37">
        <f t="shared" si="2"/>
        <v>8.3406729331251022</v>
      </c>
      <c r="G32" s="3"/>
      <c r="H32" s="3"/>
      <c r="I32" s="3"/>
      <c r="J32" s="3"/>
      <c r="K32" s="3"/>
      <c r="L32" s="3"/>
    </row>
    <row r="33" spans="2:12" x14ac:dyDescent="0.3">
      <c r="B33" s="66">
        <v>550</v>
      </c>
      <c r="C33" s="66">
        <v>8697</v>
      </c>
      <c r="D33" s="37">
        <f t="shared" si="0"/>
        <v>8.697000000000001</v>
      </c>
      <c r="E33" s="37">
        <f t="shared" si="1"/>
        <v>8.6486990789999982</v>
      </c>
      <c r="F33" s="37">
        <f t="shared" si="2"/>
        <v>8.6972580169256517</v>
      </c>
      <c r="G33" s="3"/>
      <c r="H33" s="3"/>
      <c r="I33" s="3"/>
      <c r="J33" s="3"/>
      <c r="K33" s="3"/>
      <c r="L33" s="3"/>
    </row>
    <row r="34" spans="2:12" x14ac:dyDescent="0.3">
      <c r="B34" s="66">
        <v>560</v>
      </c>
      <c r="C34" s="66">
        <v>9055</v>
      </c>
      <c r="D34" s="37">
        <f t="shared" si="0"/>
        <v>9.0549999999999997</v>
      </c>
      <c r="E34" s="37">
        <f t="shared" si="1"/>
        <v>9.0200261219999991</v>
      </c>
      <c r="F34" s="37">
        <f t="shared" si="2"/>
        <v>9.0549047980974571</v>
      </c>
      <c r="G34" s="3"/>
      <c r="H34" s="3"/>
      <c r="I34" s="3"/>
      <c r="J34" s="3"/>
      <c r="K34" s="3"/>
      <c r="L34" s="3"/>
    </row>
    <row r="35" spans="2:12" x14ac:dyDescent="0.3">
      <c r="B35" s="66">
        <v>570</v>
      </c>
      <c r="C35" s="66">
        <v>9414</v>
      </c>
      <c r="D35" s="37">
        <f t="shared" si="0"/>
        <v>9.4139999999999997</v>
      </c>
      <c r="E35" s="37">
        <f t="shared" si="1"/>
        <v>9.3922882449999978</v>
      </c>
      <c r="F35" s="37">
        <f t="shared" si="2"/>
        <v>9.413624783569162</v>
      </c>
      <c r="G35" s="3"/>
      <c r="H35" s="3"/>
      <c r="I35" s="3"/>
      <c r="J35" s="3"/>
      <c r="K35" s="3"/>
      <c r="L35" s="3"/>
    </row>
    <row r="36" spans="2:12" x14ac:dyDescent="0.3">
      <c r="B36" s="66">
        <v>580</v>
      </c>
      <c r="C36" s="66">
        <v>9774</v>
      </c>
      <c r="D36" s="37">
        <f t="shared" si="0"/>
        <v>9.7740000000000009</v>
      </c>
      <c r="E36" s="37">
        <f t="shared" si="1"/>
        <v>9.7654854480000015</v>
      </c>
      <c r="F36" s="37">
        <f t="shared" si="2"/>
        <v>9.7734289809664752</v>
      </c>
      <c r="G36" s="3"/>
      <c r="H36" s="3"/>
      <c r="I36" s="3"/>
      <c r="J36" s="3"/>
      <c r="K36" s="3"/>
      <c r="L36" s="3"/>
    </row>
    <row r="37" spans="2:12" x14ac:dyDescent="0.3">
      <c r="B37" s="66">
        <v>590</v>
      </c>
      <c r="C37" s="66">
        <v>10135</v>
      </c>
      <c r="D37" s="37">
        <f t="shared" si="0"/>
        <v>10.135</v>
      </c>
      <c r="E37" s="37">
        <f t="shared" si="1"/>
        <v>10.139617731</v>
      </c>
      <c r="F37" s="37">
        <f t="shared" si="2"/>
        <v>10.134327903624563</v>
      </c>
      <c r="G37" s="3"/>
      <c r="H37" s="3"/>
      <c r="I37" s="3"/>
      <c r="J37" s="3"/>
      <c r="K37" s="3"/>
      <c r="L37" s="3"/>
    </row>
    <row r="38" spans="2:12" x14ac:dyDescent="0.3">
      <c r="B38" s="66">
        <v>600</v>
      </c>
      <c r="C38" s="66">
        <v>10498</v>
      </c>
      <c r="D38" s="37">
        <f t="shared" si="0"/>
        <v>10.497999999999999</v>
      </c>
      <c r="E38" s="37">
        <f t="shared" si="1"/>
        <v>10.514685093999995</v>
      </c>
      <c r="F38" s="37">
        <f t="shared" si="2"/>
        <v>10.496331575528465</v>
      </c>
      <c r="G38" s="3"/>
      <c r="H38" s="3"/>
      <c r="I38" s="3"/>
      <c r="J38" s="3"/>
      <c r="K38" s="3"/>
      <c r="L38" s="3"/>
    </row>
    <row r="39" spans="2:12" x14ac:dyDescent="0.3">
      <c r="B39" s="66">
        <v>610</v>
      </c>
      <c r="C39" s="66">
        <v>10861</v>
      </c>
      <c r="D39" s="37">
        <f t="shared" si="0"/>
        <v>10.861000000000001</v>
      </c>
      <c r="E39" s="37">
        <f t="shared" si="1"/>
        <v>10.890687537</v>
      </c>
      <c r="F39" s="37">
        <f t="shared" si="2"/>
        <v>10.859449536181476</v>
      </c>
      <c r="G39" s="3"/>
      <c r="H39" s="3"/>
      <c r="I39" s="3"/>
      <c r="J39" s="3"/>
      <c r="K39" s="3"/>
      <c r="L39" s="3"/>
    </row>
    <row r="40" spans="2:12" x14ac:dyDescent="0.3">
      <c r="B40" s="66">
        <v>620</v>
      </c>
      <c r="C40" s="66">
        <v>11226</v>
      </c>
      <c r="D40" s="37">
        <f t="shared" si="0"/>
        <v>11.226000000000001</v>
      </c>
      <c r="E40" s="37">
        <f t="shared" si="1"/>
        <v>11.267625059999999</v>
      </c>
      <c r="F40" s="37">
        <f t="shared" si="2"/>
        <v>11.223690845401563</v>
      </c>
      <c r="G40" s="3"/>
      <c r="H40" s="3"/>
      <c r="I40" s="3"/>
      <c r="J40" s="3"/>
      <c r="K40" s="3"/>
      <c r="L40" s="3"/>
    </row>
    <row r="41" spans="2:12" x14ac:dyDescent="0.3">
      <c r="B41" s="66">
        <v>630</v>
      </c>
      <c r="C41" s="66">
        <v>11591</v>
      </c>
      <c r="D41" s="37">
        <f t="shared" si="0"/>
        <v>11.591000000000001</v>
      </c>
      <c r="E41" s="37">
        <f t="shared" si="1"/>
        <v>11.645497662999999</v>
      </c>
      <c r="F41" s="37">
        <f t="shared" si="2"/>
        <v>11.589064088045745</v>
      </c>
      <c r="G41" s="3"/>
      <c r="H41" s="3"/>
      <c r="I41" s="3"/>
      <c r="J41" s="3"/>
      <c r="K41" s="3"/>
      <c r="L41" s="3"/>
    </row>
    <row r="42" spans="2:12" x14ac:dyDescent="0.3">
      <c r="B42" s="66">
        <v>640</v>
      </c>
      <c r="C42" s="66">
        <v>11958</v>
      </c>
      <c r="D42" s="37">
        <f t="shared" si="0"/>
        <v>11.958</v>
      </c>
      <c r="E42" s="37">
        <f t="shared" si="1"/>
        <v>12.024305345999997</v>
      </c>
      <c r="F42" s="37">
        <f t="shared" si="2"/>
        <v>11.955577378662529</v>
      </c>
      <c r="G42" s="3"/>
      <c r="H42" s="3"/>
      <c r="I42" s="3"/>
      <c r="J42" s="3"/>
      <c r="K42" s="3"/>
      <c r="L42" s="3"/>
    </row>
    <row r="43" spans="2:12" x14ac:dyDescent="0.3">
      <c r="B43" s="66">
        <v>650</v>
      </c>
      <c r="C43" s="66">
        <v>12326</v>
      </c>
      <c r="D43" s="37">
        <f t="shared" si="0"/>
        <v>12.326000000000001</v>
      </c>
      <c r="E43" s="37">
        <f t="shared" si="1"/>
        <v>12.404048109</v>
      </c>
      <c r="F43" s="37">
        <f t="shared" si="2"/>
        <v>12.32323836607225</v>
      </c>
    </row>
    <row r="44" spans="2:12" x14ac:dyDescent="0.3">
      <c r="B44" s="66">
        <v>660</v>
      </c>
      <c r="C44" s="66">
        <v>12696</v>
      </c>
      <c r="D44" s="37">
        <f t="shared" si="0"/>
        <v>12.696</v>
      </c>
      <c r="E44" s="37">
        <f t="shared" si="1"/>
        <v>12.784725951999997</v>
      </c>
      <c r="F44" s="37">
        <f t="shared" si="2"/>
        <v>12.692054237875542</v>
      </c>
    </row>
    <row r="45" spans="2:12" x14ac:dyDescent="0.3">
      <c r="B45" s="66">
        <v>670</v>
      </c>
      <c r="C45" s="66">
        <v>13066</v>
      </c>
      <c r="D45" s="37">
        <f t="shared" si="0"/>
        <v>13.066000000000001</v>
      </c>
      <c r="E45" s="37">
        <f t="shared" si="1"/>
        <v>13.166338874999999</v>
      </c>
      <c r="F45" s="37">
        <f t="shared" si="2"/>
        <v>13.062031724889685</v>
      </c>
    </row>
    <row r="46" spans="2:12" x14ac:dyDescent="0.3">
      <c r="B46" s="66">
        <v>680</v>
      </c>
      <c r="C46" s="66">
        <v>13438</v>
      </c>
      <c r="D46" s="37">
        <f t="shared" si="0"/>
        <v>13.438000000000001</v>
      </c>
      <c r="E46" s="37">
        <f t="shared" si="1"/>
        <v>13.548886877999999</v>
      </c>
      <c r="F46" s="37">
        <f t="shared" si="2"/>
        <v>13.433177105513021</v>
      </c>
    </row>
    <row r="47" spans="2:12" x14ac:dyDescent="0.3">
      <c r="B47" s="66">
        <v>690</v>
      </c>
      <c r="C47" s="66">
        <v>13810</v>
      </c>
      <c r="D47" s="37">
        <f t="shared" si="0"/>
        <v>13.81</v>
      </c>
      <c r="E47" s="37">
        <f t="shared" si="1"/>
        <v>13.932369960999997</v>
      </c>
      <c r="F47" s="37">
        <f t="shared" si="2"/>
        <v>13.805496210017367</v>
      </c>
    </row>
    <row r="48" spans="2:12" x14ac:dyDescent="0.3">
      <c r="B48" s="66">
        <v>700</v>
      </c>
      <c r="C48" s="66">
        <v>14184</v>
      </c>
      <c r="D48" s="37">
        <f t="shared" si="0"/>
        <v>14.184000000000001</v>
      </c>
      <c r="E48" s="37">
        <f t="shared" si="1"/>
        <v>14.316788124</v>
      </c>
      <c r="F48" s="37">
        <f t="shared" si="2"/>
        <v>14.178994424768391</v>
      </c>
    </row>
    <row r="49" spans="2:6" x14ac:dyDescent="0.3">
      <c r="B49" s="66">
        <v>710</v>
      </c>
      <c r="C49" s="66">
        <v>14560</v>
      </c>
      <c r="D49" s="37">
        <f t="shared" si="0"/>
        <v>14.56</v>
      </c>
      <c r="E49" s="37">
        <f t="shared" si="1"/>
        <v>14.702141366999998</v>
      </c>
      <c r="F49" s="37">
        <f t="shared" si="2"/>
        <v>14.553676696374037</v>
      </c>
    </row>
    <row r="50" spans="2:6" x14ac:dyDescent="0.3">
      <c r="B50" s="66">
        <v>720</v>
      </c>
      <c r="C50" s="66">
        <v>14936</v>
      </c>
      <c r="D50" s="37">
        <f t="shared" si="0"/>
        <v>14.936</v>
      </c>
      <c r="E50" s="37">
        <f t="shared" si="1"/>
        <v>15.08842969</v>
      </c>
      <c r="F50" s="37">
        <f t="shared" si="2"/>
        <v>14.929547535760907</v>
      </c>
    </row>
    <row r="51" spans="2:6" x14ac:dyDescent="0.3">
      <c r="B51" s="66">
        <v>730</v>
      </c>
      <c r="C51" s="66">
        <v>15314</v>
      </c>
      <c r="D51" s="37">
        <f t="shared" si="0"/>
        <v>15.314</v>
      </c>
      <c r="E51" s="37">
        <f t="shared" si="1"/>
        <v>15.475653092999996</v>
      </c>
      <c r="F51" s="37">
        <f t="shared" si="2"/>
        <v>15.306611022178668</v>
      </c>
    </row>
    <row r="52" spans="2:6" x14ac:dyDescent="0.3">
      <c r="B52" s="66">
        <v>740</v>
      </c>
      <c r="C52" s="66">
        <v>15693</v>
      </c>
      <c r="D52" s="37">
        <f t="shared" si="0"/>
        <v>15.693</v>
      </c>
      <c r="E52" s="37">
        <f t="shared" si="1"/>
        <v>15.863811575999998</v>
      </c>
      <c r="F52" s="37">
        <f t="shared" si="2"/>
        <v>15.684870807132455</v>
      </c>
    </row>
    <row r="53" spans="2:6" x14ac:dyDescent="0.3">
      <c r="B53" s="66">
        <v>750</v>
      </c>
      <c r="C53" s="66">
        <v>16073</v>
      </c>
      <c r="D53" s="37">
        <f t="shared" si="0"/>
        <v>16.073</v>
      </c>
      <c r="E53" s="37">
        <f t="shared" si="1"/>
        <v>16.252905138999999</v>
      </c>
      <c r="F53" s="37">
        <f t="shared" si="2"/>
        <v>16.064330118243255</v>
      </c>
    </row>
    <row r="54" spans="2:6" x14ac:dyDescent="0.3">
      <c r="B54" s="66">
        <v>760</v>
      </c>
      <c r="C54" s="66">
        <v>16454</v>
      </c>
      <c r="D54" s="37">
        <f t="shared" si="0"/>
        <v>16.454000000000001</v>
      </c>
      <c r="E54" s="37">
        <f t="shared" si="1"/>
        <v>16.642933782</v>
      </c>
      <c r="F54" s="37">
        <f t="shared" si="2"/>
        <v>16.444991763036331</v>
      </c>
    </row>
    <row r="55" spans="2:6" x14ac:dyDescent="0.3">
      <c r="B55" s="66">
        <v>770</v>
      </c>
      <c r="C55" s="66">
        <v>16837</v>
      </c>
      <c r="D55" s="37">
        <f t="shared" si="0"/>
        <v>16.837</v>
      </c>
      <c r="E55" s="37">
        <f t="shared" si="1"/>
        <v>17.033897504999999</v>
      </c>
      <c r="F55" s="37">
        <f t="shared" si="2"/>
        <v>16.826858132657609</v>
      </c>
    </row>
    <row r="56" spans="2:6" x14ac:dyDescent="0.3">
      <c r="B56" s="66">
        <v>780</v>
      </c>
      <c r="C56" s="66">
        <v>17221</v>
      </c>
      <c r="D56" s="37">
        <f t="shared" si="0"/>
        <v>17.221</v>
      </c>
      <c r="E56" s="37">
        <f t="shared" si="1"/>
        <v>17.425796307999995</v>
      </c>
      <c r="F56" s="37">
        <f t="shared" si="2"/>
        <v>17.209931205518071</v>
      </c>
    </row>
    <row r="57" spans="2:6" x14ac:dyDescent="0.3">
      <c r="B57" s="66">
        <v>790</v>
      </c>
      <c r="C57" s="66">
        <v>17606</v>
      </c>
      <c r="D57" s="37">
        <f t="shared" si="0"/>
        <v>17.606000000000002</v>
      </c>
      <c r="E57" s="37">
        <f t="shared" si="1"/>
        <v>17.818630190999997</v>
      </c>
      <c r="F57" s="37">
        <f t="shared" si="2"/>
        <v>17.594212550866168</v>
      </c>
    </row>
    <row r="58" spans="2:6" x14ac:dyDescent="0.3">
      <c r="B58" s="66">
        <v>800</v>
      </c>
      <c r="C58" s="66">
        <v>17992</v>
      </c>
      <c r="D58" s="37">
        <f t="shared" si="0"/>
        <v>17.992000000000001</v>
      </c>
      <c r="E58" s="37">
        <f t="shared" si="1"/>
        <v>18.212399153999996</v>
      </c>
      <c r="F58" s="37">
        <f t="shared" si="2"/>
        <v>17.979703332288217</v>
      </c>
    </row>
    <row r="59" spans="2:6" x14ac:dyDescent="0.3">
      <c r="B59" s="66">
        <v>810</v>
      </c>
      <c r="C59" s="66">
        <v>18380</v>
      </c>
      <c r="D59" s="37">
        <f t="shared" si="0"/>
        <v>18.38</v>
      </c>
      <c r="E59" s="37">
        <f t="shared" si="1"/>
        <v>18.607103197000001</v>
      </c>
      <c r="F59" s="37">
        <f t="shared" si="2"/>
        <v>18.366404311136804</v>
      </c>
    </row>
    <row r="60" spans="2:6" x14ac:dyDescent="0.3">
      <c r="B60" s="66">
        <v>820</v>
      </c>
      <c r="C60" s="66">
        <v>18768</v>
      </c>
      <c r="D60" s="37">
        <f t="shared" si="0"/>
        <v>18.768000000000001</v>
      </c>
      <c r="E60" s="37">
        <f t="shared" si="1"/>
        <v>19.002742319999996</v>
      </c>
      <c r="F60" s="37">
        <f t="shared" si="2"/>
        <v>18.754315849887156</v>
      </c>
    </row>
    <row r="61" spans="2:6" x14ac:dyDescent="0.3">
      <c r="B61" s="66">
        <v>830</v>
      </c>
      <c r="C61" s="66">
        <v>19158</v>
      </c>
      <c r="D61" s="37">
        <f t="shared" si="0"/>
        <v>19.158000000000001</v>
      </c>
      <c r="E61" s="37">
        <f t="shared" si="1"/>
        <v>19.399316522999996</v>
      </c>
      <c r="F61" s="37">
        <f t="shared" si="2"/>
        <v>19.143437915421597</v>
      </c>
    </row>
    <row r="62" spans="2:6" x14ac:dyDescent="0.3">
      <c r="B62" s="66">
        <v>840</v>
      </c>
      <c r="C62" s="66">
        <v>19550</v>
      </c>
      <c r="D62" s="37">
        <f t="shared" si="0"/>
        <v>19.55</v>
      </c>
      <c r="E62" s="37">
        <f t="shared" si="1"/>
        <v>19.796825806000001</v>
      </c>
      <c r="F62" s="37">
        <f t="shared" si="2"/>
        <v>19.533770082241883</v>
      </c>
    </row>
    <row r="63" spans="2:6" x14ac:dyDescent="0.3">
      <c r="B63" s="66">
        <v>850</v>
      </c>
      <c r="C63" s="66">
        <v>19942</v>
      </c>
      <c r="D63" s="37">
        <f t="shared" si="0"/>
        <v>19.942</v>
      </c>
      <c r="E63" s="37">
        <f t="shared" si="1"/>
        <v>20.195270168999997</v>
      </c>
      <c r="F63" s="37">
        <f t="shared" si="2"/>
        <v>19.925311535609662</v>
      </c>
    </row>
    <row r="64" spans="2:6" x14ac:dyDescent="0.3">
      <c r="B64" s="66">
        <v>860</v>
      </c>
      <c r="C64" s="66">
        <v>20336</v>
      </c>
      <c r="D64" s="37">
        <f t="shared" si="0"/>
        <v>20.336000000000002</v>
      </c>
      <c r="E64" s="37">
        <f t="shared" si="1"/>
        <v>20.594649611999998</v>
      </c>
      <c r="F64" s="37">
        <f t="shared" si="2"/>
        <v>20.318061074614825</v>
      </c>
    </row>
    <row r="65" spans="2:6" x14ac:dyDescent="0.3">
      <c r="B65" s="66">
        <v>870</v>
      </c>
      <c r="C65" s="66">
        <v>20731</v>
      </c>
      <c r="D65" s="37">
        <f t="shared" si="0"/>
        <v>20.731000000000002</v>
      </c>
      <c r="E65" s="37">
        <f t="shared" si="1"/>
        <v>20.994964134999996</v>
      </c>
      <c r="F65" s="37">
        <f t="shared" si="2"/>
        <v>20.712017115171935</v>
      </c>
    </row>
    <row r="66" spans="2:6" x14ac:dyDescent="0.3">
      <c r="B66" s="66">
        <v>880</v>
      </c>
      <c r="C66" s="66">
        <v>21128</v>
      </c>
      <c r="D66" s="37">
        <f t="shared" si="0"/>
        <v>21.128</v>
      </c>
      <c r="E66" s="37">
        <f t="shared" si="1"/>
        <v>21.396213738</v>
      </c>
      <c r="F66" s="37">
        <f t="shared" si="2"/>
        <v>21.107177692944624</v>
      </c>
    </row>
    <row r="67" spans="2:6" x14ac:dyDescent="0.3">
      <c r="B67" s="66">
        <v>890</v>
      </c>
      <c r="C67" s="66">
        <v>21525</v>
      </c>
      <c r="D67" s="37">
        <f t="shared" si="0"/>
        <v>21.525000000000002</v>
      </c>
      <c r="E67" s="37">
        <f t="shared" si="1"/>
        <v>21.798398420999995</v>
      </c>
      <c r="F67" s="37">
        <f t="shared" si="2"/>
        <v>21.503540466197975</v>
      </c>
    </row>
    <row r="68" spans="2:6" x14ac:dyDescent="0.3">
      <c r="B68" s="66">
        <v>900</v>
      </c>
      <c r="C68" s="66">
        <v>21924</v>
      </c>
      <c r="D68" s="37">
        <f t="shared" si="0"/>
        <v>21.923999999999999</v>
      </c>
      <c r="E68" s="37">
        <f t="shared" si="1"/>
        <v>22.201518183999994</v>
      </c>
      <c r="F68" s="37">
        <f t="shared" si="2"/>
        <v>21.901102718578954</v>
      </c>
    </row>
    <row r="69" spans="2:6" x14ac:dyDescent="0.3">
      <c r="B69" s="66">
        <v>910</v>
      </c>
      <c r="C69" s="66">
        <v>22324</v>
      </c>
      <c r="D69" s="37">
        <f t="shared" si="0"/>
        <v>22.324000000000002</v>
      </c>
      <c r="E69" s="37">
        <f t="shared" si="1"/>
        <v>22.605573026999998</v>
      </c>
      <c r="F69" s="37">
        <f t="shared" si="2"/>
        <v>22.299861361824771</v>
      </c>
    </row>
    <row r="70" spans="2:6" x14ac:dyDescent="0.3">
      <c r="B70" s="66">
        <v>920</v>
      </c>
      <c r="C70" s="66">
        <v>22725</v>
      </c>
      <c r="D70" s="37">
        <f t="shared" si="0"/>
        <v>22.725000000000001</v>
      </c>
      <c r="E70" s="37">
        <f t="shared" si="1"/>
        <v>23.010562950000001</v>
      </c>
      <c r="F70" s="37">
        <f t="shared" si="2"/>
        <v>22.699812938399315</v>
      </c>
    </row>
    <row r="71" spans="2:6" x14ac:dyDescent="0.3">
      <c r="B71" s="66">
        <v>930</v>
      </c>
      <c r="C71" s="66">
        <v>23128</v>
      </c>
      <c r="D71" s="37">
        <f t="shared" si="0"/>
        <v>23.128</v>
      </c>
      <c r="E71" s="37">
        <f t="shared" si="1"/>
        <v>23.416487952999994</v>
      </c>
      <c r="F71" s="37">
        <f t="shared" si="2"/>
        <v>23.100953624057528</v>
      </c>
    </row>
    <row r="72" spans="2:6" x14ac:dyDescent="0.3">
      <c r="B72" s="66">
        <v>940</v>
      </c>
      <c r="C72" s="66">
        <v>23532</v>
      </c>
      <c r="D72" s="37">
        <f t="shared" ref="D72:D135" si="3">C72*10^-3</f>
        <v>23.532</v>
      </c>
      <c r="E72" s="37">
        <f t="shared" ref="E72:E135" si="4">(0.0000046754*B72^2)+(0.0319430103*B72)-10.334265086</f>
        <v>23.823348035999992</v>
      </c>
      <c r="F72" s="37">
        <f t="shared" ref="F72:F135" si="5">(-0.0000000000000000001*B72^6)+(0.0000000000000007567*B72^5)+(-0.0000000000037287389*B72^4)+(0.0000000082065984485*B72^3)+(-0.0000025862295728548*B72^2)+(0.0332742206220155*B72)+(-9.88071424688911)</f>
        <v>23.503279230337821</v>
      </c>
    </row>
    <row r="73" spans="2:6" x14ac:dyDescent="0.3">
      <c r="B73" s="66">
        <v>950</v>
      </c>
      <c r="C73" s="66">
        <v>23937</v>
      </c>
      <c r="D73" s="37">
        <f t="shared" si="3"/>
        <v>23.937000000000001</v>
      </c>
      <c r="E73" s="37">
        <f t="shared" si="4"/>
        <v>24.231143198999995</v>
      </c>
      <c r="F73" s="37">
        <f t="shared" si="5"/>
        <v>23.906785206982473</v>
      </c>
    </row>
    <row r="74" spans="2:6" x14ac:dyDescent="0.3">
      <c r="B74" s="66">
        <v>960</v>
      </c>
      <c r="C74" s="66">
        <v>24343</v>
      </c>
      <c r="D74" s="37">
        <f t="shared" si="3"/>
        <v>24.343</v>
      </c>
      <c r="E74" s="37">
        <f t="shared" si="4"/>
        <v>24.639873441999995</v>
      </c>
      <c r="F74" s="37">
        <f t="shared" si="5"/>
        <v>24.311466644286018</v>
      </c>
    </row>
    <row r="75" spans="2:6" x14ac:dyDescent="0.3">
      <c r="B75" s="66">
        <v>970</v>
      </c>
      <c r="C75" s="66">
        <v>24749</v>
      </c>
      <c r="D75" s="37">
        <f t="shared" si="3"/>
        <v>24.748999999999999</v>
      </c>
      <c r="E75" s="37">
        <f t="shared" si="4"/>
        <v>25.049538764999994</v>
      </c>
      <c r="F75" s="37">
        <f t="shared" si="5"/>
        <v>24.717318275371671</v>
      </c>
    </row>
    <row r="76" spans="2:6" x14ac:dyDescent="0.3">
      <c r="B76" s="66">
        <v>980</v>
      </c>
      <c r="C76" s="66">
        <v>25157</v>
      </c>
      <c r="D76" s="37">
        <f t="shared" si="3"/>
        <v>25.157</v>
      </c>
      <c r="E76" s="37">
        <f t="shared" si="4"/>
        <v>25.460139167999998</v>
      </c>
      <c r="F76" s="37">
        <f t="shared" si="5"/>
        <v>25.124334478395678</v>
      </c>
    </row>
    <row r="77" spans="2:6" x14ac:dyDescent="0.3">
      <c r="B77" s="66">
        <v>990</v>
      </c>
      <c r="C77" s="66">
        <v>25568</v>
      </c>
      <c r="D77" s="37">
        <f t="shared" si="3"/>
        <v>25.568000000000001</v>
      </c>
      <c r="E77" s="37">
        <f t="shared" si="4"/>
        <v>25.871674650999999</v>
      </c>
      <c r="F77" s="37">
        <f t="shared" si="5"/>
        <v>25.532509278679786</v>
      </c>
    </row>
    <row r="78" spans="2:6" x14ac:dyDescent="0.3">
      <c r="B78" s="66">
        <v>1000</v>
      </c>
      <c r="C78" s="66">
        <v>25978</v>
      </c>
      <c r="D78" s="37">
        <f t="shared" si="3"/>
        <v>25.978000000000002</v>
      </c>
      <c r="E78" s="37">
        <f t="shared" si="4"/>
        <v>26.284145213999992</v>
      </c>
      <c r="F78" s="37">
        <f t="shared" si="5"/>
        <v>25.941836350771592</v>
      </c>
    </row>
    <row r="79" spans="2:6" x14ac:dyDescent="0.3">
      <c r="B79" s="66">
        <v>1020</v>
      </c>
      <c r="C79" s="66">
        <v>26805</v>
      </c>
      <c r="D79" s="37">
        <f t="shared" si="3"/>
        <v>26.805</v>
      </c>
      <c r="E79" s="37">
        <f t="shared" si="4"/>
        <v>27.111891579999998</v>
      </c>
      <c r="F79" s="37">
        <f t="shared" si="5"/>
        <v>26.763920266556372</v>
      </c>
    </row>
    <row r="80" spans="2:6" x14ac:dyDescent="0.3">
      <c r="B80" s="66">
        <v>1040</v>
      </c>
      <c r="C80" s="66">
        <v>27638</v>
      </c>
      <c r="D80" s="37">
        <f t="shared" si="3"/>
        <v>27.638000000000002</v>
      </c>
      <c r="E80" s="37">
        <f t="shared" si="4"/>
        <v>27.943378265999996</v>
      </c>
      <c r="F80" s="37">
        <f t="shared" si="5"/>
        <v>27.590528680407257</v>
      </c>
    </row>
    <row r="81" spans="2:6" x14ac:dyDescent="0.3">
      <c r="B81" s="66">
        <v>1060</v>
      </c>
      <c r="C81" s="66">
        <v>28476</v>
      </c>
      <c r="D81" s="37">
        <f t="shared" si="3"/>
        <v>28.475999999999999</v>
      </c>
      <c r="E81" s="37">
        <f t="shared" si="4"/>
        <v>28.778605271999993</v>
      </c>
      <c r="F81" s="37">
        <f t="shared" si="5"/>
        <v>28.421598554364923</v>
      </c>
    </row>
    <row r="82" spans="2:6" x14ac:dyDescent="0.3">
      <c r="B82" s="66">
        <v>1080</v>
      </c>
      <c r="C82" s="66">
        <v>29319</v>
      </c>
      <c r="D82" s="37">
        <f t="shared" si="3"/>
        <v>29.318999999999999</v>
      </c>
      <c r="E82" s="37">
        <f t="shared" si="4"/>
        <v>29.617572597999995</v>
      </c>
      <c r="F82" s="37">
        <f t="shared" si="5"/>
        <v>29.25706141111424</v>
      </c>
    </row>
    <row r="83" spans="2:6" x14ac:dyDescent="0.3">
      <c r="B83" s="66">
        <v>1100</v>
      </c>
      <c r="C83" s="66">
        <v>30167</v>
      </c>
      <c r="D83" s="37">
        <f t="shared" si="3"/>
        <v>30.167000000000002</v>
      </c>
      <c r="E83" s="37">
        <f t="shared" si="4"/>
        <v>30.460280243999996</v>
      </c>
      <c r="F83" s="37">
        <f t="shared" si="5"/>
        <v>30.096843382637136</v>
      </c>
    </row>
    <row r="84" spans="2:6" x14ac:dyDescent="0.3">
      <c r="B84" s="66">
        <v>1120</v>
      </c>
      <c r="C84" s="66">
        <v>31019</v>
      </c>
      <c r="D84" s="37">
        <f t="shared" si="3"/>
        <v>31.019000000000002</v>
      </c>
      <c r="E84" s="37">
        <f t="shared" si="4"/>
        <v>31.306728209999996</v>
      </c>
      <c r="F84" s="37">
        <f t="shared" si="5"/>
        <v>30.940865254257336</v>
      </c>
    </row>
    <row r="85" spans="2:6" x14ac:dyDescent="0.3">
      <c r="B85" s="66">
        <v>1140</v>
      </c>
      <c r="C85" s="66">
        <v>31876</v>
      </c>
      <c r="D85" s="37">
        <f t="shared" si="3"/>
        <v>31.876000000000001</v>
      </c>
      <c r="E85" s="37">
        <f t="shared" si="4"/>
        <v>32.156916495999994</v>
      </c>
      <c r="F85" s="37">
        <f t="shared" si="5"/>
        <v>31.789042504077198</v>
      </c>
    </row>
    <row r="86" spans="2:6" x14ac:dyDescent="0.3">
      <c r="B86" s="66">
        <v>1160</v>
      </c>
      <c r="C86" s="66">
        <v>32738</v>
      </c>
      <c r="D86" s="37">
        <f t="shared" si="3"/>
        <v>32.738</v>
      </c>
      <c r="E86" s="37">
        <f t="shared" si="4"/>
        <v>33.010845101999998</v>
      </c>
      <c r="F86" s="37">
        <f t="shared" si="5"/>
        <v>32.641285337806522</v>
      </c>
    </row>
    <row r="87" spans="2:6" x14ac:dyDescent="0.3">
      <c r="B87" s="66">
        <v>1180</v>
      </c>
      <c r="C87" s="66">
        <v>33605</v>
      </c>
      <c r="D87" s="37">
        <f t="shared" si="3"/>
        <v>33.605000000000004</v>
      </c>
      <c r="E87" s="37">
        <f t="shared" si="4"/>
        <v>33.868514027999993</v>
      </c>
      <c r="F87" s="37">
        <f t="shared" si="5"/>
        <v>33.497498718983309</v>
      </c>
    </row>
    <row r="88" spans="2:6" x14ac:dyDescent="0.3">
      <c r="B88" s="66">
        <v>1200</v>
      </c>
      <c r="C88" s="66">
        <v>34476</v>
      </c>
      <c r="D88" s="37">
        <f t="shared" si="3"/>
        <v>34.475999999999999</v>
      </c>
      <c r="E88" s="37">
        <f t="shared" si="4"/>
        <v>34.729923273999994</v>
      </c>
      <c r="F88" s="37">
        <f t="shared" si="5"/>
        <v>34.357582394586586</v>
      </c>
    </row>
    <row r="89" spans="2:6" x14ac:dyDescent="0.3">
      <c r="B89" s="66">
        <v>1220</v>
      </c>
      <c r="C89" s="66">
        <v>35352</v>
      </c>
      <c r="D89" s="37">
        <f t="shared" si="3"/>
        <v>35.352000000000004</v>
      </c>
      <c r="E89" s="37">
        <f t="shared" si="4"/>
        <v>35.595072839999993</v>
      </c>
      <c r="F89" s="37">
        <f t="shared" si="5"/>
        <v>35.2214309160412</v>
      </c>
    </row>
    <row r="90" spans="2:6" x14ac:dyDescent="0.3">
      <c r="B90" s="66">
        <v>1240</v>
      </c>
      <c r="C90" s="66">
        <v>36233</v>
      </c>
      <c r="D90" s="37">
        <f t="shared" si="3"/>
        <v>36.233000000000004</v>
      </c>
      <c r="E90" s="37">
        <f t="shared" si="4"/>
        <v>36.463962725999991</v>
      </c>
      <c r="F90" s="37">
        <f t="shared" si="5"/>
        <v>36.088933655614653</v>
      </c>
    </row>
    <row r="91" spans="2:6" x14ac:dyDescent="0.3">
      <c r="B91" s="66">
        <v>1260</v>
      </c>
      <c r="C91" s="66">
        <v>37118</v>
      </c>
      <c r="D91" s="37">
        <f t="shared" si="3"/>
        <v>37.118000000000002</v>
      </c>
      <c r="E91" s="37">
        <f t="shared" si="4"/>
        <v>37.336592931999995</v>
      </c>
      <c r="F91" s="37">
        <f t="shared" si="5"/>
        <v>36.959974818205836</v>
      </c>
    </row>
    <row r="92" spans="2:6" x14ac:dyDescent="0.3">
      <c r="B92" s="66">
        <v>1280</v>
      </c>
      <c r="C92" s="66">
        <v>38008</v>
      </c>
      <c r="D92" s="37">
        <f t="shared" si="3"/>
        <v>38.008000000000003</v>
      </c>
      <c r="E92" s="37">
        <f t="shared" si="4"/>
        <v>38.21296345799999</v>
      </c>
      <c r="F92" s="37">
        <f t="shared" si="5"/>
        <v>37.834433448525886</v>
      </c>
    </row>
    <row r="93" spans="2:6" x14ac:dyDescent="0.3">
      <c r="B93" s="66">
        <v>1300</v>
      </c>
      <c r="C93" s="66">
        <v>38903</v>
      </c>
      <c r="D93" s="37">
        <f t="shared" si="3"/>
        <v>38.902999999999999</v>
      </c>
      <c r="E93" s="37">
        <f t="shared" si="4"/>
        <v>39.093074303999998</v>
      </c>
      <c r="F93" s="37">
        <f t="shared" si="5"/>
        <v>38.71218343367093</v>
      </c>
    </row>
    <row r="94" spans="2:6" x14ac:dyDescent="0.3">
      <c r="B94" s="66">
        <v>1320</v>
      </c>
      <c r="C94" s="66">
        <v>39803</v>
      </c>
      <c r="D94" s="37">
        <f t="shared" si="3"/>
        <v>39.803000000000004</v>
      </c>
      <c r="E94" s="37">
        <f t="shared" si="4"/>
        <v>39.976925469999998</v>
      </c>
      <c r="F94" s="37">
        <f t="shared" si="5"/>
        <v>39.593093501086969</v>
      </c>
    </row>
    <row r="95" spans="2:6" x14ac:dyDescent="0.3">
      <c r="B95" s="66">
        <v>1340</v>
      </c>
      <c r="C95" s="66">
        <v>40708</v>
      </c>
      <c r="D95" s="37">
        <f t="shared" si="3"/>
        <v>40.707999999999998</v>
      </c>
      <c r="E95" s="37">
        <f t="shared" si="4"/>
        <v>40.864516956000003</v>
      </c>
      <c r="F95" s="37">
        <f t="shared" si="5"/>
        <v>40.477027211926611</v>
      </c>
    </row>
    <row r="96" spans="2:6" x14ac:dyDescent="0.3">
      <c r="B96" s="66">
        <v>1360</v>
      </c>
      <c r="C96" s="66">
        <v>41617</v>
      </c>
      <c r="D96" s="37">
        <f t="shared" si="3"/>
        <v>41.616999999999997</v>
      </c>
      <c r="E96" s="37">
        <f t="shared" si="4"/>
        <v>41.755848761999999</v>
      </c>
      <c r="F96" s="37">
        <f t="shared" si="5"/>
        <v>41.363842949797842</v>
      </c>
    </row>
    <row r="97" spans="2:6" x14ac:dyDescent="0.3">
      <c r="B97" s="66">
        <v>1380</v>
      </c>
      <c r="C97" s="66">
        <v>42530</v>
      </c>
      <c r="D97" s="37">
        <f t="shared" si="3"/>
        <v>42.53</v>
      </c>
      <c r="E97" s="37">
        <f t="shared" si="4"/>
        <v>42.650920887999995</v>
      </c>
      <c r="F97" s="37">
        <f t="shared" si="5"/>
        <v>42.253393904904954</v>
      </c>
    </row>
    <row r="98" spans="2:6" x14ac:dyDescent="0.3">
      <c r="B98" s="66">
        <v>1400</v>
      </c>
      <c r="C98" s="66">
        <v>43447</v>
      </c>
      <c r="D98" s="37">
        <f t="shared" si="3"/>
        <v>43.447000000000003</v>
      </c>
      <c r="E98" s="37">
        <f t="shared" si="4"/>
        <v>43.549733333999995</v>
      </c>
      <c r="F98" s="37">
        <f t="shared" si="5"/>
        <v>43.145528053581188</v>
      </c>
    </row>
    <row r="99" spans="2:6" x14ac:dyDescent="0.3">
      <c r="B99" s="66">
        <v>1420</v>
      </c>
      <c r="C99" s="66">
        <v>44369</v>
      </c>
      <c r="D99" s="37">
        <f t="shared" si="3"/>
        <v>44.369</v>
      </c>
      <c r="E99" s="37">
        <f t="shared" si="4"/>
        <v>44.452286099999995</v>
      </c>
      <c r="F99" s="37">
        <f t="shared" si="5"/>
        <v>44.040088133213644</v>
      </c>
    </row>
    <row r="100" spans="2:6" x14ac:dyDescent="0.3">
      <c r="B100" s="66">
        <v>1440</v>
      </c>
      <c r="C100" s="66">
        <v>45294</v>
      </c>
      <c r="D100" s="37">
        <f t="shared" si="3"/>
        <v>45.294000000000004</v>
      </c>
      <c r="E100" s="37">
        <f t="shared" si="4"/>
        <v>45.358579186</v>
      </c>
      <c r="F100" s="37">
        <f t="shared" si="5"/>
        <v>44.936911612560053</v>
      </c>
    </row>
    <row r="101" spans="2:6" x14ac:dyDescent="0.3">
      <c r="B101" s="66">
        <v>1460</v>
      </c>
      <c r="C101" s="66">
        <v>46224</v>
      </c>
      <c r="D101" s="37">
        <f t="shared" si="3"/>
        <v>46.224000000000004</v>
      </c>
      <c r="E101" s="37">
        <f t="shared" si="4"/>
        <v>46.268612591999997</v>
      </c>
      <c r="F101" s="37">
        <f t="shared" si="5"/>
        <v>45.835830657457564</v>
      </c>
    </row>
    <row r="102" spans="2:6" x14ac:dyDescent="0.3">
      <c r="B102" s="66">
        <v>1480</v>
      </c>
      <c r="C102" s="66">
        <v>47158</v>
      </c>
      <c r="D102" s="37">
        <f t="shared" si="3"/>
        <v>47.158000000000001</v>
      </c>
      <c r="E102" s="37">
        <f t="shared" si="4"/>
        <v>47.182386317999999</v>
      </c>
      <c r="F102" s="37">
        <f t="shared" si="5"/>
        <v>46.736672091923523</v>
      </c>
    </row>
    <row r="103" spans="2:6" x14ac:dyDescent="0.3">
      <c r="B103" s="66">
        <v>1500</v>
      </c>
      <c r="C103" s="66">
        <v>48095</v>
      </c>
      <c r="D103" s="37">
        <f t="shared" si="3"/>
        <v>48.094999999999999</v>
      </c>
      <c r="E103" s="37">
        <f t="shared" si="4"/>
        <v>48.099900363999993</v>
      </c>
      <c r="F103" s="37">
        <f t="shared" si="5"/>
        <v>47.639257354648336</v>
      </c>
    </row>
    <row r="104" spans="2:6" x14ac:dyDescent="0.3">
      <c r="B104" s="66">
        <v>1520</v>
      </c>
      <c r="C104" s="66">
        <v>49038</v>
      </c>
      <c r="D104" s="37">
        <f t="shared" si="3"/>
        <v>49.038000000000004</v>
      </c>
      <c r="E104" s="37">
        <f t="shared" si="4"/>
        <v>49.021154729999999</v>
      </c>
      <c r="F104" s="37">
        <f t="shared" si="5"/>
        <v>48.543402450880222</v>
      </c>
    </row>
    <row r="105" spans="2:6" x14ac:dyDescent="0.3">
      <c r="B105" s="66">
        <v>1540</v>
      </c>
      <c r="C105" s="66">
        <v>49984</v>
      </c>
      <c r="D105" s="37">
        <f t="shared" si="3"/>
        <v>49.984000000000002</v>
      </c>
      <c r="E105" s="37">
        <f t="shared" si="4"/>
        <v>49.946149415999997</v>
      </c>
      <c r="F105" s="37">
        <f t="shared" si="5"/>
        <v>49.44891789970201</v>
      </c>
    </row>
    <row r="106" spans="2:6" x14ac:dyDescent="0.3">
      <c r="B106" s="66">
        <v>1560</v>
      </c>
      <c r="C106" s="66">
        <v>50934</v>
      </c>
      <c r="D106" s="37">
        <f t="shared" si="3"/>
        <v>50.934000000000005</v>
      </c>
      <c r="E106" s="37">
        <f t="shared" si="4"/>
        <v>50.874884421999994</v>
      </c>
      <c r="F106" s="37">
        <f t="shared" si="5"/>
        <v>50.355608676699987</v>
      </c>
    </row>
    <row r="107" spans="2:6" x14ac:dyDescent="0.3">
      <c r="B107" s="66">
        <v>1580</v>
      </c>
      <c r="C107" s="66">
        <v>51888</v>
      </c>
      <c r="D107" s="37">
        <f t="shared" si="3"/>
        <v>51.887999999999998</v>
      </c>
      <c r="E107" s="37">
        <f t="shared" si="4"/>
        <v>51.807359747999996</v>
      </c>
      <c r="F107" s="37">
        <f t="shared" si="5"/>
        <v>51.263274152024607</v>
      </c>
    </row>
    <row r="108" spans="2:6" x14ac:dyDescent="0.3">
      <c r="B108" s="66">
        <v>1600</v>
      </c>
      <c r="C108" s="66">
        <v>52844</v>
      </c>
      <c r="D108" s="37">
        <f t="shared" si="3"/>
        <v>52.844000000000001</v>
      </c>
      <c r="E108" s="37">
        <f t="shared" si="4"/>
        <v>52.74357539399999</v>
      </c>
      <c r="F108" s="37">
        <f t="shared" si="5"/>
        <v>52.171708023843394</v>
      </c>
    </row>
    <row r="109" spans="2:6" x14ac:dyDescent="0.3">
      <c r="B109" s="66">
        <v>1620</v>
      </c>
      <c r="C109" s="66">
        <v>53805</v>
      </c>
      <c r="D109" s="37">
        <f t="shared" si="3"/>
        <v>53.805</v>
      </c>
      <c r="E109" s="37">
        <f t="shared" si="4"/>
        <v>53.683531360000003</v>
      </c>
      <c r="F109" s="37">
        <f t="shared" si="5"/>
        <v>53.080698247185708</v>
      </c>
    </row>
    <row r="110" spans="2:6" x14ac:dyDescent="0.3">
      <c r="B110" s="66">
        <v>1640</v>
      </c>
      <c r="C110" s="66">
        <v>54771</v>
      </c>
      <c r="D110" s="37">
        <f t="shared" si="3"/>
        <v>54.771000000000001</v>
      </c>
      <c r="E110" s="37">
        <f t="shared" si="4"/>
        <v>54.627227645999994</v>
      </c>
      <c r="F110" s="37">
        <f t="shared" si="5"/>
        <v>53.99002695817947</v>
      </c>
    </row>
    <row r="111" spans="2:6" x14ac:dyDescent="0.3">
      <c r="B111" s="66">
        <v>1660</v>
      </c>
      <c r="C111" s="66">
        <v>55739</v>
      </c>
      <c r="D111" s="37">
        <f t="shared" si="3"/>
        <v>55.739000000000004</v>
      </c>
      <c r="E111" s="37">
        <f t="shared" si="4"/>
        <v>55.574664252000005</v>
      </c>
      <c r="F111" s="37">
        <f t="shared" si="5"/>
        <v>54.899470393680105</v>
      </c>
    </row>
    <row r="112" spans="2:6" x14ac:dyDescent="0.3">
      <c r="B112" s="66">
        <v>1680</v>
      </c>
      <c r="C112" s="66">
        <v>56710</v>
      </c>
      <c r="D112" s="37">
        <f t="shared" si="3"/>
        <v>56.71</v>
      </c>
      <c r="E112" s="37">
        <f t="shared" si="4"/>
        <v>56.525841177999993</v>
      </c>
      <c r="F112" s="37">
        <f t="shared" si="5"/>
        <v>55.808798806291179</v>
      </c>
    </row>
    <row r="113" spans="2:6" x14ac:dyDescent="0.3">
      <c r="B113" s="66">
        <v>1700</v>
      </c>
      <c r="C113" s="66">
        <v>57685</v>
      </c>
      <c r="D113" s="37">
        <f t="shared" si="3"/>
        <v>57.685000000000002</v>
      </c>
      <c r="E113" s="37">
        <f t="shared" si="4"/>
        <v>57.480758424000001</v>
      </c>
      <c r="F113" s="37">
        <f t="shared" si="5"/>
        <v>56.717776374777372</v>
      </c>
    </row>
    <row r="114" spans="2:6" x14ac:dyDescent="0.3">
      <c r="B114" s="66">
        <v>1720</v>
      </c>
      <c r="C114" s="66">
        <v>58663</v>
      </c>
      <c r="D114" s="37">
        <f t="shared" si="3"/>
        <v>58.663000000000004</v>
      </c>
      <c r="E114" s="37">
        <f t="shared" si="4"/>
        <v>58.439415990000001</v>
      </c>
      <c r="F114" s="37">
        <f t="shared" si="5"/>
        <v>57.626161109869088</v>
      </c>
    </row>
    <row r="115" spans="2:6" x14ac:dyDescent="0.3">
      <c r="B115" s="66">
        <v>1740</v>
      </c>
      <c r="C115" s="66">
        <v>59646</v>
      </c>
      <c r="D115" s="37">
        <f t="shared" si="3"/>
        <v>59.646000000000001</v>
      </c>
      <c r="E115" s="37">
        <f t="shared" si="4"/>
        <v>59.401813875999991</v>
      </c>
      <c r="F115" s="37">
        <f t="shared" si="5"/>
        <v>58.533704755459439</v>
      </c>
    </row>
    <row r="116" spans="2:6" x14ac:dyDescent="0.3">
      <c r="B116" s="66">
        <v>1760</v>
      </c>
      <c r="C116" s="66">
        <v>60631</v>
      </c>
      <c r="D116" s="37">
        <f t="shared" si="3"/>
        <v>60.631</v>
      </c>
      <c r="E116" s="37">
        <f t="shared" si="4"/>
        <v>60.367952082000002</v>
      </c>
      <c r="F116" s="37">
        <f t="shared" si="5"/>
        <v>59.440152685192928</v>
      </c>
    </row>
    <row r="117" spans="2:6" x14ac:dyDescent="0.3">
      <c r="B117" s="66">
        <v>1780</v>
      </c>
      <c r="C117" s="66">
        <v>61619</v>
      </c>
      <c r="D117" s="37">
        <f t="shared" si="3"/>
        <v>61.619</v>
      </c>
      <c r="E117" s="37">
        <f t="shared" si="4"/>
        <v>61.33783060799999</v>
      </c>
      <c r="F117" s="37">
        <f t="shared" si="5"/>
        <v>60.345243794446276</v>
      </c>
    </row>
    <row r="118" spans="2:6" x14ac:dyDescent="0.3">
      <c r="B118" s="66">
        <v>1800</v>
      </c>
      <c r="C118" s="66">
        <v>62609</v>
      </c>
      <c r="D118" s="37">
        <f t="shared" si="3"/>
        <v>62.609000000000002</v>
      </c>
      <c r="E118" s="37">
        <f t="shared" si="4"/>
        <v>62.311449453999998</v>
      </c>
      <c r="F118" s="37">
        <f t="shared" si="5"/>
        <v>61.248710387701237</v>
      </c>
    </row>
    <row r="119" spans="2:6" x14ac:dyDescent="0.3">
      <c r="B119" s="66">
        <v>1820</v>
      </c>
      <c r="C119" s="66">
        <v>63603</v>
      </c>
      <c r="D119" s="37">
        <f t="shared" si="3"/>
        <v>63.603000000000002</v>
      </c>
      <c r="E119" s="37">
        <f t="shared" si="4"/>
        <v>63.288808619999998</v>
      </c>
      <c r="F119" s="37">
        <f t="shared" si="5"/>
        <v>62.150278061309379</v>
      </c>
    </row>
    <row r="120" spans="2:6" x14ac:dyDescent="0.3">
      <c r="B120" s="66">
        <v>1840</v>
      </c>
      <c r="C120" s="66">
        <v>64602</v>
      </c>
      <c r="D120" s="37">
        <f t="shared" si="3"/>
        <v>64.602000000000004</v>
      </c>
      <c r="E120" s="37">
        <f t="shared" si="4"/>
        <v>64.269908106000003</v>
      </c>
      <c r="F120" s="37">
        <f t="shared" si="5"/>
        <v>63.04966558164891</v>
      </c>
    </row>
    <row r="121" spans="2:6" x14ac:dyDescent="0.3">
      <c r="B121" s="66">
        <v>1860</v>
      </c>
      <c r="C121" s="66">
        <v>65602</v>
      </c>
      <c r="D121" s="37">
        <f t="shared" si="3"/>
        <v>65.602000000000004</v>
      </c>
      <c r="E121" s="37">
        <f t="shared" si="4"/>
        <v>65.254747911999999</v>
      </c>
      <c r="F121" s="37">
        <f t="shared" si="5"/>
        <v>63.946584758673467</v>
      </c>
    </row>
    <row r="122" spans="2:6" x14ac:dyDescent="0.3">
      <c r="B122" s="66">
        <v>1880</v>
      </c>
      <c r="C122" s="66">
        <v>66607</v>
      </c>
      <c r="D122" s="37">
        <f t="shared" si="3"/>
        <v>66.606999999999999</v>
      </c>
      <c r="E122" s="37">
        <f t="shared" si="4"/>
        <v>66.243328037999987</v>
      </c>
      <c r="F122" s="37">
        <f t="shared" si="5"/>
        <v>64.840740314852866</v>
      </c>
    </row>
    <row r="123" spans="2:6" x14ac:dyDescent="0.3">
      <c r="B123" s="66">
        <v>1900</v>
      </c>
      <c r="C123" s="66">
        <v>67613</v>
      </c>
      <c r="D123" s="37">
        <f t="shared" si="3"/>
        <v>67.613</v>
      </c>
      <c r="E123" s="37">
        <f t="shared" si="4"/>
        <v>67.235648483999995</v>
      </c>
      <c r="F123" s="37">
        <f t="shared" si="5"/>
        <v>65.731829749506019</v>
      </c>
    </row>
    <row r="124" spans="2:6" x14ac:dyDescent="0.3">
      <c r="B124" s="66">
        <v>1920</v>
      </c>
      <c r="C124" s="66">
        <v>68623</v>
      </c>
      <c r="D124" s="37">
        <f t="shared" si="3"/>
        <v>68.623000000000005</v>
      </c>
      <c r="E124" s="37">
        <f t="shared" si="4"/>
        <v>68.231709249999994</v>
      </c>
      <c r="F124" s="37">
        <f t="shared" si="5"/>
        <v>66.619543198525577</v>
      </c>
    </row>
    <row r="125" spans="2:6" x14ac:dyDescent="0.3">
      <c r="B125" s="66">
        <v>1940</v>
      </c>
      <c r="C125" s="66">
        <v>69636</v>
      </c>
      <c r="D125" s="37">
        <f t="shared" si="3"/>
        <v>69.635999999999996</v>
      </c>
      <c r="E125" s="37">
        <f t="shared" si="4"/>
        <v>69.231510335999999</v>
      </c>
      <c r="F125" s="37">
        <f t="shared" si="5"/>
        <v>67.503563289494892</v>
      </c>
    </row>
    <row r="126" spans="2:6" x14ac:dyDescent="0.3">
      <c r="B126" s="66">
        <v>1960</v>
      </c>
      <c r="C126" s="66">
        <v>70651</v>
      </c>
      <c r="D126" s="37">
        <f t="shared" si="3"/>
        <v>70.650999999999996</v>
      </c>
      <c r="E126" s="37">
        <f t="shared" si="4"/>
        <v>70.235051741999996</v>
      </c>
      <c r="F126" s="37">
        <f t="shared" si="5"/>
        <v>68.383564992196696</v>
      </c>
    </row>
    <row r="127" spans="2:6" x14ac:dyDescent="0.3">
      <c r="B127" s="66">
        <v>1980</v>
      </c>
      <c r="C127" s="66">
        <v>71669</v>
      </c>
      <c r="D127" s="37">
        <f t="shared" si="3"/>
        <v>71.668999999999997</v>
      </c>
      <c r="E127" s="37">
        <f t="shared" si="4"/>
        <v>71.242333467999998</v>
      </c>
      <c r="F127" s="37">
        <f t="shared" si="5"/>
        <v>69.259215464513957</v>
      </c>
    </row>
    <row r="128" spans="2:6" x14ac:dyDescent="0.3">
      <c r="B128" s="66">
        <v>2000</v>
      </c>
      <c r="C128" s="66">
        <v>72689</v>
      </c>
      <c r="D128" s="37">
        <f t="shared" si="3"/>
        <v>72.689000000000007</v>
      </c>
      <c r="E128" s="37">
        <f t="shared" si="4"/>
        <v>72.253355513999992</v>
      </c>
      <c r="F128" s="37">
        <f t="shared" si="5"/>
        <v>70.13017389372267</v>
      </c>
    </row>
    <row r="129" spans="2:6" x14ac:dyDescent="0.3">
      <c r="B129" s="66">
        <v>2050</v>
      </c>
      <c r="C129" s="66">
        <v>75252</v>
      </c>
      <c r="D129" s="37">
        <f t="shared" si="3"/>
        <v>75.251999999999995</v>
      </c>
      <c r="E129" s="37">
        <f t="shared" si="4"/>
        <v>74.797274528999992</v>
      </c>
      <c r="F129" s="37">
        <f t="shared" si="5"/>
        <v>72.284731843092061</v>
      </c>
    </row>
    <row r="130" spans="2:6" x14ac:dyDescent="0.3">
      <c r="B130" s="66">
        <v>2100</v>
      </c>
      <c r="C130" s="66">
        <v>77849</v>
      </c>
      <c r="D130" s="37">
        <f t="shared" si="3"/>
        <v>77.849000000000004</v>
      </c>
      <c r="E130" s="37">
        <f t="shared" si="4"/>
        <v>77.364570544000003</v>
      </c>
      <c r="F130" s="37">
        <f t="shared" si="5"/>
        <v>74.402078040522269</v>
      </c>
    </row>
    <row r="131" spans="2:6" x14ac:dyDescent="0.3">
      <c r="B131" s="66">
        <v>2150</v>
      </c>
      <c r="C131" s="66">
        <v>80426</v>
      </c>
      <c r="D131" s="37">
        <f t="shared" si="3"/>
        <v>80.426000000000002</v>
      </c>
      <c r="E131" s="37">
        <f t="shared" si="4"/>
        <v>79.955243558999996</v>
      </c>
      <c r="F131" s="37">
        <f t="shared" si="5"/>
        <v>76.476187986759712</v>
      </c>
    </row>
    <row r="132" spans="2:6" x14ac:dyDescent="0.3">
      <c r="B132" s="66">
        <v>2200</v>
      </c>
      <c r="C132" s="66">
        <v>83036</v>
      </c>
      <c r="D132" s="37">
        <f t="shared" si="3"/>
        <v>83.036000000000001</v>
      </c>
      <c r="E132" s="37">
        <f t="shared" si="4"/>
        <v>82.569293573999985</v>
      </c>
      <c r="F132" s="37">
        <f t="shared" si="5"/>
        <v>78.500677236715759</v>
      </c>
    </row>
    <row r="133" spans="2:6" x14ac:dyDescent="0.3">
      <c r="B133" s="66">
        <v>2250</v>
      </c>
      <c r="C133" s="66">
        <v>85658</v>
      </c>
      <c r="D133" s="37">
        <f t="shared" si="3"/>
        <v>85.658000000000001</v>
      </c>
      <c r="E133" s="37">
        <f t="shared" si="4"/>
        <v>85.206720589</v>
      </c>
      <c r="F133" s="37">
        <f t="shared" si="5"/>
        <v>80.46878196321677</v>
      </c>
    </row>
    <row r="134" spans="2:6" x14ac:dyDescent="0.3">
      <c r="B134" s="66">
        <v>2300</v>
      </c>
      <c r="C134" s="66">
        <v>88295</v>
      </c>
      <c r="D134" s="37">
        <f t="shared" si="3"/>
        <v>88.295000000000002</v>
      </c>
      <c r="E134" s="37">
        <f t="shared" si="4"/>
        <v>87.867524603999996</v>
      </c>
      <c r="F134" s="37">
        <f t="shared" si="5"/>
        <v>82.373338395754132</v>
      </c>
    </row>
    <row r="135" spans="2:6" x14ac:dyDescent="0.3">
      <c r="B135" s="66">
        <v>2350</v>
      </c>
      <c r="C135" s="66">
        <v>90942</v>
      </c>
      <c r="D135" s="37">
        <f t="shared" si="3"/>
        <v>90.942000000000007</v>
      </c>
      <c r="E135" s="37">
        <f t="shared" si="4"/>
        <v>90.551705618999989</v>
      </c>
      <c r="F135" s="37">
        <f t="shared" si="5"/>
        <v>84.206761134234256</v>
      </c>
    </row>
    <row r="136" spans="2:6" x14ac:dyDescent="0.3">
      <c r="B136" s="66">
        <v>2400</v>
      </c>
      <c r="C136" s="66">
        <v>93604</v>
      </c>
      <c r="D136" s="37">
        <f t="shared" ref="D136:D147" si="6">C136*10^-3</f>
        <v>93.603999999999999</v>
      </c>
      <c r="E136" s="37">
        <f t="shared" ref="E136:E147" si="7">(0.0000046754*B136^2)+(0.0319430103*B136)-10.334265086</f>
        <v>93.259263633999993</v>
      </c>
      <c r="F136" s="37">
        <f t="shared" ref="F136:F147" si="8">(-0.0000000000000000001*B136^6)+(0.0000000000000007567*B136^5)+(-0.0000000000037287389*B136^4)+(0.0000000082065984485*B136^3)+(-0.0000025862295728548*B136^2)+(0.0332742206220155*B136)+(-9.88071424688911)</f>
        <v>85.961020337728428</v>
      </c>
    </row>
    <row r="137" spans="2:6" x14ac:dyDescent="0.3">
      <c r="B137" s="66">
        <v>2450</v>
      </c>
      <c r="C137" s="66">
        <v>96279</v>
      </c>
      <c r="D137" s="37">
        <f t="shared" si="6"/>
        <v>96.278999999999996</v>
      </c>
      <c r="E137" s="37">
        <f t="shared" si="7"/>
        <v>95.990198648999993</v>
      </c>
      <c r="F137" s="37">
        <f t="shared" si="8"/>
        <v>87.627617788223105</v>
      </c>
    </row>
    <row r="138" spans="2:6" x14ac:dyDescent="0.3">
      <c r="B138" s="66">
        <v>2500</v>
      </c>
      <c r="C138" s="66">
        <v>98964</v>
      </c>
      <c r="D138" s="37">
        <f t="shared" si="6"/>
        <v>98.963999999999999</v>
      </c>
      <c r="E138" s="37">
        <f t="shared" si="7"/>
        <v>98.744510663999989</v>
      </c>
      <c r="F138" s="37">
        <f t="shared" si="8"/>
        <v>89.197561829369619</v>
      </c>
    </row>
    <row r="139" spans="2:6" x14ac:dyDescent="0.3">
      <c r="B139" s="66">
        <v>2550</v>
      </c>
      <c r="C139" s="66">
        <v>101661</v>
      </c>
      <c r="D139" s="37">
        <f t="shared" si="6"/>
        <v>101.661</v>
      </c>
      <c r="E139" s="37">
        <f t="shared" si="7"/>
        <v>101.522199679</v>
      </c>
      <c r="F139" s="37">
        <f t="shared" si="8"/>
        <v>90.661341180234388</v>
      </c>
    </row>
    <row r="140" spans="2:6" x14ac:dyDescent="0.3">
      <c r="B140" s="66">
        <v>2600</v>
      </c>
      <c r="C140" s="66">
        <v>104379</v>
      </c>
      <c r="D140" s="37">
        <f t="shared" si="6"/>
        <v>104.379</v>
      </c>
      <c r="E140" s="37">
        <f t="shared" si="7"/>
        <v>104.323265694</v>
      </c>
      <c r="F140" s="37">
        <f t="shared" si="8"/>
        <v>92.008897624048728</v>
      </c>
    </row>
    <row r="141" spans="2:6" x14ac:dyDescent="0.3">
      <c r="B141" s="66">
        <v>2650</v>
      </c>
      <c r="C141" s="66">
        <v>107087</v>
      </c>
      <c r="D141" s="37">
        <f t="shared" si="6"/>
        <v>107.087</v>
      </c>
      <c r="E141" s="37">
        <f t="shared" si="7"/>
        <v>107.14770870899999</v>
      </c>
      <c r="F141" s="37">
        <f t="shared" si="8"/>
        <v>93.229597571959033</v>
      </c>
    </row>
    <row r="142" spans="2:6" x14ac:dyDescent="0.3">
      <c r="B142" s="66">
        <v>2700</v>
      </c>
      <c r="C142" s="66">
        <v>109813</v>
      </c>
      <c r="D142" s="37">
        <f t="shared" si="6"/>
        <v>109.813</v>
      </c>
      <c r="E142" s="37">
        <f t="shared" si="7"/>
        <v>109.99552872399998</v>
      </c>
      <c r="F142" s="37">
        <f t="shared" si="8"/>
        <v>94.312202501776738</v>
      </c>
    </row>
    <row r="143" spans="2:6" x14ac:dyDescent="0.3">
      <c r="B143" s="66">
        <v>2750</v>
      </c>
      <c r="C143" s="66">
        <v>112549</v>
      </c>
      <c r="D143" s="37">
        <f t="shared" si="6"/>
        <v>112.54900000000001</v>
      </c>
      <c r="E143" s="37">
        <f t="shared" si="7"/>
        <v>112.86672573899999</v>
      </c>
      <c r="F143" s="37">
        <f t="shared" si="8"/>
        <v>95.244838271728113</v>
      </c>
    </row>
    <row r="144" spans="2:6" x14ac:dyDescent="0.3">
      <c r="B144" s="66">
        <v>2800</v>
      </c>
      <c r="C144" s="66">
        <v>115294</v>
      </c>
      <c r="D144" s="37">
        <f t="shared" si="6"/>
        <v>115.294</v>
      </c>
      <c r="E144" s="37">
        <f t="shared" si="7"/>
        <v>115.76129975399999</v>
      </c>
      <c r="F144" s="37">
        <f t="shared" si="8"/>
        <v>96.01496330920466</v>
      </c>
    </row>
    <row r="145" spans="2:6" x14ac:dyDescent="0.3">
      <c r="B145" s="66">
        <v>2850</v>
      </c>
      <c r="C145" s="66">
        <v>118048</v>
      </c>
      <c r="D145" s="37">
        <f t="shared" si="6"/>
        <v>118.048</v>
      </c>
      <c r="E145" s="37">
        <f t="shared" si="7"/>
        <v>118.67925076899998</v>
      </c>
      <c r="F145" s="37">
        <f t="shared" si="8"/>
        <v>96.60933567451265</v>
      </c>
    </row>
    <row r="146" spans="2:6" x14ac:dyDescent="0.3">
      <c r="B146" s="66">
        <v>2900</v>
      </c>
      <c r="C146" s="66">
        <v>120813</v>
      </c>
      <c r="D146" s="37">
        <f t="shared" si="6"/>
        <v>120.813</v>
      </c>
      <c r="E146" s="37">
        <f t="shared" si="7"/>
        <v>121.62057878399999</v>
      </c>
      <c r="F146" s="37">
        <f t="shared" si="8"/>
        <v>97.013978999623447</v>
      </c>
    </row>
    <row r="147" spans="2:6" x14ac:dyDescent="0.3">
      <c r="B147" s="66">
        <v>3000</v>
      </c>
      <c r="C147" s="66">
        <v>126360</v>
      </c>
      <c r="D147" s="37">
        <f t="shared" si="6"/>
        <v>126.36</v>
      </c>
      <c r="E147" s="37">
        <f t="shared" si="7"/>
        <v>127.57336581399998</v>
      </c>
      <c r="F147" s="37">
        <f t="shared" si="8"/>
        <v>97.194288672964177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1:L147"/>
  <sheetViews>
    <sheetView zoomScaleNormal="100" workbookViewId="0">
      <selection activeCell="S21" sqref="S21"/>
    </sheetView>
  </sheetViews>
  <sheetFormatPr defaultRowHeight="14.4" x14ac:dyDescent="0.3"/>
  <cols>
    <col min="2" max="2" width="12.44140625" customWidth="1"/>
    <col min="3" max="3" width="11.6640625" customWidth="1"/>
    <col min="4" max="4" width="11.44140625" customWidth="1"/>
  </cols>
  <sheetData>
    <row r="1" spans="2:12" x14ac:dyDescent="0.3">
      <c r="E1" s="3"/>
    </row>
    <row r="2" spans="2:12" x14ac:dyDescent="0.3">
      <c r="B2" s="5" t="s">
        <v>72</v>
      </c>
      <c r="C2" s="5"/>
      <c r="D2" s="5"/>
      <c r="E2" s="3"/>
    </row>
    <row r="3" spans="2:12" x14ac:dyDescent="0.3">
      <c r="B3" s="5" t="s">
        <v>69</v>
      </c>
      <c r="C3" s="5"/>
      <c r="D3" s="5"/>
      <c r="E3" s="3"/>
    </row>
    <row r="4" spans="2:12" x14ac:dyDescent="0.3">
      <c r="B4" s="5" t="s">
        <v>73</v>
      </c>
      <c r="C4" s="5"/>
      <c r="D4" s="5"/>
      <c r="E4" s="3"/>
    </row>
    <row r="6" spans="2:12" ht="36.75" customHeight="1" x14ac:dyDescent="0.3">
      <c r="B6" s="21" t="s">
        <v>61</v>
      </c>
      <c r="C6" s="21" t="s">
        <v>62</v>
      </c>
      <c r="D6" s="21" t="s">
        <v>89</v>
      </c>
      <c r="E6" s="21" t="s">
        <v>149</v>
      </c>
      <c r="F6" s="21" t="s">
        <v>150</v>
      </c>
      <c r="G6" s="3"/>
      <c r="H6" s="3"/>
      <c r="I6" s="3"/>
      <c r="J6" s="3"/>
      <c r="K6" s="3"/>
      <c r="L6" s="3"/>
    </row>
    <row r="7" spans="2:12" x14ac:dyDescent="0.3">
      <c r="B7" s="66">
        <v>298</v>
      </c>
      <c r="C7" s="66">
        <v>0</v>
      </c>
      <c r="D7" s="37">
        <f>C7*10^-3</f>
        <v>0</v>
      </c>
      <c r="E7" s="37">
        <f>(0.0000016769215315847*B7^2)+(0.0291628051342973*B7)-9.16433772147539</f>
        <v>-0.32490445176394722</v>
      </c>
      <c r="F7" s="37">
        <f>(-0.0000000000000000001*B7^6)+(0.0000000000000011254*B7^5)+(-0.0000000000045328333*B7^4)+(0.0000000082869697929*B7^3)+(-0.0000043902754023995*B7^2)+(0.0297231162501513*B7)+(-8.64611192150597)</f>
        <v>7.6338262915491839E-3</v>
      </c>
      <c r="G7" s="3"/>
      <c r="H7" s="3"/>
      <c r="I7" s="3"/>
      <c r="J7" s="3"/>
      <c r="K7" s="3"/>
      <c r="L7" s="3"/>
    </row>
    <row r="8" spans="2:12" x14ac:dyDescent="0.3">
      <c r="B8" s="66">
        <v>300</v>
      </c>
      <c r="C8" s="66">
        <v>54</v>
      </c>
      <c r="D8" s="37">
        <f t="shared" ref="D8:D71" si="0">C8*10^-3</f>
        <v>5.3999999999999999E-2</v>
      </c>
      <c r="E8" s="37">
        <f t="shared" ref="E8:E71" si="1">(0.0000016769*B8^2)+(0.0291628051*B8)-9.1643377215</f>
        <v>-0.26457519150000053</v>
      </c>
      <c r="F8" s="37">
        <f t="shared" ref="F8:F71" si="2">(-0.0000000000000000001*B8^6)+(0.0000000000000011254*B8^5)+(-0.0000000000045328333*B8^4)+(0.0000000082869697929*B8^3)+(-0.0000043902754023995*B8^2)+(0.0297231162501513*B8)+(-8.64611192150597)</f>
        <v>6.5392224001765697E-2</v>
      </c>
      <c r="G8" s="3"/>
      <c r="H8" s="3"/>
      <c r="I8" s="3"/>
      <c r="J8" s="3"/>
      <c r="K8" s="3"/>
      <c r="L8" s="3"/>
    </row>
    <row r="9" spans="2:12" x14ac:dyDescent="0.3">
      <c r="B9" s="66">
        <v>310</v>
      </c>
      <c r="C9" s="66">
        <v>345</v>
      </c>
      <c r="D9" s="37">
        <f t="shared" si="0"/>
        <v>0.34500000000000003</v>
      </c>
      <c r="E9" s="37">
        <f t="shared" si="1"/>
        <v>3.7281949499998746E-2</v>
      </c>
      <c r="F9" s="37">
        <f t="shared" si="2"/>
        <v>0.35429727383557186</v>
      </c>
      <c r="G9" s="3"/>
      <c r="H9" s="3"/>
      <c r="I9" s="3"/>
      <c r="J9" s="3"/>
      <c r="K9" s="3"/>
      <c r="L9" s="3"/>
    </row>
    <row r="10" spans="2:12" x14ac:dyDescent="0.3">
      <c r="B10" s="66">
        <v>320</v>
      </c>
      <c r="C10" s="66">
        <v>637</v>
      </c>
      <c r="D10" s="37">
        <f t="shared" si="0"/>
        <v>0.63700000000000001</v>
      </c>
      <c r="E10" s="37">
        <f t="shared" si="1"/>
        <v>0.33947447049999901</v>
      </c>
      <c r="F10" s="37">
        <f t="shared" si="2"/>
        <v>0.6434071430015571</v>
      </c>
      <c r="G10" s="3"/>
      <c r="H10" s="3"/>
      <c r="I10" s="3"/>
      <c r="J10" s="3"/>
      <c r="K10" s="3"/>
      <c r="L10" s="3"/>
    </row>
    <row r="11" spans="2:12" x14ac:dyDescent="0.3">
      <c r="B11" s="66">
        <v>330</v>
      </c>
      <c r="C11" s="66">
        <v>928</v>
      </c>
      <c r="D11" s="37">
        <f t="shared" si="0"/>
        <v>0.92800000000000005</v>
      </c>
      <c r="E11" s="37">
        <f t="shared" si="1"/>
        <v>0.6420023714999985</v>
      </c>
      <c r="F11" s="37">
        <f t="shared" si="2"/>
        <v>0.9327436115017278</v>
      </c>
      <c r="G11" s="3"/>
      <c r="H11" s="3"/>
      <c r="I11" s="3"/>
      <c r="J11" s="3"/>
      <c r="K11" s="3"/>
      <c r="L11" s="3"/>
    </row>
    <row r="12" spans="2:12" x14ac:dyDescent="0.3">
      <c r="B12" s="66">
        <v>340</v>
      </c>
      <c r="C12" s="66">
        <v>1219</v>
      </c>
      <c r="D12" s="37">
        <f t="shared" si="0"/>
        <v>1.2190000000000001</v>
      </c>
      <c r="E12" s="37">
        <f t="shared" si="1"/>
        <v>0.94486565249999899</v>
      </c>
      <c r="F12" s="37">
        <f t="shared" si="2"/>
        <v>1.2223277667357024</v>
      </c>
      <c r="G12" s="3"/>
      <c r="H12" s="3"/>
      <c r="I12" s="3"/>
      <c r="J12" s="3"/>
      <c r="K12" s="3"/>
      <c r="L12" s="3"/>
    </row>
    <row r="13" spans="2:12" x14ac:dyDescent="0.3">
      <c r="B13" s="66">
        <v>350</v>
      </c>
      <c r="C13" s="66">
        <v>1511</v>
      </c>
      <c r="D13" s="37">
        <f t="shared" si="0"/>
        <v>1.5110000000000001</v>
      </c>
      <c r="E13" s="37">
        <f t="shared" si="1"/>
        <v>1.2480643134999987</v>
      </c>
      <c r="F13" s="37">
        <f t="shared" si="2"/>
        <v>1.5121800146655104</v>
      </c>
      <c r="G13" s="3"/>
      <c r="H13" s="3"/>
      <c r="I13" s="3"/>
      <c r="J13" s="3"/>
      <c r="K13" s="3"/>
      <c r="L13" s="3"/>
    </row>
    <row r="14" spans="2:12" x14ac:dyDescent="0.3">
      <c r="B14" s="66">
        <v>360</v>
      </c>
      <c r="C14" s="66">
        <v>1802</v>
      </c>
      <c r="D14" s="37">
        <f t="shared" si="0"/>
        <v>1.802</v>
      </c>
      <c r="E14" s="37">
        <f t="shared" si="1"/>
        <v>1.5515983544999994</v>
      </c>
      <c r="F14" s="37">
        <f t="shared" si="2"/>
        <v>1.8023200909083776</v>
      </c>
      <c r="G14" s="3"/>
      <c r="H14" s="3"/>
      <c r="I14" s="3"/>
      <c r="J14" s="3"/>
      <c r="K14" s="3"/>
      <c r="L14" s="3"/>
    </row>
    <row r="15" spans="2:12" x14ac:dyDescent="0.3">
      <c r="B15" s="66">
        <v>370</v>
      </c>
      <c r="C15" s="66">
        <v>2094</v>
      </c>
      <c r="D15" s="37">
        <f t="shared" si="0"/>
        <v>2.0939999999999999</v>
      </c>
      <c r="E15" s="37">
        <f t="shared" si="1"/>
        <v>1.8554677754999993</v>
      </c>
      <c r="F15" s="37">
        <f t="shared" si="2"/>
        <v>2.0927670717575513</v>
      </c>
      <c r="G15" s="3"/>
      <c r="H15" s="3"/>
      <c r="I15" s="3"/>
      <c r="J15" s="3"/>
      <c r="K15" s="3"/>
      <c r="L15" s="3"/>
    </row>
    <row r="16" spans="2:12" x14ac:dyDescent="0.3">
      <c r="B16" s="66">
        <v>380</v>
      </c>
      <c r="C16" s="66">
        <v>2386</v>
      </c>
      <c r="D16" s="37">
        <f t="shared" si="0"/>
        <v>2.3860000000000001</v>
      </c>
      <c r="E16" s="37">
        <f t="shared" si="1"/>
        <v>2.1596725764999984</v>
      </c>
      <c r="F16" s="37">
        <f t="shared" si="2"/>
        <v>2.3835393851310762</v>
      </c>
      <c r="G16" s="3"/>
      <c r="H16" s="3"/>
      <c r="I16" s="3"/>
      <c r="J16" s="3"/>
      <c r="K16" s="3"/>
      <c r="L16" s="3"/>
    </row>
    <row r="17" spans="2:12" x14ac:dyDescent="0.3">
      <c r="B17" s="66">
        <v>390</v>
      </c>
      <c r="C17" s="66">
        <v>2678</v>
      </c>
      <c r="D17" s="37">
        <f t="shared" si="0"/>
        <v>2.6779999999999999</v>
      </c>
      <c r="E17" s="37">
        <f t="shared" si="1"/>
        <v>2.4642127574999986</v>
      </c>
      <c r="F17" s="37">
        <f t="shared" si="2"/>
        <v>2.6746548214486143</v>
      </c>
      <c r="G17" s="3"/>
      <c r="H17" s="3"/>
      <c r="I17" s="3"/>
      <c r="J17" s="3"/>
      <c r="K17" s="3"/>
      <c r="L17" s="3"/>
    </row>
    <row r="18" spans="2:12" x14ac:dyDescent="0.3">
      <c r="B18" s="66">
        <v>400</v>
      </c>
      <c r="C18" s="66">
        <v>2971</v>
      </c>
      <c r="D18" s="37">
        <f t="shared" si="0"/>
        <v>2.9710000000000001</v>
      </c>
      <c r="E18" s="37">
        <f t="shared" si="1"/>
        <v>2.7690883184999997</v>
      </c>
      <c r="F18" s="37">
        <f t="shared" si="2"/>
        <v>2.9661305444362291</v>
      </c>
      <c r="G18" s="3"/>
      <c r="H18" s="3"/>
      <c r="I18" s="3"/>
      <c r="J18" s="3"/>
      <c r="K18" s="3"/>
      <c r="L18" s="3"/>
    </row>
    <row r="19" spans="2:12" x14ac:dyDescent="0.3">
      <c r="B19" s="66">
        <v>410</v>
      </c>
      <c r="C19" s="66">
        <v>3263</v>
      </c>
      <c r="D19" s="37">
        <f t="shared" si="0"/>
        <v>3.2629999999999999</v>
      </c>
      <c r="E19" s="37">
        <f t="shared" si="1"/>
        <v>3.0742992594999983</v>
      </c>
      <c r="F19" s="37">
        <f t="shared" si="2"/>
        <v>3.257983101859196</v>
      </c>
      <c r="G19" s="3"/>
      <c r="H19" s="3"/>
      <c r="I19" s="3"/>
      <c r="J19" s="3"/>
      <c r="K19" s="3"/>
      <c r="L19" s="3"/>
    </row>
    <row r="20" spans="2:12" x14ac:dyDescent="0.3">
      <c r="B20" s="66">
        <v>420</v>
      </c>
      <c r="C20" s="66">
        <v>3556</v>
      </c>
      <c r="D20" s="37">
        <f t="shared" si="0"/>
        <v>3.556</v>
      </c>
      <c r="E20" s="37">
        <f t="shared" si="1"/>
        <v>3.3798455804999996</v>
      </c>
      <c r="F20" s="37">
        <f t="shared" si="2"/>
        <v>3.5502284361827918</v>
      </c>
      <c r="G20" s="3"/>
      <c r="H20" s="3"/>
      <c r="I20" s="3"/>
      <c r="J20" s="3"/>
      <c r="K20" s="3"/>
      <c r="L20" s="3"/>
    </row>
    <row r="21" spans="2:12" x14ac:dyDescent="0.3">
      <c r="B21" s="66">
        <v>430</v>
      </c>
      <c r="C21" s="66">
        <v>3849</v>
      </c>
      <c r="D21" s="37">
        <f t="shared" si="0"/>
        <v>3.8490000000000002</v>
      </c>
      <c r="E21" s="37">
        <f t="shared" si="1"/>
        <v>3.6857272814999984</v>
      </c>
      <c r="F21" s="37">
        <f t="shared" si="2"/>
        <v>3.8428818951611099</v>
      </c>
      <c r="G21" s="3"/>
      <c r="H21" s="3"/>
      <c r="I21" s="3"/>
      <c r="J21" s="3"/>
      <c r="K21" s="3"/>
      <c r="L21" s="3"/>
    </row>
    <row r="22" spans="2:12" x14ac:dyDescent="0.3">
      <c r="B22" s="66">
        <v>440</v>
      </c>
      <c r="C22" s="66">
        <v>4142</v>
      </c>
      <c r="D22" s="37">
        <f t="shared" si="0"/>
        <v>4.1420000000000003</v>
      </c>
      <c r="E22" s="37">
        <f t="shared" si="1"/>
        <v>3.9919443625</v>
      </c>
      <c r="F22" s="37">
        <f t="shared" si="2"/>
        <v>4.1359582423538441</v>
      </c>
      <c r="G22" s="3"/>
      <c r="H22" s="3"/>
      <c r="I22" s="3"/>
      <c r="J22" s="3"/>
      <c r="K22" s="3"/>
      <c r="L22" s="3"/>
    </row>
    <row r="23" spans="2:12" x14ac:dyDescent="0.3">
      <c r="B23" s="66">
        <v>450</v>
      </c>
      <c r="C23" s="66">
        <v>4436</v>
      </c>
      <c r="D23" s="37">
        <f t="shared" si="0"/>
        <v>4.4359999999999999</v>
      </c>
      <c r="E23" s="37">
        <f t="shared" si="1"/>
        <v>4.298496823499999</v>
      </c>
      <c r="F23" s="37">
        <f t="shared" si="2"/>
        <v>4.4294716675711037</v>
      </c>
      <c r="G23" s="3"/>
      <c r="H23" s="3"/>
      <c r="I23" s="3"/>
      <c r="J23" s="3"/>
      <c r="K23" s="3"/>
      <c r="L23" s="3"/>
    </row>
    <row r="24" spans="2:12" x14ac:dyDescent="0.3">
      <c r="B24" s="66">
        <v>460</v>
      </c>
      <c r="C24" s="66">
        <v>4730</v>
      </c>
      <c r="D24" s="37">
        <f t="shared" si="0"/>
        <v>4.7300000000000004</v>
      </c>
      <c r="E24" s="37">
        <f t="shared" si="1"/>
        <v>4.6053846644999989</v>
      </c>
      <c r="F24" s="37">
        <f t="shared" si="2"/>
        <v>4.7234357972462</v>
      </c>
      <c r="G24" s="3"/>
      <c r="H24" s="3"/>
      <c r="I24" s="3"/>
      <c r="J24" s="3"/>
      <c r="K24" s="3"/>
      <c r="L24" s="3"/>
    </row>
    <row r="25" spans="2:12" x14ac:dyDescent="0.3">
      <c r="B25" s="66">
        <v>470</v>
      </c>
      <c r="C25" s="66">
        <v>5024</v>
      </c>
      <c r="D25" s="37">
        <f t="shared" si="0"/>
        <v>5.024</v>
      </c>
      <c r="E25" s="37">
        <f t="shared" si="1"/>
        <v>4.9126078854999999</v>
      </c>
      <c r="F25" s="37">
        <f t="shared" si="2"/>
        <v>5.017863704736456</v>
      </c>
      <c r="G25" s="3"/>
      <c r="H25" s="3"/>
      <c r="I25" s="3"/>
      <c r="J25" s="3"/>
      <c r="K25" s="3"/>
      <c r="L25" s="3"/>
    </row>
    <row r="26" spans="2:12" x14ac:dyDescent="0.3">
      <c r="B26" s="66">
        <v>480</v>
      </c>
      <c r="C26" s="66">
        <v>5319</v>
      </c>
      <c r="D26" s="37">
        <f t="shared" si="0"/>
        <v>5.319</v>
      </c>
      <c r="E26" s="37">
        <f t="shared" si="1"/>
        <v>5.2201664864999984</v>
      </c>
      <c r="F26" s="37">
        <f t="shared" si="2"/>
        <v>5.3127679205519982</v>
      </c>
      <c r="G26" s="3"/>
      <c r="H26" s="3"/>
      <c r="I26" s="3"/>
      <c r="J26" s="3"/>
      <c r="K26" s="3"/>
      <c r="L26" s="3"/>
    </row>
    <row r="27" spans="2:12" x14ac:dyDescent="0.3">
      <c r="B27" s="66">
        <v>490</v>
      </c>
      <c r="C27" s="66">
        <v>5616</v>
      </c>
      <c r="D27" s="37">
        <f t="shared" si="0"/>
        <v>5.6160000000000005</v>
      </c>
      <c r="E27" s="37">
        <f t="shared" si="1"/>
        <v>5.5280604674999996</v>
      </c>
      <c r="F27" s="37">
        <f t="shared" si="2"/>
        <v>5.6081604425125668</v>
      </c>
      <c r="G27" s="3"/>
      <c r="H27" s="3"/>
      <c r="I27" s="3"/>
      <c r="J27" s="3"/>
      <c r="K27" s="3"/>
      <c r="L27" s="3"/>
    </row>
    <row r="28" spans="2:12" x14ac:dyDescent="0.3">
      <c r="B28" s="66">
        <v>500</v>
      </c>
      <c r="C28" s="66">
        <v>5912</v>
      </c>
      <c r="D28" s="37">
        <f t="shared" si="0"/>
        <v>5.9119999999999999</v>
      </c>
      <c r="E28" s="37">
        <f t="shared" si="1"/>
        <v>5.8362898285</v>
      </c>
      <c r="F28" s="37">
        <f t="shared" si="2"/>
        <v>5.9040527458323044</v>
      </c>
      <c r="G28" s="3"/>
      <c r="H28" s="3"/>
      <c r="I28" s="3"/>
      <c r="J28" s="3"/>
      <c r="K28" s="3"/>
      <c r="L28" s="3"/>
    </row>
    <row r="29" spans="2:12" x14ac:dyDescent="0.3">
      <c r="B29" s="66">
        <v>510</v>
      </c>
      <c r="C29" s="66">
        <v>6207</v>
      </c>
      <c r="D29" s="37">
        <f t="shared" si="0"/>
        <v>6.2069999999999999</v>
      </c>
      <c r="E29" s="37">
        <f t="shared" si="1"/>
        <v>6.1448545694999996</v>
      </c>
      <c r="F29" s="37">
        <f t="shared" si="2"/>
        <v>6.2004557931325675</v>
      </c>
      <c r="G29" s="3"/>
      <c r="H29" s="3"/>
      <c r="I29" s="3"/>
      <c r="J29" s="3"/>
      <c r="K29" s="3"/>
      <c r="L29" s="3"/>
    </row>
    <row r="30" spans="2:12" x14ac:dyDescent="0.3">
      <c r="B30" s="66">
        <v>520</v>
      </c>
      <c r="C30" s="66">
        <v>6503</v>
      </c>
      <c r="D30" s="37">
        <f t="shared" si="0"/>
        <v>6.5030000000000001</v>
      </c>
      <c r="E30" s="37">
        <f t="shared" si="1"/>
        <v>6.4537546904999985</v>
      </c>
      <c r="F30" s="37">
        <f t="shared" si="2"/>
        <v>6.4973800443827159</v>
      </c>
      <c r="G30" s="3"/>
      <c r="H30" s="3"/>
      <c r="I30" s="3"/>
      <c r="J30" s="3"/>
      <c r="K30" s="3"/>
      <c r="L30" s="3"/>
    </row>
    <row r="31" spans="2:12" x14ac:dyDescent="0.3">
      <c r="B31" s="66">
        <v>530</v>
      </c>
      <c r="C31" s="66">
        <v>6800</v>
      </c>
      <c r="D31" s="37">
        <f t="shared" si="0"/>
        <v>6.8</v>
      </c>
      <c r="E31" s="37">
        <f t="shared" si="1"/>
        <v>6.7629901914999984</v>
      </c>
      <c r="F31" s="37">
        <f t="shared" si="2"/>
        <v>6.7948354667689195</v>
      </c>
      <c r="G31" s="3"/>
      <c r="H31" s="3"/>
      <c r="I31" s="3"/>
      <c r="J31" s="3"/>
      <c r="K31" s="3"/>
      <c r="L31" s="3"/>
    </row>
    <row r="32" spans="2:12" x14ac:dyDescent="0.3">
      <c r="B32" s="66">
        <v>540</v>
      </c>
      <c r="C32" s="66">
        <v>7097</v>
      </c>
      <c r="D32" s="37">
        <f t="shared" si="0"/>
        <v>7.0970000000000004</v>
      </c>
      <c r="E32" s="37">
        <f t="shared" si="1"/>
        <v>7.0725610724999974</v>
      </c>
      <c r="F32" s="37">
        <f t="shared" si="2"/>
        <v>7.092831544490954</v>
      </c>
      <c r="G32" s="3"/>
      <c r="H32" s="3"/>
      <c r="I32" s="3"/>
      <c r="J32" s="3"/>
      <c r="K32" s="3"/>
      <c r="L32" s="3"/>
    </row>
    <row r="33" spans="2:12" x14ac:dyDescent="0.3">
      <c r="B33" s="66">
        <v>550</v>
      </c>
      <c r="C33" s="66">
        <v>7395</v>
      </c>
      <c r="D33" s="37">
        <f t="shared" si="0"/>
        <v>7.3950000000000005</v>
      </c>
      <c r="E33" s="37">
        <f t="shared" si="1"/>
        <v>7.3824673334999993</v>
      </c>
      <c r="F33" s="37">
        <f t="shared" si="2"/>
        <v>7.3913772884870106</v>
      </c>
      <c r="G33" s="3"/>
      <c r="H33" s="3"/>
      <c r="I33" s="3"/>
      <c r="J33" s="3"/>
      <c r="K33" s="3"/>
      <c r="L33" s="3"/>
    </row>
    <row r="34" spans="2:12" x14ac:dyDescent="0.3">
      <c r="B34" s="66">
        <v>560</v>
      </c>
      <c r="C34" s="66">
        <v>7694</v>
      </c>
      <c r="D34" s="37">
        <f t="shared" si="0"/>
        <v>7.694</v>
      </c>
      <c r="E34" s="37">
        <f t="shared" si="1"/>
        <v>7.6927089745000004</v>
      </c>
      <c r="F34" s="37">
        <f t="shared" si="2"/>
        <v>7.6904812460864704</v>
      </c>
      <c r="G34" s="3"/>
      <c r="H34" s="3"/>
      <c r="I34" s="3"/>
      <c r="J34" s="3"/>
      <c r="K34" s="3"/>
      <c r="L34" s="3"/>
    </row>
    <row r="35" spans="2:12" x14ac:dyDescent="0.3">
      <c r="B35" s="66">
        <v>570</v>
      </c>
      <c r="C35" s="66">
        <v>7993</v>
      </c>
      <c r="D35" s="37">
        <f t="shared" si="0"/>
        <v>7.9930000000000003</v>
      </c>
      <c r="E35" s="37">
        <f t="shared" si="1"/>
        <v>8.0032859955000006</v>
      </c>
      <c r="F35" s="37">
        <f t="shared" si="2"/>
        <v>7.9901515105907492</v>
      </c>
      <c r="G35" s="3"/>
      <c r="H35" s="3"/>
      <c r="I35" s="3"/>
      <c r="J35" s="3"/>
      <c r="K35" s="3"/>
      <c r="L35" s="3"/>
    </row>
    <row r="36" spans="2:12" x14ac:dyDescent="0.3">
      <c r="B36" s="66">
        <v>580</v>
      </c>
      <c r="C36" s="66">
        <v>8293</v>
      </c>
      <c r="D36" s="37">
        <f t="shared" si="0"/>
        <v>8.293000000000001</v>
      </c>
      <c r="E36" s="37">
        <f t="shared" si="1"/>
        <v>8.3141983965000001</v>
      </c>
      <c r="F36" s="37">
        <f t="shared" si="2"/>
        <v>8.2903957307820519</v>
      </c>
      <c r="G36" s="3"/>
      <c r="H36" s="3"/>
      <c r="I36" s="3"/>
      <c r="J36" s="3"/>
      <c r="K36" s="3"/>
      <c r="L36" s="3"/>
    </row>
    <row r="37" spans="2:12" x14ac:dyDescent="0.3">
      <c r="B37" s="66">
        <v>590</v>
      </c>
      <c r="C37" s="66">
        <v>8593</v>
      </c>
      <c r="D37" s="37">
        <f t="shared" si="0"/>
        <v>8.593</v>
      </c>
      <c r="E37" s="37">
        <f t="shared" si="1"/>
        <v>8.6254461774999989</v>
      </c>
      <c r="F37" s="37">
        <f t="shared" si="2"/>
        <v>8.5912211203601849</v>
      </c>
      <c r="G37" s="3"/>
      <c r="H37" s="3"/>
      <c r="I37" s="3"/>
      <c r="J37" s="3"/>
      <c r="K37" s="3"/>
      <c r="L37" s="3"/>
    </row>
    <row r="38" spans="2:12" x14ac:dyDescent="0.3">
      <c r="B38" s="66">
        <v>600</v>
      </c>
      <c r="C38" s="66" t="s">
        <v>64</v>
      </c>
      <c r="D38" s="37"/>
      <c r="E38" s="37">
        <f t="shared" si="1"/>
        <v>8.9370293385000004</v>
      </c>
      <c r="F38" s="37">
        <f t="shared" si="2"/>
        <v>8.892634467307392</v>
      </c>
      <c r="G38" s="3"/>
      <c r="H38" s="3"/>
      <c r="I38" s="3"/>
      <c r="J38" s="3"/>
      <c r="K38" s="3"/>
      <c r="L38" s="3"/>
    </row>
    <row r="39" spans="2:12" x14ac:dyDescent="0.3">
      <c r="B39" s="66">
        <v>610</v>
      </c>
      <c r="C39" s="66" t="s">
        <v>64</v>
      </c>
      <c r="D39" s="37"/>
      <c r="E39" s="37">
        <f t="shared" si="1"/>
        <v>9.2489478794999975</v>
      </c>
      <c r="F39" s="37">
        <f t="shared" si="2"/>
        <v>9.1946421431810883</v>
      </c>
      <c r="G39" s="3"/>
      <c r="H39" s="3"/>
      <c r="I39" s="3"/>
      <c r="J39" s="3"/>
      <c r="K39" s="3"/>
      <c r="L39" s="3"/>
    </row>
    <row r="40" spans="2:12" x14ac:dyDescent="0.3">
      <c r="B40" s="66">
        <v>620</v>
      </c>
      <c r="C40" s="66" t="s">
        <v>64</v>
      </c>
      <c r="D40" s="37"/>
      <c r="E40" s="37">
        <f t="shared" si="1"/>
        <v>9.5612018004999975</v>
      </c>
      <c r="F40" s="37">
        <f t="shared" si="2"/>
        <v>9.4972501123347328</v>
      </c>
      <c r="G40" s="3"/>
      <c r="H40" s="3"/>
      <c r="I40" s="3"/>
      <c r="J40" s="3"/>
      <c r="K40" s="3"/>
      <c r="L40" s="3"/>
    </row>
    <row r="41" spans="2:12" x14ac:dyDescent="0.3">
      <c r="B41" s="66">
        <v>630</v>
      </c>
      <c r="C41" s="66">
        <v>9799</v>
      </c>
      <c r="D41" s="37">
        <f t="shared" si="0"/>
        <v>9.7989999999999995</v>
      </c>
      <c r="E41" s="37">
        <f t="shared" si="1"/>
        <v>9.8737911015000002</v>
      </c>
      <c r="F41" s="37">
        <f t="shared" si="2"/>
        <v>9.8004639410665639</v>
      </c>
      <c r="G41" s="3"/>
      <c r="H41" s="3"/>
      <c r="I41" s="3"/>
      <c r="J41" s="3"/>
      <c r="K41" s="3"/>
      <c r="L41" s="3"/>
    </row>
    <row r="42" spans="2:12" x14ac:dyDescent="0.3">
      <c r="B42" s="66">
        <v>640</v>
      </c>
      <c r="C42" s="66">
        <v>10103</v>
      </c>
      <c r="D42" s="37">
        <f t="shared" si="0"/>
        <v>10.103</v>
      </c>
      <c r="E42" s="37">
        <f t="shared" si="1"/>
        <v>10.186715782499999</v>
      </c>
      <c r="F42" s="37">
        <f t="shared" si="2"/>
        <v>10.104288806696438</v>
      </c>
      <c r="G42" s="3"/>
      <c r="H42" s="3"/>
      <c r="I42" s="3"/>
      <c r="J42" s="3"/>
      <c r="K42" s="3"/>
      <c r="L42" s="3"/>
    </row>
    <row r="43" spans="2:12" x14ac:dyDescent="0.3">
      <c r="B43" s="66">
        <v>650</v>
      </c>
      <c r="C43" s="66">
        <v>10406</v>
      </c>
      <c r="D43" s="37">
        <f t="shared" si="0"/>
        <v>10.406000000000001</v>
      </c>
      <c r="E43" s="37">
        <f t="shared" si="1"/>
        <v>10.4999758435</v>
      </c>
      <c r="F43" s="37">
        <f t="shared" si="2"/>
        <v>10.408729506570626</v>
      </c>
    </row>
    <row r="44" spans="2:12" x14ac:dyDescent="0.3">
      <c r="B44" s="66">
        <v>660</v>
      </c>
      <c r="C44" s="66">
        <v>10711</v>
      </c>
      <c r="D44" s="37">
        <f t="shared" si="0"/>
        <v>10.711</v>
      </c>
      <c r="E44" s="37">
        <f t="shared" si="1"/>
        <v>10.8135712845</v>
      </c>
      <c r="F44" s="37">
        <f t="shared" si="2"/>
        <v>10.713790466994595</v>
      </c>
    </row>
    <row r="45" spans="2:12" x14ac:dyDescent="0.3">
      <c r="B45" s="66">
        <v>670</v>
      </c>
      <c r="C45" s="66">
        <v>11016</v>
      </c>
      <c r="D45" s="37">
        <f t="shared" si="0"/>
        <v>11.016</v>
      </c>
      <c r="E45" s="37">
        <f t="shared" si="1"/>
        <v>11.1275021055</v>
      </c>
      <c r="F45" s="37">
        <f t="shared" si="2"/>
        <v>11.019475752093836</v>
      </c>
    </row>
    <row r="46" spans="2:12" x14ac:dyDescent="0.3">
      <c r="B46" s="66">
        <v>680</v>
      </c>
      <c r="C46" s="66">
        <v>11322</v>
      </c>
      <c r="D46" s="37">
        <f t="shared" si="0"/>
        <v>11.322000000000001</v>
      </c>
      <c r="E46" s="37">
        <f t="shared" si="1"/>
        <v>11.441768306499998</v>
      </c>
      <c r="F46" s="37">
        <f t="shared" si="2"/>
        <v>11.325789072602628</v>
      </c>
    </row>
    <row r="47" spans="2:12" x14ac:dyDescent="0.3">
      <c r="B47" s="66">
        <v>690</v>
      </c>
      <c r="C47" s="66">
        <v>11628</v>
      </c>
      <c r="D47" s="37">
        <f t="shared" si="0"/>
        <v>11.628</v>
      </c>
      <c r="E47" s="37">
        <f t="shared" si="1"/>
        <v>11.7563698875</v>
      </c>
      <c r="F47" s="37">
        <f t="shared" si="2"/>
        <v>11.632733794580879</v>
      </c>
    </row>
    <row r="48" spans="2:12" x14ac:dyDescent="0.3">
      <c r="B48" s="66">
        <v>700</v>
      </c>
      <c r="C48" s="66">
        <v>11935</v>
      </c>
      <c r="D48" s="37">
        <f t="shared" si="0"/>
        <v>11.935</v>
      </c>
      <c r="E48" s="37">
        <f t="shared" si="1"/>
        <v>12.071306848500001</v>
      </c>
      <c r="F48" s="37">
        <f t="shared" si="2"/>
        <v>11.940312948058885</v>
      </c>
    </row>
    <row r="49" spans="2:6" x14ac:dyDescent="0.3">
      <c r="B49" s="66">
        <v>710</v>
      </c>
      <c r="C49" s="66">
        <v>12243</v>
      </c>
      <c r="D49" s="37">
        <f t="shared" si="0"/>
        <v>12.243</v>
      </c>
      <c r="E49" s="37">
        <f t="shared" si="1"/>
        <v>12.386579189500001</v>
      </c>
      <c r="F49" s="37">
        <f t="shared" si="2"/>
        <v>12.248529235610164</v>
      </c>
    </row>
    <row r="50" spans="2:6" x14ac:dyDescent="0.3">
      <c r="B50" s="66">
        <v>720</v>
      </c>
      <c r="C50" s="66">
        <v>12551</v>
      </c>
      <c r="D50" s="37">
        <f t="shared" si="0"/>
        <v>12.551</v>
      </c>
      <c r="E50" s="37">
        <f t="shared" si="1"/>
        <v>12.7021869105</v>
      </c>
      <c r="F50" s="37">
        <f t="shared" si="2"/>
        <v>12.557385040852239</v>
      </c>
    </row>
    <row r="51" spans="2:6" x14ac:dyDescent="0.3">
      <c r="B51" s="66">
        <v>730</v>
      </c>
      <c r="C51" s="66">
        <v>12860</v>
      </c>
      <c r="D51" s="37">
        <f t="shared" si="0"/>
        <v>12.86</v>
      </c>
      <c r="E51" s="37">
        <f t="shared" si="1"/>
        <v>13.018130011499998</v>
      </c>
      <c r="F51" s="37">
        <f t="shared" si="2"/>
        <v>12.866882436875429</v>
      </c>
    </row>
    <row r="52" spans="2:6" x14ac:dyDescent="0.3">
      <c r="B52" s="66">
        <v>740</v>
      </c>
      <c r="C52" s="66">
        <v>13170</v>
      </c>
      <c r="D52" s="37">
        <f t="shared" si="0"/>
        <v>13.17</v>
      </c>
      <c r="E52" s="37">
        <f t="shared" si="1"/>
        <v>13.3344084925</v>
      </c>
      <c r="F52" s="37">
        <f t="shared" si="2"/>
        <v>13.177023194599688</v>
      </c>
    </row>
    <row r="53" spans="2:6" x14ac:dyDescent="0.3">
      <c r="B53" s="66">
        <v>750</v>
      </c>
      <c r="C53" s="66">
        <v>13480</v>
      </c>
      <c r="D53" s="37">
        <f t="shared" si="0"/>
        <v>13.48</v>
      </c>
      <c r="E53" s="37">
        <f t="shared" si="1"/>
        <v>13.6510223535</v>
      </c>
      <c r="F53" s="37">
        <f t="shared" si="2"/>
        <v>13.487808791059351</v>
      </c>
    </row>
    <row r="54" spans="2:6" x14ac:dyDescent="0.3">
      <c r="B54" s="66">
        <v>760</v>
      </c>
      <c r="C54" s="66">
        <v>13791</v>
      </c>
      <c r="D54" s="37">
        <f t="shared" si="0"/>
        <v>13.791</v>
      </c>
      <c r="E54" s="37">
        <f t="shared" si="1"/>
        <v>13.9679715945</v>
      </c>
      <c r="F54" s="37">
        <f t="shared" si="2"/>
        <v>13.79924041761597</v>
      </c>
    </row>
    <row r="55" spans="2:6" x14ac:dyDescent="0.3">
      <c r="B55" s="66">
        <v>770</v>
      </c>
      <c r="C55" s="66">
        <v>14103</v>
      </c>
      <c r="D55" s="37">
        <f t="shared" si="0"/>
        <v>14.103</v>
      </c>
      <c r="E55" s="37">
        <f t="shared" si="1"/>
        <v>14.285256215499999</v>
      </c>
      <c r="F55" s="37">
        <f t="shared" si="2"/>
        <v>14.111318988099111</v>
      </c>
    </row>
    <row r="56" spans="2:6" x14ac:dyDescent="0.3">
      <c r="B56" s="66">
        <v>780</v>
      </c>
      <c r="C56" s="66">
        <v>14416</v>
      </c>
      <c r="D56" s="37">
        <f t="shared" si="0"/>
        <v>14.416</v>
      </c>
      <c r="E56" s="37">
        <f t="shared" si="1"/>
        <v>14.6028762165</v>
      </c>
      <c r="F56" s="37">
        <f t="shared" si="2"/>
        <v>14.424045146875141</v>
      </c>
    </row>
    <row r="57" spans="2:6" x14ac:dyDescent="0.3">
      <c r="B57" s="66">
        <v>790</v>
      </c>
      <c r="C57" s="66">
        <v>14729</v>
      </c>
      <c r="D57" s="37">
        <f t="shared" si="0"/>
        <v>14.729000000000001</v>
      </c>
      <c r="E57" s="37">
        <f t="shared" si="1"/>
        <v>14.920831597499998</v>
      </c>
      <c r="F57" s="37">
        <f t="shared" si="2"/>
        <v>14.73741927684404</v>
      </c>
    </row>
    <row r="58" spans="2:6" x14ac:dyDescent="0.3">
      <c r="B58" s="66">
        <v>800</v>
      </c>
      <c r="C58" s="66">
        <v>15045</v>
      </c>
      <c r="D58" s="37">
        <f t="shared" si="0"/>
        <v>15.045</v>
      </c>
      <c r="E58" s="37">
        <f t="shared" si="1"/>
        <v>15.239122358499998</v>
      </c>
      <c r="F58" s="37">
        <f t="shared" si="2"/>
        <v>15.051441507364189</v>
      </c>
    </row>
    <row r="59" spans="2:6" x14ac:dyDescent="0.3">
      <c r="B59" s="66">
        <v>810</v>
      </c>
      <c r="C59" s="66">
        <v>15358</v>
      </c>
      <c r="D59" s="37">
        <f t="shared" si="0"/>
        <v>15.358000000000001</v>
      </c>
      <c r="E59" s="37">
        <f t="shared" si="1"/>
        <v>15.557748499500001</v>
      </c>
      <c r="F59" s="37">
        <f t="shared" si="2"/>
        <v>15.366111722105188</v>
      </c>
    </row>
    <row r="60" spans="2:6" x14ac:dyDescent="0.3">
      <c r="B60" s="66">
        <v>820</v>
      </c>
      <c r="C60" s="66">
        <v>15673</v>
      </c>
      <c r="D60" s="37">
        <f t="shared" si="0"/>
        <v>15.673</v>
      </c>
      <c r="E60" s="37">
        <f t="shared" si="1"/>
        <v>15.876710020499999</v>
      </c>
      <c r="F60" s="37">
        <f t="shared" si="2"/>
        <v>15.681429566828633</v>
      </c>
    </row>
    <row r="61" spans="2:6" x14ac:dyDescent="0.3">
      <c r="B61" s="66">
        <v>830</v>
      </c>
      <c r="C61" s="66">
        <v>15989</v>
      </c>
      <c r="D61" s="37">
        <f t="shared" si="0"/>
        <v>15.989000000000001</v>
      </c>
      <c r="E61" s="37">
        <f t="shared" si="1"/>
        <v>16.1960069215</v>
      </c>
      <c r="F61" s="37">
        <f t="shared" si="2"/>
        <v>15.997394457096931</v>
      </c>
    </row>
    <row r="62" spans="2:6" x14ac:dyDescent="0.3">
      <c r="B62" s="66">
        <v>840</v>
      </c>
      <c r="C62" s="66">
        <v>16305</v>
      </c>
      <c r="D62" s="37">
        <f t="shared" si="0"/>
        <v>16.305</v>
      </c>
      <c r="E62" s="37">
        <f t="shared" si="1"/>
        <v>16.515639202500001</v>
      </c>
      <c r="F62" s="37">
        <f t="shared" si="2"/>
        <v>16.31400558591011</v>
      </c>
    </row>
    <row r="63" spans="2:6" x14ac:dyDescent="0.3">
      <c r="B63" s="66">
        <v>850</v>
      </c>
      <c r="C63" s="66">
        <v>16623</v>
      </c>
      <c r="D63" s="37">
        <f t="shared" si="0"/>
        <v>16.623000000000001</v>
      </c>
      <c r="E63" s="37">
        <f t="shared" si="1"/>
        <v>16.835606863500001</v>
      </c>
      <c r="F63" s="37">
        <f t="shared" si="2"/>
        <v>16.631261931270583</v>
      </c>
    </row>
    <row r="64" spans="2:6" x14ac:dyDescent="0.3">
      <c r="B64" s="66">
        <v>860</v>
      </c>
      <c r="C64" s="66">
        <v>16941</v>
      </c>
      <c r="D64" s="37">
        <f t="shared" si="0"/>
        <v>16.940999999999999</v>
      </c>
      <c r="E64" s="37">
        <f t="shared" si="1"/>
        <v>17.1559099045</v>
      </c>
      <c r="F64" s="37">
        <f t="shared" si="2"/>
        <v>16.949162263675994</v>
      </c>
    </row>
    <row r="65" spans="2:6" x14ac:dyDescent="0.3">
      <c r="B65" s="66">
        <v>870</v>
      </c>
      <c r="C65" s="66">
        <v>17259</v>
      </c>
      <c r="D65" s="37">
        <f t="shared" si="0"/>
        <v>17.259</v>
      </c>
      <c r="E65" s="37">
        <f t="shared" si="1"/>
        <v>17.476548325499998</v>
      </c>
      <c r="F65" s="37">
        <f t="shared" si="2"/>
        <v>17.267705153539975</v>
      </c>
    </row>
    <row r="66" spans="2:6" x14ac:dyDescent="0.3">
      <c r="B66" s="66">
        <v>880</v>
      </c>
      <c r="C66" s="66">
        <v>17579</v>
      </c>
      <c r="D66" s="37">
        <f t="shared" si="0"/>
        <v>17.579000000000001</v>
      </c>
      <c r="E66" s="37">
        <f t="shared" si="1"/>
        <v>17.797522126499999</v>
      </c>
      <c r="F66" s="37">
        <f t="shared" si="2"/>
        <v>17.58688897854098</v>
      </c>
    </row>
    <row r="67" spans="2:6" x14ac:dyDescent="0.3">
      <c r="B67" s="66">
        <v>890</v>
      </c>
      <c r="C67" s="66">
        <v>17899</v>
      </c>
      <c r="D67" s="37">
        <f t="shared" si="0"/>
        <v>17.899000000000001</v>
      </c>
      <c r="E67" s="37">
        <f t="shared" si="1"/>
        <v>18.118831307499999</v>
      </c>
      <c r="F67" s="37">
        <f t="shared" si="2"/>
        <v>17.906711930899071</v>
      </c>
    </row>
    <row r="68" spans="2:6" x14ac:dyDescent="0.3">
      <c r="B68" s="66">
        <v>900</v>
      </c>
      <c r="C68" s="66">
        <v>18221</v>
      </c>
      <c r="D68" s="37">
        <f t="shared" si="0"/>
        <v>18.221</v>
      </c>
      <c r="E68" s="37">
        <f t="shared" si="1"/>
        <v>18.440475868499998</v>
      </c>
      <c r="F68" s="37">
        <f t="shared" si="2"/>
        <v>18.227172024580703</v>
      </c>
    </row>
    <row r="69" spans="2:6" x14ac:dyDescent="0.3">
      <c r="B69" s="66">
        <v>910</v>
      </c>
      <c r="C69" s="66">
        <v>18541</v>
      </c>
      <c r="D69" s="37">
        <f t="shared" si="0"/>
        <v>18.541</v>
      </c>
      <c r="E69" s="37">
        <f t="shared" si="1"/>
        <v>18.7624558095</v>
      </c>
      <c r="F69" s="37">
        <f t="shared" si="2"/>
        <v>18.548267102431559</v>
      </c>
    </row>
    <row r="70" spans="2:6" x14ac:dyDescent="0.3">
      <c r="B70" s="66">
        <v>920</v>
      </c>
      <c r="C70" s="66">
        <v>18863</v>
      </c>
      <c r="D70" s="37">
        <f t="shared" si="0"/>
        <v>18.863</v>
      </c>
      <c r="E70" s="37">
        <f t="shared" si="1"/>
        <v>19.084771130499998</v>
      </c>
      <c r="F70" s="37">
        <f t="shared" si="2"/>
        <v>18.869994843237315</v>
      </c>
    </row>
    <row r="71" spans="2:6" x14ac:dyDescent="0.3">
      <c r="B71" s="66">
        <v>930</v>
      </c>
      <c r="C71" s="66">
        <v>19185</v>
      </c>
      <c r="D71" s="37">
        <f t="shared" si="0"/>
        <v>19.184999999999999</v>
      </c>
      <c r="E71" s="37">
        <f t="shared" si="1"/>
        <v>19.407421831499999</v>
      </c>
      <c r="F71" s="37">
        <f t="shared" si="2"/>
        <v>19.192352768712464</v>
      </c>
    </row>
    <row r="72" spans="2:6" x14ac:dyDescent="0.3">
      <c r="B72" s="66">
        <v>940</v>
      </c>
      <c r="C72" s="66">
        <v>19509</v>
      </c>
      <c r="D72" s="37">
        <f t="shared" ref="D72:D135" si="3">C72*10^-3</f>
        <v>19.509</v>
      </c>
      <c r="E72" s="37">
        <f t="shared" ref="E72:E135" si="4">(0.0000016769*B72^2)+(0.0291628051*B72)-9.1643377215</f>
        <v>19.730407912499999</v>
      </c>
      <c r="F72" s="37">
        <f t="shared" ref="F72:F135" si="5">(-0.0000000000000000001*B72^6)+(0.0000000000000011254*B72^5)+(-0.0000000000045328333*B72^4)+(0.0000000082869697929*B72^3)+(-0.0000043902754023995*B72^2)+(0.0297231162501513*B72)+(-8.64611192150597)</f>
        <v>19.515338250417102</v>
      </c>
    </row>
    <row r="73" spans="2:6" x14ac:dyDescent="0.3">
      <c r="B73" s="66">
        <v>950</v>
      </c>
      <c r="C73" s="66">
        <v>19832</v>
      </c>
      <c r="D73" s="37">
        <f t="shared" si="3"/>
        <v>19.832000000000001</v>
      </c>
      <c r="E73" s="37">
        <f t="shared" si="4"/>
        <v>20.053729373499998</v>
      </c>
      <c r="F73" s="37">
        <f t="shared" si="5"/>
        <v>19.838948516601729</v>
      </c>
    </row>
    <row r="74" spans="2:6" x14ac:dyDescent="0.3">
      <c r="B74" s="66">
        <v>960</v>
      </c>
      <c r="C74" s="66">
        <v>20157</v>
      </c>
      <c r="D74" s="37">
        <f t="shared" si="3"/>
        <v>20.157</v>
      </c>
      <c r="E74" s="37">
        <f t="shared" si="4"/>
        <v>20.3773862145</v>
      </c>
      <c r="F74" s="37">
        <f t="shared" si="5"/>
        <v>20.163180658980068</v>
      </c>
    </row>
    <row r="75" spans="2:6" x14ac:dyDescent="0.3">
      <c r="B75" s="66">
        <v>970</v>
      </c>
      <c r="C75" s="66">
        <v>20482</v>
      </c>
      <c r="D75" s="37">
        <f t="shared" si="3"/>
        <v>20.481999999999999</v>
      </c>
      <c r="E75" s="37">
        <f t="shared" si="4"/>
        <v>20.701378435500001</v>
      </c>
      <c r="F75" s="37">
        <f t="shared" si="5"/>
        <v>20.488031639429828</v>
      </c>
    </row>
    <row r="76" spans="2:6" x14ac:dyDescent="0.3">
      <c r="B76" s="66">
        <v>980</v>
      </c>
      <c r="C76" s="66">
        <v>20807</v>
      </c>
      <c r="D76" s="37">
        <f t="shared" si="3"/>
        <v>20.807000000000002</v>
      </c>
      <c r="E76" s="37">
        <f t="shared" si="4"/>
        <v>21.025706036500001</v>
      </c>
      <c r="F76" s="37">
        <f t="shared" si="5"/>
        <v>20.813498296621553</v>
      </c>
    </row>
    <row r="77" spans="2:6" x14ac:dyDescent="0.3">
      <c r="B77" s="66">
        <v>990</v>
      </c>
      <c r="C77" s="66">
        <v>21134</v>
      </c>
      <c r="D77" s="37">
        <f t="shared" si="3"/>
        <v>21.134</v>
      </c>
      <c r="E77" s="37">
        <f t="shared" si="4"/>
        <v>21.3503690175</v>
      </c>
      <c r="F77" s="37">
        <f t="shared" si="5"/>
        <v>21.139577352575369</v>
      </c>
    </row>
    <row r="78" spans="2:6" x14ac:dyDescent="0.3">
      <c r="B78" s="66">
        <v>1000</v>
      </c>
      <c r="C78" s="66" t="s">
        <v>64</v>
      </c>
      <c r="D78" s="37"/>
      <c r="E78" s="37">
        <f t="shared" si="4"/>
        <v>21.675367378499999</v>
      </c>
      <c r="F78" s="37">
        <f t="shared" si="5"/>
        <v>21.466265419145827</v>
      </c>
    </row>
    <row r="79" spans="2:6" x14ac:dyDescent="0.3">
      <c r="B79" s="66">
        <v>1020</v>
      </c>
      <c r="C79" s="66">
        <v>22115</v>
      </c>
      <c r="D79" s="37">
        <f t="shared" si="3"/>
        <v>22.115000000000002</v>
      </c>
      <c r="E79" s="37">
        <f t="shared" si="4"/>
        <v>22.326370240499998</v>
      </c>
      <c r="F79" s="37">
        <f t="shared" si="5"/>
        <v>22.121454519131689</v>
      </c>
    </row>
    <row r="80" spans="2:6" x14ac:dyDescent="0.3">
      <c r="B80" s="66">
        <v>1040</v>
      </c>
      <c r="C80" s="66">
        <v>22773</v>
      </c>
      <c r="D80" s="37">
        <f t="shared" si="3"/>
        <v>22.773</v>
      </c>
      <c r="E80" s="37">
        <f t="shared" si="4"/>
        <v>22.978714622499997</v>
      </c>
      <c r="F80" s="37">
        <f t="shared" si="5"/>
        <v>22.779036529990059</v>
      </c>
    </row>
    <row r="81" spans="2:6" x14ac:dyDescent="0.3">
      <c r="B81" s="66">
        <v>1060</v>
      </c>
      <c r="C81" s="66">
        <v>23432</v>
      </c>
      <c r="D81" s="37">
        <f t="shared" si="3"/>
        <v>23.432000000000002</v>
      </c>
      <c r="E81" s="37">
        <f t="shared" si="4"/>
        <v>23.632400524499996</v>
      </c>
      <c r="F81" s="37">
        <f t="shared" si="5"/>
        <v>23.43898102541359</v>
      </c>
    </row>
    <row r="82" spans="2:6" x14ac:dyDescent="0.3">
      <c r="B82" s="66">
        <v>1080</v>
      </c>
      <c r="C82" s="66">
        <v>24093</v>
      </c>
      <c r="D82" s="37">
        <f t="shared" si="3"/>
        <v>24.093</v>
      </c>
      <c r="E82" s="37">
        <f t="shared" si="4"/>
        <v>24.287427946499999</v>
      </c>
      <c r="F82" s="37">
        <f t="shared" si="5"/>
        <v>24.101256414218248</v>
      </c>
    </row>
    <row r="83" spans="2:6" x14ac:dyDescent="0.3">
      <c r="B83" s="66">
        <v>1100</v>
      </c>
      <c r="C83" s="66">
        <v>24757</v>
      </c>
      <c r="D83" s="37">
        <f t="shared" si="3"/>
        <v>24.757000000000001</v>
      </c>
      <c r="E83" s="37">
        <f t="shared" si="4"/>
        <v>24.9437968885</v>
      </c>
      <c r="F83" s="37">
        <f t="shared" si="5"/>
        <v>24.765830130576965</v>
      </c>
    </row>
    <row r="84" spans="2:6" x14ac:dyDescent="0.3">
      <c r="B84" s="66">
        <v>1120</v>
      </c>
      <c r="C84" s="66">
        <v>25423</v>
      </c>
      <c r="D84" s="37">
        <f t="shared" si="3"/>
        <v>25.423000000000002</v>
      </c>
      <c r="E84" s="37">
        <f t="shared" si="4"/>
        <v>25.601507350499997</v>
      </c>
      <c r="F84" s="37">
        <f t="shared" si="5"/>
        <v>25.432668819645151</v>
      </c>
    </row>
    <row r="85" spans="2:6" x14ac:dyDescent="0.3">
      <c r="B85" s="66">
        <v>1140</v>
      </c>
      <c r="C85" s="66">
        <v>26091</v>
      </c>
      <c r="D85" s="37">
        <f t="shared" si="3"/>
        <v>26.091000000000001</v>
      </c>
      <c r="E85" s="37">
        <f t="shared" si="4"/>
        <v>26.260559332499998</v>
      </c>
      <c r="F85" s="37">
        <f t="shared" si="5"/>
        <v>26.101738518578394</v>
      </c>
    </row>
    <row r="86" spans="2:6" x14ac:dyDescent="0.3">
      <c r="B86" s="66">
        <v>1160</v>
      </c>
      <c r="C86" s="66">
        <v>26761</v>
      </c>
      <c r="D86" s="37">
        <f t="shared" si="3"/>
        <v>26.760999999999999</v>
      </c>
      <c r="E86" s="37">
        <f t="shared" si="4"/>
        <v>26.920952834499996</v>
      </c>
      <c r="F86" s="37">
        <f t="shared" si="5"/>
        <v>26.773004832941965</v>
      </c>
    </row>
    <row r="87" spans="2:6" x14ac:dyDescent="0.3">
      <c r="B87" s="66">
        <v>1180</v>
      </c>
      <c r="C87" s="66">
        <v>27435</v>
      </c>
      <c r="D87" s="37">
        <f t="shared" si="3"/>
        <v>27.435000000000002</v>
      </c>
      <c r="E87" s="37">
        <f t="shared" si="4"/>
        <v>27.582687856499998</v>
      </c>
      <c r="F87" s="37">
        <f t="shared" si="5"/>
        <v>27.44643310851248</v>
      </c>
    </row>
    <row r="88" spans="2:6" x14ac:dyDescent="0.3">
      <c r="B88" s="66">
        <v>1200</v>
      </c>
      <c r="C88" s="66">
        <v>28108</v>
      </c>
      <c r="D88" s="37">
        <f t="shared" si="3"/>
        <v>28.108000000000001</v>
      </c>
      <c r="E88" s="37">
        <f t="shared" si="4"/>
        <v>28.245764398499997</v>
      </c>
      <c r="F88" s="37">
        <f t="shared" si="5"/>
        <v>28.121988598471511</v>
      </c>
    </row>
    <row r="89" spans="2:6" x14ac:dyDescent="0.3">
      <c r="B89" s="66">
        <v>1220</v>
      </c>
      <c r="C89" s="66">
        <v>28783</v>
      </c>
      <c r="D89" s="37">
        <f t="shared" si="3"/>
        <v>28.783000000000001</v>
      </c>
      <c r="E89" s="37">
        <f t="shared" si="4"/>
        <v>28.9101824605</v>
      </c>
      <c r="F89" s="37">
        <f t="shared" si="5"/>
        <v>28.799636625991106</v>
      </c>
    </row>
    <row r="90" spans="2:6" x14ac:dyDescent="0.3">
      <c r="B90" s="66">
        <v>1240</v>
      </c>
      <c r="C90" s="66">
        <v>29460</v>
      </c>
      <c r="D90" s="37">
        <f t="shared" si="3"/>
        <v>29.46</v>
      </c>
      <c r="E90" s="37">
        <f t="shared" si="4"/>
        <v>29.575942042499999</v>
      </c>
      <c r="F90" s="37">
        <f t="shared" si="5"/>
        <v>29.479342742211493</v>
      </c>
    </row>
    <row r="91" spans="2:6" x14ac:dyDescent="0.3">
      <c r="B91" s="66">
        <v>1260</v>
      </c>
      <c r="C91" s="66">
        <v>30138</v>
      </c>
      <c r="D91" s="37">
        <f t="shared" si="3"/>
        <v>30.138000000000002</v>
      </c>
      <c r="E91" s="37">
        <f t="shared" si="4"/>
        <v>30.243043144499996</v>
      </c>
      <c r="F91" s="37">
        <f t="shared" si="5"/>
        <v>30.161072879610586</v>
      </c>
    </row>
    <row r="92" spans="2:6" x14ac:dyDescent="0.3">
      <c r="B92" s="66">
        <v>1280</v>
      </c>
      <c r="C92" s="66">
        <v>30819</v>
      </c>
      <c r="D92" s="37">
        <f t="shared" si="3"/>
        <v>30.818999999999999</v>
      </c>
      <c r="E92" s="37">
        <f t="shared" si="4"/>
        <v>30.911485766499997</v>
      </c>
      <c r="F92" s="37">
        <f t="shared" si="5"/>
        <v>30.844793500765647</v>
      </c>
    </row>
    <row r="93" spans="2:6" x14ac:dyDescent="0.3">
      <c r="B93" s="66">
        <v>1300</v>
      </c>
      <c r="C93" s="66">
        <v>31501</v>
      </c>
      <c r="D93" s="37">
        <f t="shared" si="3"/>
        <v>31.501000000000001</v>
      </c>
      <c r="E93" s="37">
        <f t="shared" si="4"/>
        <v>31.581269908500001</v>
      </c>
      <c r="F93" s="37">
        <f t="shared" si="5"/>
        <v>31.530471742506869</v>
      </c>
    </row>
    <row r="94" spans="2:6" x14ac:dyDescent="0.3">
      <c r="B94" s="66">
        <v>1320</v>
      </c>
      <c r="C94" s="66">
        <v>32184</v>
      </c>
      <c r="D94" s="37">
        <f t="shared" si="3"/>
        <v>32.183999999999997</v>
      </c>
      <c r="E94" s="37">
        <f t="shared" si="4"/>
        <v>32.252395570499999</v>
      </c>
      <c r="F94" s="37">
        <f t="shared" si="5"/>
        <v>32.218075555462953</v>
      </c>
    </row>
    <row r="95" spans="2:6" x14ac:dyDescent="0.3">
      <c r="B95" s="66">
        <v>1340</v>
      </c>
      <c r="C95" s="66">
        <v>32870</v>
      </c>
      <c r="D95" s="37">
        <f t="shared" si="3"/>
        <v>32.869999999999997</v>
      </c>
      <c r="E95" s="37">
        <f t="shared" si="4"/>
        <v>32.924862752500005</v>
      </c>
      <c r="F95" s="37">
        <f t="shared" si="5"/>
        <v>32.907573838998765</v>
      </c>
    </row>
    <row r="96" spans="2:6" x14ac:dyDescent="0.3">
      <c r="B96" s="66">
        <v>1360</v>
      </c>
      <c r="C96" s="66">
        <v>33558</v>
      </c>
      <c r="D96" s="37">
        <f t="shared" si="3"/>
        <v>33.558</v>
      </c>
      <c r="E96" s="37">
        <f t="shared" si="4"/>
        <v>33.598671454499993</v>
      </c>
      <c r="F96" s="37">
        <f t="shared" si="5"/>
        <v>33.598936571544854</v>
      </c>
    </row>
    <row r="97" spans="2:6" x14ac:dyDescent="0.3">
      <c r="B97" s="66">
        <v>1380</v>
      </c>
      <c r="C97" s="66">
        <v>34246</v>
      </c>
      <c r="D97" s="37">
        <f t="shared" si="3"/>
        <v>34.246000000000002</v>
      </c>
      <c r="E97" s="37">
        <f t="shared" si="4"/>
        <v>34.273821676499992</v>
      </c>
      <c r="F97" s="37">
        <f t="shared" si="5"/>
        <v>34.292134936319137</v>
      </c>
    </row>
    <row r="98" spans="2:6" x14ac:dyDescent="0.3">
      <c r="B98" s="66">
        <v>1400</v>
      </c>
      <c r="C98" s="66">
        <v>34936</v>
      </c>
      <c r="D98" s="37">
        <f t="shared" si="3"/>
        <v>34.936</v>
      </c>
      <c r="E98" s="37">
        <f t="shared" si="4"/>
        <v>34.950313418500002</v>
      </c>
      <c r="F98" s="37">
        <f t="shared" si="5"/>
        <v>34.987141442440432</v>
      </c>
    </row>
    <row r="99" spans="2:6" x14ac:dyDescent="0.3">
      <c r="B99" s="66">
        <v>1420</v>
      </c>
      <c r="C99" s="66">
        <v>35626</v>
      </c>
      <c r="D99" s="37">
        <f t="shared" si="3"/>
        <v>35.625999999999998</v>
      </c>
      <c r="E99" s="37">
        <f t="shared" si="4"/>
        <v>35.628146680499995</v>
      </c>
      <c r="F99" s="37">
        <f t="shared" si="5"/>
        <v>35.683930041434088</v>
      </c>
    </row>
    <row r="100" spans="2:6" x14ac:dyDescent="0.3">
      <c r="B100" s="66">
        <v>1440</v>
      </c>
      <c r="C100" s="66">
        <v>36319</v>
      </c>
      <c r="D100" s="37">
        <f t="shared" si="3"/>
        <v>36.319000000000003</v>
      </c>
      <c r="E100" s="37">
        <f t="shared" si="4"/>
        <v>36.307321462499999</v>
      </c>
      <c r="F100" s="37">
        <f t="shared" si="5"/>
        <v>36.382476239129602</v>
      </c>
    </row>
    <row r="101" spans="2:6" x14ac:dyDescent="0.3">
      <c r="B101" s="66">
        <v>1460</v>
      </c>
      <c r="C101" s="66">
        <v>37013</v>
      </c>
      <c r="D101" s="37">
        <f t="shared" si="3"/>
        <v>37.012999999999998</v>
      </c>
      <c r="E101" s="37">
        <f t="shared" si="4"/>
        <v>36.9878377645</v>
      </c>
      <c r="F101" s="37">
        <f t="shared" si="5"/>
        <v>37.082757202950177</v>
      </c>
    </row>
    <row r="102" spans="2:6" x14ac:dyDescent="0.3">
      <c r="B102" s="66">
        <v>1480</v>
      </c>
      <c r="C102" s="66">
        <v>37708</v>
      </c>
      <c r="D102" s="37">
        <f t="shared" si="3"/>
        <v>37.707999999999998</v>
      </c>
      <c r="E102" s="37">
        <f t="shared" si="4"/>
        <v>37.669695586499998</v>
      </c>
      <c r="F102" s="37">
        <f t="shared" si="5"/>
        <v>37.784751864594355</v>
      </c>
    </row>
    <row r="103" spans="2:6" x14ac:dyDescent="0.3">
      <c r="B103" s="66">
        <v>1500</v>
      </c>
      <c r="C103" s="66">
        <v>38404</v>
      </c>
      <c r="D103" s="37">
        <f t="shared" si="3"/>
        <v>38.404000000000003</v>
      </c>
      <c r="E103" s="37">
        <f t="shared" si="4"/>
        <v>38.352894928499992</v>
      </c>
      <c r="F103" s="37">
        <f t="shared" si="5"/>
        <v>38.488441018109611</v>
      </c>
    </row>
    <row r="104" spans="2:6" x14ac:dyDescent="0.3">
      <c r="B104" s="66">
        <v>1520</v>
      </c>
      <c r="C104" s="66">
        <v>39102</v>
      </c>
      <c r="D104" s="37">
        <f t="shared" si="3"/>
        <v>39.102000000000004</v>
      </c>
      <c r="E104" s="37">
        <f t="shared" si="4"/>
        <v>39.037435790499998</v>
      </c>
      <c r="F104" s="37">
        <f t="shared" si="5"/>
        <v>39.193807413357909</v>
      </c>
    </row>
    <row r="105" spans="2:6" x14ac:dyDescent="0.3">
      <c r="B105" s="66">
        <v>1540</v>
      </c>
      <c r="C105" s="66">
        <v>39801</v>
      </c>
      <c r="D105" s="37">
        <f t="shared" si="3"/>
        <v>39.801000000000002</v>
      </c>
      <c r="E105" s="37">
        <f t="shared" si="4"/>
        <v>39.723318172500001</v>
      </c>
      <c r="F105" s="37">
        <f t="shared" si="5"/>
        <v>39.900835844873413</v>
      </c>
    </row>
    <row r="106" spans="2:6" x14ac:dyDescent="0.3">
      <c r="B106" s="66">
        <v>1560</v>
      </c>
      <c r="C106" s="66">
        <v>40499</v>
      </c>
      <c r="D106" s="37">
        <f t="shared" si="3"/>
        <v>40.499000000000002</v>
      </c>
      <c r="E106" s="37">
        <f t="shared" si="4"/>
        <v>40.4105420745</v>
      </c>
      <c r="F106" s="37">
        <f t="shared" si="5"/>
        <v>40.609513236111944</v>
      </c>
    </row>
    <row r="107" spans="2:6" x14ac:dyDescent="0.3">
      <c r="B107" s="66">
        <v>1580</v>
      </c>
      <c r="C107" s="66">
        <v>41200</v>
      </c>
      <c r="D107" s="37">
        <f t="shared" si="3"/>
        <v>41.2</v>
      </c>
      <c r="E107" s="37">
        <f t="shared" si="4"/>
        <v>41.099107496499997</v>
      </c>
      <c r="F107" s="37">
        <f t="shared" si="5"/>
        <v>41.319828719092705</v>
      </c>
    </row>
    <row r="108" spans="2:6" x14ac:dyDescent="0.3">
      <c r="B108" s="66">
        <v>1600</v>
      </c>
      <c r="C108" s="66">
        <v>41902</v>
      </c>
      <c r="D108" s="37">
        <f t="shared" si="3"/>
        <v>41.902000000000001</v>
      </c>
      <c r="E108" s="37">
        <f t="shared" si="4"/>
        <v>41.789014438500004</v>
      </c>
      <c r="F108" s="37">
        <f t="shared" si="5"/>
        <v>42.031773709431782</v>
      </c>
    </row>
    <row r="109" spans="2:6" x14ac:dyDescent="0.3">
      <c r="B109" s="66">
        <v>1620</v>
      </c>
      <c r="C109" s="66">
        <v>42606</v>
      </c>
      <c r="D109" s="37">
        <f t="shared" si="3"/>
        <v>42.606000000000002</v>
      </c>
      <c r="E109" s="37">
        <f t="shared" si="4"/>
        <v>42.480262900499994</v>
      </c>
      <c r="F109" s="37">
        <f t="shared" si="5"/>
        <v>42.745341976767826</v>
      </c>
    </row>
    <row r="110" spans="2:6" x14ac:dyDescent="0.3">
      <c r="B110" s="66">
        <v>1640</v>
      </c>
      <c r="C110" s="66">
        <v>43311</v>
      </c>
      <c r="D110" s="37">
        <f t="shared" si="3"/>
        <v>43.311</v>
      </c>
      <c r="E110" s="37">
        <f t="shared" si="4"/>
        <v>43.172852882499996</v>
      </c>
      <c r="F110" s="37">
        <f t="shared" si="5"/>
        <v>43.4605297105796</v>
      </c>
    </row>
    <row r="111" spans="2:6" x14ac:dyDescent="0.3">
      <c r="B111" s="66">
        <v>1660</v>
      </c>
      <c r="C111" s="66">
        <v>44017</v>
      </c>
      <c r="D111" s="37">
        <f t="shared" si="3"/>
        <v>44.017000000000003</v>
      </c>
      <c r="E111" s="37">
        <f t="shared" si="4"/>
        <v>43.866784384499994</v>
      </c>
      <c r="F111" s="37">
        <f t="shared" si="5"/>
        <v>44.177335581395575</v>
      </c>
    </row>
    <row r="112" spans="2:6" x14ac:dyDescent="0.3">
      <c r="B112" s="66">
        <v>1680</v>
      </c>
      <c r="C112" s="66">
        <v>44724</v>
      </c>
      <c r="D112" s="37">
        <f t="shared" si="3"/>
        <v>44.724000000000004</v>
      </c>
      <c r="E112" s="37">
        <f t="shared" si="4"/>
        <v>44.562057406500003</v>
      </c>
      <c r="F112" s="37">
        <f t="shared" si="5"/>
        <v>44.895760797395589</v>
      </c>
    </row>
    <row r="113" spans="2:6" x14ac:dyDescent="0.3">
      <c r="B113" s="66">
        <v>1700</v>
      </c>
      <c r="C113" s="66">
        <v>45430</v>
      </c>
      <c r="D113" s="37">
        <f t="shared" si="3"/>
        <v>45.43</v>
      </c>
      <c r="E113" s="37">
        <f t="shared" si="4"/>
        <v>45.258671948499995</v>
      </c>
      <c r="F113" s="37">
        <f t="shared" si="5"/>
        <v>45.615809156404381</v>
      </c>
    </row>
    <row r="114" spans="2:6" x14ac:dyDescent="0.3">
      <c r="B114" s="66">
        <v>1720</v>
      </c>
      <c r="C114" s="66">
        <v>46138</v>
      </c>
      <c r="D114" s="37">
        <f t="shared" si="3"/>
        <v>46.137999999999998</v>
      </c>
      <c r="E114" s="37">
        <f t="shared" si="4"/>
        <v>45.956628010499998</v>
      </c>
      <c r="F114" s="37">
        <f t="shared" si="5"/>
        <v>46.337487093277225</v>
      </c>
    </row>
    <row r="115" spans="2:6" x14ac:dyDescent="0.3">
      <c r="B115" s="66">
        <v>1740</v>
      </c>
      <c r="C115" s="66">
        <v>46847</v>
      </c>
      <c r="D115" s="37">
        <f t="shared" si="3"/>
        <v>46.847000000000001</v>
      </c>
      <c r="E115" s="37">
        <f t="shared" si="4"/>
        <v>46.655925592499997</v>
      </c>
      <c r="F115" s="37">
        <f t="shared" si="5"/>
        <v>47.060803722677541</v>
      </c>
    </row>
    <row r="116" spans="2:6" x14ac:dyDescent="0.3">
      <c r="B116" s="66">
        <v>1760</v>
      </c>
      <c r="C116" s="66" t="s">
        <v>64</v>
      </c>
      <c r="D116" s="37"/>
      <c r="E116" s="37">
        <f t="shared" si="4"/>
        <v>47.356564694499994</v>
      </c>
      <c r="F116" s="37">
        <f t="shared" si="5"/>
        <v>47.785770877246442</v>
      </c>
    </row>
    <row r="117" spans="2:6" x14ac:dyDescent="0.3">
      <c r="B117" s="66">
        <v>1780</v>
      </c>
      <c r="C117" s="66">
        <v>48269</v>
      </c>
      <c r="D117" s="37">
        <f t="shared" si="3"/>
        <v>48.268999999999998</v>
      </c>
      <c r="E117" s="37">
        <f t="shared" si="4"/>
        <v>48.058545316500002</v>
      </c>
      <c r="F117" s="37">
        <f t="shared" si="5"/>
        <v>48.512403141164398</v>
      </c>
    </row>
    <row r="118" spans="2:6" x14ac:dyDescent="0.3">
      <c r="B118" s="66">
        <v>1800</v>
      </c>
      <c r="C118" s="66">
        <v>48982</v>
      </c>
      <c r="D118" s="37">
        <f t="shared" si="3"/>
        <v>48.981999999999999</v>
      </c>
      <c r="E118" s="37">
        <f t="shared" si="4"/>
        <v>48.761867458499992</v>
      </c>
      <c r="F118" s="37">
        <f t="shared" si="5"/>
        <v>49.240717879104778</v>
      </c>
    </row>
    <row r="119" spans="2:6" x14ac:dyDescent="0.3">
      <c r="B119" s="66">
        <v>1820</v>
      </c>
      <c r="C119" s="66">
        <v>49694</v>
      </c>
      <c r="D119" s="37">
        <f t="shared" si="3"/>
        <v>49.694000000000003</v>
      </c>
      <c r="E119" s="37">
        <f t="shared" si="4"/>
        <v>49.466531120499994</v>
      </c>
      <c r="F119" s="37">
        <f t="shared" si="5"/>
        <v>49.970735260579524</v>
      </c>
    </row>
    <row r="120" spans="2:6" x14ac:dyDescent="0.3">
      <c r="B120" s="66">
        <v>1840</v>
      </c>
      <c r="C120" s="66">
        <v>50406</v>
      </c>
      <c r="D120" s="37">
        <f t="shared" si="3"/>
        <v>50.405999999999999</v>
      </c>
      <c r="E120" s="37">
        <f t="shared" si="4"/>
        <v>50.172536302499992</v>
      </c>
      <c r="F120" s="37">
        <f t="shared" si="5"/>
        <v>50.702478279676654</v>
      </c>
    </row>
    <row r="121" spans="2:6" x14ac:dyDescent="0.3">
      <c r="B121" s="66">
        <v>1860</v>
      </c>
      <c r="C121" s="66">
        <v>51121</v>
      </c>
      <c r="D121" s="37">
        <f t="shared" si="3"/>
        <v>51.121000000000002</v>
      </c>
      <c r="E121" s="37">
        <f t="shared" si="4"/>
        <v>50.879883004500002</v>
      </c>
      <c r="F121" s="37">
        <f t="shared" si="5"/>
        <v>51.43597277018997</v>
      </c>
    </row>
    <row r="122" spans="2:6" x14ac:dyDescent="0.3">
      <c r="B122" s="66">
        <v>1880</v>
      </c>
      <c r="C122" s="66">
        <v>51835</v>
      </c>
      <c r="D122" s="37">
        <f t="shared" si="3"/>
        <v>51.835000000000001</v>
      </c>
      <c r="E122" s="37">
        <f t="shared" si="4"/>
        <v>51.588571226499994</v>
      </c>
      <c r="F122" s="37">
        <f t="shared" si="5"/>
        <v>52.171247416140531</v>
      </c>
    </row>
    <row r="123" spans="2:6" x14ac:dyDescent="0.3">
      <c r="B123" s="66">
        <v>1900</v>
      </c>
      <c r="C123" s="66">
        <v>52551</v>
      </c>
      <c r="D123" s="37">
        <f t="shared" si="3"/>
        <v>52.551000000000002</v>
      </c>
      <c r="E123" s="37">
        <f t="shared" si="4"/>
        <v>52.298600968499997</v>
      </c>
      <c r="F123" s="37">
        <f t="shared" si="5"/>
        <v>52.9083337576904</v>
      </c>
    </row>
    <row r="124" spans="2:6" x14ac:dyDescent="0.3">
      <c r="B124" s="66">
        <v>1920</v>
      </c>
      <c r="C124" s="66">
        <v>53267</v>
      </c>
      <c r="D124" s="37">
        <f t="shared" si="3"/>
        <v>53.267000000000003</v>
      </c>
      <c r="E124" s="37">
        <f t="shared" si="4"/>
        <v>53.009972230499997</v>
      </c>
      <c r="F124" s="37">
        <f t="shared" si="5"/>
        <v>53.647266192448114</v>
      </c>
    </row>
    <row r="125" spans="2:6" x14ac:dyDescent="0.3">
      <c r="B125" s="66">
        <v>1940</v>
      </c>
      <c r="C125" s="66">
        <v>53985</v>
      </c>
      <c r="D125" s="37">
        <f t="shared" si="3"/>
        <v>53.984999999999999</v>
      </c>
      <c r="E125" s="37">
        <f t="shared" si="4"/>
        <v>53.722685012499994</v>
      </c>
      <c r="F125" s="37">
        <f t="shared" si="5"/>
        <v>54.388081972166354</v>
      </c>
    </row>
    <row r="126" spans="2:6" x14ac:dyDescent="0.3">
      <c r="B126" s="66">
        <v>1960</v>
      </c>
      <c r="C126" s="66">
        <v>54712</v>
      </c>
      <c r="D126" s="37">
        <f t="shared" si="3"/>
        <v>54.712000000000003</v>
      </c>
      <c r="E126" s="37">
        <f t="shared" si="4"/>
        <v>54.436739314500002</v>
      </c>
      <c r="F126" s="37">
        <f t="shared" si="5"/>
        <v>55.13082119483154</v>
      </c>
    </row>
    <row r="127" spans="2:6" x14ac:dyDescent="0.3">
      <c r="B127" s="66">
        <v>1980</v>
      </c>
      <c r="C127" s="66">
        <v>55421</v>
      </c>
      <c r="D127" s="37">
        <f t="shared" si="3"/>
        <v>55.420999999999999</v>
      </c>
      <c r="E127" s="37">
        <f t="shared" si="4"/>
        <v>55.152135136499993</v>
      </c>
      <c r="F127" s="37">
        <f t="shared" si="5"/>
        <v>55.875526792145401</v>
      </c>
    </row>
    <row r="128" spans="2:6" x14ac:dyDescent="0.3">
      <c r="B128" s="66">
        <v>2000</v>
      </c>
      <c r="C128" s="66">
        <v>56141</v>
      </c>
      <c r="D128" s="37">
        <f t="shared" si="3"/>
        <v>56.140999999999998</v>
      </c>
      <c r="E128" s="37">
        <f t="shared" si="4"/>
        <v>55.868872478499995</v>
      </c>
      <c r="F128" s="37">
        <f t="shared" si="5"/>
        <v>56.622244512398616</v>
      </c>
    </row>
    <row r="129" spans="2:6" x14ac:dyDescent="0.3">
      <c r="B129" s="66">
        <v>2050</v>
      </c>
      <c r="C129" s="66">
        <v>57943</v>
      </c>
      <c r="D129" s="37">
        <f t="shared" si="3"/>
        <v>57.942999999999998</v>
      </c>
      <c r="E129" s="37">
        <f t="shared" si="4"/>
        <v>57.666584983500002</v>
      </c>
      <c r="F129" s="37">
        <f t="shared" si="5"/>
        <v>58.498167220894778</v>
      </c>
    </row>
    <row r="130" spans="2:6" x14ac:dyDescent="0.3">
      <c r="B130" s="66">
        <v>2100</v>
      </c>
      <c r="C130" s="66">
        <v>59748</v>
      </c>
      <c r="D130" s="37">
        <f t="shared" si="3"/>
        <v>59.748000000000005</v>
      </c>
      <c r="E130" s="37">
        <f t="shared" si="4"/>
        <v>59.4726819885</v>
      </c>
      <c r="F130" s="37">
        <f t="shared" si="5"/>
        <v>60.387810183546868</v>
      </c>
    </row>
    <row r="131" spans="2:6" x14ac:dyDescent="0.3">
      <c r="B131" s="66">
        <v>2150</v>
      </c>
      <c r="C131" s="66">
        <v>61557</v>
      </c>
      <c r="D131" s="37">
        <f t="shared" si="3"/>
        <v>61.557000000000002</v>
      </c>
      <c r="E131" s="37">
        <f t="shared" si="4"/>
        <v>61.287163493500003</v>
      </c>
      <c r="F131" s="37">
        <f t="shared" si="5"/>
        <v>62.292111549782028</v>
      </c>
    </row>
    <row r="132" spans="2:6" x14ac:dyDescent="0.3">
      <c r="B132" s="66">
        <v>2200</v>
      </c>
      <c r="C132" s="66">
        <v>63371</v>
      </c>
      <c r="D132" s="37">
        <f t="shared" si="3"/>
        <v>63.371000000000002</v>
      </c>
      <c r="E132" s="37">
        <f t="shared" si="4"/>
        <v>63.110029498499998</v>
      </c>
      <c r="F132" s="37">
        <f t="shared" si="5"/>
        <v>64.212109611532497</v>
      </c>
    </row>
    <row r="133" spans="2:6" x14ac:dyDescent="0.3">
      <c r="B133" s="66">
        <v>2250</v>
      </c>
      <c r="C133" s="66">
        <v>65187</v>
      </c>
      <c r="D133" s="37">
        <f t="shared" si="3"/>
        <v>65.186999999999998</v>
      </c>
      <c r="E133" s="37">
        <f t="shared" si="4"/>
        <v>64.941280003499998</v>
      </c>
      <c r="F133" s="37">
        <f t="shared" si="5"/>
        <v>66.148937193235412</v>
      </c>
    </row>
    <row r="134" spans="2:6" x14ac:dyDescent="0.3">
      <c r="B134" s="66">
        <v>2300</v>
      </c>
      <c r="C134" s="66">
        <v>67007</v>
      </c>
      <c r="D134" s="37">
        <f t="shared" si="3"/>
        <v>67.007000000000005</v>
      </c>
      <c r="E134" s="37">
        <f t="shared" si="4"/>
        <v>66.780915008500003</v>
      </c>
      <c r="F134" s="37">
        <f t="shared" si="5"/>
        <v>68.10381491683296</v>
      </c>
    </row>
    <row r="135" spans="2:6" x14ac:dyDescent="0.3">
      <c r="B135" s="66">
        <v>2350</v>
      </c>
      <c r="C135" s="66">
        <v>68827</v>
      </c>
      <c r="D135" s="37">
        <f t="shared" si="3"/>
        <v>68.826999999999998</v>
      </c>
      <c r="E135" s="37">
        <f t="shared" si="4"/>
        <v>68.628934513499985</v>
      </c>
      <c r="F135" s="37">
        <f t="shared" si="5"/>
        <v>70.078043341772315</v>
      </c>
    </row>
    <row r="136" spans="2:6" x14ac:dyDescent="0.3">
      <c r="B136" s="66">
        <v>2400</v>
      </c>
      <c r="C136" s="66">
        <v>70651</v>
      </c>
      <c r="D136" s="37">
        <f t="shared" ref="D136:D147" si="6">C136*10^-3</f>
        <v>70.650999999999996</v>
      </c>
      <c r="E136" s="37">
        <f t="shared" ref="E136:E147" si="7">(0.0000016769*B136^2)+(0.0291628051*B136)-9.1643377215</f>
        <v>70.485338518500001</v>
      </c>
      <c r="F136" s="37">
        <f t="shared" ref="F136:F147" si="8">(-0.0000000000000000001*B136^6)+(0.0000000000000011254*B136^5)+(-0.0000000000045328333*B136^4)+(0.0000000082869697929*B136^3)+(-0.0000043902754023995*B136^2)+(0.0297231162501513*B136)+(-8.64611192150597)</f>
        <v>72.072993980005606</v>
      </c>
    </row>
    <row r="137" spans="2:6" x14ac:dyDescent="0.3">
      <c r="B137" s="66">
        <v>2450</v>
      </c>
      <c r="C137" s="66">
        <v>72480</v>
      </c>
      <c r="D137" s="37">
        <f t="shared" si="6"/>
        <v>72.48</v>
      </c>
      <c r="E137" s="37">
        <f t="shared" si="7"/>
        <v>72.350127023499994</v>
      </c>
      <c r="F137" s="37">
        <f t="shared" si="8"/>
        <v>74.090099185990084</v>
      </c>
    </row>
    <row r="138" spans="2:6" x14ac:dyDescent="0.3">
      <c r="B138" s="66">
        <v>2500</v>
      </c>
      <c r="C138" s="66">
        <v>74312</v>
      </c>
      <c r="D138" s="37">
        <f t="shared" si="6"/>
        <v>74.311999999999998</v>
      </c>
      <c r="E138" s="37">
        <f t="shared" si="7"/>
        <v>74.223300028500006</v>
      </c>
      <c r="F138" s="37">
        <f t="shared" si="8"/>
        <v>76.130840921687877</v>
      </c>
    </row>
    <row r="139" spans="2:6" x14ac:dyDescent="0.3">
      <c r="B139" s="66">
        <v>2550</v>
      </c>
      <c r="C139" s="66">
        <v>76145</v>
      </c>
      <c r="D139" s="37">
        <f t="shared" si="6"/>
        <v>76.144999999999996</v>
      </c>
      <c r="E139" s="37">
        <f t="shared" si="7"/>
        <v>76.104857533499995</v>
      </c>
      <c r="F139" s="37">
        <f t="shared" si="8"/>
        <v>78.196738396566161</v>
      </c>
    </row>
    <row r="140" spans="2:6" x14ac:dyDescent="0.3">
      <c r="B140" s="66">
        <v>2600</v>
      </c>
      <c r="C140" s="66">
        <v>77981</v>
      </c>
      <c r="D140" s="37">
        <f t="shared" si="6"/>
        <v>77.980999999999995</v>
      </c>
      <c r="E140" s="37">
        <f t="shared" si="7"/>
        <v>77.99479953849999</v>
      </c>
      <c r="F140" s="37">
        <f t="shared" si="8"/>
        <v>80.289334582597178</v>
      </c>
    </row>
    <row r="141" spans="2:6" x14ac:dyDescent="0.3">
      <c r="B141" s="66">
        <v>2650</v>
      </c>
      <c r="C141" s="66">
        <v>79819</v>
      </c>
      <c r="D141" s="37">
        <f t="shared" si="6"/>
        <v>79.819000000000003</v>
      </c>
      <c r="E141" s="37">
        <f t="shared" si="7"/>
        <v>79.893126043500004</v>
      </c>
      <c r="F141" s="37">
        <f t="shared" si="8"/>
        <v>82.410181604258042</v>
      </c>
    </row>
    <row r="142" spans="2:6" x14ac:dyDescent="0.3">
      <c r="B142" s="66">
        <v>2700</v>
      </c>
      <c r="C142" s="66">
        <v>81659</v>
      </c>
      <c r="D142" s="37">
        <f t="shared" si="6"/>
        <v>81.659000000000006</v>
      </c>
      <c r="E142" s="37">
        <f t="shared" si="7"/>
        <v>81.799837048499995</v>
      </c>
      <c r="F142" s="37">
        <f t="shared" si="8"/>
        <v>84.560825003530823</v>
      </c>
    </row>
    <row r="143" spans="2:6" x14ac:dyDescent="0.3">
      <c r="B143" s="66">
        <v>2750</v>
      </c>
      <c r="C143" s="66">
        <v>83502</v>
      </c>
      <c r="D143" s="37">
        <f t="shared" si="6"/>
        <v>83.501999999999995</v>
      </c>
      <c r="E143" s="37">
        <f t="shared" si="7"/>
        <v>83.714932553500006</v>
      </c>
      <c r="F143" s="37">
        <f t="shared" si="8"/>
        <v>86.742786879902951</v>
      </c>
    </row>
    <row r="144" spans="2:6" x14ac:dyDescent="0.3">
      <c r="B144" s="66">
        <v>2800</v>
      </c>
      <c r="C144" s="66">
        <v>85345</v>
      </c>
      <c r="D144" s="37">
        <f t="shared" si="6"/>
        <v>85.344999999999999</v>
      </c>
      <c r="E144" s="37">
        <f t="shared" si="7"/>
        <v>85.638412558499994</v>
      </c>
      <c r="F144" s="37">
        <f t="shared" si="8"/>
        <v>88.95754790536634</v>
      </c>
    </row>
    <row r="145" spans="2:6" x14ac:dyDescent="0.3">
      <c r="B145" s="66">
        <v>2850</v>
      </c>
      <c r="C145" s="66">
        <v>87190</v>
      </c>
      <c r="D145" s="37">
        <f t="shared" si="6"/>
        <v>87.19</v>
      </c>
      <c r="E145" s="37">
        <f t="shared" si="7"/>
        <v>87.570277063500001</v>
      </c>
      <c r="F145" s="37">
        <f t="shared" si="8"/>
        <v>91.206528214418398</v>
      </c>
    </row>
    <row r="146" spans="2:6" x14ac:dyDescent="0.3">
      <c r="B146" s="66">
        <v>2900</v>
      </c>
      <c r="C146" s="66">
        <v>89036</v>
      </c>
      <c r="D146" s="37">
        <f t="shared" si="6"/>
        <v>89.036000000000001</v>
      </c>
      <c r="E146" s="37">
        <f t="shared" si="7"/>
        <v>89.510526068499999</v>
      </c>
      <c r="F146" s="37">
        <f t="shared" si="8"/>
        <v>93.49106716906104</v>
      </c>
    </row>
    <row r="147" spans="2:6" x14ac:dyDescent="0.3">
      <c r="B147" s="66">
        <v>3000</v>
      </c>
      <c r="C147" s="66">
        <v>92738</v>
      </c>
      <c r="D147" s="37">
        <f t="shared" si="6"/>
        <v>92.738</v>
      </c>
      <c r="E147" s="37">
        <f t="shared" si="7"/>
        <v>93.416177578499997</v>
      </c>
      <c r="F147" s="37">
        <f t="shared" si="8"/>
        <v>98.171645315652455</v>
      </c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L147"/>
  <sheetViews>
    <sheetView workbookViewId="0">
      <selection activeCell="W15" sqref="W15"/>
    </sheetView>
  </sheetViews>
  <sheetFormatPr defaultRowHeight="14.4" x14ac:dyDescent="0.3"/>
  <cols>
    <col min="2" max="2" width="12.44140625" customWidth="1"/>
    <col min="3" max="3" width="11.6640625" customWidth="1"/>
    <col min="4" max="4" width="11" customWidth="1"/>
  </cols>
  <sheetData>
    <row r="1" spans="2:12" x14ac:dyDescent="0.3">
      <c r="E1" s="3"/>
    </row>
    <row r="2" spans="2:12" x14ac:dyDescent="0.3">
      <c r="B2" s="5" t="s">
        <v>68</v>
      </c>
      <c r="C2" s="5"/>
      <c r="D2" s="5"/>
      <c r="E2" s="3"/>
    </row>
    <row r="3" spans="2:12" x14ac:dyDescent="0.3">
      <c r="B3" s="5" t="s">
        <v>69</v>
      </c>
      <c r="C3" s="5"/>
      <c r="D3" s="5"/>
      <c r="E3" s="3"/>
    </row>
    <row r="4" spans="2:12" x14ac:dyDescent="0.3">
      <c r="B4" s="5" t="s">
        <v>70</v>
      </c>
      <c r="C4" s="5"/>
      <c r="D4" s="5"/>
      <c r="E4" s="3"/>
    </row>
    <row r="6" spans="2:12" ht="36.75" customHeight="1" x14ac:dyDescent="0.3">
      <c r="B6" s="21" t="s">
        <v>61</v>
      </c>
      <c r="C6" s="21" t="s">
        <v>62</v>
      </c>
      <c r="D6" s="21" t="s">
        <v>89</v>
      </c>
      <c r="E6" s="21" t="s">
        <v>149</v>
      </c>
      <c r="F6" s="21" t="s">
        <v>150</v>
      </c>
      <c r="G6" s="3"/>
      <c r="H6" s="3"/>
      <c r="I6" s="3"/>
      <c r="J6" s="3"/>
      <c r="K6" s="3"/>
      <c r="L6" s="3"/>
    </row>
    <row r="7" spans="2:12" x14ac:dyDescent="0.3">
      <c r="B7" s="66">
        <v>298</v>
      </c>
      <c r="C7" s="66">
        <v>0</v>
      </c>
      <c r="D7" s="37">
        <f>C7*10^-3</f>
        <v>0</v>
      </c>
      <c r="E7" s="37">
        <f>(0.0000017067648137467*B7^2)+(0.0310161671834927*B7)-9.85669915518637</f>
        <v>-0.46231379198558287</v>
      </c>
      <c r="F7" s="37">
        <f>(0*B7^6)+(0.0000000000000000151*B7^5)+(0.0000000000006480384*B7^4)+(-0.0000000037470426353*B7^3)+(0.0000098189461073622*B7^2)+(0.0238524349087728*B7)+(-7.87103036786887)</f>
        <v>1.49427319538189E-2</v>
      </c>
      <c r="G7" s="3"/>
      <c r="H7" s="3"/>
      <c r="I7" s="3"/>
      <c r="J7" s="3"/>
      <c r="K7" s="3"/>
      <c r="L7" s="3"/>
    </row>
    <row r="8" spans="2:12" x14ac:dyDescent="0.3">
      <c r="B8" s="66">
        <v>300</v>
      </c>
      <c r="C8" s="66">
        <v>54</v>
      </c>
      <c r="D8" s="37">
        <f t="shared" ref="D8:D71" si="0">C8*10^-3</f>
        <v>5.3999999999999999E-2</v>
      </c>
      <c r="E8" s="37">
        <f t="shared" ref="E8:E71" si="1">(0.0000017067648137467*B8^2)+(0.0310161671834927*B8)-9.85669915518637</f>
        <v>-0.39824016690135444</v>
      </c>
      <c r="F8" s="37">
        <f t="shared" ref="F8:F71" si="2">(0*B8^6)+(0.0000000000000000151*B8^5)+(0.0000000000006480384*B8^4)+(-0.0000000037470426353*B8^3)+(0.0000098189461073622*B8^2)+(0.0238524349087728*B8)+(-7.87103036786887)</f>
        <v>7.2520907312467742E-2</v>
      </c>
      <c r="G8" s="3"/>
      <c r="H8" s="3"/>
      <c r="I8" s="3"/>
      <c r="J8" s="3"/>
      <c r="K8" s="3"/>
      <c r="L8" s="3"/>
    </row>
    <row r="9" spans="2:12" x14ac:dyDescent="0.3">
      <c r="B9" s="66">
        <v>310</v>
      </c>
      <c r="C9" s="66">
        <v>348</v>
      </c>
      <c r="D9" s="37">
        <f t="shared" si="0"/>
        <v>0.34800000000000003</v>
      </c>
      <c r="E9" s="37">
        <f t="shared" si="1"/>
        <v>-7.7667229702573337E-2</v>
      </c>
      <c r="F9" s="37">
        <f t="shared" si="2"/>
        <v>0.36122502835005665</v>
      </c>
      <c r="G9" s="3"/>
      <c r="H9" s="3"/>
      <c r="I9" s="3"/>
      <c r="J9" s="3"/>
      <c r="K9" s="3"/>
      <c r="L9" s="3"/>
    </row>
    <row r="10" spans="2:12" x14ac:dyDescent="0.3">
      <c r="B10" s="66">
        <v>320</v>
      </c>
      <c r="C10" s="66">
        <v>643</v>
      </c>
      <c r="D10" s="37">
        <f t="shared" si="0"/>
        <v>0.64300000000000002</v>
      </c>
      <c r="E10" s="37">
        <f t="shared" si="1"/>
        <v>0.24324706045895716</v>
      </c>
      <c r="F10" s="37">
        <f t="shared" si="2"/>
        <v>0.65127163358430895</v>
      </c>
      <c r="G10" s="3"/>
      <c r="H10" s="3"/>
      <c r="I10" s="3"/>
      <c r="J10" s="3"/>
      <c r="K10" s="3"/>
      <c r="L10" s="3"/>
    </row>
    <row r="11" spans="2:12" x14ac:dyDescent="0.3">
      <c r="B11" s="66">
        <v>330</v>
      </c>
      <c r="C11" s="66">
        <v>938</v>
      </c>
      <c r="D11" s="37">
        <f t="shared" si="0"/>
        <v>0.93800000000000006</v>
      </c>
      <c r="E11" s="37">
        <f t="shared" si="1"/>
        <v>0.56450270358323706</v>
      </c>
      <c r="F11" s="37">
        <f t="shared" si="2"/>
        <v>0.94264322985021476</v>
      </c>
      <c r="G11" s="3"/>
      <c r="H11" s="3"/>
      <c r="I11" s="3"/>
      <c r="J11" s="3"/>
      <c r="K11" s="3"/>
      <c r="L11" s="3"/>
    </row>
    <row r="12" spans="2:12" x14ac:dyDescent="0.3">
      <c r="B12" s="66">
        <v>340</v>
      </c>
      <c r="C12" s="66">
        <v>1234</v>
      </c>
      <c r="D12" s="37">
        <f t="shared" si="0"/>
        <v>1.234</v>
      </c>
      <c r="E12" s="37">
        <f t="shared" si="1"/>
        <v>0.88609969967026636</v>
      </c>
      <c r="F12" s="37">
        <f t="shared" si="2"/>
        <v>1.2353224853103848</v>
      </c>
      <c r="G12" s="3"/>
      <c r="H12" s="3"/>
      <c r="I12" s="3"/>
      <c r="J12" s="3"/>
      <c r="K12" s="3"/>
      <c r="L12" s="3"/>
    </row>
    <row r="13" spans="2:12" x14ac:dyDescent="0.3">
      <c r="B13" s="66">
        <v>350</v>
      </c>
      <c r="C13" s="66">
        <v>1531</v>
      </c>
      <c r="D13" s="37">
        <f t="shared" si="0"/>
        <v>1.5310000000000001</v>
      </c>
      <c r="E13" s="37">
        <f t="shared" si="1"/>
        <v>1.2080380487200468</v>
      </c>
      <c r="F13" s="37">
        <f t="shared" si="2"/>
        <v>1.5292922296362415</v>
      </c>
      <c r="G13" s="3"/>
      <c r="H13" s="3"/>
      <c r="I13" s="3"/>
      <c r="J13" s="3"/>
      <c r="K13" s="3"/>
      <c r="L13" s="3"/>
    </row>
    <row r="14" spans="2:12" x14ac:dyDescent="0.3">
      <c r="B14" s="66">
        <v>360</v>
      </c>
      <c r="C14" s="66">
        <v>1829</v>
      </c>
      <c r="D14" s="37">
        <f t="shared" si="0"/>
        <v>1.829</v>
      </c>
      <c r="E14" s="37">
        <f t="shared" si="1"/>
        <v>1.5303177507325749</v>
      </c>
      <c r="F14" s="37">
        <f t="shared" si="2"/>
        <v>1.8245354541892249</v>
      </c>
      <c r="G14" s="3"/>
      <c r="H14" s="3"/>
      <c r="I14" s="3"/>
      <c r="J14" s="3"/>
      <c r="K14" s="3"/>
      <c r="L14" s="3"/>
    </row>
    <row r="15" spans="2:12" x14ac:dyDescent="0.3">
      <c r="B15" s="66">
        <v>370</v>
      </c>
      <c r="C15" s="66">
        <v>2127</v>
      </c>
      <c r="D15" s="37">
        <f t="shared" si="0"/>
        <v>2.1270000000000002</v>
      </c>
      <c r="E15" s="37">
        <f t="shared" si="1"/>
        <v>1.8529388057078524</v>
      </c>
      <c r="F15" s="37">
        <f t="shared" si="2"/>
        <v>2.121035312201994</v>
      </c>
      <c r="G15" s="3"/>
      <c r="H15" s="3"/>
      <c r="I15" s="3"/>
      <c r="J15" s="3"/>
      <c r="K15" s="3"/>
      <c r="L15" s="3"/>
    </row>
    <row r="16" spans="2:12" x14ac:dyDescent="0.3">
      <c r="B16" s="66">
        <v>380</v>
      </c>
      <c r="C16" s="66">
        <v>2427</v>
      </c>
      <c r="D16" s="37">
        <f t="shared" si="0"/>
        <v>2.427</v>
      </c>
      <c r="E16" s="37">
        <f t="shared" si="1"/>
        <v>2.1759012136458811</v>
      </c>
      <c r="F16" s="37">
        <f t="shared" si="2"/>
        <v>2.4187751189596183</v>
      </c>
      <c r="G16" s="3"/>
      <c r="H16" s="3"/>
      <c r="I16" s="3"/>
      <c r="J16" s="3"/>
      <c r="K16" s="3"/>
      <c r="L16" s="3"/>
    </row>
    <row r="17" spans="2:12" x14ac:dyDescent="0.3">
      <c r="B17" s="66">
        <v>390</v>
      </c>
      <c r="C17" s="66">
        <v>2727</v>
      </c>
      <c r="D17" s="37">
        <f t="shared" si="0"/>
        <v>2.7269999999999999</v>
      </c>
      <c r="E17" s="37">
        <f t="shared" si="1"/>
        <v>2.4992049745466574</v>
      </c>
      <c r="F17" s="37">
        <f t="shared" si="2"/>
        <v>2.7177383519807856</v>
      </c>
      <c r="G17" s="3"/>
      <c r="H17" s="3"/>
      <c r="I17" s="3"/>
      <c r="J17" s="3"/>
      <c r="K17" s="3"/>
      <c r="L17" s="3"/>
    </row>
    <row r="18" spans="2:12" x14ac:dyDescent="0.3">
      <c r="B18" s="66">
        <v>400</v>
      </c>
      <c r="C18" s="66">
        <v>3029</v>
      </c>
      <c r="D18" s="37">
        <f t="shared" si="0"/>
        <v>3.0289999999999999</v>
      </c>
      <c r="E18" s="37">
        <f t="shared" si="1"/>
        <v>2.822850088410183</v>
      </c>
      <c r="F18" s="37">
        <f t="shared" si="2"/>
        <v>3.0179086511989999</v>
      </c>
      <c r="G18" s="3"/>
      <c r="H18" s="3"/>
      <c r="I18" s="3"/>
      <c r="J18" s="3"/>
      <c r="K18" s="3"/>
      <c r="L18" s="3"/>
    </row>
    <row r="19" spans="2:12" x14ac:dyDescent="0.3">
      <c r="B19" s="66">
        <v>410</v>
      </c>
      <c r="C19" s="66">
        <v>3330</v>
      </c>
      <c r="D19" s="37">
        <f t="shared" si="0"/>
        <v>3.33</v>
      </c>
      <c r="E19" s="37">
        <f t="shared" si="1"/>
        <v>3.1468365552364581</v>
      </c>
      <c r="F19" s="37">
        <f t="shared" si="2"/>
        <v>3.3192698191437868</v>
      </c>
      <c r="G19" s="3"/>
      <c r="H19" s="3"/>
      <c r="I19" s="3"/>
      <c r="J19" s="3"/>
      <c r="K19" s="3"/>
      <c r="L19" s="3"/>
    </row>
    <row r="20" spans="2:12" x14ac:dyDescent="0.3">
      <c r="B20" s="66">
        <v>420</v>
      </c>
      <c r="C20" s="66">
        <v>3632</v>
      </c>
      <c r="D20" s="37">
        <f t="shared" si="0"/>
        <v>3.6320000000000001</v>
      </c>
      <c r="E20" s="37">
        <f t="shared" si="1"/>
        <v>3.4711643750254844</v>
      </c>
      <c r="F20" s="37">
        <f t="shared" si="2"/>
        <v>3.6218058211218755</v>
      </c>
      <c r="G20" s="3"/>
      <c r="H20" s="3"/>
      <c r="I20" s="3"/>
      <c r="J20" s="3"/>
      <c r="K20" s="3"/>
      <c r="L20" s="3"/>
    </row>
    <row r="21" spans="2:12" x14ac:dyDescent="0.3">
      <c r="B21" s="66">
        <v>430</v>
      </c>
      <c r="C21" s="66">
        <v>3936</v>
      </c>
      <c r="D21" s="37">
        <f t="shared" si="0"/>
        <v>3.9359999999999999</v>
      </c>
      <c r="E21" s="37">
        <f t="shared" si="1"/>
        <v>3.7958335477772565</v>
      </c>
      <c r="F21" s="37">
        <f t="shared" si="2"/>
        <v>3.9255007853984205</v>
      </c>
      <c r="G21" s="3"/>
      <c r="H21" s="3"/>
      <c r="I21" s="3"/>
      <c r="J21" s="3"/>
      <c r="K21" s="3"/>
      <c r="L21" s="3"/>
    </row>
    <row r="22" spans="2:12" x14ac:dyDescent="0.3">
      <c r="B22" s="66">
        <v>440</v>
      </c>
      <c r="C22" s="66">
        <v>4241</v>
      </c>
      <c r="D22" s="37">
        <f t="shared" si="0"/>
        <v>4.2409999999999997</v>
      </c>
      <c r="E22" s="37">
        <f t="shared" si="1"/>
        <v>4.1208440734917797</v>
      </c>
      <c r="F22" s="37">
        <f t="shared" si="2"/>
        <v>4.2303390033781918</v>
      </c>
      <c r="G22" s="3"/>
      <c r="H22" s="3"/>
      <c r="I22" s="3"/>
      <c r="J22" s="3"/>
      <c r="K22" s="3"/>
      <c r="L22" s="3"/>
    </row>
    <row r="23" spans="2:12" x14ac:dyDescent="0.3">
      <c r="B23" s="66">
        <v>450</v>
      </c>
      <c r="C23" s="66">
        <v>4546</v>
      </c>
      <c r="D23" s="37">
        <f t="shared" si="0"/>
        <v>4.5460000000000003</v>
      </c>
      <c r="E23" s="37">
        <f t="shared" si="1"/>
        <v>4.4461959521690524</v>
      </c>
      <c r="F23" s="37">
        <f t="shared" si="2"/>
        <v>4.5363049297867724</v>
      </c>
      <c r="G23" s="3"/>
      <c r="H23" s="3"/>
      <c r="I23" s="3"/>
      <c r="J23" s="3"/>
      <c r="K23" s="3"/>
      <c r="L23" s="3"/>
    </row>
    <row r="24" spans="2:12" x14ac:dyDescent="0.3">
      <c r="B24" s="66">
        <v>460</v>
      </c>
      <c r="C24" s="66">
        <v>4843</v>
      </c>
      <c r="D24" s="37">
        <f t="shared" si="0"/>
        <v>4.843</v>
      </c>
      <c r="E24" s="37">
        <f t="shared" si="1"/>
        <v>4.7718891838090745</v>
      </c>
      <c r="F24" s="37">
        <f t="shared" si="2"/>
        <v>4.8433831828517624</v>
      </c>
      <c r="G24" s="3"/>
      <c r="H24" s="3"/>
      <c r="I24" s="3"/>
      <c r="J24" s="3"/>
      <c r="K24" s="3"/>
      <c r="L24" s="3"/>
    </row>
    <row r="25" spans="2:12" x14ac:dyDescent="0.3">
      <c r="B25" s="66">
        <v>470</v>
      </c>
      <c r="C25" s="66">
        <v>5160</v>
      </c>
      <c r="D25" s="37">
        <f t="shared" si="0"/>
        <v>5.16</v>
      </c>
      <c r="E25" s="37">
        <f t="shared" si="1"/>
        <v>5.0979237684118459</v>
      </c>
      <c r="F25" s="37">
        <f t="shared" si="2"/>
        <v>5.1515585444839784</v>
      </c>
      <c r="G25" s="3"/>
      <c r="H25" s="3"/>
      <c r="I25" s="3"/>
      <c r="J25" s="3"/>
      <c r="K25" s="3"/>
      <c r="L25" s="3"/>
    </row>
    <row r="26" spans="2:12" x14ac:dyDescent="0.3">
      <c r="B26" s="66">
        <v>480</v>
      </c>
      <c r="C26" s="66">
        <v>5469</v>
      </c>
      <c r="D26" s="37">
        <f t="shared" si="0"/>
        <v>5.4690000000000003</v>
      </c>
      <c r="E26" s="37">
        <f t="shared" si="1"/>
        <v>5.4242997059773668</v>
      </c>
      <c r="F26" s="37">
        <f t="shared" si="2"/>
        <v>5.4608159604586506</v>
      </c>
      <c r="G26" s="3"/>
      <c r="H26" s="3"/>
      <c r="I26" s="3"/>
      <c r="J26" s="3"/>
      <c r="K26" s="3"/>
      <c r="L26" s="3"/>
    </row>
    <row r="27" spans="2:12" x14ac:dyDescent="0.3">
      <c r="B27" s="66">
        <v>490</v>
      </c>
      <c r="C27" s="66">
        <v>5778</v>
      </c>
      <c r="D27" s="37">
        <f t="shared" si="0"/>
        <v>5.7780000000000005</v>
      </c>
      <c r="E27" s="37">
        <f t="shared" si="1"/>
        <v>5.7510169965056352</v>
      </c>
      <c r="F27" s="37">
        <f t="shared" si="2"/>
        <v>5.7711405405966287</v>
      </c>
      <c r="G27" s="3"/>
      <c r="H27" s="3"/>
      <c r="I27" s="3"/>
      <c r="J27" s="3"/>
      <c r="K27" s="3"/>
      <c r="L27" s="3"/>
    </row>
    <row r="28" spans="2:12" x14ac:dyDescent="0.3">
      <c r="B28" s="66">
        <v>500</v>
      </c>
      <c r="C28" s="66">
        <v>6088</v>
      </c>
      <c r="D28" s="37">
        <f t="shared" si="0"/>
        <v>6.0880000000000001</v>
      </c>
      <c r="E28" s="37">
        <f t="shared" si="1"/>
        <v>6.0780756399966567</v>
      </c>
      <c r="F28" s="37">
        <f t="shared" si="2"/>
        <v>6.0825175589455798</v>
      </c>
      <c r="G28" s="3"/>
      <c r="H28" s="3"/>
      <c r="I28" s="3"/>
      <c r="J28" s="3"/>
      <c r="K28" s="3"/>
      <c r="L28" s="3"/>
    </row>
    <row r="29" spans="2:12" x14ac:dyDescent="0.3">
      <c r="B29" s="66">
        <v>510</v>
      </c>
      <c r="C29" s="66">
        <v>6400</v>
      </c>
      <c r="D29" s="37">
        <f t="shared" si="0"/>
        <v>6.4</v>
      </c>
      <c r="E29" s="37">
        <f t="shared" si="1"/>
        <v>6.4054756364504257</v>
      </c>
      <c r="F29" s="37">
        <f t="shared" si="2"/>
        <v>6.3949324539611796</v>
      </c>
      <c r="G29" s="3"/>
      <c r="H29" s="3"/>
      <c r="I29" s="3"/>
      <c r="J29" s="3"/>
      <c r="K29" s="3"/>
      <c r="L29" s="3"/>
    </row>
    <row r="30" spans="2:12" x14ac:dyDescent="0.3">
      <c r="B30" s="66">
        <v>520</v>
      </c>
      <c r="C30" s="66">
        <v>6713</v>
      </c>
      <c r="D30" s="37">
        <f t="shared" si="0"/>
        <v>6.7130000000000001</v>
      </c>
      <c r="E30" s="37">
        <f t="shared" si="1"/>
        <v>6.7332169858669424</v>
      </c>
      <c r="F30" s="37">
        <f t="shared" si="2"/>
        <v>6.7083708286883263</v>
      </c>
      <c r="G30" s="3"/>
      <c r="H30" s="3"/>
      <c r="I30" s="3"/>
      <c r="J30" s="3"/>
      <c r="K30" s="3"/>
      <c r="L30" s="3"/>
    </row>
    <row r="31" spans="2:12" x14ac:dyDescent="0.3">
      <c r="B31" s="66">
        <v>530</v>
      </c>
      <c r="C31" s="66">
        <v>7026</v>
      </c>
      <c r="D31" s="37">
        <f t="shared" si="0"/>
        <v>7.0259999999999998</v>
      </c>
      <c r="E31" s="37">
        <f t="shared" si="1"/>
        <v>7.0612996882462085</v>
      </c>
      <c r="F31" s="37">
        <f t="shared" si="2"/>
        <v>7.0228184509423306</v>
      </c>
      <c r="G31" s="3"/>
      <c r="H31" s="3"/>
      <c r="I31" s="3"/>
      <c r="J31" s="3"/>
      <c r="K31" s="3"/>
      <c r="L31" s="3"/>
    </row>
    <row r="32" spans="2:12" x14ac:dyDescent="0.3">
      <c r="B32" s="66">
        <v>540</v>
      </c>
      <c r="C32" s="66">
        <v>7340</v>
      </c>
      <c r="D32" s="37">
        <f t="shared" si="0"/>
        <v>7.34</v>
      </c>
      <c r="E32" s="37">
        <f t="shared" si="1"/>
        <v>7.3897237435882275</v>
      </c>
      <c r="F32" s="37">
        <f t="shared" si="2"/>
        <v>7.338261253490125</v>
      </c>
      <c r="G32" s="3"/>
      <c r="H32" s="3"/>
      <c r="I32" s="3"/>
      <c r="J32" s="3"/>
      <c r="K32" s="3"/>
      <c r="L32" s="3"/>
    </row>
    <row r="33" spans="2:12" x14ac:dyDescent="0.3">
      <c r="B33" s="66">
        <v>550</v>
      </c>
      <c r="C33" s="66">
        <v>7656</v>
      </c>
      <c r="D33" s="37">
        <f t="shared" si="0"/>
        <v>7.6560000000000006</v>
      </c>
      <c r="E33" s="37">
        <f t="shared" si="1"/>
        <v>7.7184891518929923</v>
      </c>
      <c r="F33" s="37">
        <f t="shared" si="2"/>
        <v>7.6546853342314476</v>
      </c>
      <c r="G33" s="3"/>
      <c r="H33" s="3"/>
      <c r="I33" s="3"/>
      <c r="J33" s="3"/>
      <c r="K33" s="3"/>
      <c r="L33" s="3"/>
    </row>
    <row r="34" spans="2:12" x14ac:dyDescent="0.3">
      <c r="B34" s="66">
        <v>560</v>
      </c>
      <c r="C34" s="66">
        <v>7972</v>
      </c>
      <c r="D34" s="37">
        <f t="shared" si="0"/>
        <v>7.9720000000000004</v>
      </c>
      <c r="E34" s="37">
        <f t="shared" si="1"/>
        <v>8.0475959131605102</v>
      </c>
      <c r="F34" s="37">
        <f t="shared" si="2"/>
        <v>7.9720769563800618</v>
      </c>
      <c r="G34" s="3"/>
      <c r="H34" s="3"/>
      <c r="I34" s="3"/>
      <c r="J34" s="3"/>
      <c r="K34" s="3"/>
      <c r="L34" s="3"/>
    </row>
    <row r="35" spans="2:12" x14ac:dyDescent="0.3">
      <c r="B35" s="66">
        <v>570</v>
      </c>
      <c r="C35" s="66">
        <v>8289</v>
      </c>
      <c r="D35" s="37">
        <f t="shared" si="0"/>
        <v>8.2889999999999997</v>
      </c>
      <c r="E35" s="37">
        <f t="shared" si="1"/>
        <v>8.3770440273907738</v>
      </c>
      <c r="F35" s="37">
        <f t="shared" si="2"/>
        <v>8.2904225486449477</v>
      </c>
      <c r="G35" s="3"/>
      <c r="H35" s="3"/>
      <c r="I35" s="3"/>
      <c r="J35" s="3"/>
      <c r="K35" s="3"/>
      <c r="L35" s="3"/>
    </row>
    <row r="36" spans="2:12" x14ac:dyDescent="0.3">
      <c r="B36" s="66">
        <v>580</v>
      </c>
      <c r="C36" s="66">
        <v>8608</v>
      </c>
      <c r="D36" s="37">
        <f t="shared" si="0"/>
        <v>8.6080000000000005</v>
      </c>
      <c r="E36" s="37">
        <f t="shared" si="1"/>
        <v>8.7068334945837869</v>
      </c>
      <c r="F36" s="37">
        <f t="shared" si="2"/>
        <v>8.6097087054114887</v>
      </c>
      <c r="G36" s="3"/>
      <c r="H36" s="3"/>
      <c r="I36" s="3"/>
      <c r="J36" s="3"/>
      <c r="K36" s="3"/>
      <c r="L36" s="3"/>
    </row>
    <row r="37" spans="2:12" x14ac:dyDescent="0.3">
      <c r="B37" s="66">
        <v>590</v>
      </c>
      <c r="C37" s="66">
        <v>8927</v>
      </c>
      <c r="D37" s="37">
        <f t="shared" si="0"/>
        <v>8.9269999999999996</v>
      </c>
      <c r="E37" s="37">
        <f t="shared" si="1"/>
        <v>9.0369643147395493</v>
      </c>
      <c r="F37" s="37">
        <f t="shared" si="2"/>
        <v>8.929922186922699</v>
      </c>
      <c r="G37" s="3"/>
      <c r="H37" s="3"/>
      <c r="I37" s="3"/>
      <c r="J37" s="3"/>
      <c r="K37" s="3"/>
      <c r="L37" s="3"/>
    </row>
    <row r="38" spans="2:12" x14ac:dyDescent="0.3">
      <c r="B38" s="66">
        <v>600</v>
      </c>
      <c r="C38" s="66">
        <v>9247</v>
      </c>
      <c r="D38" s="37">
        <f t="shared" si="0"/>
        <v>9.2469999999999999</v>
      </c>
      <c r="E38" s="37">
        <f t="shared" si="1"/>
        <v>9.3674364878580647</v>
      </c>
      <c r="F38" s="37">
        <f t="shared" si="2"/>
        <v>9.251049919460403</v>
      </c>
      <c r="G38" s="3"/>
      <c r="H38" s="3"/>
      <c r="I38" s="3"/>
      <c r="J38" s="3"/>
      <c r="K38" s="3"/>
      <c r="L38" s="3"/>
    </row>
    <row r="39" spans="2:12" x14ac:dyDescent="0.3">
      <c r="B39" s="66">
        <v>610</v>
      </c>
      <c r="C39" s="66">
        <v>9568</v>
      </c>
      <c r="D39" s="37">
        <f t="shared" si="0"/>
        <v>9.5679999999999996</v>
      </c>
      <c r="E39" s="37">
        <f t="shared" si="1"/>
        <v>9.698250013939326</v>
      </c>
      <c r="F39" s="37">
        <f t="shared" si="2"/>
        <v>9.573078995526437</v>
      </c>
      <c r="G39" s="3"/>
      <c r="H39" s="3"/>
      <c r="I39" s="3"/>
      <c r="J39" s="3"/>
      <c r="K39" s="3"/>
      <c r="L39" s="3"/>
    </row>
    <row r="40" spans="2:12" x14ac:dyDescent="0.3">
      <c r="B40" s="66">
        <v>620</v>
      </c>
      <c r="C40" s="66">
        <v>9890</v>
      </c>
      <c r="D40" s="37">
        <f t="shared" si="0"/>
        <v>9.89</v>
      </c>
      <c r="E40" s="37">
        <f t="shared" si="1"/>
        <v>10.029404892983337</v>
      </c>
      <c r="F40" s="37">
        <f t="shared" si="2"/>
        <v>9.8959966740238627</v>
      </c>
      <c r="G40" s="3"/>
      <c r="H40" s="3"/>
      <c r="I40" s="3"/>
      <c r="J40" s="3"/>
      <c r="K40" s="3"/>
      <c r="L40" s="3"/>
    </row>
    <row r="41" spans="2:12" x14ac:dyDescent="0.3">
      <c r="B41" s="66">
        <v>630</v>
      </c>
      <c r="C41" s="66">
        <v>10213</v>
      </c>
      <c r="D41" s="37">
        <f t="shared" si="0"/>
        <v>10.213000000000001</v>
      </c>
      <c r="E41" s="37">
        <f t="shared" si="1"/>
        <v>10.360901124990097</v>
      </c>
      <c r="F41" s="37">
        <f t="shared" si="2"/>
        <v>10.219790380438148</v>
      </c>
      <c r="G41" s="3"/>
      <c r="H41" s="3"/>
      <c r="I41" s="3"/>
      <c r="J41" s="3"/>
      <c r="K41" s="3"/>
      <c r="L41" s="3"/>
    </row>
    <row r="42" spans="2:12" x14ac:dyDescent="0.3">
      <c r="B42" s="66">
        <v>640</v>
      </c>
      <c r="C42" s="66">
        <v>10537</v>
      </c>
      <c r="D42" s="37">
        <f t="shared" si="0"/>
        <v>10.537000000000001</v>
      </c>
      <c r="E42" s="37">
        <f t="shared" si="1"/>
        <v>10.692738709959606</v>
      </c>
      <c r="F42" s="37">
        <f t="shared" si="2"/>
        <v>10.544447707018378</v>
      </c>
      <c r="G42" s="3"/>
      <c r="H42" s="3"/>
      <c r="I42" s="3"/>
      <c r="J42" s="3"/>
      <c r="K42" s="3"/>
      <c r="L42" s="3"/>
    </row>
    <row r="43" spans="2:12" x14ac:dyDescent="0.3">
      <c r="B43" s="66">
        <v>650</v>
      </c>
      <c r="C43" s="66">
        <v>10862</v>
      </c>
      <c r="D43" s="37">
        <f t="shared" si="0"/>
        <v>10.862</v>
      </c>
      <c r="E43" s="37">
        <f t="shared" si="1"/>
        <v>11.024917647891868</v>
      </c>
      <c r="F43" s="37">
        <f t="shared" si="2"/>
        <v>10.869956412958466</v>
      </c>
    </row>
    <row r="44" spans="2:12" x14ac:dyDescent="0.3">
      <c r="B44" s="66">
        <v>660</v>
      </c>
      <c r="C44" s="66">
        <v>11188</v>
      </c>
      <c r="D44" s="37">
        <f t="shared" si="0"/>
        <v>11.188000000000001</v>
      </c>
      <c r="E44" s="37">
        <f t="shared" si="1"/>
        <v>11.357437938786877</v>
      </c>
      <c r="F44" s="37">
        <f t="shared" si="2"/>
        <v>11.196304424578326</v>
      </c>
    </row>
    <row r="45" spans="2:12" x14ac:dyDescent="0.3">
      <c r="B45" s="66">
        <v>670</v>
      </c>
      <c r="C45" s="66">
        <v>11515</v>
      </c>
      <c r="D45" s="37">
        <f t="shared" si="0"/>
        <v>11.515000000000001</v>
      </c>
      <c r="E45" s="37">
        <f t="shared" si="1"/>
        <v>11.690299582644634</v>
      </c>
      <c r="F45" s="37">
        <f t="shared" si="2"/>
        <v>11.5234798355051</v>
      </c>
    </row>
    <row r="46" spans="2:12" x14ac:dyDescent="0.3">
      <c r="B46" s="66">
        <v>680</v>
      </c>
      <c r="C46" s="66">
        <v>11842</v>
      </c>
      <c r="D46" s="37">
        <f t="shared" si="0"/>
        <v>11.842000000000001</v>
      </c>
      <c r="E46" s="37">
        <f t="shared" si="1"/>
        <v>12.023502579465141</v>
      </c>
      <c r="F46" s="37">
        <f t="shared" si="2"/>
        <v>11.851470906854331</v>
      </c>
    </row>
    <row r="47" spans="2:12" x14ac:dyDescent="0.3">
      <c r="B47" s="66">
        <v>690</v>
      </c>
      <c r="C47" s="66">
        <v>12172</v>
      </c>
      <c r="D47" s="37">
        <f t="shared" si="0"/>
        <v>12.172000000000001</v>
      </c>
      <c r="E47" s="37">
        <f t="shared" si="1"/>
        <v>12.357046929248398</v>
      </c>
      <c r="F47" s="37">
        <f t="shared" si="2"/>
        <v>12.180266067411193</v>
      </c>
    </row>
    <row r="48" spans="2:12" x14ac:dyDescent="0.3">
      <c r="B48" s="66">
        <v>700</v>
      </c>
      <c r="C48" s="66">
        <v>12502</v>
      </c>
      <c r="D48" s="37">
        <f t="shared" si="0"/>
        <v>12.502000000000001</v>
      </c>
      <c r="E48" s="37">
        <f t="shared" si="1"/>
        <v>12.690932631994407</v>
      </c>
      <c r="F48" s="37">
        <f t="shared" si="2"/>
        <v>12.509853913811668</v>
      </c>
    </row>
    <row r="49" spans="2:6" x14ac:dyDescent="0.3">
      <c r="B49" s="66">
        <v>710</v>
      </c>
      <c r="C49" s="66">
        <v>12832</v>
      </c>
      <c r="D49" s="37">
        <f t="shared" si="0"/>
        <v>12.832000000000001</v>
      </c>
      <c r="E49" s="37">
        <f t="shared" si="1"/>
        <v>13.025159687703159</v>
      </c>
      <c r="F49" s="37">
        <f t="shared" si="2"/>
        <v>12.84022321072376</v>
      </c>
    </row>
    <row r="50" spans="2:6" x14ac:dyDescent="0.3">
      <c r="B50" s="66">
        <v>720</v>
      </c>
      <c r="C50" s="66">
        <v>13163</v>
      </c>
      <c r="D50" s="37">
        <f t="shared" si="0"/>
        <v>13.163</v>
      </c>
      <c r="E50" s="37">
        <f t="shared" si="1"/>
        <v>13.359728096374663</v>
      </c>
      <c r="F50" s="37">
        <f t="shared" si="2"/>
        <v>13.171362891028679</v>
      </c>
    </row>
    <row r="51" spans="2:6" x14ac:dyDescent="0.3">
      <c r="B51" s="66">
        <v>730</v>
      </c>
      <c r="C51" s="66">
        <v>13495</v>
      </c>
      <c r="D51" s="37">
        <f t="shared" si="0"/>
        <v>13.495000000000001</v>
      </c>
      <c r="E51" s="37">
        <f t="shared" si="1"/>
        <v>13.694637858008917</v>
      </c>
      <c r="F51" s="37">
        <f t="shared" si="2"/>
        <v>13.503262056002065</v>
      </c>
    </row>
    <row r="52" spans="2:6" x14ac:dyDescent="0.3">
      <c r="B52" s="66">
        <v>740</v>
      </c>
      <c r="C52" s="66">
        <v>13828</v>
      </c>
      <c r="D52" s="37">
        <f t="shared" si="0"/>
        <v>13.827999999999999</v>
      </c>
      <c r="E52" s="37">
        <f t="shared" si="1"/>
        <v>14.029888972605921</v>
      </c>
      <c r="F52" s="37">
        <f t="shared" si="2"/>
        <v>13.835909975495163</v>
      </c>
    </row>
    <row r="53" spans="2:6" x14ac:dyDescent="0.3">
      <c r="B53" s="66">
        <v>750</v>
      </c>
      <c r="C53" s="66">
        <v>14162</v>
      </c>
      <c r="D53" s="37">
        <f t="shared" si="0"/>
        <v>14.162000000000001</v>
      </c>
      <c r="E53" s="37">
        <f t="shared" si="1"/>
        <v>14.365481440165677</v>
      </c>
      <c r="F53" s="37">
        <f t="shared" si="2"/>
        <v>14.169296088116027</v>
      </c>
    </row>
    <row r="54" spans="2:6" x14ac:dyDescent="0.3">
      <c r="B54" s="66">
        <v>760</v>
      </c>
      <c r="C54" s="66">
        <v>14496</v>
      </c>
      <c r="D54" s="37">
        <f t="shared" si="0"/>
        <v>14.496</v>
      </c>
      <c r="E54" s="37">
        <f t="shared" si="1"/>
        <v>14.701415260688179</v>
      </c>
      <c r="F54" s="37">
        <f t="shared" si="2"/>
        <v>14.503410001410757</v>
      </c>
    </row>
    <row r="55" spans="2:6" x14ac:dyDescent="0.3">
      <c r="B55" s="66">
        <v>770</v>
      </c>
      <c r="C55" s="66">
        <v>14831</v>
      </c>
      <c r="D55" s="37">
        <f t="shared" si="0"/>
        <v>14.831</v>
      </c>
      <c r="E55" s="37">
        <f t="shared" si="1"/>
        <v>15.037690434173427</v>
      </c>
      <c r="F55" s="37">
        <f t="shared" si="2"/>
        <v>14.838241492044634</v>
      </c>
    </row>
    <row r="56" spans="2:6" x14ac:dyDescent="0.3">
      <c r="B56" s="66">
        <v>780</v>
      </c>
      <c r="C56" s="66">
        <v>15168</v>
      </c>
      <c r="D56" s="37">
        <f t="shared" si="0"/>
        <v>15.168000000000001</v>
      </c>
      <c r="E56" s="37">
        <f t="shared" si="1"/>
        <v>15.374306960621428</v>
      </c>
      <c r="F56" s="37">
        <f t="shared" si="2"/>
        <v>15.173780505983373</v>
      </c>
    </row>
    <row r="57" spans="2:6" x14ac:dyDescent="0.3">
      <c r="B57" s="66">
        <v>790</v>
      </c>
      <c r="C57" s="66">
        <v>15504</v>
      </c>
      <c r="D57" s="37">
        <f t="shared" si="0"/>
        <v>15.504</v>
      </c>
      <c r="E57" s="37">
        <f t="shared" si="1"/>
        <v>15.711264840032182</v>
      </c>
      <c r="F57" s="37">
        <f t="shared" si="2"/>
        <v>15.510017158674309</v>
      </c>
    </row>
    <row r="58" spans="2:6" x14ac:dyDescent="0.3">
      <c r="B58" s="66">
        <v>800</v>
      </c>
      <c r="C58" s="66">
        <v>15841</v>
      </c>
      <c r="D58" s="37">
        <f t="shared" si="0"/>
        <v>15.841000000000001</v>
      </c>
      <c r="E58" s="37">
        <f t="shared" si="1"/>
        <v>16.048564072405682</v>
      </c>
      <c r="F58" s="37">
        <f t="shared" si="2"/>
        <v>15.846941735227574</v>
      </c>
    </row>
    <row r="59" spans="2:6" x14ac:dyDescent="0.3">
      <c r="B59" s="66">
        <v>810</v>
      </c>
      <c r="C59" s="66">
        <v>16179</v>
      </c>
      <c r="D59" s="37">
        <f t="shared" si="0"/>
        <v>16.179000000000002</v>
      </c>
      <c r="E59" s="37">
        <f t="shared" si="1"/>
        <v>16.386204657741928</v>
      </c>
      <c r="F59" s="37">
        <f t="shared" si="2"/>
        <v>16.184544690597342</v>
      </c>
    </row>
    <row r="60" spans="2:6" x14ac:dyDescent="0.3">
      <c r="B60" s="66">
        <v>820</v>
      </c>
      <c r="C60" s="66">
        <v>16517</v>
      </c>
      <c r="D60" s="37">
        <f t="shared" si="0"/>
        <v>16.516999999999999</v>
      </c>
      <c r="E60" s="37">
        <f t="shared" si="1"/>
        <v>16.724186596040926</v>
      </c>
      <c r="F60" s="37">
        <f t="shared" si="2"/>
        <v>16.522816649762984</v>
      </c>
    </row>
    <row r="61" spans="2:6" x14ac:dyDescent="0.3">
      <c r="B61" s="66">
        <v>830</v>
      </c>
      <c r="C61" s="66">
        <v>16855</v>
      </c>
      <c r="D61" s="37">
        <f t="shared" si="0"/>
        <v>16.855</v>
      </c>
      <c r="E61" s="37">
        <f t="shared" si="1"/>
        <v>17.062509887302674</v>
      </c>
      <c r="F61" s="37">
        <f t="shared" si="2"/>
        <v>16.861748407910284</v>
      </c>
    </row>
    <row r="62" spans="2:6" x14ac:dyDescent="0.3">
      <c r="B62" s="66">
        <v>840</v>
      </c>
      <c r="C62" s="66">
        <v>17195</v>
      </c>
      <c r="D62" s="37">
        <f t="shared" si="0"/>
        <v>17.195</v>
      </c>
      <c r="E62" s="37">
        <f t="shared" si="1"/>
        <v>17.401174531527172</v>
      </c>
      <c r="F62" s="37">
        <f t="shared" si="2"/>
        <v>17.201330930612663</v>
      </c>
    </row>
    <row r="63" spans="2:6" x14ac:dyDescent="0.3">
      <c r="B63" s="66">
        <v>850</v>
      </c>
      <c r="C63" s="66">
        <v>17536</v>
      </c>
      <c r="D63" s="37">
        <f t="shared" si="0"/>
        <v>17.536000000000001</v>
      </c>
      <c r="E63" s="37">
        <f t="shared" si="1"/>
        <v>17.740180528714419</v>
      </c>
      <c r="F63" s="37">
        <f t="shared" si="2"/>
        <v>17.541555354012335</v>
      </c>
    </row>
    <row r="64" spans="2:6" x14ac:dyDescent="0.3">
      <c r="B64" s="66">
        <v>860</v>
      </c>
      <c r="C64" s="66">
        <v>17877</v>
      </c>
      <c r="D64" s="37">
        <f t="shared" si="0"/>
        <v>17.876999999999999</v>
      </c>
      <c r="E64" s="37">
        <f t="shared" si="1"/>
        <v>18.079527878864411</v>
      </c>
      <c r="F64" s="37">
        <f t="shared" si="2"/>
        <v>17.882412985001547</v>
      </c>
    </row>
    <row r="65" spans="2:6" x14ac:dyDescent="0.3">
      <c r="B65" s="66">
        <v>870</v>
      </c>
      <c r="C65" s="66">
        <v>18217</v>
      </c>
      <c r="D65" s="37">
        <f t="shared" si="0"/>
        <v>18.216999999999999</v>
      </c>
      <c r="E65" s="37">
        <f t="shared" si="1"/>
        <v>18.419216581977157</v>
      </c>
      <c r="F65" s="37">
        <f t="shared" si="2"/>
        <v>18.223895301403754</v>
      </c>
    </row>
    <row r="66" spans="2:6" x14ac:dyDescent="0.3">
      <c r="B66" s="66">
        <v>880</v>
      </c>
      <c r="C66" s="66">
        <v>18560</v>
      </c>
      <c r="D66" s="37">
        <f t="shared" si="0"/>
        <v>18.559999999999999</v>
      </c>
      <c r="E66" s="37">
        <f t="shared" si="1"/>
        <v>18.759246638052652</v>
      </c>
      <c r="F66" s="37">
        <f t="shared" si="2"/>
        <v>18.565993952154823</v>
      </c>
    </row>
    <row r="67" spans="2:6" x14ac:dyDescent="0.3">
      <c r="B67" s="66">
        <v>890</v>
      </c>
      <c r="C67" s="66">
        <v>18902</v>
      </c>
      <c r="D67" s="37">
        <f t="shared" si="0"/>
        <v>18.902000000000001</v>
      </c>
      <c r="E67" s="37">
        <f t="shared" si="1"/>
        <v>19.099618047090896</v>
      </c>
      <c r="F67" s="37">
        <f t="shared" si="2"/>
        <v>18.908700757484247</v>
      </c>
    </row>
    <row r="68" spans="2:6" x14ac:dyDescent="0.3">
      <c r="B68" s="66">
        <v>900</v>
      </c>
      <c r="C68" s="66">
        <v>19246</v>
      </c>
      <c r="D68" s="37">
        <f t="shared" si="0"/>
        <v>19.245999999999999</v>
      </c>
      <c r="E68" s="37">
        <f t="shared" si="1"/>
        <v>19.44033080909189</v>
      </c>
      <c r="F68" s="37">
        <f t="shared" si="2"/>
        <v>19.252007709096333</v>
      </c>
    </row>
    <row r="69" spans="2:6" x14ac:dyDescent="0.3">
      <c r="B69" s="66">
        <v>910</v>
      </c>
      <c r="C69" s="66">
        <v>19590</v>
      </c>
      <c r="D69" s="37">
        <f t="shared" si="0"/>
        <v>19.59</v>
      </c>
      <c r="E69" s="37">
        <f t="shared" si="1"/>
        <v>19.781384924055629</v>
      </c>
      <c r="F69" s="37">
        <f t="shared" si="2"/>
        <v>19.595906970351393</v>
      </c>
    </row>
    <row r="70" spans="2:6" x14ac:dyDescent="0.3">
      <c r="B70" s="66">
        <v>920</v>
      </c>
      <c r="C70" s="66">
        <v>19934</v>
      </c>
      <c r="D70" s="37">
        <f t="shared" si="0"/>
        <v>19.934000000000001</v>
      </c>
      <c r="E70" s="37">
        <f t="shared" si="1"/>
        <v>20.122780391982122</v>
      </c>
      <c r="F70" s="37">
        <f t="shared" si="2"/>
        <v>19.940390876446969</v>
      </c>
    </row>
    <row r="71" spans="2:6" x14ac:dyDescent="0.3">
      <c r="B71" s="66">
        <v>930</v>
      </c>
      <c r="C71" s="66">
        <v>20278</v>
      </c>
      <c r="D71" s="37">
        <f t="shared" si="0"/>
        <v>20.277999999999999</v>
      </c>
      <c r="E71" s="37">
        <f t="shared" si="1"/>
        <v>20.46451721287136</v>
      </c>
      <c r="F71" s="37">
        <f t="shared" si="2"/>
        <v>20.28545193459901</v>
      </c>
    </row>
    <row r="72" spans="2:6" x14ac:dyDescent="0.3">
      <c r="B72" s="66">
        <v>940</v>
      </c>
      <c r="C72" s="66">
        <v>20624</v>
      </c>
      <c r="D72" s="37">
        <f t="shared" ref="D72:D135" si="3">C72*10^-3</f>
        <v>20.623999999999999</v>
      </c>
      <c r="E72" s="37">
        <f t="shared" ref="E72:E135" si="4">(0.0000017067648137467*B72^2)+(0.0310161671834927*B72)-9.85669915518637</f>
        <v>20.806595386723355</v>
      </c>
      <c r="F72" s="37">
        <f t="shared" ref="F72:F135" si="5">(0*B72^6)+(0.0000000000000000151*B72^5)+(0.0000000000006480384*B72^4)+(-0.0000000037470426353*B72^3)+(0.0000098189461073622*B72^2)+(0.0238524349087728*B72)+(-7.87103036786887)</f>
        <v>20.631082824223093</v>
      </c>
    </row>
    <row r="73" spans="2:6" x14ac:dyDescent="0.3">
      <c r="B73" s="66">
        <v>950</v>
      </c>
      <c r="C73" s="66">
        <v>20970</v>
      </c>
      <c r="D73" s="37">
        <f t="shared" si="3"/>
        <v>20.97</v>
      </c>
      <c r="E73" s="37">
        <f t="shared" si="4"/>
        <v>21.149014913538092</v>
      </c>
      <c r="F73" s="37">
        <f t="shared" si="5"/>
        <v>20.977276397115588</v>
      </c>
    </row>
    <row r="74" spans="2:6" x14ac:dyDescent="0.3">
      <c r="B74" s="66">
        <v>960</v>
      </c>
      <c r="C74" s="66">
        <v>21317</v>
      </c>
      <c r="D74" s="37">
        <f t="shared" si="3"/>
        <v>21.317</v>
      </c>
      <c r="E74" s="37">
        <f t="shared" si="4"/>
        <v>21.491775793315583</v>
      </c>
      <c r="F74" s="37">
        <f t="shared" si="5"/>
        <v>21.324025677634904</v>
      </c>
    </row>
    <row r="75" spans="2:6" x14ac:dyDescent="0.3">
      <c r="B75" s="66">
        <v>970</v>
      </c>
      <c r="C75" s="66">
        <v>21663</v>
      </c>
      <c r="D75" s="37">
        <f t="shared" si="3"/>
        <v>21.663</v>
      </c>
      <c r="E75" s="37">
        <f t="shared" si="4"/>
        <v>21.834878026055819</v>
      </c>
      <c r="F75" s="37">
        <f t="shared" si="5"/>
        <v>21.671323862882659</v>
      </c>
    </row>
    <row r="76" spans="2:6" x14ac:dyDescent="0.3">
      <c r="B76" s="66">
        <v>980</v>
      </c>
      <c r="C76" s="66">
        <v>22010</v>
      </c>
      <c r="D76" s="37">
        <f t="shared" si="3"/>
        <v>22.01</v>
      </c>
      <c r="E76" s="37">
        <f t="shared" si="4"/>
        <v>22.178321611758804</v>
      </c>
      <c r="F76" s="37">
        <f t="shared" si="5"/>
        <v>22.019164322884876</v>
      </c>
    </row>
    <row r="77" spans="2:6" x14ac:dyDescent="0.3">
      <c r="B77" s="66">
        <v>990</v>
      </c>
      <c r="C77" s="66">
        <v>22359</v>
      </c>
      <c r="D77" s="37">
        <f t="shared" si="3"/>
        <v>22.359000000000002</v>
      </c>
      <c r="E77" s="37">
        <f t="shared" si="4"/>
        <v>22.522106550424546</v>
      </c>
      <c r="F77" s="37">
        <f t="shared" si="5"/>
        <v>22.367540600773211</v>
      </c>
    </row>
    <row r="78" spans="2:6" x14ac:dyDescent="0.3">
      <c r="B78" s="66">
        <v>1000</v>
      </c>
      <c r="C78" s="66" t="s">
        <v>64</v>
      </c>
      <c r="D78" s="44"/>
      <c r="E78" s="37">
        <f t="shared" si="4"/>
        <v>22.86623284205303</v>
      </c>
      <c r="F78" s="37">
        <f t="shared" si="5"/>
        <v>22.716446412966128</v>
      </c>
    </row>
    <row r="79" spans="2:6" x14ac:dyDescent="0.3">
      <c r="B79" s="66">
        <v>1020</v>
      </c>
      <c r="C79" s="66" t="s">
        <v>64</v>
      </c>
      <c r="D79" s="37"/>
      <c r="E79" s="37">
        <f t="shared" si="4"/>
        <v>23.555509484198254</v>
      </c>
      <c r="F79" s="37">
        <f t="shared" si="5"/>
        <v>23.415822373460841</v>
      </c>
    </row>
    <row r="80" spans="2:6" x14ac:dyDescent="0.3">
      <c r="B80" s="66">
        <v>1040</v>
      </c>
      <c r="C80" s="66">
        <v>24107</v>
      </c>
      <c r="D80" s="37">
        <f t="shared" si="3"/>
        <v>24.106999999999999</v>
      </c>
      <c r="E80" s="37">
        <f t="shared" si="4"/>
        <v>24.246151538194468</v>
      </c>
      <c r="F80" s="37">
        <f t="shared" si="5"/>
        <v>24.11724540833864</v>
      </c>
    </row>
    <row r="81" spans="2:6" x14ac:dyDescent="0.3">
      <c r="B81" s="66">
        <v>1060</v>
      </c>
      <c r="C81" s="66">
        <v>24808</v>
      </c>
      <c r="D81" s="37">
        <f t="shared" si="3"/>
        <v>24.808</v>
      </c>
      <c r="E81" s="37">
        <f t="shared" si="4"/>
        <v>24.938159004041687</v>
      </c>
      <c r="F81" s="37">
        <f t="shared" si="5"/>
        <v>24.820671505755023</v>
      </c>
    </row>
    <row r="82" spans="2:6" x14ac:dyDescent="0.3">
      <c r="B82" s="66">
        <v>1080</v>
      </c>
      <c r="C82" s="66">
        <v>25512</v>
      </c>
      <c r="D82" s="37">
        <f t="shared" si="3"/>
        <v>25.512</v>
      </c>
      <c r="E82" s="37">
        <f t="shared" si="4"/>
        <v>25.631531881739896</v>
      </c>
      <c r="F82" s="37">
        <f t="shared" si="5"/>
        <v>25.526059443849732</v>
      </c>
    </row>
    <row r="83" spans="2:6" x14ac:dyDescent="0.3">
      <c r="B83" s="66">
        <v>1100</v>
      </c>
      <c r="C83" s="66">
        <v>26217</v>
      </c>
      <c r="D83" s="37">
        <f t="shared" si="3"/>
        <v>26.217000000000002</v>
      </c>
      <c r="E83" s="37">
        <f t="shared" si="4"/>
        <v>26.326270171289103</v>
      </c>
      <c r="F83" s="37">
        <f t="shared" si="5"/>
        <v>26.233370796545174</v>
      </c>
    </row>
    <row r="84" spans="2:6" x14ac:dyDescent="0.3">
      <c r="B84" s="66">
        <v>1120</v>
      </c>
      <c r="C84" s="66">
        <v>26924</v>
      </c>
      <c r="D84" s="37">
        <f t="shared" si="3"/>
        <v>26.923999999999999</v>
      </c>
      <c r="E84" s="37">
        <f t="shared" si="4"/>
        <v>27.022373872689322</v>
      </c>
      <c r="F84" s="37">
        <f t="shared" si="5"/>
        <v>26.942569939344793</v>
      </c>
    </row>
    <row r="85" spans="2:6" x14ac:dyDescent="0.3">
      <c r="B85" s="66">
        <v>1140</v>
      </c>
      <c r="C85" s="66">
        <v>27632</v>
      </c>
      <c r="D85" s="37">
        <f t="shared" si="3"/>
        <v>27.632000000000001</v>
      </c>
      <c r="E85" s="37">
        <f t="shared" si="4"/>
        <v>27.719842985940524</v>
      </c>
      <c r="F85" s="37">
        <f t="shared" si="5"/>
        <v>27.653624055131516</v>
      </c>
    </row>
    <row r="86" spans="2:6" x14ac:dyDescent="0.3">
      <c r="B86" s="66">
        <v>1160</v>
      </c>
      <c r="C86" s="66">
        <v>28341</v>
      </c>
      <c r="D86" s="37">
        <f t="shared" si="3"/>
        <v>28.341000000000001</v>
      </c>
      <c r="E86" s="37">
        <f t="shared" si="4"/>
        <v>28.418677511042723</v>
      </c>
      <c r="F86" s="37">
        <f t="shared" si="5"/>
        <v>28.366503139966113</v>
      </c>
    </row>
    <row r="87" spans="2:6" x14ac:dyDescent="0.3">
      <c r="B87" s="66">
        <v>1180</v>
      </c>
      <c r="C87" s="66">
        <v>29052</v>
      </c>
      <c r="D87" s="37">
        <f t="shared" si="3"/>
        <v>29.052</v>
      </c>
      <c r="E87" s="37">
        <f t="shared" si="4"/>
        <v>29.118877447995921</v>
      </c>
      <c r="F87" s="37">
        <f t="shared" si="5"/>
        <v>29.081180008885596</v>
      </c>
    </row>
    <row r="88" spans="2:6" x14ac:dyDescent="0.3">
      <c r="B88" s="66">
        <v>1200</v>
      </c>
      <c r="C88" s="66">
        <v>29765</v>
      </c>
      <c r="D88" s="37">
        <f t="shared" si="3"/>
        <v>29.765000000000001</v>
      </c>
      <c r="E88" s="37">
        <f t="shared" si="4"/>
        <v>29.820442796800123</v>
      </c>
      <c r="F88" s="37">
        <f t="shared" si="5"/>
        <v>29.797630301701659</v>
      </c>
    </row>
    <row r="89" spans="2:6" x14ac:dyDescent="0.3">
      <c r="B89" s="66">
        <v>1220</v>
      </c>
      <c r="C89" s="66">
        <v>30480</v>
      </c>
      <c r="D89" s="37">
        <f t="shared" si="3"/>
        <v>30.48</v>
      </c>
      <c r="E89" s="37">
        <f t="shared" si="4"/>
        <v>30.523373557455315</v>
      </c>
      <c r="F89" s="37">
        <f t="shared" si="5"/>
        <v>30.515832488799035</v>
      </c>
    </row>
    <row r="90" spans="2:6" x14ac:dyDescent="0.3">
      <c r="B90" s="66">
        <v>1240</v>
      </c>
      <c r="C90" s="66">
        <v>31195</v>
      </c>
      <c r="D90" s="37">
        <f t="shared" si="3"/>
        <v>31.195</v>
      </c>
      <c r="E90" s="37">
        <f t="shared" si="4"/>
        <v>31.227669729961505</v>
      </c>
      <c r="F90" s="37">
        <f t="shared" si="5"/>
        <v>31.23576787693392</v>
      </c>
    </row>
    <row r="91" spans="2:6" x14ac:dyDescent="0.3">
      <c r="B91" s="66">
        <v>1260</v>
      </c>
      <c r="C91" s="66">
        <v>31912</v>
      </c>
      <c r="D91" s="37">
        <f t="shared" si="3"/>
        <v>31.911999999999999</v>
      </c>
      <c r="E91" s="37">
        <f t="shared" si="4"/>
        <v>31.933331314318693</v>
      </c>
      <c r="F91" s="37">
        <f t="shared" si="5"/>
        <v>31.957420615032355</v>
      </c>
    </row>
    <row r="92" spans="2:6" x14ac:dyDescent="0.3">
      <c r="B92" s="66">
        <v>1280</v>
      </c>
      <c r="C92" s="66">
        <v>32630</v>
      </c>
      <c r="D92" s="37">
        <f t="shared" si="3"/>
        <v>32.630000000000003</v>
      </c>
      <c r="E92" s="37">
        <f t="shared" si="4"/>
        <v>32.640358310526878</v>
      </c>
      <c r="F92" s="37">
        <f t="shared" si="5"/>
        <v>32.68077769998866</v>
      </c>
    </row>
    <row r="93" spans="2:6" x14ac:dyDescent="0.3">
      <c r="B93" s="66">
        <v>1300</v>
      </c>
      <c r="C93" s="66">
        <v>33351</v>
      </c>
      <c r="D93" s="37">
        <f t="shared" si="3"/>
        <v>33.350999999999999</v>
      </c>
      <c r="E93" s="37">
        <f t="shared" si="4"/>
        <v>33.348750718586068</v>
      </c>
      <c r="F93" s="37">
        <f t="shared" si="5"/>
        <v>33.405828982463788</v>
      </c>
    </row>
    <row r="94" spans="2:6" x14ac:dyDescent="0.3">
      <c r="B94" s="66">
        <v>1320</v>
      </c>
      <c r="C94" s="66">
        <v>34071</v>
      </c>
      <c r="D94" s="37">
        <f t="shared" si="3"/>
        <v>34.070999999999998</v>
      </c>
      <c r="E94" s="37">
        <f t="shared" si="4"/>
        <v>34.058508538496248</v>
      </c>
      <c r="F94" s="37">
        <f t="shared" si="5"/>
        <v>34.13256717268375</v>
      </c>
    </row>
    <row r="95" spans="2:6" x14ac:dyDescent="0.3">
      <c r="B95" s="66">
        <v>1340</v>
      </c>
      <c r="C95" s="66">
        <v>34793</v>
      </c>
      <c r="D95" s="37">
        <f t="shared" si="3"/>
        <v>34.792999999999999</v>
      </c>
      <c r="E95" s="37">
        <f t="shared" si="4"/>
        <v>34.769631770257426</v>
      </c>
      <c r="F95" s="37">
        <f t="shared" si="5"/>
        <v>34.860987846238039</v>
      </c>
    </row>
    <row r="96" spans="2:6" x14ac:dyDescent="0.3">
      <c r="B96" s="66">
        <v>1360</v>
      </c>
      <c r="C96" s="66">
        <v>35516</v>
      </c>
      <c r="D96" s="37">
        <f t="shared" si="3"/>
        <v>35.515999999999998</v>
      </c>
      <c r="E96" s="37">
        <f t="shared" si="4"/>
        <v>35.482120413869602</v>
      </c>
      <c r="F96" s="37">
        <f t="shared" si="5"/>
        <v>35.59108944987797</v>
      </c>
    </row>
    <row r="97" spans="2:6" x14ac:dyDescent="0.3">
      <c r="B97" s="66">
        <v>1380</v>
      </c>
      <c r="C97" s="66">
        <v>36241</v>
      </c>
      <c r="D97" s="37">
        <f t="shared" si="3"/>
        <v>36.241</v>
      </c>
      <c r="E97" s="37">
        <f t="shared" si="4"/>
        <v>36.195974469332768</v>
      </c>
      <c r="F97" s="37">
        <f t="shared" si="5"/>
        <v>36.322873307315135</v>
      </c>
    </row>
    <row r="98" spans="2:6" x14ac:dyDescent="0.3">
      <c r="B98" s="66">
        <v>1400</v>
      </c>
      <c r="C98" s="66">
        <v>36966</v>
      </c>
      <c r="D98" s="37">
        <f t="shared" si="3"/>
        <v>36.966000000000001</v>
      </c>
      <c r="E98" s="37">
        <f t="shared" si="4"/>
        <v>36.911193936646946</v>
      </c>
      <c r="F98" s="37">
        <f t="shared" si="5"/>
        <v>37.056343625019764</v>
      </c>
    </row>
    <row r="99" spans="2:6" x14ac:dyDescent="0.3">
      <c r="B99" s="66">
        <v>1420</v>
      </c>
      <c r="C99" s="66">
        <v>37692</v>
      </c>
      <c r="D99" s="37">
        <f t="shared" si="3"/>
        <v>37.692</v>
      </c>
      <c r="E99" s="37">
        <f t="shared" si="4"/>
        <v>37.627778815812114</v>
      </c>
      <c r="F99" s="37">
        <f t="shared" si="5"/>
        <v>37.791507498019165</v>
      </c>
    </row>
    <row r="100" spans="2:6" x14ac:dyDescent="0.3">
      <c r="B100" s="66">
        <v>1440</v>
      </c>
      <c r="C100" s="66">
        <v>38420</v>
      </c>
      <c r="D100" s="37">
        <f t="shared" si="3"/>
        <v>38.42</v>
      </c>
      <c r="E100" s="37">
        <f t="shared" si="4"/>
        <v>38.34572910682828</v>
      </c>
      <c r="F100" s="37">
        <f t="shared" si="5"/>
        <v>38.528374915696084</v>
      </c>
    </row>
    <row r="101" spans="2:6" x14ac:dyDescent="0.3">
      <c r="B101" s="66">
        <v>1460</v>
      </c>
      <c r="C101" s="66">
        <v>39149</v>
      </c>
      <c r="D101" s="37">
        <f t="shared" si="3"/>
        <v>39.149000000000001</v>
      </c>
      <c r="E101" s="37">
        <f t="shared" si="4"/>
        <v>39.065044809695436</v>
      </c>
      <c r="F101" s="37">
        <f t="shared" si="5"/>
        <v>39.266958767587141</v>
      </c>
    </row>
    <row r="102" spans="2:6" x14ac:dyDescent="0.3">
      <c r="B102" s="66">
        <v>1480</v>
      </c>
      <c r="C102" s="66">
        <v>39879</v>
      </c>
      <c r="D102" s="37">
        <f t="shared" si="3"/>
        <v>39.878999999999998</v>
      </c>
      <c r="E102" s="37">
        <f t="shared" si="4"/>
        <v>39.785725924413597</v>
      </c>
      <c r="F102" s="37">
        <f t="shared" si="5"/>
        <v>40.007274849181201</v>
      </c>
    </row>
    <row r="103" spans="2:6" x14ac:dyDescent="0.3">
      <c r="B103" s="66">
        <v>1500</v>
      </c>
      <c r="C103" s="66">
        <v>40610</v>
      </c>
      <c r="D103" s="37">
        <f t="shared" si="3"/>
        <v>40.61</v>
      </c>
      <c r="E103" s="37">
        <f t="shared" si="4"/>
        <v>40.507772450982756</v>
      </c>
      <c r="F103" s="37">
        <f t="shared" si="5"/>
        <v>40.749341867717774</v>
      </c>
    </row>
    <row r="104" spans="2:6" x14ac:dyDescent="0.3">
      <c r="B104" s="66">
        <v>1520</v>
      </c>
      <c r="C104" s="66">
        <v>41342</v>
      </c>
      <c r="D104" s="37">
        <f t="shared" si="3"/>
        <v>41.341999999999999</v>
      </c>
      <c r="E104" s="37">
        <f t="shared" si="4"/>
        <v>41.231184389402912</v>
      </c>
      <c r="F104" s="37">
        <f t="shared" si="5"/>
        <v>41.493181447985449</v>
      </c>
    </row>
    <row r="105" spans="2:6" x14ac:dyDescent="0.3">
      <c r="B105" s="66">
        <v>1540</v>
      </c>
      <c r="C105" s="66">
        <v>42074</v>
      </c>
      <c r="D105" s="37">
        <f t="shared" si="3"/>
        <v>42.073999999999998</v>
      </c>
      <c r="E105" s="37">
        <f t="shared" si="4"/>
        <v>41.955961739674066</v>
      </c>
      <c r="F105" s="37">
        <f t="shared" si="5"/>
        <v>42.238818138120259</v>
      </c>
    </row>
    <row r="106" spans="2:6" x14ac:dyDescent="0.3">
      <c r="B106" s="66">
        <v>1560</v>
      </c>
      <c r="C106" s="66">
        <v>42808</v>
      </c>
      <c r="D106" s="37">
        <f t="shared" si="3"/>
        <v>42.808</v>
      </c>
      <c r="E106" s="37">
        <f t="shared" si="4"/>
        <v>42.682104501796211</v>
      </c>
      <c r="F106" s="37">
        <f t="shared" si="5"/>
        <v>42.986279415404084</v>
      </c>
    </row>
    <row r="107" spans="2:6" x14ac:dyDescent="0.3">
      <c r="B107" s="66">
        <v>1580</v>
      </c>
      <c r="C107" s="66">
        <v>43542</v>
      </c>
      <c r="D107" s="37">
        <f t="shared" si="3"/>
        <v>43.542000000000002</v>
      </c>
      <c r="E107" s="37">
        <f t="shared" si="4"/>
        <v>43.40961267576936</v>
      </c>
      <c r="F107" s="37">
        <f t="shared" si="5"/>
        <v>43.735595692063079</v>
      </c>
    </row>
    <row r="108" spans="2:6" x14ac:dyDescent="0.3">
      <c r="B108" s="66">
        <v>1600</v>
      </c>
      <c r="C108" s="66">
        <v>44279</v>
      </c>
      <c r="D108" s="37">
        <f t="shared" si="3"/>
        <v>44.279000000000003</v>
      </c>
      <c r="E108" s="37">
        <f t="shared" si="4"/>
        <v>44.138486261593506</v>
      </c>
      <c r="F108" s="37">
        <f t="shared" si="5"/>
        <v>44.486800321066035</v>
      </c>
    </row>
    <row r="109" spans="2:6" x14ac:dyDescent="0.3">
      <c r="B109" s="66">
        <v>1620</v>
      </c>
      <c r="C109" s="66">
        <v>45014</v>
      </c>
      <c r="D109" s="37">
        <f t="shared" si="3"/>
        <v>45.014000000000003</v>
      </c>
      <c r="E109" s="37">
        <f t="shared" si="4"/>
        <v>44.868725259268643</v>
      </c>
      <c r="F109" s="37">
        <f t="shared" si="5"/>
        <v>45.239929601922825</v>
      </c>
    </row>
    <row r="110" spans="2:6" x14ac:dyDescent="0.3">
      <c r="B110" s="66">
        <v>1640</v>
      </c>
      <c r="C110" s="66">
        <v>45752</v>
      </c>
      <c r="D110" s="37">
        <f t="shared" si="3"/>
        <v>45.752000000000002</v>
      </c>
      <c r="E110" s="37">
        <f t="shared" si="4"/>
        <v>45.600329668794785</v>
      </c>
      <c r="F110" s="37">
        <f t="shared" si="5"/>
        <v>45.99502278648275</v>
      </c>
    </row>
    <row r="111" spans="2:6" x14ac:dyDescent="0.3">
      <c r="B111" s="66">
        <v>1660</v>
      </c>
      <c r="C111" s="66">
        <v>46490</v>
      </c>
      <c r="D111" s="37">
        <f t="shared" si="3"/>
        <v>46.49</v>
      </c>
      <c r="E111" s="37">
        <f t="shared" si="4"/>
        <v>46.333299490171918</v>
      </c>
      <c r="F111" s="37">
        <f t="shared" si="5"/>
        <v>46.752122084732989</v>
      </c>
    </row>
    <row r="112" spans="2:6" x14ac:dyDescent="0.3">
      <c r="B112" s="66">
        <v>1680</v>
      </c>
      <c r="C112" s="66">
        <v>47230</v>
      </c>
      <c r="D112" s="37">
        <f t="shared" si="3"/>
        <v>47.230000000000004</v>
      </c>
      <c r="E112" s="37">
        <f t="shared" si="4"/>
        <v>47.067634723400054</v>
      </c>
      <c r="F112" s="37">
        <f t="shared" si="5"/>
        <v>47.511272670596959</v>
      </c>
    </row>
    <row r="113" spans="2:6" x14ac:dyDescent="0.3">
      <c r="B113" s="66">
        <v>1700</v>
      </c>
      <c r="C113" s="66">
        <v>47970</v>
      </c>
      <c r="D113" s="37">
        <f t="shared" si="3"/>
        <v>47.97</v>
      </c>
      <c r="E113" s="37">
        <f t="shared" si="4"/>
        <v>47.803335368479189</v>
      </c>
      <c r="F113" s="37">
        <f t="shared" si="5"/>
        <v>48.272522687732746</v>
      </c>
    </row>
    <row r="114" spans="2:6" x14ac:dyDescent="0.3">
      <c r="B114" s="66">
        <v>1720</v>
      </c>
      <c r="C114" s="66">
        <v>48712</v>
      </c>
      <c r="D114" s="37">
        <f t="shared" si="3"/>
        <v>48.712000000000003</v>
      </c>
      <c r="E114" s="37">
        <f t="shared" si="4"/>
        <v>48.540401425409314</v>
      </c>
      <c r="F114" s="37">
        <f t="shared" si="5"/>
        <v>49.035923255331483</v>
      </c>
    </row>
    <row r="115" spans="2:6" x14ac:dyDescent="0.3">
      <c r="B115" s="66">
        <v>1740</v>
      </c>
      <c r="C115" s="66">
        <v>49454</v>
      </c>
      <c r="D115" s="37">
        <f t="shared" si="3"/>
        <v>49.454000000000001</v>
      </c>
      <c r="E115" s="37">
        <f t="shared" si="4"/>
        <v>49.278832894190437</v>
      </c>
      <c r="F115" s="37">
        <f t="shared" si="5"/>
        <v>49.801528473915766</v>
      </c>
    </row>
    <row r="116" spans="2:6" x14ac:dyDescent="0.3">
      <c r="B116" s="66">
        <v>1760</v>
      </c>
      <c r="C116" s="66" t="s">
        <v>64</v>
      </c>
      <c r="D116" s="67"/>
      <c r="E116" s="37">
        <f t="shared" si="4"/>
        <v>50.018629774822557</v>
      </c>
      <c r="F116" s="37">
        <f t="shared" si="5"/>
        <v>50.569395431138055</v>
      </c>
    </row>
    <row r="117" spans="2:6" x14ac:dyDescent="0.3">
      <c r="B117" s="66">
        <v>1780</v>
      </c>
      <c r="C117" s="66" t="s">
        <v>64</v>
      </c>
      <c r="D117" s="37"/>
      <c r="E117" s="37">
        <f t="shared" si="4"/>
        <v>50.759792067305689</v>
      </c>
      <c r="F117" s="37">
        <f t="shared" si="5"/>
        <v>51.339584207579044</v>
      </c>
    </row>
    <row r="118" spans="2:6" x14ac:dyDescent="0.3">
      <c r="B118" s="66">
        <v>1800</v>
      </c>
      <c r="C118" s="66">
        <v>51689</v>
      </c>
      <c r="D118" s="37">
        <f t="shared" si="3"/>
        <v>51.689</v>
      </c>
      <c r="E118" s="37">
        <f t="shared" si="4"/>
        <v>51.502319771639804</v>
      </c>
      <c r="F118" s="37">
        <f t="shared" si="5"/>
        <v>52.112157882546093</v>
      </c>
    </row>
    <row r="119" spans="2:6" x14ac:dyDescent="0.3">
      <c r="B119" s="66">
        <v>1820</v>
      </c>
      <c r="C119" s="66">
        <v>52436</v>
      </c>
      <c r="D119" s="37">
        <f t="shared" si="3"/>
        <v>52.436</v>
      </c>
      <c r="E119" s="37">
        <f t="shared" si="4"/>
        <v>52.246212887824917</v>
      </c>
      <c r="F119" s="37">
        <f t="shared" si="5"/>
        <v>52.887182539871631</v>
      </c>
    </row>
    <row r="120" spans="2:6" x14ac:dyDescent="0.3">
      <c r="B120" s="66">
        <v>1840</v>
      </c>
      <c r="C120" s="66">
        <v>53184</v>
      </c>
      <c r="D120" s="37">
        <f t="shared" si="3"/>
        <v>53.184000000000005</v>
      </c>
      <c r="E120" s="37">
        <f t="shared" si="4"/>
        <v>52.991471415861028</v>
      </c>
      <c r="F120" s="37">
        <f t="shared" si="5"/>
        <v>53.66472727371152</v>
      </c>
    </row>
    <row r="121" spans="2:6" x14ac:dyDescent="0.3">
      <c r="B121" s="66">
        <v>1860</v>
      </c>
      <c r="C121" s="66">
        <v>53934</v>
      </c>
      <c r="D121" s="37">
        <f t="shared" si="3"/>
        <v>53.934000000000005</v>
      </c>
      <c r="E121" s="37">
        <f t="shared" si="4"/>
        <v>53.738095355748136</v>
      </c>
      <c r="F121" s="37">
        <f t="shared" si="5"/>
        <v>54.444864194343488</v>
      </c>
    </row>
    <row r="122" spans="2:6" x14ac:dyDescent="0.3">
      <c r="B122" s="66">
        <v>1880</v>
      </c>
      <c r="C122" s="66">
        <v>54683</v>
      </c>
      <c r="D122" s="37">
        <f t="shared" si="3"/>
        <v>54.683</v>
      </c>
      <c r="E122" s="37">
        <f t="shared" si="4"/>
        <v>54.486084707486249</v>
      </c>
      <c r="F122" s="37">
        <f t="shared" si="5"/>
        <v>55.227668433965533</v>
      </c>
    </row>
    <row r="123" spans="2:6" x14ac:dyDescent="0.3">
      <c r="B123" s="66">
        <v>1900</v>
      </c>
      <c r="C123" s="66">
        <v>55434</v>
      </c>
      <c r="D123" s="37">
        <f t="shared" si="3"/>
        <v>55.434000000000005</v>
      </c>
      <c r="E123" s="37">
        <f t="shared" si="4"/>
        <v>55.235439471075345</v>
      </c>
      <c r="F123" s="37">
        <f t="shared" si="5"/>
        <v>56.013218152494289</v>
      </c>
    </row>
    <row r="124" spans="2:6" x14ac:dyDescent="0.3">
      <c r="B124" s="66">
        <v>1920</v>
      </c>
      <c r="C124" s="66">
        <v>56186</v>
      </c>
      <c r="D124" s="37">
        <f t="shared" si="3"/>
        <v>56.186</v>
      </c>
      <c r="E124" s="37">
        <f t="shared" si="4"/>
        <v>55.986159646515453</v>
      </c>
      <c r="F124" s="37">
        <f t="shared" si="5"/>
        <v>56.80159454336345</v>
      </c>
    </row>
    <row r="125" spans="2:6" x14ac:dyDescent="0.3">
      <c r="B125" s="66">
        <v>1940</v>
      </c>
      <c r="C125" s="66">
        <v>56938</v>
      </c>
      <c r="D125" s="37">
        <f t="shared" si="3"/>
        <v>56.938000000000002</v>
      </c>
      <c r="E125" s="37">
        <f t="shared" si="4"/>
        <v>56.738245233806545</v>
      </c>
      <c r="F125" s="37">
        <f t="shared" si="5"/>
        <v>57.592881839322175</v>
      </c>
    </row>
    <row r="126" spans="2:6" x14ac:dyDescent="0.3">
      <c r="B126" s="66">
        <v>1960</v>
      </c>
      <c r="C126" s="66">
        <v>57692</v>
      </c>
      <c r="D126" s="37">
        <f t="shared" si="3"/>
        <v>57.692</v>
      </c>
      <c r="E126" s="37">
        <f t="shared" si="4"/>
        <v>57.491696232948648</v>
      </c>
      <c r="F126" s="37">
        <f t="shared" si="5"/>
        <v>58.38716731823348</v>
      </c>
    </row>
    <row r="127" spans="2:6" x14ac:dyDescent="0.3">
      <c r="B127" s="66">
        <v>1980</v>
      </c>
      <c r="C127" s="66">
        <v>58445</v>
      </c>
      <c r="D127" s="37">
        <f t="shared" si="3"/>
        <v>58.445</v>
      </c>
      <c r="E127" s="37">
        <f t="shared" si="4"/>
        <v>58.246512643941749</v>
      </c>
      <c r="F127" s="37">
        <f t="shared" si="5"/>
        <v>59.184541308872625</v>
      </c>
    </row>
    <row r="128" spans="2:6" x14ac:dyDescent="0.3">
      <c r="B128" s="66">
        <v>2000</v>
      </c>
      <c r="C128" s="66">
        <v>59199</v>
      </c>
      <c r="D128" s="37">
        <f t="shared" si="3"/>
        <v>59.198999999999998</v>
      </c>
      <c r="E128" s="37">
        <f t="shared" si="4"/>
        <v>59.002694466785833</v>
      </c>
      <c r="F128" s="37">
        <f t="shared" si="5"/>
        <v>59.985097196725533</v>
      </c>
    </row>
    <row r="129" spans="2:6" x14ac:dyDescent="0.3">
      <c r="B129" s="66">
        <v>2050</v>
      </c>
      <c r="C129" s="66">
        <v>61090</v>
      </c>
      <c r="D129" s="37">
        <f t="shared" si="3"/>
        <v>61.09</v>
      </c>
      <c r="E129" s="37">
        <f t="shared" si="4"/>
        <v>60.899122700744165</v>
      </c>
      <c r="F129" s="37">
        <f t="shared" si="5"/>
        <v>62.001048208974836</v>
      </c>
    </row>
    <row r="130" spans="2:6" x14ac:dyDescent="0.3">
      <c r="B130" s="66">
        <v>2100</v>
      </c>
      <c r="C130" s="66">
        <v>62986</v>
      </c>
      <c r="D130" s="37">
        <f t="shared" si="3"/>
        <v>62.986000000000004</v>
      </c>
      <c r="E130" s="37">
        <f t="shared" si="4"/>
        <v>62.804084758771246</v>
      </c>
      <c r="F130" s="37">
        <f t="shared" si="5"/>
        <v>64.039088286548008</v>
      </c>
    </row>
    <row r="131" spans="2:6" x14ac:dyDescent="0.3">
      <c r="B131" s="66">
        <v>2150</v>
      </c>
      <c r="C131" s="66">
        <v>64891</v>
      </c>
      <c r="D131" s="37">
        <f t="shared" si="3"/>
        <v>64.891000000000005</v>
      </c>
      <c r="E131" s="37">
        <f t="shared" si="4"/>
        <v>64.717580640867055</v>
      </c>
      <c r="F131" s="37">
        <f t="shared" si="5"/>
        <v>66.100928869321024</v>
      </c>
    </row>
    <row r="132" spans="2:6" x14ac:dyDescent="0.3">
      <c r="B132" s="66">
        <v>2200</v>
      </c>
      <c r="C132" s="66">
        <v>66802</v>
      </c>
      <c r="D132" s="37">
        <f t="shared" si="3"/>
        <v>66.802000000000007</v>
      </c>
      <c r="E132" s="37">
        <f t="shared" si="4"/>
        <v>66.639610347031606</v>
      </c>
      <c r="F132" s="37">
        <f t="shared" si="5"/>
        <v>68.188402385429939</v>
      </c>
    </row>
    <row r="133" spans="2:6" x14ac:dyDescent="0.3">
      <c r="B133" s="66">
        <v>2250</v>
      </c>
      <c r="C133" s="66">
        <v>68715</v>
      </c>
      <c r="D133" s="37">
        <f t="shared" si="3"/>
        <v>68.715000000000003</v>
      </c>
      <c r="E133" s="37">
        <f t="shared" si="4"/>
        <v>68.570173877264864</v>
      </c>
      <c r="F133" s="37">
        <f t="shared" si="5"/>
        <v>70.303462817520753</v>
      </c>
    </row>
    <row r="134" spans="2:6" x14ac:dyDescent="0.3">
      <c r="B134" s="66">
        <v>2300</v>
      </c>
      <c r="C134" s="66">
        <v>70634</v>
      </c>
      <c r="D134" s="37">
        <f t="shared" si="3"/>
        <v>70.634</v>
      </c>
      <c r="E134" s="37">
        <f t="shared" si="4"/>
        <v>70.509271231566885</v>
      </c>
      <c r="F134" s="37">
        <f t="shared" si="5"/>
        <v>72.448186268999493</v>
      </c>
    </row>
    <row r="135" spans="2:6" x14ac:dyDescent="0.3">
      <c r="B135" s="66">
        <v>2350</v>
      </c>
      <c r="C135" s="66">
        <v>72561</v>
      </c>
      <c r="D135" s="37">
        <f t="shared" si="3"/>
        <v>72.561000000000007</v>
      </c>
      <c r="E135" s="37">
        <f t="shared" si="4"/>
        <v>72.456902409937641</v>
      </c>
      <c r="F135" s="37">
        <f t="shared" si="5"/>
        <v>74.624771530282217</v>
      </c>
    </row>
    <row r="136" spans="2:6" x14ac:dyDescent="0.3">
      <c r="B136" s="66">
        <v>2400</v>
      </c>
      <c r="C136" s="66">
        <v>74492</v>
      </c>
      <c r="D136" s="37">
        <f t="shared" ref="D136:D147" si="6">C136*10^-3</f>
        <v>74.492000000000004</v>
      </c>
      <c r="E136" s="37">
        <f t="shared" ref="E136:E147" si="7">(0.0000017067648137467*B136^2)+(0.0310161671834927*B136)-9.85669915518637</f>
        <v>74.413067412377103</v>
      </c>
      <c r="F136" s="37">
        <f t="shared" ref="F136:F147" si="8">(0*B136^6)+(0.0000000000000000151*B136^5)+(0.0000000000006480384*B136^4)+(-0.0000000037470426353*B136^3)+(0.0000098189461073622*B136^2)+(0.0238524349087728*B136)+(-7.87103036786887)</f>
        <v>76.835540645044915</v>
      </c>
    </row>
    <row r="137" spans="2:6" x14ac:dyDescent="0.3">
      <c r="B137" s="66">
        <v>2450</v>
      </c>
      <c r="C137" s="66">
        <v>76430</v>
      </c>
      <c r="D137" s="37">
        <f t="shared" si="6"/>
        <v>76.430000000000007</v>
      </c>
      <c r="E137" s="37">
        <f t="shared" si="7"/>
        <v>76.3777662388853</v>
      </c>
      <c r="F137" s="37">
        <f t="shared" si="8"/>
        <v>79.082939476473626</v>
      </c>
    </row>
    <row r="138" spans="2:6" x14ac:dyDescent="0.3">
      <c r="B138" s="66">
        <v>2500</v>
      </c>
      <c r="C138" s="66">
        <v>78375</v>
      </c>
      <c r="D138" s="37">
        <f t="shared" si="6"/>
        <v>78.375</v>
      </c>
      <c r="E138" s="37">
        <f t="shared" si="7"/>
        <v>78.350998889462261</v>
      </c>
      <c r="F138" s="37">
        <f t="shared" si="8"/>
        <v>81.36953827351438</v>
      </c>
    </row>
    <row r="139" spans="2:6" x14ac:dyDescent="0.3">
      <c r="B139" s="66">
        <v>2550</v>
      </c>
      <c r="C139" s="66">
        <v>80322</v>
      </c>
      <c r="D139" s="37">
        <f t="shared" si="6"/>
        <v>80.322000000000003</v>
      </c>
      <c r="E139" s="37">
        <f t="shared" si="7"/>
        <v>80.332765364107928</v>
      </c>
      <c r="F139" s="37">
        <f t="shared" si="8"/>
        <v>83.698032237123186</v>
      </c>
    </row>
    <row r="140" spans="2:6" x14ac:dyDescent="0.3">
      <c r="B140" s="66">
        <v>2600</v>
      </c>
      <c r="C140" s="66">
        <v>82274</v>
      </c>
      <c r="D140" s="37">
        <f t="shared" si="6"/>
        <v>82.274000000000001</v>
      </c>
      <c r="E140" s="37">
        <f t="shared" si="7"/>
        <v>82.323065662822358</v>
      </c>
      <c r="F140" s="37">
        <f t="shared" si="8"/>
        <v>86.071242086516079</v>
      </c>
    </row>
    <row r="141" spans="2:6" x14ac:dyDescent="0.3">
      <c r="B141" s="66">
        <v>2650</v>
      </c>
      <c r="C141" s="66">
        <v>84234</v>
      </c>
      <c r="D141" s="37">
        <f t="shared" si="6"/>
        <v>84.233999999999995</v>
      </c>
      <c r="E141" s="37">
        <f t="shared" si="7"/>
        <v>84.321899785605495</v>
      </c>
      <c r="F141" s="37">
        <f t="shared" si="8"/>
        <v>88.492114625419092</v>
      </c>
    </row>
    <row r="142" spans="2:6" x14ac:dyDescent="0.3">
      <c r="B142" s="66">
        <v>2700</v>
      </c>
      <c r="C142" s="66">
        <v>86199</v>
      </c>
      <c r="D142" s="37">
        <f t="shared" si="6"/>
        <v>86.198999999999998</v>
      </c>
      <c r="E142" s="37">
        <f t="shared" si="7"/>
        <v>86.329267732457367</v>
      </c>
      <c r="F142" s="37">
        <f t="shared" si="8"/>
        <v>90.963723308318222</v>
      </c>
    </row>
    <row r="143" spans="2:6" x14ac:dyDescent="0.3">
      <c r="B143" s="66">
        <v>2750</v>
      </c>
      <c r="C143" s="66">
        <v>88170</v>
      </c>
      <c r="D143" s="37">
        <f t="shared" si="6"/>
        <v>88.17</v>
      </c>
      <c r="E143" s="37">
        <f t="shared" si="7"/>
        <v>88.345169503377974</v>
      </c>
      <c r="F143" s="37">
        <f t="shared" si="8"/>
        <v>93.489268806709504</v>
      </c>
    </row>
    <row r="144" spans="2:6" x14ac:dyDescent="0.3">
      <c r="B144" s="66">
        <v>2800</v>
      </c>
      <c r="C144" s="66">
        <v>90144</v>
      </c>
      <c r="D144" s="37">
        <f t="shared" si="6"/>
        <v>90.144000000000005</v>
      </c>
      <c r="E144" s="37">
        <f t="shared" si="7"/>
        <v>90.369605098367316</v>
      </c>
      <c r="F144" s="37">
        <f t="shared" si="8"/>
        <v>96.072079575349008</v>
      </c>
    </row>
    <row r="145" spans="2:6" x14ac:dyDescent="0.3">
      <c r="B145" s="66">
        <v>2850</v>
      </c>
      <c r="C145" s="66">
        <v>92126</v>
      </c>
      <c r="D145" s="37">
        <f t="shared" si="6"/>
        <v>92.126000000000005</v>
      </c>
      <c r="E145" s="37">
        <f t="shared" si="7"/>
        <v>92.402574517425393</v>
      </c>
      <c r="F145" s="37">
        <f t="shared" si="8"/>
        <v>98.715612418502715</v>
      </c>
    </row>
    <row r="146" spans="2:6" x14ac:dyDescent="0.3">
      <c r="B146" s="66">
        <v>2900</v>
      </c>
      <c r="C146" s="66">
        <v>94111</v>
      </c>
      <c r="D146" s="37">
        <f t="shared" si="6"/>
        <v>94.111000000000004</v>
      </c>
      <c r="E146" s="37">
        <f t="shared" si="7"/>
        <v>94.444077760552204</v>
      </c>
      <c r="F146" s="37">
        <f t="shared" si="8"/>
        <v>101.42345305619665</v>
      </c>
    </row>
    <row r="147" spans="2:6" x14ac:dyDescent="0.3">
      <c r="B147" s="66">
        <v>3000</v>
      </c>
      <c r="C147" s="66">
        <v>98098</v>
      </c>
      <c r="D147" s="37">
        <f t="shared" si="6"/>
        <v>98.097999999999999</v>
      </c>
      <c r="E147" s="37">
        <f t="shared" si="7"/>
        <v>98.552685719012032</v>
      </c>
      <c r="F147" s="37">
        <f t="shared" si="8"/>
        <v>107.04704857160931</v>
      </c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2:R68"/>
  <sheetViews>
    <sheetView tabSelected="1" zoomScale="85" zoomScaleNormal="85" workbookViewId="0">
      <selection activeCell="G9" sqref="G9"/>
    </sheetView>
  </sheetViews>
  <sheetFormatPr defaultRowHeight="14.4" x14ac:dyDescent="0.3"/>
  <cols>
    <col min="4" max="4" width="12.6640625" customWidth="1"/>
    <col min="5" max="5" width="21.44140625" customWidth="1"/>
    <col min="6" max="6" width="19" customWidth="1"/>
    <col min="7" max="7" width="19.88671875" customWidth="1"/>
    <col min="8" max="8" width="15.5546875" customWidth="1"/>
    <col min="9" max="9" width="21.33203125" customWidth="1"/>
    <col min="10" max="10" width="15" customWidth="1"/>
    <col min="11" max="11" width="18.6640625" customWidth="1"/>
    <col min="12" max="12" width="22.88671875" customWidth="1"/>
    <col min="14" max="14" width="12" customWidth="1"/>
    <col min="15" max="15" width="10.33203125" customWidth="1"/>
    <col min="17" max="17" width="20.5546875" customWidth="1"/>
    <col min="18" max="18" width="12.44140625" bestFit="1" customWidth="1"/>
    <col min="20" max="20" width="15.33203125" customWidth="1"/>
  </cols>
  <sheetData>
    <row r="2" spans="2:18" x14ac:dyDescent="0.3">
      <c r="E2" s="54"/>
    </row>
    <row r="3" spans="2:18" x14ac:dyDescent="0.3">
      <c r="C3" s="105" t="s">
        <v>140</v>
      </c>
      <c r="D3" s="121"/>
      <c r="E3" s="53" t="s">
        <v>175</v>
      </c>
      <c r="F3" s="42" t="str">
        <f>VLOOKUP(E3,'Fuel Tables'!C3:D24, 2,FALSE)</f>
        <v>C8H18</v>
      </c>
      <c r="N3" s="40" t="s">
        <v>141</v>
      </c>
      <c r="O3" s="37">
        <f>VLOOKUP(F3,'Fuel Tables'!D3:E24, 2, FALSE)</f>
        <v>8</v>
      </c>
      <c r="Q3" s="40" t="s">
        <v>144</v>
      </c>
      <c r="R3" s="37">
        <f>O3*C6</f>
        <v>4.8</v>
      </c>
    </row>
    <row r="4" spans="2:18" x14ac:dyDescent="0.3">
      <c r="G4" s="26" t="s">
        <v>18</v>
      </c>
      <c r="N4" s="40" t="s">
        <v>142</v>
      </c>
      <c r="O4" s="37">
        <f>VLOOKUP(F3,'Fuel Tables'!D3:F24,3,FALSE)</f>
        <v>18</v>
      </c>
      <c r="Q4" s="40" t="s">
        <v>145</v>
      </c>
      <c r="R4" s="37">
        <f>(O4/2)*C6</f>
        <v>5.3999999999999995</v>
      </c>
    </row>
    <row r="5" spans="2:18" x14ac:dyDescent="0.3">
      <c r="B5" s="30" t="s">
        <v>155</v>
      </c>
      <c r="C5" s="33" t="s">
        <v>106</v>
      </c>
      <c r="D5" s="22" t="s">
        <v>33</v>
      </c>
      <c r="E5" s="22" t="s">
        <v>110</v>
      </c>
      <c r="F5" s="22" t="s">
        <v>59</v>
      </c>
      <c r="G5" s="22" t="s">
        <v>57</v>
      </c>
      <c r="H5" s="22" t="s">
        <v>58</v>
      </c>
      <c r="I5" s="22" t="s">
        <v>91</v>
      </c>
      <c r="J5" s="22" t="s">
        <v>92</v>
      </c>
      <c r="K5" s="22" t="s">
        <v>93</v>
      </c>
      <c r="L5" s="33" t="s">
        <v>109</v>
      </c>
      <c r="N5" s="40" t="s">
        <v>6</v>
      </c>
      <c r="O5" s="37">
        <f>VLOOKUP(F3,'Fuel Tables'!D3:G24,4,FALSE)</f>
        <v>0</v>
      </c>
      <c r="Q5" s="40" t="s">
        <v>16</v>
      </c>
      <c r="R5" s="37">
        <f>((((R3/C6)*2)+(R4/C6))-O5)/2</f>
        <v>12.5</v>
      </c>
    </row>
    <row r="6" spans="2:18" x14ac:dyDescent="0.3">
      <c r="B6" s="55">
        <v>0.2</v>
      </c>
      <c r="C6" s="37">
        <v>0.6</v>
      </c>
      <c r="D6" s="44">
        <f>R3*(1+B6)</f>
        <v>5.76</v>
      </c>
      <c r="E6" s="44">
        <f>(0*C6)*(1+B6)</f>
        <v>0</v>
      </c>
      <c r="F6" s="44">
        <f>R4*(1+B6)</f>
        <v>6.4799999999999995</v>
      </c>
      <c r="G6" s="44">
        <f>(R5*(1-C6))*(1+B6)</f>
        <v>6</v>
      </c>
      <c r="H6" s="37">
        <f>(R6*(1+B6))</f>
        <v>56.4</v>
      </c>
      <c r="I6" s="37">
        <f>(G6*K6)/($R$11*10^-6)</f>
        <v>1.6393026056451262E-2</v>
      </c>
      <c r="J6" s="37">
        <f>(H6*K6)/($R$11*10^-6)</f>
        <v>0.15409444493064184</v>
      </c>
      <c r="K6" s="37">
        <f>(($R$8)/(C6+(12.5*(1+3.76))))</f>
        <v>1.0928684037634173E-7</v>
      </c>
      <c r="L6" s="50">
        <f>K6*(D6+F6+H6+G6)</f>
        <v>8.1571697656901463E-6</v>
      </c>
      <c r="Q6" s="40" t="s">
        <v>146</v>
      </c>
      <c r="R6" s="37">
        <f>3.76*R5</f>
        <v>47</v>
      </c>
    </row>
    <row r="8" spans="2:18" x14ac:dyDescent="0.3">
      <c r="E8" s="30" t="s">
        <v>160</v>
      </c>
      <c r="F8" s="30" t="s">
        <v>161</v>
      </c>
      <c r="G8" s="30" t="s">
        <v>163</v>
      </c>
      <c r="I8" s="27" t="s">
        <v>167</v>
      </c>
      <c r="J8" s="49"/>
      <c r="Q8" s="56" t="s">
        <v>60</v>
      </c>
      <c r="R8" s="37">
        <f>(10^5*((400*0.4)*10^-6))/(8314*293)</f>
        <v>6.5681391066181384E-6</v>
      </c>
    </row>
    <row r="9" spans="2:18" x14ac:dyDescent="0.3">
      <c r="E9" s="42">
        <f>((R3*(ABS('CO2'!$D$3)))+(R4*(ABS(H2O!$D$3)))-(C6*(ABS(VLOOKUP(E3,'Fuel Tables'!C3:H24,6,FALSE)))))</f>
        <v>3039.2459999999996</v>
      </c>
      <c r="F9" s="42">
        <f>VLOOKUP(E9,'Temp vs Poly @ SUM{all gases}'!B4:C144,1,TRUE)</f>
        <v>3023.5984230651557</v>
      </c>
      <c r="G9" s="43">
        <f t="array" ref="G9">INDEX('Temp vs Poly @ SUM{all gases}'!B4:B144,MATCH(TRUE,'Temp vs Poly @ SUM{all gases}'!B4:B144&gt;'Simulation for each fuel'!E9,0))</f>
        <v>3080.3697202736121</v>
      </c>
      <c r="I9" s="42">
        <f>((F11+((G11-F11)*((E9-F9)/(G9-F9)))))</f>
        <v>1485.5124958224535</v>
      </c>
      <c r="J9" s="49"/>
      <c r="Q9" s="23" t="s">
        <v>96</v>
      </c>
      <c r="R9" s="37">
        <v>1.17</v>
      </c>
    </row>
    <row r="10" spans="2:18" x14ac:dyDescent="0.3">
      <c r="F10" s="46" t="s">
        <v>162</v>
      </c>
      <c r="G10" s="46" t="s">
        <v>164</v>
      </c>
      <c r="Q10" s="51" t="s">
        <v>174</v>
      </c>
      <c r="R10" s="61">
        <v>1800</v>
      </c>
    </row>
    <row r="11" spans="2:18" x14ac:dyDescent="0.3">
      <c r="F11" s="42">
        <f>VLOOKUP(F9,'Temp vs Poly @ SUM{all gases}'!B4:G144,6,TRUE)</f>
        <v>1480</v>
      </c>
      <c r="G11" s="42">
        <f>VLOOKUP(G9,'Temp vs Poly @ SUM{all gases}'!B4:G144,6,TRUE)</f>
        <v>1500</v>
      </c>
      <c r="Q11" s="51" t="s">
        <v>196</v>
      </c>
      <c r="R11" s="61">
        <v>40</v>
      </c>
    </row>
    <row r="12" spans="2:18" x14ac:dyDescent="0.3">
      <c r="Q12" s="54"/>
      <c r="R12" s="54"/>
    </row>
    <row r="13" spans="2:18" x14ac:dyDescent="0.3">
      <c r="E13" s="105" t="s">
        <v>172</v>
      </c>
      <c r="F13" s="105"/>
    </row>
    <row r="14" spans="2:18" x14ac:dyDescent="0.3">
      <c r="B14" s="48" t="s">
        <v>107</v>
      </c>
      <c r="C14" s="30" t="s">
        <v>105</v>
      </c>
      <c r="D14" s="48" t="s">
        <v>103</v>
      </c>
      <c r="E14" s="48" t="s">
        <v>270</v>
      </c>
      <c r="F14" s="48" t="s">
        <v>108</v>
      </c>
      <c r="H14" s="53" t="s">
        <v>165</v>
      </c>
      <c r="I14" s="53" t="s">
        <v>166</v>
      </c>
      <c r="J14" s="53" t="s">
        <v>157</v>
      </c>
      <c r="K14" s="53" t="s">
        <v>158</v>
      </c>
      <c r="L14" s="53" t="s">
        <v>168</v>
      </c>
    </row>
    <row r="15" spans="2:18" x14ac:dyDescent="0.3">
      <c r="B15" s="42">
        <v>0</v>
      </c>
      <c r="C15" s="42">
        <v>10</v>
      </c>
      <c r="D15" s="37">
        <f>I9</f>
        <v>1485.5124958224535</v>
      </c>
      <c r="E15" s="37">
        <f>(((4.7*10^13)*$J$6*($I$6^0.5)*(EXP(-67837/D15))/($R$10*6))*($R$11*10^-6))</f>
        <v>5.0521909654482246E-17</v>
      </c>
      <c r="F15" s="37">
        <f>(SUM(E15:E30)/L6)*10^6</f>
        <v>9.1991029268535279E-2</v>
      </c>
      <c r="H15" s="37">
        <f>VLOOKUP('Simulation for each fuel'!E3, 'Fuel Tables'!C3:I24,7,FALSE)</f>
        <v>114.23146</v>
      </c>
      <c r="I15" s="37">
        <f>R5*(('Fuel Tables'!N6*2)+3.76*(2*'Fuel Tables'!N7))</f>
        <v>1716.6148000000001</v>
      </c>
      <c r="J15" s="37">
        <f>I15/H15</f>
        <v>15.027513436316056</v>
      </c>
      <c r="K15" s="37">
        <f>VLOOKUP(E3,'Fuel Tables'!C3:K24,9,FALSE)</f>
        <v>3.0821491732662789</v>
      </c>
      <c r="L15" s="37">
        <f>E9/H15</f>
        <v>26.606033049039201</v>
      </c>
    </row>
    <row r="16" spans="2:18" x14ac:dyDescent="0.3">
      <c r="B16" s="42">
        <v>1</v>
      </c>
      <c r="C16" s="42">
        <v>12</v>
      </c>
      <c r="D16" s="37">
        <f>D15*(C16/C15)^(($R$9-1)/$R$9)</f>
        <v>1525.3913408960639</v>
      </c>
      <c r="E16" s="37">
        <f t="shared" ref="E16:E30" si="0">(((4.7*10^13)*$J$6*($I$6^0.5)*(EXP(-67837/D16))/($R$10*6))*($R$11*10^-6))</f>
        <v>1.6671107076357087E-16</v>
      </c>
      <c r="F16" s="49"/>
    </row>
    <row r="17" spans="2:6" x14ac:dyDescent="0.3">
      <c r="B17" s="42">
        <v>2</v>
      </c>
      <c r="C17" s="42">
        <v>14</v>
      </c>
      <c r="D17" s="37">
        <f t="shared" ref="D17:D30" si="1">D16*(C17/C16)^(($R$9-1)/$R$9)</f>
        <v>1559.9424914800613</v>
      </c>
      <c r="E17" s="37">
        <f t="shared" si="0"/>
        <v>4.4642397741221412E-16</v>
      </c>
      <c r="F17" s="49"/>
    </row>
    <row r="18" spans="2:6" x14ac:dyDescent="0.3">
      <c r="B18" s="42">
        <v>3</v>
      </c>
      <c r="C18" s="42">
        <v>16</v>
      </c>
      <c r="D18" s="37">
        <f t="shared" si="1"/>
        <v>1590.5040099067958</v>
      </c>
      <c r="E18" s="37">
        <f t="shared" si="0"/>
        <v>1.0295413465783244E-15</v>
      </c>
      <c r="F18" s="49"/>
    </row>
    <row r="19" spans="2:6" x14ac:dyDescent="0.3">
      <c r="B19" s="42">
        <v>4</v>
      </c>
      <c r="C19" s="42">
        <v>18</v>
      </c>
      <c r="D19" s="37">
        <f t="shared" si="1"/>
        <v>1617.9577855397729</v>
      </c>
      <c r="E19" s="37">
        <f t="shared" si="0"/>
        <v>2.1229933501859886E-15</v>
      </c>
      <c r="F19" s="49"/>
    </row>
    <row r="20" spans="2:6" x14ac:dyDescent="0.3">
      <c r="B20" s="42">
        <v>5</v>
      </c>
      <c r="C20" s="42">
        <v>20</v>
      </c>
      <c r="D20" s="37">
        <f t="shared" si="1"/>
        <v>1642.9173289403184</v>
      </c>
      <c r="E20" s="37">
        <f t="shared" si="0"/>
        <v>4.0140435355647071E-15</v>
      </c>
      <c r="F20" s="49"/>
    </row>
    <row r="21" spans="2:6" x14ac:dyDescent="0.3">
      <c r="B21" s="42">
        <v>6</v>
      </c>
      <c r="C21" s="42">
        <v>22</v>
      </c>
      <c r="D21" s="37">
        <f t="shared" si="1"/>
        <v>1665.8275189014291</v>
      </c>
      <c r="E21" s="37">
        <f t="shared" si="0"/>
        <v>7.0828045556049828E-15</v>
      </c>
      <c r="F21" s="49"/>
    </row>
    <row r="22" spans="2:6" x14ac:dyDescent="0.3">
      <c r="B22" s="42">
        <v>7</v>
      </c>
      <c r="C22" s="42">
        <v>24</v>
      </c>
      <c r="D22" s="37">
        <f t="shared" si="1"/>
        <v>1687.0217345335454</v>
      </c>
      <c r="E22" s="37">
        <f t="shared" si="0"/>
        <v>1.1813857139978091E-14</v>
      </c>
      <c r="F22" s="49"/>
    </row>
    <row r="23" spans="2:6" x14ac:dyDescent="0.3">
      <c r="B23" s="42">
        <v>8</v>
      </c>
      <c r="C23" s="42">
        <v>26</v>
      </c>
      <c r="D23" s="37">
        <f t="shared" si="1"/>
        <v>1706.7565653984179</v>
      </c>
      <c r="E23" s="37">
        <f t="shared" si="0"/>
        <v>1.8806918635728615E-14</v>
      </c>
      <c r="F23" s="49"/>
    </row>
    <row r="24" spans="2:6" x14ac:dyDescent="0.3">
      <c r="B24" s="42">
        <v>9</v>
      </c>
      <c r="C24" s="42">
        <v>28</v>
      </c>
      <c r="D24" s="37">
        <f t="shared" si="1"/>
        <v>1725.2339233834603</v>
      </c>
      <c r="E24" s="37">
        <f t="shared" si="0"/>
        <v>2.8786554801057722E-14</v>
      </c>
      <c r="F24" s="49"/>
    </row>
    <row r="25" spans="2:6" x14ac:dyDescent="0.3">
      <c r="B25" s="42">
        <v>10</v>
      </c>
      <c r="C25" s="42">
        <v>30</v>
      </c>
      <c r="D25" s="37">
        <f t="shared" si="1"/>
        <v>1742.6156895552463</v>
      </c>
      <c r="E25" s="37">
        <f t="shared" si="0"/>
        <v>4.2610957815674501E-14</v>
      </c>
      <c r="F25" s="49"/>
    </row>
    <row r="26" spans="2:6" x14ac:dyDescent="0.3">
      <c r="B26" s="42">
        <v>11</v>
      </c>
      <c r="C26" s="42">
        <v>32</v>
      </c>
      <c r="D26" s="37">
        <f t="shared" si="1"/>
        <v>1759.0337388432501</v>
      </c>
      <c r="E26" s="37">
        <f t="shared" si="0"/>
        <v>6.1279830913775311E-14</v>
      </c>
      <c r="F26" s="49"/>
    </row>
    <row r="27" spans="2:6" x14ac:dyDescent="0.3">
      <c r="B27" s="42">
        <v>12</v>
      </c>
      <c r="C27" s="42">
        <v>34</v>
      </c>
      <c r="D27" s="37">
        <f t="shared" si="1"/>
        <v>1774.5969948626232</v>
      </c>
      <c r="E27" s="37">
        <f t="shared" si="0"/>
        <v>8.5941429752715916E-14</v>
      </c>
      <c r="F27" s="49"/>
    </row>
    <row r="28" spans="2:6" x14ac:dyDescent="0.3">
      <c r="B28" s="42">
        <v>13</v>
      </c>
      <c r="C28" s="42">
        <v>36</v>
      </c>
      <c r="D28" s="37">
        <f t="shared" si="1"/>
        <v>1789.3965152312642</v>
      </c>
      <c r="E28" s="37">
        <f t="shared" si="0"/>
        <v>1.1789881530392067E-13</v>
      </c>
      <c r="F28" s="49"/>
    </row>
    <row r="29" spans="2:6" x14ac:dyDescent="0.3">
      <c r="B29" s="42">
        <v>14</v>
      </c>
      <c r="C29" s="42">
        <v>38</v>
      </c>
      <c r="D29" s="37">
        <f t="shared" si="1"/>
        <v>1803.5092345862711</v>
      </c>
      <c r="E29" s="37">
        <f t="shared" si="0"/>
        <v>1.5861537447962023E-13</v>
      </c>
      <c r="F29" s="49"/>
    </row>
    <row r="30" spans="2:6" x14ac:dyDescent="0.3">
      <c r="B30" s="42">
        <v>15</v>
      </c>
      <c r="C30" s="42">
        <v>40</v>
      </c>
      <c r="D30" s="37">
        <f t="shared" si="1"/>
        <v>1817.0007706586082</v>
      </c>
      <c r="E30" s="37">
        <f t="shared" si="0"/>
        <v>2.097196640757781E-13</v>
      </c>
      <c r="F30" s="49"/>
    </row>
    <row r="32" spans="2:6" x14ac:dyDescent="0.3">
      <c r="E32" s="121" t="s">
        <v>173</v>
      </c>
      <c r="F32" s="122"/>
    </row>
    <row r="33" spans="5:6" x14ac:dyDescent="0.3">
      <c r="E33" s="52" t="s">
        <v>269</v>
      </c>
      <c r="F33" s="52" t="s">
        <v>108</v>
      </c>
    </row>
    <row r="34" spans="5:6" x14ac:dyDescent="0.3">
      <c r="E34" s="37">
        <f>((((6*10^16/(D15^0.5))*(EXP(-69090/D15))*$J$6*($I$6^0.5)/($R$10*6))*$R$11*10^-6))*10^-3</f>
        <v>7.1990685580532449E-19</v>
      </c>
      <c r="F34" s="37">
        <f>(SUM(E34:E49)/L6)*10^6</f>
        <v>1.3771111386861674</v>
      </c>
    </row>
    <row r="35" spans="5:6" x14ac:dyDescent="0.3">
      <c r="E35" s="37">
        <f t="shared" ref="E35:E49" si="2">((((6*10^16/(D16^0.5))*(EXP(-69090/D16))*$J$6*($I$6^0.5)/($R$10*6))*$R$11*10^-6))</f>
        <v>2.3965434524067597E-15</v>
      </c>
    </row>
    <row r="36" spans="5:6" x14ac:dyDescent="0.3">
      <c r="E36" s="37">
        <f t="shared" si="2"/>
        <v>6.4625839263075041E-15</v>
      </c>
    </row>
    <row r="37" spans="5:6" x14ac:dyDescent="0.3">
      <c r="E37" s="37">
        <f t="shared" si="2"/>
        <v>1.498967963799681E-14</v>
      </c>
    </row>
    <row r="38" spans="5:6" x14ac:dyDescent="0.3">
      <c r="E38" s="37">
        <f t="shared" si="2"/>
        <v>3.1058925594183754E-14</v>
      </c>
    </row>
    <row r="39" spans="5:6" x14ac:dyDescent="0.3">
      <c r="E39" s="37">
        <f t="shared" si="2"/>
        <v>5.8966484553669046E-14</v>
      </c>
    </row>
    <row r="40" spans="5:6" x14ac:dyDescent="0.3">
      <c r="E40" s="37">
        <f t="shared" si="2"/>
        <v>1.044182882939635E-13</v>
      </c>
    </row>
    <row r="41" spans="5:6" x14ac:dyDescent="0.3">
      <c r="E41" s="37">
        <f t="shared" si="2"/>
        <v>1.7471156473620944E-13</v>
      </c>
    </row>
    <row r="42" spans="5:6" x14ac:dyDescent="0.3">
      <c r="E42" s="37">
        <f t="shared" si="2"/>
        <v>2.7890214514899393E-13</v>
      </c>
    </row>
    <row r="43" spans="5:6" x14ac:dyDescent="0.3">
      <c r="E43" s="37">
        <f t="shared" si="2"/>
        <v>4.2795728269340666E-13</v>
      </c>
    </row>
    <row r="44" spans="5:6" x14ac:dyDescent="0.3">
      <c r="E44" s="37">
        <f t="shared" si="2"/>
        <v>6.3489420482672371E-13</v>
      </c>
    </row>
    <row r="45" spans="5:6" x14ac:dyDescent="0.3">
      <c r="E45" s="37">
        <f t="shared" si="2"/>
        <v>9.1490492341993365E-13</v>
      </c>
    </row>
    <row r="46" spans="5:6" x14ac:dyDescent="0.3">
      <c r="E46" s="37">
        <f t="shared" si="2"/>
        <v>1.285468001861654E-12</v>
      </c>
    </row>
    <row r="47" spans="5:6" x14ac:dyDescent="0.3">
      <c r="E47" s="37">
        <f t="shared" si="2"/>
        <v>1.7664480706486389E-12</v>
      </c>
    </row>
    <row r="48" spans="5:6" x14ac:dyDescent="0.3">
      <c r="E48" s="37">
        <f t="shared" si="2"/>
        <v>2.380183920608511E-12</v>
      </c>
    </row>
    <row r="49" spans="5:6" x14ac:dyDescent="0.3">
      <c r="E49" s="37">
        <f t="shared" si="2"/>
        <v>3.1515660051764807E-12</v>
      </c>
    </row>
    <row r="51" spans="5:6" x14ac:dyDescent="0.3">
      <c r="E51" s="121" t="s">
        <v>198</v>
      </c>
      <c r="F51" s="122"/>
    </row>
    <row r="52" spans="5:6" x14ac:dyDescent="0.3">
      <c r="E52" s="52" t="s">
        <v>269</v>
      </c>
      <c r="F52" s="52" t="s">
        <v>108</v>
      </c>
    </row>
    <row r="53" spans="5:6" x14ac:dyDescent="0.3">
      <c r="E53" s="37">
        <f>(((1.476*10^15)*$J$6*($I$6^0.5)*(EXP(-67520/D15))/($R$10*6))*($R$11*10^-5))</f>
        <v>1.9640125286664611E-14</v>
      </c>
      <c r="F53" s="37">
        <f>(SUM(E53:E68)/L6)*10^4</f>
        <v>0.34509134414652903</v>
      </c>
    </row>
    <row r="54" spans="5:6" x14ac:dyDescent="0.3">
      <c r="E54" s="37">
        <f t="shared" ref="E54:E68" si="3">(((1.476*10^15)*$J$6*($I$6^0.5)*(EXP(-67520/D16))/($R$10*6))*($R$11*10^-5))</f>
        <v>6.4447500058419657E-14</v>
      </c>
    </row>
    <row r="55" spans="5:6" x14ac:dyDescent="0.3">
      <c r="E55" s="37">
        <f t="shared" si="3"/>
        <v>1.7178693508986357E-13</v>
      </c>
    </row>
    <row r="56" spans="5:6" x14ac:dyDescent="0.3">
      <c r="E56" s="37">
        <f t="shared" si="3"/>
        <v>3.9463046525873506E-13</v>
      </c>
    </row>
    <row r="57" spans="5:6" x14ac:dyDescent="0.3">
      <c r="E57" s="37">
        <f t="shared" si="3"/>
        <v>8.1101094417150106E-13</v>
      </c>
    </row>
    <row r="58" spans="5:6" x14ac:dyDescent="0.3">
      <c r="E58" s="37">
        <f t="shared" si="3"/>
        <v>1.528859093540601E-12</v>
      </c>
    </row>
    <row r="59" spans="5:6" x14ac:dyDescent="0.3">
      <c r="E59" s="37">
        <f t="shared" si="3"/>
        <v>2.6905321038844012E-12</v>
      </c>
    </row>
    <row r="60" spans="5:6" x14ac:dyDescent="0.3">
      <c r="E60" s="37">
        <f t="shared" si="3"/>
        <v>4.4769924869473437E-12</v>
      </c>
    </row>
    <row r="61" spans="5:6" x14ac:dyDescent="0.3">
      <c r="E61" s="37">
        <f t="shared" si="3"/>
        <v>7.1116226328109824E-12</v>
      </c>
    </row>
    <row r="62" spans="5:6" x14ac:dyDescent="0.3">
      <c r="E62" s="37">
        <f t="shared" si="3"/>
        <v>1.0863677089063716E-11</v>
      </c>
    </row>
    <row r="63" spans="5:6" x14ac:dyDescent="0.3">
      <c r="E63" s="37">
        <f t="shared" si="3"/>
        <v>1.6051384554509173E-11</v>
      </c>
    </row>
    <row r="64" spans="5:6" x14ac:dyDescent="0.3">
      <c r="E64" s="37">
        <f t="shared" si="3"/>
        <v>2.3044717302084774E-11</v>
      </c>
    </row>
    <row r="65" spans="5:5" x14ac:dyDescent="0.3">
      <c r="E65" s="37">
        <f t="shared" si="3"/>
        <v>3.2267848730662355E-11</v>
      </c>
    </row>
    <row r="66" spans="5:5" x14ac:dyDescent="0.3">
      <c r="E66" s="37">
        <f t="shared" si="3"/>
        <v>4.4201320979758884E-11</v>
      </c>
    </row>
    <row r="67" spans="5:5" x14ac:dyDescent="0.3">
      <c r="E67" s="37">
        <f t="shared" si="3"/>
        <v>5.9383944669639381E-11</v>
      </c>
    </row>
    <row r="68" spans="5:5" x14ac:dyDescent="0.3">
      <c r="E68" s="37">
        <f t="shared" si="3"/>
        <v>7.8414452274577165E-11</v>
      </c>
    </row>
  </sheetData>
  <mergeCells count="4">
    <mergeCell ref="C3:D3"/>
    <mergeCell ref="E32:F32"/>
    <mergeCell ref="E13:F13"/>
    <mergeCell ref="E51:F51"/>
  </mergeCells>
  <dataValidations xWindow="1618" yWindow="315" count="3">
    <dataValidation type="list" allowBlank="1" showInputMessage="1" showErrorMessage="1" sqref="C6">
      <formula1>"1, 0.99, 0.98, 0.97, 0.96, 0.95, 0.9, 0.85, 0.8, 0.75, 0.7, 0.65, 0.6"</formula1>
    </dataValidation>
    <dataValidation type="list" allowBlank="1" showInputMessage="1" showErrorMessage="1" sqref="B6">
      <formula1>"0, 0.05, 0.1, 0.15, 0.2, 0.25, 0.3, 0.35, 0.4, 0.45, 0.5"</formula1>
    </dataValidation>
    <dataValidation allowBlank="1" showInputMessage="1" showErrorMessage="1" promptTitle="Change volumetric efficiency" prompt="Part A - Use 40% _x000a_Part B - Compare different volumetric efficiency" sqref="R8"/>
  </dataValidations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xWindow="1618" yWindow="315" count="1">
        <x14:dataValidation type="list" allowBlank="1" showInputMessage="1" showErrorMessage="1">
          <x14:formula1>
            <xm:f>'Fuel Tables'!$C$3:$C$24</xm:f>
          </x14:formula1>
          <xm:sqref>E3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G144"/>
  <sheetViews>
    <sheetView topLeftCell="A97" workbookViewId="0">
      <selection activeCell="K5" sqref="K5"/>
    </sheetView>
  </sheetViews>
  <sheetFormatPr defaultRowHeight="14.4" x14ac:dyDescent="0.3"/>
  <cols>
    <col min="2" max="2" width="13" customWidth="1"/>
    <col min="3" max="3" width="20.5546875" customWidth="1"/>
    <col min="4" max="4" width="19.88671875" customWidth="1"/>
    <col min="5" max="5" width="19.109375" customWidth="1"/>
    <col min="6" max="6" width="19.88671875" customWidth="1"/>
    <col min="7" max="7" width="13.33203125" customWidth="1"/>
  </cols>
  <sheetData>
    <row r="2" spans="2:7" x14ac:dyDescent="0.3">
      <c r="C2" s="58" t="s">
        <v>33</v>
      </c>
      <c r="D2" s="58" t="s">
        <v>34</v>
      </c>
      <c r="E2" s="58" t="s">
        <v>57</v>
      </c>
      <c r="F2" s="58" t="s">
        <v>58</v>
      </c>
    </row>
    <row r="3" spans="2:7" x14ac:dyDescent="0.3">
      <c r="B3" s="28" t="s">
        <v>152</v>
      </c>
      <c r="C3" s="28" t="s">
        <v>151</v>
      </c>
      <c r="D3" s="30" t="s">
        <v>151</v>
      </c>
      <c r="E3" s="30" t="s">
        <v>151</v>
      </c>
      <c r="F3" s="30" t="s">
        <v>151</v>
      </c>
      <c r="G3" s="21" t="s">
        <v>61</v>
      </c>
    </row>
    <row r="4" spans="2:7" x14ac:dyDescent="0.3">
      <c r="B4" s="37">
        <f>C4+D4+E4+F4</f>
        <v>0.38262268522557996</v>
      </c>
      <c r="C4" s="47">
        <f>('CO2'!F7)*'Simulation for each fuel'!$D$6</f>
        <v>-0.10398214325440448</v>
      </c>
      <c r="D4" s="37">
        <f>(H2O!F7*'Simulation for each fuel'!$F$6)</f>
        <v>-3.3599366086302922E-2</v>
      </c>
      <c r="E4" s="37">
        <f>'O2'!F7*'Simulation for each fuel'!$G$6</f>
        <v>8.9656391722913398E-2</v>
      </c>
      <c r="F4" s="37">
        <f>'N2'!F7*'Simulation for each fuel'!$H$6</f>
        <v>0.43054780284337396</v>
      </c>
      <c r="G4" s="47">
        <v>298</v>
      </c>
    </row>
    <row r="5" spans="2:7" x14ac:dyDescent="0.3">
      <c r="B5" s="37">
        <f t="shared" ref="B5:B68" si="0">C5+D5+E5+F5</f>
        <v>4.853266750994095</v>
      </c>
      <c r="C5" s="47">
        <f>('CO2'!F8)*'Simulation for each fuel'!$D$6</f>
        <v>0.32869706490555017</v>
      </c>
      <c r="D5" s="37">
        <f>(H2O!F8*'Simulation for each fuel'!$F$6)</f>
        <v>0.40132280851415358</v>
      </c>
      <c r="E5" s="37">
        <f>'O2'!F8*'Simulation for each fuel'!$G$6</f>
        <v>0.43512544387480645</v>
      </c>
      <c r="F5" s="37">
        <f>'N2'!F8*'Simulation for each fuel'!$H$6</f>
        <v>3.6881214336995853</v>
      </c>
      <c r="G5" s="47">
        <v>300</v>
      </c>
    </row>
    <row r="6" spans="2:7" x14ac:dyDescent="0.3">
      <c r="B6" s="37">
        <f t="shared" si="0"/>
        <v>27.233737707447794</v>
      </c>
      <c r="C6" s="47">
        <f>('CO2'!F9)*'Simulation for each fuel'!$D$6</f>
        <v>2.5057447078151109</v>
      </c>
      <c r="D6" s="37">
        <f>(H2O!F9*'Simulation for each fuel'!$F$6)</f>
        <v>2.5782765852060932</v>
      </c>
      <c r="E6" s="37">
        <f>'O2'!F9*'Simulation for each fuel'!$G$6</f>
        <v>2.1673501701003399</v>
      </c>
      <c r="F6" s="37">
        <f>'N2'!F9*'Simulation for each fuel'!$H$6</f>
        <v>19.982366244326251</v>
      </c>
      <c r="G6" s="47">
        <v>310</v>
      </c>
    </row>
    <row r="7" spans="2:7" x14ac:dyDescent="0.3">
      <c r="B7" s="37">
        <f t="shared" si="0"/>
        <v>49.660357149868169</v>
      </c>
      <c r="C7" s="47">
        <f>('CO2'!F10)*'Simulation for each fuel'!$D$6</f>
        <v>4.7053071617040612</v>
      </c>
      <c r="D7" s="37">
        <f>(H2O!F10*'Simulation for each fuel'!$F$6)</f>
        <v>4.7592573213704359</v>
      </c>
      <c r="E7" s="37">
        <f>'O2'!F10*'Simulation for each fuel'!$G$6</f>
        <v>3.9076298015058537</v>
      </c>
      <c r="F7" s="37">
        <f>'N2'!F10*'Simulation for each fuel'!$H$6</f>
        <v>36.288162865287816</v>
      </c>
      <c r="G7" s="47">
        <v>320</v>
      </c>
    </row>
    <row r="8" spans="2:7" x14ac:dyDescent="0.3">
      <c r="B8" s="37">
        <f t="shared" si="0"/>
        <v>72.134089948222339</v>
      </c>
      <c r="C8" s="47">
        <f>('CO2'!F11)*'Simulation for each fuel'!$D$6</f>
        <v>6.9270626897646315</v>
      </c>
      <c r="D8" s="37">
        <f>(H2O!F11*'Simulation for each fuel'!$F$6)</f>
        <v>6.9444281906589804</v>
      </c>
      <c r="E8" s="37">
        <f>'O2'!F11*'Simulation for each fuel'!$G$6</f>
        <v>5.6558593791012886</v>
      </c>
      <c r="F8" s="37">
        <f>'N2'!F11*'Simulation for each fuel'!$H$6</f>
        <v>52.606739688697445</v>
      </c>
      <c r="G8" s="47">
        <v>330</v>
      </c>
    </row>
    <row r="9" spans="2:7" x14ac:dyDescent="0.3">
      <c r="B9" s="37">
        <f t="shared" si="0"/>
        <v>94.655861983215232</v>
      </c>
      <c r="C9" s="47">
        <f>('CO2'!F12)*'Simulation for each fuel'!$D$6</f>
        <v>9.1706928157152152</v>
      </c>
      <c r="D9" s="37">
        <f>(H2O!F12*'Simulation for each fuel'!$F$6)</f>
        <v>9.133948211744082</v>
      </c>
      <c r="E9" s="37">
        <f>'O2'!F12*'Simulation for each fuel'!$G$6</f>
        <v>7.4119349118623088</v>
      </c>
      <c r="F9" s="37">
        <f>'N2'!F12*'Simulation for each fuel'!$H$6</f>
        <v>68.939286043893617</v>
      </c>
      <c r="G9" s="47">
        <v>340</v>
      </c>
    </row>
    <row r="10" spans="2:7" x14ac:dyDescent="0.3">
      <c r="B10" s="37">
        <f t="shared" si="0"/>
        <v>117.22656080850089</v>
      </c>
      <c r="C10" s="47">
        <f>('CO2'!F13)*'Simulation for each fuel'!$D$6</f>
        <v>11.435882311552273</v>
      </c>
      <c r="D10" s="37">
        <f>(H2O!F13*'Simulation for each fuel'!$F$6)</f>
        <v>11.327972291996396</v>
      </c>
      <c r="E10" s="37">
        <f>'O2'!F13*'Simulation for each fuel'!$G$6</f>
        <v>9.1757533778174487</v>
      </c>
      <c r="F10" s="37">
        <f>'N2'!F13*'Simulation for each fuel'!$H$6</f>
        <v>85.286952827134783</v>
      </c>
      <c r="G10" s="47">
        <v>350</v>
      </c>
    </row>
    <row r="11" spans="2:7" x14ac:dyDescent="0.3">
      <c r="B11" s="37">
        <f t="shared" si="0"/>
        <v>139.84703630836626</v>
      </c>
      <c r="C11" s="47">
        <f>('CO2'!F14)*'Simulation for each fuel'!$D$6</f>
        <v>13.722319185302288</v>
      </c>
      <c r="D11" s="37">
        <f>(H2O!F14*'Simulation for each fuel'!$F$6)</f>
        <v>13.526651270696121</v>
      </c>
      <c r="E11" s="37">
        <f>'O2'!F14*'Simulation for each fuel'!$G$6</f>
        <v>10.947212725135349</v>
      </c>
      <c r="F11" s="37">
        <f>'N2'!F14*'Simulation for each fuel'!$H$6</f>
        <v>101.65085312723249</v>
      </c>
      <c r="G11" s="47">
        <v>360</v>
      </c>
    </row>
    <row r="12" spans="2:7" x14ac:dyDescent="0.3">
      <c r="B12" s="37">
        <f t="shared" si="0"/>
        <v>162.51810135088928</v>
      </c>
      <c r="C12" s="47">
        <f>('CO2'!F15)*'Simulation for each fuel'!$D$6</f>
        <v>16.029694668773733</v>
      </c>
      <c r="D12" s="37">
        <f>(H2O!F15*'Simulation for each fuel'!$F$6)</f>
        <v>15.730131961777692</v>
      </c>
      <c r="E12" s="37">
        <f>'O2'!F15*'Simulation for each fuel'!$G$6</f>
        <v>12.726211873211964</v>
      </c>
      <c r="F12" s="37">
        <f>'N2'!F15*'Simulation for each fuel'!$H$6</f>
        <v>118.03206284712589</v>
      </c>
      <c r="G12" s="47">
        <v>370</v>
      </c>
    </row>
    <row r="13" spans="2:7" x14ac:dyDescent="0.3">
      <c r="B13" s="37">
        <f t="shared" si="0"/>
        <v>185.24053243656726</v>
      </c>
      <c r="C13" s="47">
        <f>('CO2'!F16)*'Simulation for each fuel'!$D$6</f>
        <v>18.357703205308969</v>
      </c>
      <c r="D13" s="37">
        <f>(H2O!F16*'Simulation for each fuel'!$F$6)</f>
        <v>17.938557196107894</v>
      </c>
      <c r="E13" s="37">
        <f>'O2'!F16*'Simulation for each fuel'!$G$6</f>
        <v>14.51265071375771</v>
      </c>
      <c r="F13" s="37">
        <f>'N2'!F16*'Simulation for each fuel'!$H$6</f>
        <v>134.4316213213927</v>
      </c>
      <c r="G13" s="47">
        <v>380</v>
      </c>
    </row>
    <row r="14" spans="2:7" x14ac:dyDescent="0.3">
      <c r="B14" s="37">
        <f t="shared" si="0"/>
        <v>208.01507034242005</v>
      </c>
      <c r="C14" s="47">
        <f>('CO2'!F17)*'Simulation for each fuel'!$D$6</f>
        <v>20.706042437536134</v>
      </c>
      <c r="D14" s="37">
        <f>(H2O!F17*'Simulation for each fuel'!$F$6)</f>
        <v>20.152065863297352</v>
      </c>
      <c r="E14" s="37">
        <f>'O2'!F17*'Simulation for each fuel'!$G$6</f>
        <v>16.306430111884715</v>
      </c>
      <c r="F14" s="37">
        <f>'N2'!F17*'Simulation for each fuel'!$H$6</f>
        <v>150.85053192970184</v>
      </c>
      <c r="G14" s="47">
        <v>390</v>
      </c>
    </row>
    <row r="15" spans="2:7" x14ac:dyDescent="0.3">
      <c r="B15" s="37">
        <f t="shared" si="0"/>
        <v>230.84242076156414</v>
      </c>
      <c r="C15" s="47">
        <f>('CO2'!F18)*'Simulation for each fuel'!$D$6</f>
        <v>23.074413195121213</v>
      </c>
      <c r="D15" s="37">
        <f>(H2O!F18*'Simulation for each fuel'!$F$6)</f>
        <v>22.370792953045608</v>
      </c>
      <c r="E15" s="37">
        <f>'O2'!F18*'Simulation for each fuel'!$G$6</f>
        <v>18.107451907193997</v>
      </c>
      <c r="F15" s="37">
        <f>'N2'!F18*'Simulation for each fuel'!$H$6</f>
        <v>167.28976270620333</v>
      </c>
      <c r="G15" s="47">
        <v>400</v>
      </c>
    </row>
    <row r="16" spans="2:7" x14ac:dyDescent="0.3">
      <c r="B16" s="37">
        <f t="shared" si="0"/>
        <v>253.72325493826071</v>
      </c>
      <c r="C16" s="47">
        <f>('CO2'!F19)*'Simulation for each fuel'!$D$6</f>
        <v>25.462519482519831</v>
      </c>
      <c r="D16" s="37">
        <f>(H2O!F19*'Simulation for each fuel'!$F$6)</f>
        <v>24.594869596019521</v>
      </c>
      <c r="E16" s="37">
        <f>'O2'!F19*'Simulation for each fuel'!$G$6</f>
        <v>19.915618914862719</v>
      </c>
      <c r="F16" s="37">
        <f>'N2'!F19*'Simulation for each fuel'!$H$6</f>
        <v>183.75024694485865</v>
      </c>
      <c r="G16" s="47">
        <v>410</v>
      </c>
    </row>
    <row r="17" spans="2:7" x14ac:dyDescent="0.3">
      <c r="B17" s="37">
        <f t="shared" si="0"/>
        <v>276.65821029843511</v>
      </c>
      <c r="C17" s="47">
        <f>('CO2'!F20)*'Simulation for each fuel'!$D$6</f>
        <v>27.870068466729297</v>
      </c>
      <c r="D17" s="37">
        <f>(H2O!F20*'Simulation for each fuel'!$F$6)</f>
        <v>26.824423104265112</v>
      </c>
      <c r="E17" s="37">
        <f>'O2'!F20*'Simulation for each fuel'!$G$6</f>
        <v>21.730834926731255</v>
      </c>
      <c r="F17" s="37">
        <f>'N2'!F20*'Simulation for each fuel'!$H$6</f>
        <v>200.23288380070946</v>
      </c>
      <c r="G17" s="47">
        <v>420</v>
      </c>
    </row>
    <row r="18" spans="2:7" x14ac:dyDescent="0.3">
      <c r="B18" s="37">
        <f t="shared" si="0"/>
        <v>299.64789107567049</v>
      </c>
      <c r="C18" s="47">
        <f>('CO2'!F21)*'Simulation for each fuel'!$D$6</f>
        <v>30.296770465040481</v>
      </c>
      <c r="D18" s="37">
        <f>(H2O!F21*'Simulation for each fuel'!$F$6)</f>
        <v>29.059577011152879</v>
      </c>
      <c r="E18" s="37">
        <f>'O2'!F21*'Simulation for each fuel'!$G$6</f>
        <v>23.553004712390525</v>
      </c>
      <c r="F18" s="37">
        <f>'N2'!F21*'Simulation for each fuel'!$H$6</f>
        <v>216.73853888708661</v>
      </c>
      <c r="G18" s="47">
        <v>430</v>
      </c>
    </row>
    <row r="19" spans="2:7" x14ac:dyDescent="0.3">
      <c r="B19" s="37">
        <f t="shared" si="0"/>
        <v>322.69286893267235</v>
      </c>
      <c r="C19" s="47">
        <f>('CO2'!F22)*'Simulation for each fuel'!$D$6</f>
        <v>32.74233893278975</v>
      </c>
      <c r="D19" s="37">
        <f>(H2O!F22*'Simulation for each fuel'!$F$6)</f>
        <v>31.300451110856624</v>
      </c>
      <c r="E19" s="37">
        <f>'O2'!F22*'Simulation for each fuel'!$G$6</f>
        <v>25.382034020269153</v>
      </c>
      <c r="F19" s="37">
        <f>'N2'!F22*'Simulation for each fuel'!$H$6</f>
        <v>233.26804486875679</v>
      </c>
      <c r="G19" s="47">
        <v>440</v>
      </c>
    </row>
    <row r="20" spans="2:7" x14ac:dyDescent="0.3">
      <c r="B20" s="37">
        <f t="shared" si="0"/>
        <v>345.79368357820732</v>
      </c>
      <c r="C20" s="47">
        <f>('CO2'!F23)*'Simulation for each fuel'!$D$6</f>
        <v>35.20649045111093</v>
      </c>
      <c r="D20" s="37">
        <f>(H2O!F23*'Simulation for each fuel'!$F$6)</f>
        <v>33.547161497365522</v>
      </c>
      <c r="E20" s="37">
        <f>'O2'!F23*'Simulation for each fuel'!$G$6</f>
        <v>27.217829578720632</v>
      </c>
      <c r="F20" s="37">
        <f>'N2'!F23*'Simulation for each fuel'!$H$6</f>
        <v>249.82220205101024</v>
      </c>
      <c r="G20" s="47">
        <v>450</v>
      </c>
    </row>
    <row r="21" spans="2:7" x14ac:dyDescent="0.3">
      <c r="B21" s="37">
        <f t="shared" si="0"/>
        <v>368.95084337951334</v>
      </c>
      <c r="C21" s="47">
        <f>('CO2'!F24)*'Simulation for each fuel'!$D$6</f>
        <v>37.68894471468726</v>
      </c>
      <c r="D21" s="37">
        <f>(H2O!F24*'Simulation for each fuel'!$F$6)</f>
        <v>35.799820603029865</v>
      </c>
      <c r="E21" s="37">
        <f>'O2'!F24*'Simulation for each fuel'!$G$6</f>
        <v>29.060299097110573</v>
      </c>
      <c r="F21" s="37">
        <f>'N2'!F24*'Simulation for each fuel'!$H$6</f>
        <v>266.40177896468566</v>
      </c>
      <c r="G21" s="47">
        <v>460</v>
      </c>
    </row>
    <row r="22" spans="2:7" x14ac:dyDescent="0.3">
      <c r="B22" s="37">
        <f t="shared" si="0"/>
        <v>392.16482597018324</v>
      </c>
      <c r="C22" s="47">
        <f>('CO2'!F25)*'Simulation for each fuel'!$D$6</f>
        <v>40.189424519503227</v>
      </c>
      <c r="D22" s="37">
        <f>(H2O!F25*'Simulation for each fuel'!$F$6)</f>
        <v>38.058537236640063</v>
      </c>
      <c r="E22" s="37">
        <f>'O2'!F25*'Simulation for each fuel'!$G$6</f>
        <v>30.909351266903869</v>
      </c>
      <c r="F22" s="37">
        <f>'N2'!F25*'Simulation for each fuel'!$H$6</f>
        <v>283.00751294713609</v>
      </c>
      <c r="G22" s="47">
        <v>470</v>
      </c>
    </row>
    <row r="23" spans="2:7" x14ac:dyDescent="0.3">
      <c r="B23" s="37">
        <f t="shared" si="0"/>
        <v>415.43607885352043</v>
      </c>
      <c r="C23" s="47">
        <f>('CO2'!F26)*'Simulation for each fuel'!$D$6</f>
        <v>42.707655750596651</v>
      </c>
      <c r="D23" s="37">
        <f>(H2O!F26*'Simulation for each fuel'!$F$6)</f>
        <v>40.323416621039193</v>
      </c>
      <c r="E23" s="37">
        <f>'O2'!F26*'Simulation for each fuel'!$G$6</f>
        <v>32.764895762751905</v>
      </c>
      <c r="F23" s="37">
        <f>'N2'!F26*'Simulation for each fuel'!$H$6</f>
        <v>299.64011071913268</v>
      </c>
      <c r="G23" s="47">
        <v>480</v>
      </c>
    </row>
    <row r="24" spans="2:7" x14ac:dyDescent="0.3">
      <c r="B24" s="37">
        <f t="shared" si="0"/>
        <v>438.76502000136804</v>
      </c>
      <c r="C24" s="47">
        <f>('CO2'!F27)*'Simulation for each fuel'!$D$6</f>
        <v>45.243367369810478</v>
      </c>
      <c r="D24" s="37">
        <f>(H2O!F27*'Simulation for each fuel'!$F$6)</f>
        <v>42.59456043026897</v>
      </c>
      <c r="E24" s="37">
        <f>'O2'!F27*'Simulation for each fuel'!$G$6</f>
        <v>34.626843243579771</v>
      </c>
      <c r="F24" s="37">
        <f>'N2'!F27*'Simulation for each fuel'!$H$6</f>
        <v>316.30024895770879</v>
      </c>
      <c r="G24" s="47">
        <v>490</v>
      </c>
    </row>
    <row r="25" spans="2:7" x14ac:dyDescent="0.3">
      <c r="B25" s="37">
        <f t="shared" si="0"/>
        <v>462.15203844840926</v>
      </c>
      <c r="C25" s="47">
        <f>('CO2'!F28)*'Simulation for each fuel'!$D$6</f>
        <v>47.796291403544842</v>
      </c>
      <c r="D25" s="37">
        <f>(H2O!F28*'Simulation for each fuel'!$F$6)</f>
        <v>44.872066826249004</v>
      </c>
      <c r="E25" s="37">
        <f>'O2'!F28*'Simulation for each fuel'!$G$6</f>
        <v>36.49510535367348</v>
      </c>
      <c r="F25" s="37">
        <f>'N2'!F28*'Simulation for each fuel'!$H$6</f>
        <v>332.98857486494194</v>
      </c>
      <c r="G25" s="47">
        <v>500</v>
      </c>
    </row>
    <row r="26" spans="2:7" x14ac:dyDescent="0.3">
      <c r="B26" s="37">
        <f t="shared" si="0"/>
        <v>485.59749488194268</v>
      </c>
      <c r="C26" s="47">
        <f>('CO2'!F29)*'Simulation for each fuel'!$D$6</f>
        <v>50.366162930508921</v>
      </c>
      <c r="D26" s="37">
        <f>(H2O!F29*'Simulation for each fuel'!$F$6)</f>
        <v>47.156030494989871</v>
      </c>
      <c r="E26" s="37">
        <f>'O2'!F29*'Simulation for each fuel'!$G$6</f>
        <v>38.369594723767079</v>
      </c>
      <c r="F26" s="37">
        <f>'N2'!F29*'Simulation for each fuel'!$H$6</f>
        <v>349.70570673267679</v>
      </c>
      <c r="G26" s="47">
        <v>510</v>
      </c>
    </row>
    <row r="27" spans="2:7" x14ac:dyDescent="0.3">
      <c r="B27" s="37">
        <f t="shared" si="0"/>
        <v>509.10172222712708</v>
      </c>
      <c r="C27" s="47">
        <f>('CO2'!F30)*'Simulation for each fuel'!$D$6</f>
        <v>52.952720069472846</v>
      </c>
      <c r="D27" s="37">
        <f>(H2O!F30*'Simulation for each fuel'!$F$6)</f>
        <v>49.446542682339143</v>
      </c>
      <c r="E27" s="37">
        <f>'O2'!F30*'Simulation for each fuel'!$G$6</f>
        <v>40.250224972129956</v>
      </c>
      <c r="F27" s="37">
        <f>'N2'!F30*'Simulation for each fuel'!$H$6</f>
        <v>366.45223450318514</v>
      </c>
      <c r="G27" s="47">
        <v>520</v>
      </c>
    </row>
    <row r="28" spans="2:7" x14ac:dyDescent="0.3">
      <c r="B28" s="37">
        <f t="shared" si="0"/>
        <v>532.66502622770201</v>
      </c>
      <c r="C28" s="47">
        <f>('CO2'!F31)*'Simulation for each fuel'!$D$6</f>
        <v>55.555703967019717</v>
      </c>
      <c r="D28" s="37">
        <f>(H2O!F31*'Simulation for each fuel'!$F$6)</f>
        <v>51.743691229261302</v>
      </c>
      <c r="E28" s="37">
        <f>'O2'!F31*'Simulation for each fuel'!$G$6</f>
        <v>42.136910705653982</v>
      </c>
      <c r="F28" s="37">
        <f>'N2'!F31*'Simulation for each fuel'!$H$6</f>
        <v>383.22872032576703</v>
      </c>
      <c r="G28" s="47">
        <v>530</v>
      </c>
    </row>
    <row r="29" spans="2:7" x14ac:dyDescent="0.3">
      <c r="B29" s="37">
        <f t="shared" si="0"/>
        <v>556.28768602217883</v>
      </c>
      <c r="C29" s="47">
        <f>('CO2'!F32)*'Simulation for each fuel'!$D$6</f>
        <v>58.174858785297559</v>
      </c>
      <c r="D29" s="37">
        <f>(H2O!F32*'Simulation for each fuel'!$F$6)</f>
        <v>54.047560606650656</v>
      </c>
      <c r="E29" s="37">
        <f>'O2'!F32*'Simulation for each fuel'!$G$6</f>
        <v>44.029567520940752</v>
      </c>
      <c r="F29" s="37">
        <f>'N2'!F32*'Simulation for each fuel'!$H$6</f>
        <v>400.03569910928979</v>
      </c>
      <c r="G29" s="47">
        <v>540</v>
      </c>
    </row>
    <row r="30" spans="2:7" x14ac:dyDescent="0.3">
      <c r="B30" s="37">
        <f t="shared" si="0"/>
        <v>579.96995471550542</v>
      </c>
      <c r="C30" s="47">
        <f>('CO2'!F33)*'Simulation for each fuel'!$D$6</f>
        <v>60.809931689771119</v>
      </c>
      <c r="D30" s="37">
        <f>(H2O!F33*'Simulation for each fuel'!$F$6)</f>
        <v>56.35823194967822</v>
      </c>
      <c r="E30" s="37">
        <f>'O2'!F33*'Simulation for each fuel'!$G$6</f>
        <v>45.928112005388684</v>
      </c>
      <c r="F30" s="37">
        <f>'N2'!F33*'Simulation for each fuel'!$H$6</f>
        <v>416.87367907066738</v>
      </c>
      <c r="G30" s="47">
        <v>550</v>
      </c>
    </row>
    <row r="31" spans="2:7" x14ac:dyDescent="0.3">
      <c r="B31" s="37">
        <f t="shared" si="0"/>
        <v>603.71205994620277</v>
      </c>
      <c r="C31" s="47">
        <f>('CO2'!F34)*'Simulation for each fuel'!$D$6</f>
        <v>63.460672836973913</v>
      </c>
      <c r="D31" s="37">
        <f>(H2O!F34*'Simulation for each fuel'!$F$6)</f>
        <v>58.675783091671519</v>
      </c>
      <c r="E31" s="37">
        <f>'O2'!F34*'Simulation for each fuel'!$G$6</f>
        <v>47.832461738280372</v>
      </c>
      <c r="F31" s="37">
        <f>'N2'!F34*'Simulation for each fuel'!$H$6</f>
        <v>433.74314227927692</v>
      </c>
      <c r="G31" s="47">
        <v>560</v>
      </c>
    </row>
    <row r="32" spans="2:7" x14ac:dyDescent="0.3">
      <c r="B32" s="37">
        <f t="shared" si="0"/>
        <v>627.51420444897622</v>
      </c>
      <c r="C32" s="47">
        <f>('CO2'!F35)*'Simulation for each fuel'!$D$6</f>
        <v>66.126835362260195</v>
      </c>
      <c r="D32" s="37">
        <f>(H2O!F35*'Simulation for each fuel'!$F$6)</f>
        <v>61.000288597528169</v>
      </c>
      <c r="E32" s="37">
        <f>'O2'!F35*'Simulation for each fuel'!$G$6</f>
        <v>49.742535291869686</v>
      </c>
      <c r="F32" s="37">
        <f>'N2'!F35*'Simulation for each fuel'!$H$6</f>
        <v>450.64454519731822</v>
      </c>
      <c r="G32" s="47">
        <v>570</v>
      </c>
    </row>
    <row r="33" spans="2:7" x14ac:dyDescent="0.3">
      <c r="B33" s="37">
        <f t="shared" si="0"/>
        <v>651.37656661279618</v>
      </c>
      <c r="C33" s="47">
        <f>('CO2'!F36)*'Simulation for each fuel'!$D$6</f>
        <v>68.808175367556743</v>
      </c>
      <c r="D33" s="37">
        <f>(H2O!F36*'Simulation for each fuel'!$F$6)</f>
        <v>63.331819796662757</v>
      </c>
      <c r="E33" s="37">
        <f>'O2'!F36*'Simulation for each fuel'!$G$6</f>
        <v>51.658252232468932</v>
      </c>
      <c r="F33" s="37">
        <f>'N2'!F36*'Simulation for each fuel'!$H$6</f>
        <v>467.57831921610773</v>
      </c>
      <c r="G33" s="47">
        <v>580</v>
      </c>
    </row>
    <row r="34" spans="2:7" x14ac:dyDescent="0.3">
      <c r="B34" s="37">
        <f t="shared" si="0"/>
        <v>675.2993010344527</v>
      </c>
      <c r="C34" s="47">
        <f>('CO2'!F37)*'Simulation for each fuel'!$D$6</f>
        <v>71.504451909114962</v>
      </c>
      <c r="D34" s="37">
        <f>(H2O!F37*'Simulation for each fuel'!$F$6)</f>
        <v>65.670444815487159</v>
      </c>
      <c r="E34" s="37">
        <f>'O2'!F37*'Simulation for each fuel'!$G$6</f>
        <v>53.579533121536194</v>
      </c>
      <c r="F34" s="37">
        <f>'N2'!F37*'Simulation for each fuel'!$H$6</f>
        <v>484.5448711883144</v>
      </c>
      <c r="G34" s="47">
        <v>590</v>
      </c>
    </row>
    <row r="35" spans="2:7" x14ac:dyDescent="0.3">
      <c r="B35" s="37">
        <f t="shared" si="0"/>
        <v>699.28253906758641</v>
      </c>
      <c r="C35" s="47">
        <f>('CO2'!F38)*'Simulation for each fuel'!$D$6</f>
        <v>74.215426985262681</v>
      </c>
      <c r="D35" s="37">
        <f>(H2O!F38*'Simulation for each fuel'!$F$6)</f>
        <v>68.016228609424445</v>
      </c>
      <c r="E35" s="37">
        <f>'O2'!F38*'Simulation for each fuel'!$G$6</f>
        <v>55.506299516762418</v>
      </c>
      <c r="F35" s="37">
        <f>'N2'!F38*'Simulation for each fuel'!$H$6</f>
        <v>501.54458395613688</v>
      </c>
      <c r="G35" s="47">
        <v>600</v>
      </c>
    </row>
    <row r="36" spans="2:7" x14ac:dyDescent="0.3">
      <c r="B36" s="37">
        <f t="shared" si="0"/>
        <v>723.32638936718422</v>
      </c>
      <c r="C36" s="47">
        <f>('CO2'!F39)*'Simulation for each fuel'!$D$6</f>
        <v>76.940865524156237</v>
      </c>
      <c r="D36" s="37">
        <f>(H2O!F39*'Simulation for each fuel'!$F$6)</f>
        <v>70.369232994455956</v>
      </c>
      <c r="E36" s="37">
        <f>'O2'!F39*'Simulation for each fuel'!$G$6</f>
        <v>57.438473973158622</v>
      </c>
      <c r="F36" s="37">
        <f>'N2'!F39*'Simulation for each fuel'!$H$6</f>
        <v>518.57781687541342</v>
      </c>
      <c r="G36" s="47">
        <v>610</v>
      </c>
    </row>
    <row r="37" spans="2:7" x14ac:dyDescent="0.3">
      <c r="B37" s="37">
        <f t="shared" si="0"/>
        <v>747.43093842955648</v>
      </c>
      <c r="C37" s="47">
        <f>('CO2'!F40)*'Simulation for each fuel'!$D$6</f>
        <v>79.680535371532216</v>
      </c>
      <c r="D37" s="37">
        <f>(H2O!F40*'Simulation for each fuel'!$F$6)</f>
        <v>72.729516678202131</v>
      </c>
      <c r="E37" s="37">
        <f>'O2'!F40*'Simulation for each fuel'!$G$6</f>
        <v>59.375980044143176</v>
      </c>
      <c r="F37" s="37">
        <f>'N2'!F40*'Simulation for each fuel'!$H$6</f>
        <v>535.64490633567891</v>
      </c>
      <c r="G37" s="47">
        <v>620</v>
      </c>
    </row>
    <row r="38" spans="2:7" x14ac:dyDescent="0.3">
      <c r="B38" s="37">
        <f t="shared" si="0"/>
        <v>771.59625112777917</v>
      </c>
      <c r="C38" s="47">
        <f>('CO2'!F41)*'Simulation for each fuel'!$D$6</f>
        <v>82.43420727845961</v>
      </c>
      <c r="D38" s="37">
        <f>(H2O!F41*'Simulation for each fuel'!$F$6)</f>
        <v>75.097135290536428</v>
      </c>
      <c r="E38" s="37">
        <f>'O2'!F41*'Simulation for each fuel'!$G$6</f>
        <v>61.318742282628889</v>
      </c>
      <c r="F38" s="37">
        <f>'N2'!F41*'Simulation for each fuel'!$H$6</f>
        <v>552.74616627615421</v>
      </c>
      <c r="G38" s="47">
        <v>630</v>
      </c>
    </row>
    <row r="39" spans="2:7" x14ac:dyDescent="0.3">
      <c r="B39" s="37">
        <f t="shared" si="0"/>
        <v>795.82237124261405</v>
      </c>
      <c r="C39" s="47">
        <f>('CO2'!F42)*'Simulation for each fuel'!$D$6</f>
        <v>85.201654889091543</v>
      </c>
      <c r="D39" s="37">
        <f>(H2O!F42*'Simulation for each fuel'!$F$6)</f>
        <v>77.472141413733183</v>
      </c>
      <c r="E39" s="37">
        <f>'O2'!F42*'Simulation for each fuel'!$G$6</f>
        <v>63.266686242110268</v>
      </c>
      <c r="F39" s="37">
        <f>'N2'!F42*'Simulation for each fuel'!$H$6</f>
        <v>569.88188869767907</v>
      </c>
      <c r="G39" s="47">
        <v>640</v>
      </c>
    </row>
    <row r="40" spans="2:7" x14ac:dyDescent="0.3">
      <c r="B40" s="37">
        <f t="shared" si="0"/>
        <v>820.10932198889964</v>
      </c>
      <c r="C40" s="47">
        <f>('CO2'!F43)*'Simulation for each fuel'!$D$6</f>
        <v>87.982654728417387</v>
      </c>
      <c r="D40" s="37">
        <f>(H2O!F43*'Simulation for each fuel'!$F$6)</f>
        <v>79.854584612148173</v>
      </c>
      <c r="E40" s="37">
        <f>'O2'!F43*'Simulation for each fuel'!$G$6</f>
        <v>65.219738477750795</v>
      </c>
      <c r="F40" s="37">
        <f>'N2'!F43*'Simulation for each fuel'!$H$6</f>
        <v>587.0523441705833</v>
      </c>
      <c r="G40" s="47">
        <v>650</v>
      </c>
    </row>
    <row r="41" spans="2:7" x14ac:dyDescent="0.3">
      <c r="B41" s="37">
        <f t="shared" si="0"/>
        <v>844.45710653741321</v>
      </c>
      <c r="C41" s="47">
        <f>('CO2'!F44)*'Simulation for each fuel'!$D$6</f>
        <v>90.776986190014583</v>
      </c>
      <c r="D41" s="37">
        <f>(H2O!F44*'Simulation for each fuel'!$F$6)</f>
        <v>82.244511461433504</v>
      </c>
      <c r="E41" s="37">
        <f>'O2'!F44*'Simulation for each fuel'!$G$6</f>
        <v>67.177826547469948</v>
      </c>
      <c r="F41" s="37">
        <f>'N2'!F44*'Simulation for each fuel'!$H$6</f>
        <v>604.25778233849519</v>
      </c>
      <c r="G41" s="47">
        <v>660</v>
      </c>
    </row>
    <row r="42" spans="2:7" x14ac:dyDescent="0.3">
      <c r="B42" s="37">
        <f t="shared" si="0"/>
        <v>868.8657085322086</v>
      </c>
      <c r="C42" s="47">
        <f>('CO2'!F45)*'Simulation for each fuel'!$D$6</f>
        <v>93.584431523800589</v>
      </c>
      <c r="D42" s="37">
        <f>(H2O!F45*'Simulation for each fuel'!$F$6)</f>
        <v>84.641965577285148</v>
      </c>
      <c r="E42" s="37">
        <f>'O2'!F45*'Simulation for each fuel'!$G$6</f>
        <v>69.140879013030599</v>
      </c>
      <c r="F42" s="37">
        <f>'N2'!F45*'Simulation for each fuel'!$H$6</f>
        <v>621.49843241809231</v>
      </c>
      <c r="G42" s="47">
        <v>670</v>
      </c>
    </row>
    <row r="43" spans="2:7" x14ac:dyDescent="0.3">
      <c r="B43" s="37">
        <f t="shared" si="0"/>
        <v>893.3350926034235</v>
      </c>
      <c r="C43" s="47">
        <f>('CO2'!F46)*'Simulation for each fuel'!$D$6</f>
        <v>96.404775823784917</v>
      </c>
      <c r="D43" s="37">
        <f>(H2O!F46*'Simulation for each fuel'!$F$6)</f>
        <v>87.046987643724364</v>
      </c>
      <c r="E43" s="37">
        <f>'O2'!F46*'Simulation for each fuel'!$G$6</f>
        <v>71.108825441125987</v>
      </c>
      <c r="F43" s="37">
        <f>'N2'!F46*'Simulation for each fuel'!$H$6</f>
        <v>638.77450369478822</v>
      </c>
      <c r="G43" s="47">
        <v>680</v>
      </c>
    </row>
    <row r="44" spans="2:7" x14ac:dyDescent="0.3">
      <c r="B44" s="37">
        <f t="shared" si="0"/>
        <v>917.8652048755622</v>
      </c>
      <c r="C44" s="47">
        <f>('CO2'!F47)*'Simulation for each fuel'!$D$6</f>
        <v>99.237807015820877</v>
      </c>
      <c r="D44" s="37">
        <f>(H2O!F47*'Simulation for each fuel'!$F$6)</f>
        <v>89.459615440912529</v>
      </c>
      <c r="E44" s="37">
        <f>'O2'!F47*'Simulation for each fuel'!$G$6</f>
        <v>73.081596404467149</v>
      </c>
      <c r="F44" s="37">
        <f>'N2'!F47*'Simulation for each fuel'!$H$6</f>
        <v>656.0861860143616</v>
      </c>
      <c r="G44" s="47">
        <v>690</v>
      </c>
    </row>
    <row r="45" spans="2:7" x14ac:dyDescent="0.3">
      <c r="B45" s="37">
        <f t="shared" si="0"/>
        <v>942.45597347124794</v>
      </c>
      <c r="C45" s="47">
        <f>('CO2'!F48)*'Simulation for each fuel'!$D$6</f>
        <v>102.08331584535776</v>
      </c>
      <c r="D45" s="37">
        <f>(H2O!F48*'Simulation for each fuel'!$F$6)</f>
        <v>91.879883872499164</v>
      </c>
      <c r="E45" s="37">
        <f>'O2'!F48*'Simulation for each fuel'!$G$6</f>
        <v>75.059123482870007</v>
      </c>
      <c r="F45" s="37">
        <f>'N2'!F48*'Simulation for each fuel'!$H$6</f>
        <v>673.43365027052107</v>
      </c>
      <c r="G45" s="47">
        <v>700</v>
      </c>
    </row>
    <row r="46" spans="2:7" x14ac:dyDescent="0.3">
      <c r="B46" s="37">
        <f t="shared" si="0"/>
        <v>967.10730901045201</v>
      </c>
      <c r="C46" s="47">
        <f>('CO2'!F49)*'Simulation for each fuel'!$D$6</f>
        <v>104.94109586519251</v>
      </c>
      <c r="D46" s="37">
        <f>(H2O!F49*'Simulation for each fuel'!$F$6)</f>
        <v>94.307824992503754</v>
      </c>
      <c r="E46" s="37">
        <f>'O2'!F49*'Simulation for each fuel'!$G$6</f>
        <v>77.041339264342554</v>
      </c>
      <c r="F46" s="37">
        <f>'N2'!F49*'Simulation for each fuel'!$H$6</f>
        <v>690.81704888841318</v>
      </c>
      <c r="G46" s="47">
        <v>710</v>
      </c>
    </row>
    <row r="47" spans="2:7" x14ac:dyDescent="0.3">
      <c r="B47" s="37">
        <f t="shared" si="0"/>
        <v>991.81910510519083</v>
      </c>
      <c r="C47" s="47">
        <f>('CO2'!F50)*'Simulation for each fuel'!$D$6</f>
        <v>107.81094342322184</v>
      </c>
      <c r="D47" s="37">
        <f>(H2O!F50*'Simulation for each fuel'!$F$6)</f>
        <v>96.743468031730671</v>
      </c>
      <c r="E47" s="37">
        <f>'O2'!F50*'Simulation for each fuel'!$G$6</f>
        <v>79.028177346172072</v>
      </c>
      <c r="F47" s="37">
        <f>'N2'!F50*'Simulation for each fuel'!$H$6</f>
        <v>708.2365163040663</v>
      </c>
      <c r="G47" s="47">
        <v>720</v>
      </c>
    </row>
    <row r="48" spans="2:7" x14ac:dyDescent="0.3">
      <c r="B48" s="37">
        <f t="shared" si="0"/>
        <v>1016.5912388496985</v>
      </c>
      <c r="C48" s="47">
        <f>('CO2'!F51)*'Simulation for each fuel'!$D$6</f>
        <v>110.69265765019416</v>
      </c>
      <c r="D48" s="37">
        <f>(H2O!F51*'Simulation for each fuel'!$F$6)</f>
        <v>99.186839423717757</v>
      </c>
      <c r="E48" s="37">
        <f>'O2'!F51*'Simulation for each fuel'!$G$6</f>
        <v>81.019572336012388</v>
      </c>
      <c r="F48" s="37">
        <f>'N2'!F51*'Simulation for each fuel'!$H$6</f>
        <v>725.69216943977415</v>
      </c>
      <c r="G48" s="47">
        <v>730</v>
      </c>
    </row>
    <row r="49" spans="2:7" x14ac:dyDescent="0.3">
      <c r="B49" s="37">
        <f t="shared" si="0"/>
        <v>1041.423571306073</v>
      </c>
      <c r="C49" s="47">
        <f>('CO2'!F52)*'Simulation for each fuel'!$D$6</f>
        <v>113.58604044746141</v>
      </c>
      <c r="D49" s="37">
        <f>(H2O!F52*'Simulation for each fuel'!$F$6)</f>
        <v>101.6379628302183</v>
      </c>
      <c r="E49" s="37">
        <f>'O2'!F52*'Simulation for each fuel'!$G$6</f>
        <v>83.015459852970977</v>
      </c>
      <c r="F49" s="37">
        <f>'N2'!F52*'Simulation for each fuel'!$H$6</f>
        <v>743.18410817542235</v>
      </c>
      <c r="G49" s="47">
        <v>740</v>
      </c>
    </row>
    <row r="50" spans="2:7" x14ac:dyDescent="0.3">
      <c r="B50" s="37">
        <f t="shared" si="0"/>
        <v>1066.3159479853909</v>
      </c>
      <c r="C50" s="47">
        <f>('CO2'!F53)*'Simulation for each fuel'!$D$6</f>
        <v>116.49089647473117</v>
      </c>
      <c r="D50" s="37">
        <f>(H2O!F53*'Simulation for each fuel'!$F$6)</f>
        <v>104.09685916621629</v>
      </c>
      <c r="E50" s="37">
        <f>'O2'!F53*'Simulation for each fuel'!$G$6</f>
        <v>85.015776528696165</v>
      </c>
      <c r="F50" s="37">
        <f>'N2'!F53*'Simulation for each fuel'!$H$6</f>
        <v>760.71241581574736</v>
      </c>
      <c r="G50" s="47">
        <v>750</v>
      </c>
    </row>
    <row r="51" spans="2:7" x14ac:dyDescent="0.3">
      <c r="B51" s="37">
        <f t="shared" si="0"/>
        <v>1091.2681993242988</v>
      </c>
      <c r="C51" s="47">
        <f>('CO2'!F54)*'Simulation for each fuel'!$D$6</f>
        <v>119.40703313781832</v>
      </c>
      <c r="D51" s="37">
        <f>(H2O!F54*'Simulation for each fuel'!$F$6)</f>
        <v>106.56354662447542</v>
      </c>
      <c r="E51" s="37">
        <f>'O2'!F54*'Simulation for each fuel'!$G$6</f>
        <v>87.020460008464539</v>
      </c>
      <c r="F51" s="37">
        <f>'N2'!F54*'Simulation for each fuel'!$H$6</f>
        <v>778.27715955354063</v>
      </c>
      <c r="G51" s="47">
        <v>760</v>
      </c>
    </row>
    <row r="52" spans="2:7" x14ac:dyDescent="0.3">
      <c r="B52" s="37">
        <f t="shared" si="0"/>
        <v>1116.2801411570763</v>
      </c>
      <c r="C52" s="47">
        <f>('CO2'!F55)*'Simulation for each fuel'!$D$6</f>
        <v>122.3342605763972</v>
      </c>
      <c r="D52" s="37">
        <f>(H2O!F55*'Simulation for each fuel'!$F$6)</f>
        <v>109.03804069962131</v>
      </c>
      <c r="E52" s="37">
        <f>'O2'!F55*'Simulation for each fuel'!$G$6</f>
        <v>89.029448952267813</v>
      </c>
      <c r="F52" s="37">
        <f>'N2'!F55*'Simulation for each fuel'!$H$6</f>
        <v>795.87839092878983</v>
      </c>
      <c r="G52" s="47">
        <v>770</v>
      </c>
    </row>
    <row r="53" spans="2:7" x14ac:dyDescent="0.3">
      <c r="B53" s="37">
        <f t="shared" si="0"/>
        <v>1141.3515751831687</v>
      </c>
      <c r="C53" s="47">
        <f>('CO2'!F56)*'Simulation for each fuel'!$D$6</f>
        <v>125.27239165175358</v>
      </c>
      <c r="D53" s="37">
        <f>(H2O!F56*'Simulation for each fuel'!$F$6)</f>
        <v>111.52035421175709</v>
      </c>
      <c r="E53" s="37">
        <f>'O2'!F56*'Simulation for each fuel'!$G$6</f>
        <v>91.042683035900239</v>
      </c>
      <c r="F53" s="37">
        <f>'N2'!F56*'Simulation for each fuel'!$H$6</f>
        <v>813.51614628375796</v>
      </c>
      <c r="G53" s="47">
        <v>780</v>
      </c>
    </row>
    <row r="54" spans="2:7" x14ac:dyDescent="0.3">
      <c r="B54" s="37">
        <f t="shared" si="0"/>
        <v>1166.4822894301988</v>
      </c>
      <c r="C54" s="47">
        <f>('CO2'!F57)*'Simulation for each fuel'!$D$6</f>
        <v>128.22124193453638</v>
      </c>
      <c r="D54" s="37">
        <f>(H2O!F57*'Simulation for each fuel'!$F$6)</f>
        <v>114.01049732961276</v>
      </c>
      <c r="E54" s="37">
        <f>'O2'!F57*'Simulation for each fuel'!$G$6</f>
        <v>93.060102952045852</v>
      </c>
      <c r="F54" s="37">
        <f>'N2'!F57*'Simulation for each fuel'!$H$6</f>
        <v>831.19044721400383</v>
      </c>
      <c r="G54" s="47">
        <v>790</v>
      </c>
    </row>
    <row r="55" spans="2:7" x14ac:dyDescent="0.3">
      <c r="B55" s="37">
        <f t="shared" si="0"/>
        <v>1191.6720587124432</v>
      </c>
      <c r="C55" s="47">
        <f>('CO2'!F58)*'Simulation for each fuel'!$D$6</f>
        <v>131.18062969250983</v>
      </c>
      <c r="D55" s="37">
        <f>(H2O!F58*'Simulation for each fuel'!$F$6)</f>
        <v>116.50847759322764</v>
      </c>
      <c r="E55" s="37">
        <f>'O2'!F58*'Simulation for each fuel'!$G$6</f>
        <v>95.081650411365445</v>
      </c>
      <c r="F55" s="37">
        <f>'N2'!F58*'Simulation for each fuel'!$H$6</f>
        <v>848.90130101534021</v>
      </c>
      <c r="G55" s="47">
        <v>800</v>
      </c>
    </row>
    <row r="56" spans="2:7" x14ac:dyDescent="0.3">
      <c r="B56" s="37">
        <f t="shared" si="0"/>
        <v>1216.9206450847882</v>
      </c>
      <c r="C56" s="47">
        <f>('CO2'!F59)*'Simulation for each fuel'!$D$6</f>
        <v>134.15037587830517</v>
      </c>
      <c r="D56" s="37">
        <f>(H2O!F59*'Simulation for each fuel'!$F$6)</f>
        <v>119.01429993616648</v>
      </c>
      <c r="E56" s="37">
        <f>'O2'!F59*'Simulation for each fuel'!$G$6</f>
        <v>97.107268143584051</v>
      </c>
      <c r="F56" s="37">
        <f>'N2'!F59*'Simulation for each fuel'!$H$6</f>
        <v>866.64870112673259</v>
      </c>
      <c r="G56" s="47">
        <v>810</v>
      </c>
    </row>
    <row r="57" spans="2:7" x14ac:dyDescent="0.3">
      <c r="B57" s="37">
        <f t="shared" si="0"/>
        <v>1242.2277982921544</v>
      </c>
      <c r="C57" s="47">
        <f>('CO2'!F60)*'Simulation for each fuel'!$D$6</f>
        <v>137.13030411717284</v>
      </c>
      <c r="D57" s="37">
        <f>(H2O!F60*'Simulation for each fuel'!$F$6)</f>
        <v>121.52796670726876</v>
      </c>
      <c r="E57" s="37">
        <f>'O2'!F60*'Simulation for each fuel'!$G$6</f>
        <v>99.136899898577894</v>
      </c>
      <c r="F57" s="37">
        <f>'N2'!F60*'Simulation for each fuel'!$H$6</f>
        <v>884.43262756913487</v>
      </c>
      <c r="G57" s="47">
        <v>820</v>
      </c>
    </row>
    <row r="58" spans="2:7" x14ac:dyDescent="0.3">
      <c r="B58" s="37">
        <f t="shared" si="0"/>
        <v>1267.5932562143948</v>
      </c>
      <c r="C58" s="47">
        <f>('CO2'!F61)*'Simulation for each fuel'!$D$6</f>
        <v>140.12024069473426</v>
      </c>
      <c r="D58" s="37">
        <f>(H2O!F61*'Simulation for each fuel'!$F$6)</f>
        <v>124.04947769193194</v>
      </c>
      <c r="E58" s="37">
        <f>'O2'!F61*'Simulation for each fuel'!$G$6</f>
        <v>101.1704904474617</v>
      </c>
      <c r="F58" s="37">
        <f>'N2'!F61*'Simulation for each fuel'!$H$6</f>
        <v>902.25304738026693</v>
      </c>
      <c r="G58" s="47">
        <v>830</v>
      </c>
    </row>
    <row r="59" spans="2:7" x14ac:dyDescent="0.3">
      <c r="B59" s="37">
        <f t="shared" si="0"/>
        <v>1293.0167453066672</v>
      </c>
      <c r="C59" s="47">
        <f>('CO2'!F62)*'Simulation for each fuel'!$D$6</f>
        <v>143.12001454473378</v>
      </c>
      <c r="D59" s="37">
        <f>(H2O!F62*'Simulation for each fuel'!$F$6)</f>
        <v>126.57883013292739</v>
      </c>
      <c r="E59" s="37">
        <f>'O2'!F62*'Simulation for each fuel'!$G$6</f>
        <v>103.20798558367598</v>
      </c>
      <c r="F59" s="37">
        <f>'N2'!F62*'Simulation for each fuel'!$H$6</f>
        <v>920.10991504533013</v>
      </c>
      <c r="G59" s="47">
        <v>840</v>
      </c>
    </row>
    <row r="60" spans="2:7" x14ac:dyDescent="0.3">
      <c r="B60" s="37">
        <f t="shared" si="0"/>
        <v>1318.4979810352761</v>
      </c>
      <c r="C60" s="47">
        <f>('CO2'!F63)*'Simulation for each fuel'!$D$6</f>
        <v>146.1294572367907</v>
      </c>
      <c r="D60" s="37">
        <f>(H2O!F63*'Simulation for each fuel'!$F$6)</f>
        <v>129.11601875075061</v>
      </c>
      <c r="E60" s="37">
        <f>'O2'!F63*'Simulation for each fuel'!$G$6</f>
        <v>105.24933212407402</v>
      </c>
      <c r="F60" s="37">
        <f>'N2'!F63*'Simulation for each fuel'!$H$6</f>
        <v>938.00317292366083</v>
      </c>
      <c r="G60" s="47">
        <v>850</v>
      </c>
    </row>
    <row r="61" spans="2:7" x14ac:dyDescent="0.3">
      <c r="B61" s="37">
        <f t="shared" si="0"/>
        <v>1344.0366683089903</v>
      </c>
      <c r="C61" s="47">
        <f>('CO2'!F64)*'Simulation for each fuel'!$D$6</f>
        <v>149.14840296415099</v>
      </c>
      <c r="D61" s="37">
        <f>(H2O!F64*'Simulation for each fuel'!$F$6)</f>
        <v>131.66103576350406</v>
      </c>
      <c r="E61" s="37">
        <f>'O2'!F64*'Simulation for each fuel'!$G$6</f>
        <v>107.29447791000928</v>
      </c>
      <c r="F61" s="37">
        <f>'N2'!F64*'Simulation for each fuel'!$H$6</f>
        <v>955.93275167132606</v>
      </c>
      <c r="G61" s="47">
        <v>860</v>
      </c>
    </row>
    <row r="62" spans="2:7" x14ac:dyDescent="0.3">
      <c r="B62" s="37">
        <f t="shared" si="0"/>
        <v>1369.6325019058308</v>
      </c>
      <c r="C62" s="47">
        <f>('CO2'!F65)*'Simulation for each fuel'!$D$6</f>
        <v>152.17668853143962</v>
      </c>
      <c r="D62" s="37">
        <f>(H2O!F65*'Simulation for each fuel'!$F$6)</f>
        <v>134.21387090631413</v>
      </c>
      <c r="E62" s="37">
        <f>'O2'!F65*'Simulation for each fuel'!$G$6</f>
        <v>109.34337180842252</v>
      </c>
      <c r="F62" s="37">
        <f>'N2'!F65*'Simulation for each fuel'!$H$6</f>
        <v>973.89857065965452</v>
      </c>
      <c r="G62" s="47">
        <v>870</v>
      </c>
    </row>
    <row r="63" spans="2:7" x14ac:dyDescent="0.3">
      <c r="B63" s="37">
        <f t="shared" si="0"/>
        <v>1395.2851668953333</v>
      </c>
      <c r="C63" s="47">
        <f>('CO2'!F66)*'Simulation for each fuel'!$D$6</f>
        <v>155.214153342412</v>
      </c>
      <c r="D63" s="37">
        <f>(H2O!F66*'Simulation for each fuel'!$F$6)</f>
        <v>136.77451145028115</v>
      </c>
      <c r="E63" s="37">
        <f>'O2'!F66*'Simulation for each fuel'!$G$6</f>
        <v>111.39596371292893</v>
      </c>
      <c r="F63" s="37">
        <f>'N2'!F66*'Simulation for each fuel'!$H$6</f>
        <v>991.90053838971119</v>
      </c>
      <c r="G63" s="47">
        <v>880</v>
      </c>
    </row>
    <row r="64" spans="2:7" x14ac:dyDescent="0.3">
      <c r="B64" s="37">
        <f t="shared" si="0"/>
        <v>1420.9943390562823</v>
      </c>
      <c r="C64" s="47">
        <f>('CO2'!F67)*'Simulation for each fuel'!$D$6</f>
        <v>158.26063938770642</v>
      </c>
      <c r="D64" s="37">
        <f>(H2O!F67*'Simulation for each fuel'!$F$6)</f>
        <v>139.34294222096287</v>
      </c>
      <c r="E64" s="37">
        <f>'O2'!F67*'Simulation for each fuel'!$G$6</f>
        <v>113.45220454490548</v>
      </c>
      <c r="F64" s="37">
        <f>'N2'!F67*'Simulation for each fuel'!$H$6</f>
        <v>1009.9385529027076</v>
      </c>
      <c r="G64" s="47">
        <v>890</v>
      </c>
    </row>
    <row r="65" spans="2:7" x14ac:dyDescent="0.3">
      <c r="B65" s="37">
        <f t="shared" si="0"/>
        <v>1446.7596852899169</v>
      </c>
      <c r="C65" s="47">
        <f>('CO2'!F68)*'Simulation for each fuel'!$D$6</f>
        <v>161.31599123259551</v>
      </c>
      <c r="D65" s="37">
        <f>(H2O!F68*'Simulation for each fuel'!$F$6)</f>
        <v>141.9191456163916</v>
      </c>
      <c r="E65" s="37">
        <f>'O2'!F68*'Simulation for each fuel'!$G$6</f>
        <v>115.512046254578</v>
      </c>
      <c r="F65" s="37">
        <f>'N2'!F68*'Simulation for each fuel'!$H$6</f>
        <v>1028.0125021863516</v>
      </c>
      <c r="G65" s="47">
        <v>900</v>
      </c>
    </row>
    <row r="66" spans="2:7" x14ac:dyDescent="0.3">
      <c r="B66" s="37">
        <f t="shared" si="0"/>
        <v>1472.5808640286114</v>
      </c>
      <c r="C66" s="47">
        <f>('CO2'!F69)*'Simulation for each fuel'!$D$6</f>
        <v>164.38005600473855</v>
      </c>
      <c r="D66" s="37">
        <f>(H2O!F69*'Simulation for each fuel'!$F$6)</f>
        <v>144.50310162462449</v>
      </c>
      <c r="E66" s="37">
        <f>'O2'!F69*'Simulation for each fuel'!$G$6</f>
        <v>117.57544182210836</v>
      </c>
      <c r="F66" s="37">
        <f>'N2'!F69*'Simulation for each fuel'!$H$6</f>
        <v>1046.12226457714</v>
      </c>
      <c r="G66" s="47">
        <v>910</v>
      </c>
    </row>
    <row r="67" spans="2:7" x14ac:dyDescent="0.3">
      <c r="B67" s="37">
        <f t="shared" si="0"/>
        <v>1498.4575256400271</v>
      </c>
      <c r="C67" s="47">
        <f>('CO2'!F70)*'Simulation for each fuel'!$D$6</f>
        <v>167.45268338193321</v>
      </c>
      <c r="D67" s="37">
        <f>(H2O!F70*'Simulation for each fuel'!$F$6)</f>
        <v>147.09478784082756</v>
      </c>
      <c r="E67" s="37">
        <f>'O2'!F70*'Simulation for each fuel'!$G$6</f>
        <v>119.64234525868181</v>
      </c>
      <c r="F67" s="37">
        <f>'N2'!F70*'Simulation for each fuel'!$H$6</f>
        <v>1064.2677091585845</v>
      </c>
      <c r="G67" s="47">
        <v>920</v>
      </c>
    </row>
    <row r="68" spans="2:7" x14ac:dyDescent="0.3">
      <c r="B68" s="37">
        <f t="shared" si="0"/>
        <v>1524.3893128267373</v>
      </c>
      <c r="C68" s="47">
        <f>('CO2'!F71)*'Simulation for each fuel'!$D$6</f>
        <v>170.53372557986754</v>
      </c>
      <c r="D68" s="37">
        <f>(H2O!F71*'Simulation for each fuel'!$F$6)</f>
        <v>149.69417948389278</v>
      </c>
      <c r="E68" s="37">
        <f>'O2'!F71*'Simulation for each fuel'!$G$6</f>
        <v>121.71271160759406</v>
      </c>
      <c r="F68" s="37">
        <f>'N2'!F71*'Simulation for each fuel'!$H$6</f>
        <v>1082.448696155383</v>
      </c>
      <c r="G68" s="47">
        <v>930</v>
      </c>
    </row>
    <row r="69" spans="2:7" x14ac:dyDescent="0.3">
      <c r="B69" s="37">
        <f t="shared" ref="B69:B132" si="1">C69+D69+E69+F69</f>
        <v>1550.375861021324</v>
      </c>
      <c r="C69" s="47">
        <f>('CO2'!F72)*'Simulation for each fuel'!$D$6</f>
        <v>173.62303733987193</v>
      </c>
      <c r="D69" s="37">
        <f>(H2O!F72*'Simulation for each fuel'!$F$6)</f>
        <v>152.30124941258907</v>
      </c>
      <c r="E69" s="37">
        <f>'O2'!F72*'Simulation for each fuel'!$G$6</f>
        <v>123.78649694533856</v>
      </c>
      <c r="F69" s="37">
        <f>'N2'!F72*'Simulation for each fuel'!$H$6</f>
        <v>1100.6650773235244</v>
      </c>
      <c r="G69" s="47">
        <v>940</v>
      </c>
    </row>
    <row r="70" spans="2:7" x14ac:dyDescent="0.3">
      <c r="B70" s="37">
        <f t="shared" si="1"/>
        <v>1576.4167987769483</v>
      </c>
      <c r="C70" s="47">
        <f>('CO2'!F73)*'Simulation for each fuel'!$D$6</f>
        <v>176.72047591667089</v>
      </c>
      <c r="D70" s="37">
        <f>(H2O!F73*'Simulation for each fuel'!$F$6)</f>
        <v>154.91596814124642</v>
      </c>
      <c r="E70" s="37">
        <f>'O2'!F73*'Simulation for each fuel'!$G$6</f>
        <v>125.86365838269353</v>
      </c>
      <c r="F70" s="37">
        <f>'N2'!F73*'Simulation for each fuel'!$H$6</f>
        <v>1118.9166963363375</v>
      </c>
      <c r="G70" s="47">
        <v>950</v>
      </c>
    </row>
    <row r="71" spans="2:7" x14ac:dyDescent="0.3">
      <c r="B71" s="37">
        <f t="shared" si="1"/>
        <v>1602.5117481533939</v>
      </c>
      <c r="C71" s="47">
        <f>('CO2'!F74)*'Simulation for each fuel'!$D$6</f>
        <v>179.82590106613534</v>
      </c>
      <c r="D71" s="37">
        <f>(H2O!F74*'Simulation for each fuel'!$F$6)</f>
        <v>157.53830385497338</v>
      </c>
      <c r="E71" s="37">
        <f>'O2'!F74*'Simulation for each fuel'!$G$6</f>
        <v>127.94415406580941</v>
      </c>
      <c r="F71" s="37">
        <f>'N2'!F74*'Simulation for each fuel'!$H$6</f>
        <v>1137.2033891664757</v>
      </c>
      <c r="G71" s="47">
        <v>960</v>
      </c>
    </row>
    <row r="72" spans="2:7" x14ac:dyDescent="0.3">
      <c r="B72" s="37">
        <f t="shared" si="1"/>
        <v>1628.6603250985809</v>
      </c>
      <c r="C72" s="47">
        <f>('CO2'!F75)*'Simulation for each fuel'!$D$6</f>
        <v>182.93917503303416</v>
      </c>
      <c r="D72" s="37">
        <f>(H2O!F75*'Simulation for each fuel'!$F$6)</f>
        <v>160.16822242440841</v>
      </c>
      <c r="E72" s="37">
        <f>'O2'!F75*'Simulation for each fuel'!$G$6</f>
        <v>130.02794317729595</v>
      </c>
      <c r="F72" s="37">
        <f>'N2'!F75*'Simulation for each fuel'!$H$6</f>
        <v>1155.5249844638422</v>
      </c>
      <c r="G72" s="47">
        <v>970</v>
      </c>
    </row>
    <row r="73" spans="2:7" x14ac:dyDescent="0.3">
      <c r="B73" s="37">
        <f t="shared" si="1"/>
        <v>1654.862139825555</v>
      </c>
      <c r="C73" s="47">
        <f>('CO2'!F76)*'Simulation for each fuel'!$D$6</f>
        <v>186.0601625387863</v>
      </c>
      <c r="D73" s="37">
        <f>(H2O!F76*'Simulation for each fuel'!$F$6)</f>
        <v>162.80568742000398</v>
      </c>
      <c r="E73" s="37">
        <f>'O2'!F76*'Simulation for each fuel'!$G$6</f>
        <v>132.11498593730926</v>
      </c>
      <c r="F73" s="37">
        <f>'N2'!F76*'Simulation for each fuel'!$H$6</f>
        <v>1173.8813039294555</v>
      </c>
      <c r="G73" s="47">
        <v>980</v>
      </c>
    </row>
    <row r="74" spans="2:7" x14ac:dyDescent="0.3">
      <c r="B74" s="37">
        <f t="shared" si="1"/>
        <v>1681.1167971849477</v>
      </c>
      <c r="C74" s="47">
        <f>('CO2'!F77)*'Simulation for each fuel'!$D$6</f>
        <v>189.18873076921267</v>
      </c>
      <c r="D74" s="37">
        <f>(H2O!F77*'Simulation for each fuel'!$F$6)</f>
        <v>165.45066012584499</v>
      </c>
      <c r="E74" s="37">
        <f>'O2'!F77*'Simulation for each fuel'!$G$6</f>
        <v>134.20524360463926</v>
      </c>
      <c r="F74" s="37">
        <f>'N2'!F77*'Simulation for each fuel'!$H$6</f>
        <v>1192.2721626852508</v>
      </c>
      <c r="G74" s="47">
        <v>990</v>
      </c>
    </row>
    <row r="75" spans="2:7" x14ac:dyDescent="0.3">
      <c r="B75" s="37">
        <f t="shared" si="1"/>
        <v>1707.4238970329097</v>
      </c>
      <c r="C75" s="47">
        <f>('CO2'!F78)*'Simulation for each fuel'!$D$6</f>
        <v>192.32474936228823</v>
      </c>
      <c r="D75" s="37">
        <f>(H2O!F78*'Simulation for each fuel'!$F$6)</f>
        <v>168.10309955299991</v>
      </c>
      <c r="E75" s="37">
        <f>'O2'!F78*'Simulation for each fuel'!$G$6</f>
        <v>136.29867847779678</v>
      </c>
      <c r="F75" s="37">
        <f>'N2'!F78*'Simulation for each fuel'!$H$6</f>
        <v>1210.6973696398247</v>
      </c>
      <c r="G75" s="47">
        <v>1000</v>
      </c>
    </row>
    <row r="76" spans="2:7" x14ac:dyDescent="0.3">
      <c r="B76" s="37">
        <f t="shared" si="1"/>
        <v>1760.1938008226452</v>
      </c>
      <c r="C76" s="47">
        <f>('CO2'!F79)*'Simulation for each fuel'!$D$6</f>
        <v>198.61862837556768</v>
      </c>
      <c r="D76" s="37">
        <f>(H2O!F79*'Simulation for each fuel'!$F$6)</f>
        <v>173.43020332728528</v>
      </c>
      <c r="E76" s="37">
        <f>'O2'!F79*'Simulation for each fuel'!$G$6</f>
        <v>140.49493424076505</v>
      </c>
      <c r="F76" s="37">
        <f>'N2'!F79*'Simulation for each fuel'!$H$6</f>
        <v>1247.6500348790273</v>
      </c>
      <c r="G76" s="47">
        <v>1020</v>
      </c>
    </row>
    <row r="77" spans="2:7" x14ac:dyDescent="0.3">
      <c r="B77" s="37">
        <f t="shared" si="1"/>
        <v>1813.168563850586</v>
      </c>
      <c r="C77" s="47">
        <f>('CO2'!F80)*'Simulation for each fuel'!$D$6</f>
        <v>204.94080526007596</v>
      </c>
      <c r="D77" s="37">
        <f>(H2O!F80*'Simulation for each fuel'!$F$6)</f>
        <v>178.78662584903901</v>
      </c>
      <c r="E77" s="37">
        <f>'O2'!F80*'Simulation for each fuel'!$G$6</f>
        <v>144.70347245003182</v>
      </c>
      <c r="F77" s="37">
        <f>'N2'!F80*'Simulation for each fuel'!$H$6</f>
        <v>1284.7376602914392</v>
      </c>
      <c r="G77" s="47">
        <v>1040</v>
      </c>
    </row>
    <row r="78" spans="2:7" x14ac:dyDescent="0.3">
      <c r="B78" s="37">
        <f t="shared" si="1"/>
        <v>1866.3448416479919</v>
      </c>
      <c r="C78" s="47">
        <f>('CO2'!F81)*'Simulation for each fuel'!$D$6</f>
        <v>211.29032414785087</v>
      </c>
      <c r="D78" s="37">
        <f>(H2O!F81*'Simulation for each fuel'!$F$6)</f>
        <v>184.17195863228469</v>
      </c>
      <c r="E78" s="37">
        <f>'O2'!F81*'Simulation for each fuel'!$G$6</f>
        <v>148.92402903453012</v>
      </c>
      <c r="F78" s="37">
        <f>'N2'!F81*'Simulation for each fuel'!$H$6</f>
        <v>1321.9585298333263</v>
      </c>
      <c r="G78" s="47">
        <v>1060</v>
      </c>
    </row>
    <row r="79" spans="2:7" x14ac:dyDescent="0.3">
      <c r="B79" s="37">
        <f t="shared" si="1"/>
        <v>1919.7192435986069</v>
      </c>
      <c r="C79" s="47">
        <f>('CO2'!F82)*'Simulation for each fuel'!$D$6</f>
        <v>217.66626722957918</v>
      </c>
      <c r="D79" s="37">
        <f>(H2O!F82*'Simulation for each fuel'!$F$6)</f>
        <v>189.58575794402026</v>
      </c>
      <c r="E79" s="37">
        <f>'O2'!F82*'Simulation for each fuel'!$G$6</f>
        <v>153.15635666309839</v>
      </c>
      <c r="F79" s="37">
        <f>'N2'!F82*'Simulation for each fuel'!$H$6</f>
        <v>1359.3108617619091</v>
      </c>
      <c r="G79" s="47">
        <v>1080</v>
      </c>
    </row>
    <row r="80" spans="2:7" x14ac:dyDescent="0.3">
      <c r="B80" s="37">
        <f t="shared" si="1"/>
        <v>1973.2883436259585</v>
      </c>
      <c r="C80" s="47">
        <f>('CO2'!F83)*'Simulation for each fuel'!$D$6</f>
        <v>224.06775436265821</v>
      </c>
      <c r="D80" s="37">
        <f>(H2O!F83*'Simulation for each fuel'!$F$6)</f>
        <v>195.02754511948862</v>
      </c>
      <c r="E80" s="37">
        <f>'O2'!F83*'Simulation for each fuel'!$G$6</f>
        <v>157.40022477927104</v>
      </c>
      <c r="F80" s="37">
        <f>'N2'!F83*'Simulation for each fuel'!$H$6</f>
        <v>1396.7928193645407</v>
      </c>
      <c r="G80" s="47">
        <v>1100</v>
      </c>
    </row>
    <row r="81" spans="2:7" x14ac:dyDescent="0.3">
      <c r="B81" s="37">
        <f t="shared" si="1"/>
        <v>2027.0486905909008</v>
      </c>
      <c r="C81" s="47">
        <f>('CO2'!F84)*'Simulation for each fuel'!$D$6</f>
        <v>230.49394267925788</v>
      </c>
      <c r="D81" s="37">
        <f>(H2O!F84*'Simulation for each fuel'!$F$6)</f>
        <v>200.49680684758752</v>
      </c>
      <c r="E81" s="37">
        <f>'O2'!F84*'Simulation for each fuel'!$G$6</f>
        <v>161.65541963606876</v>
      </c>
      <c r="F81" s="37">
        <f>'N2'!F84*'Simulation for each fuel'!$H$6</f>
        <v>1434.4025214279866</v>
      </c>
      <c r="G81" s="47">
        <v>1120</v>
      </c>
    </row>
    <row r="82" spans="2:7" x14ac:dyDescent="0.3">
      <c r="B82" s="37">
        <f t="shared" si="1"/>
        <v>2080.9968183994133</v>
      </c>
      <c r="C82" s="47">
        <f>('CO2'!F85)*'Simulation for each fuel'!$D$6</f>
        <v>236.94402619438276</v>
      </c>
      <c r="D82" s="37">
        <f>(H2O!F85*'Simulation for each fuel'!$F$6)</f>
        <v>205.99299542642024</v>
      </c>
      <c r="E82" s="37">
        <f>'O2'!F85*'Simulation for each fuel'!$G$6</f>
        <v>165.9217443307891</v>
      </c>
      <c r="F82" s="37">
        <f>'N2'!F85*'Simulation for each fuel'!$H$6</f>
        <v>1472.1380524478213</v>
      </c>
      <c r="G82" s="47">
        <v>1140</v>
      </c>
    </row>
    <row r="83" spans="2:7" x14ac:dyDescent="0.3">
      <c r="B83" s="37">
        <f t="shared" si="1"/>
        <v>2135.1292558206433</v>
      </c>
      <c r="C83" s="47">
        <f>('CO2'!F86)*'Simulation for each fuel'!$D$6</f>
        <v>243.41723541393375</v>
      </c>
      <c r="D83" s="37">
        <f>(H2O!F86*'Simulation for each fuel'!$F$6)</f>
        <v>211.51552898898626</v>
      </c>
      <c r="E83" s="37">
        <f>'O2'!F86*'Simulation for each fuel'!$G$6</f>
        <v>170.19901883979668</v>
      </c>
      <c r="F83" s="37">
        <f>'N2'!F86*'Simulation for each fuel'!$H$6</f>
        <v>1509.9974725779268</v>
      </c>
      <c r="G83" s="47">
        <v>1160</v>
      </c>
    </row>
    <row r="84" spans="2:7" x14ac:dyDescent="0.3">
      <c r="B84" s="37">
        <f t="shared" si="1"/>
        <v>2189.4425360151995</v>
      </c>
      <c r="C84" s="47">
        <f>('CO2'!F87)*'Simulation for each fuel'!$D$6</f>
        <v>249.91283694277035</v>
      </c>
      <c r="D84" s="37">
        <f>(H2O!F87*'Simulation for each fuel'!$F$6)</f>
        <v>217.06379169901183</v>
      </c>
      <c r="E84" s="37">
        <f>'O2'!F87*'Simulation for each fuel'!$G$6</f>
        <v>174.48708005331358</v>
      </c>
      <c r="F84" s="37">
        <f>'N2'!F87*'Simulation for each fuel'!$H$6</f>
        <v>1547.9788273201038</v>
      </c>
      <c r="G84" s="47">
        <v>1180</v>
      </c>
    </row>
    <row r="85" spans="2:7" x14ac:dyDescent="0.3">
      <c r="B85" s="37">
        <f t="shared" si="1"/>
        <v>2243.9332057736965</v>
      </c>
      <c r="C85" s="47">
        <f>('CO2'!F88)*'Simulation for each fuel'!$D$6</f>
        <v>256.43013309277239</v>
      </c>
      <c r="D85" s="37">
        <f>(H2O!F88*'Simulation for each fuel'!$F$6)</f>
        <v>222.63713391692107</v>
      </c>
      <c r="E85" s="37">
        <f>'O2'!F88*'Simulation for each fuel'!$G$6</f>
        <v>178.78578181020995</v>
      </c>
      <c r="F85" s="37">
        <f>'N2'!F88*'Simulation for each fuel'!$H$6</f>
        <v>1586.0801569537932</v>
      </c>
      <c r="G85" s="47">
        <v>1200</v>
      </c>
    </row>
    <row r="86" spans="2:7" x14ac:dyDescent="0.3">
      <c r="B86" s="37">
        <f t="shared" si="1"/>
        <v>2298.5978344655418</v>
      </c>
      <c r="C86" s="47">
        <f>('CO2'!F89)*'Simulation for each fuel'!$D$6</f>
        <v>262.9684614909022</v>
      </c>
      <c r="D86" s="37">
        <f>(H2O!F89*'Simulation for each fuel'!$F$6)</f>
        <v>228.23487233594696</v>
      </c>
      <c r="E86" s="37">
        <f>'O2'!F89*'Simulation for each fuel'!$G$6</f>
        <v>183.09499493279421</v>
      </c>
      <c r="F86" s="37">
        <f>'N2'!F89*'Simulation for each fuel'!$H$6</f>
        <v>1624.2995057058984</v>
      </c>
      <c r="G86" s="47">
        <v>1220</v>
      </c>
    </row>
    <row r="87" spans="2:7" x14ac:dyDescent="0.3">
      <c r="B87" s="37">
        <f t="shared" si="1"/>
        <v>2353.433022697981</v>
      </c>
      <c r="C87" s="47">
        <f>('CO2'!F90)*'Simulation for each fuel'!$D$6</f>
        <v>269.52719468726622</v>
      </c>
      <c r="D87" s="37">
        <f>(H2O!F90*'Simulation for each fuel'!$F$6)</f>
        <v>233.85629008838293</v>
      </c>
      <c r="E87" s="37">
        <f>'O2'!F90*'Simulation for each fuel'!$G$6</f>
        <v>187.41460726160352</v>
      </c>
      <c r="F87" s="37">
        <f>'N2'!F90*'Simulation for each fuel'!$H$6</f>
        <v>1662.6349306607281</v>
      </c>
      <c r="G87" s="47">
        <v>1240</v>
      </c>
    </row>
    <row r="88" spans="2:7" x14ac:dyDescent="0.3">
      <c r="B88" s="37">
        <f t="shared" si="1"/>
        <v>2408.4354106853821</v>
      </c>
      <c r="C88" s="47">
        <f>('CO2'!F91)*'Simulation for each fuel'!$D$6</f>
        <v>276.10573976317721</v>
      </c>
      <c r="D88" s="37">
        <f>(H2O!F91*'Simulation for each fuel'!$F$6)</f>
        <v>239.50063682197381</v>
      </c>
      <c r="E88" s="37">
        <f>'O2'!F91*'Simulation for each fuel'!$G$6</f>
        <v>191.74452369019411</v>
      </c>
      <c r="F88" s="37">
        <f>'N2'!F91*'Simulation for each fuel'!$H$6</f>
        <v>1701.084510410037</v>
      </c>
      <c r="G88" s="47">
        <v>1260</v>
      </c>
    </row>
    <row r="89" spans="2:7" x14ac:dyDescent="0.3">
      <c r="B89" s="37">
        <f t="shared" si="1"/>
        <v>2463.6016863287787</v>
      </c>
      <c r="C89" s="47">
        <f>('CO2'!F92)*'Simulation for each fuel'!$D$6</f>
        <v>282.70353793921629</v>
      </c>
      <c r="D89" s="37">
        <f>(H2O!F92*'Simulation for each fuel'!$F$6)</f>
        <v>245.16712874644773</v>
      </c>
      <c r="E89" s="37">
        <f>'O2'!F92*'Simulation for each fuel'!$G$6</f>
        <v>196.08466619993197</v>
      </c>
      <c r="F89" s="37">
        <f>'N2'!F92*'Simulation for each fuel'!$H$6</f>
        <v>1739.6463534431825</v>
      </c>
      <c r="G89" s="47">
        <v>1280</v>
      </c>
    </row>
    <row r="90" spans="2:7" x14ac:dyDescent="0.3">
      <c r="B90" s="37">
        <f t="shared" si="1"/>
        <v>2518.9285930056521</v>
      </c>
      <c r="C90" s="47">
        <f>('CO2'!F93)*'Simulation for each fuel'!$D$6</f>
        <v>289.32006418329473</v>
      </c>
      <c r="D90" s="37">
        <f>(H2O!F93*'Simulation for each fuel'!$F$6)</f>
        <v>250.85494865018759</v>
      </c>
      <c r="E90" s="37">
        <f>'O2'!F93*'Simulation for each fuel'!$G$6</f>
        <v>200.43497389478273</v>
      </c>
      <c r="F90" s="37">
        <f>'N2'!F93*'Simulation for each fuel'!$H$6</f>
        <v>1778.3186062773873</v>
      </c>
      <c r="G90" s="47">
        <v>1300</v>
      </c>
    </row>
    <row r="91" spans="2:7" x14ac:dyDescent="0.3">
      <c r="B91" s="37">
        <f t="shared" si="1"/>
        <v>2574.412937069972</v>
      </c>
      <c r="C91" s="47">
        <f>('CO2'!F94)*'Simulation for each fuel'!$D$6</f>
        <v>295.95482681871567</v>
      </c>
      <c r="D91" s="37">
        <f>(H2O!F94*'Simulation for each fuel'!$F$6)</f>
        <v>256.56324588704354</v>
      </c>
      <c r="E91" s="37">
        <f>'O2'!F94*'Simulation for each fuel'!$G$6</f>
        <v>204.7954030361025</v>
      </c>
      <c r="F91" s="37">
        <f>'N2'!F94*'Simulation for each fuel'!$H$6</f>
        <v>1817.0994613281105</v>
      </c>
      <c r="G91" s="47">
        <v>1320</v>
      </c>
    </row>
    <row r="92" spans="2:7" x14ac:dyDescent="0.3">
      <c r="B92" s="37">
        <f t="shared" si="1"/>
        <v>2630.0515950624795</v>
      </c>
      <c r="C92" s="47">
        <f>('CO2'!F95)*'Simulation for each fuel'!$D$6</f>
        <v>302.60736713223662</v>
      </c>
      <c r="D92" s="37">
        <f>(H2O!F95*'Simulation for each fuel'!$F$6)</f>
        <v>262.29113633328444</v>
      </c>
      <c r="E92" s="37">
        <f>'O2'!F95*'Simulation for each fuel'!$G$6</f>
        <v>209.16592707742825</v>
      </c>
      <c r="F92" s="37">
        <f>'N2'!F95*'Simulation for each fuel'!$H$6</f>
        <v>1855.9871645195303</v>
      </c>
      <c r="G92" s="47">
        <v>1340</v>
      </c>
    </row>
    <row r="93" spans="2:7" x14ac:dyDescent="0.3">
      <c r="B93" s="37">
        <f t="shared" si="1"/>
        <v>2685.8415206312184</v>
      </c>
      <c r="C93" s="47">
        <f>('CO2'!F96)*'Simulation for each fuel'!$D$6</f>
        <v>309.27725898213106</v>
      </c>
      <c r="D93" s="37">
        <f>(H2O!F96*'Simulation for each fuel'!$F$6)</f>
        <v>268.03770231469002</v>
      </c>
      <c r="E93" s="37">
        <f>'O2'!F96*'Simulation for each fuel'!$G$6</f>
        <v>213.54653669926782</v>
      </c>
      <c r="F93" s="37">
        <f>'N2'!F96*'Simulation for each fuel'!$H$6</f>
        <v>1894.9800226351297</v>
      </c>
      <c r="G93" s="47">
        <v>1360</v>
      </c>
    </row>
    <row r="94" spans="2:7" x14ac:dyDescent="0.3">
      <c r="B94" s="37">
        <f t="shared" si="1"/>
        <v>2741.7797511623244</v>
      </c>
      <c r="C94" s="47">
        <f>('CO2'!F97)*'Simulation for each fuel'!$D$6</f>
        <v>315.96410840625026</v>
      </c>
      <c r="D94" s="37">
        <f>(H2O!F97*'Simulation for each fuel'!$F$6)</f>
        <v>273.80199250378411</v>
      </c>
      <c r="E94" s="37">
        <f>'O2'!F97*'Simulation for each fuel'!$G$6</f>
        <v>217.93723984389081</v>
      </c>
      <c r="F94" s="37">
        <f>'N2'!F97*'Simulation for each fuel'!$H$6</f>
        <v>1934.0764104083992</v>
      </c>
      <c r="G94" s="47">
        <v>1380</v>
      </c>
    </row>
    <row r="95" spans="2:7" x14ac:dyDescent="0.3">
      <c r="B95" s="37">
        <f t="shared" si="1"/>
        <v>2797.8634141210505</v>
      </c>
      <c r="C95" s="47">
        <f>('CO2'!F98)*'Simulation for each fuel'!$D$6</f>
        <v>322.66755323008567</v>
      </c>
      <c r="D95" s="37">
        <f>(H2O!F98*'Simulation for each fuel'!$F$6)</f>
        <v>279.58302178720606</v>
      </c>
      <c r="E95" s="37">
        <f>'O2'!F98*'Simulation for each fuel'!$G$6</f>
        <v>222.33806175011858</v>
      </c>
      <c r="F95" s="37">
        <f>'N2'!F98*'Simulation for each fuel'!$H$6</f>
        <v>1973.2747773536403</v>
      </c>
      <c r="G95" s="47">
        <v>1400</v>
      </c>
    </row>
    <row r="96" spans="2:7" x14ac:dyDescent="0.3">
      <c r="B96" s="37">
        <f t="shared" si="1"/>
        <v>2854.0897331030524</v>
      </c>
      <c r="C96" s="47">
        <f>('CO2'!F99)*'Simulation for each fuel'!$D$6</f>
        <v>329.38726267483042</v>
      </c>
      <c r="D96" s="37">
        <f>(H2O!F99*'Simulation for each fuel'!$F$6)</f>
        <v>285.37977110322441</v>
      </c>
      <c r="E96" s="37">
        <f>'O2'!F99*'Simulation for each fuel'!$G$6</f>
        <v>226.74904498811497</v>
      </c>
      <c r="F96" s="37">
        <f>'N2'!F99*'Simulation for each fuel'!$H$6</f>
        <v>2012.5736543368826</v>
      </c>
      <c r="G96" s="47">
        <v>1420</v>
      </c>
    </row>
    <row r="97" spans="2:7" x14ac:dyDescent="0.3">
      <c r="B97" s="37">
        <f t="shared" si="1"/>
        <v>2910.4560335959168</v>
      </c>
      <c r="C97" s="47">
        <f>('CO2'!F100)*'Simulation for each fuel'!$D$6</f>
        <v>336.12293696544157</v>
      </c>
      <c r="D97" s="37">
        <f>(H2O!F100*'Simulation for each fuel'!$F$6)</f>
        <v>291.19118724938915</v>
      </c>
      <c r="E97" s="37">
        <f>'O2'!F100*'Simulation for each fuel'!$G$6</f>
        <v>231.17024949417652</v>
      </c>
      <c r="F97" s="37">
        <f>'N2'!F100*'Simulation for each fuel'!$H$6</f>
        <v>2051.9716598869095</v>
      </c>
      <c r="G97" s="47">
        <v>1440</v>
      </c>
    </row>
    <row r="98" spans="2:7" x14ac:dyDescent="0.3">
      <c r="B98" s="37">
        <f t="shared" si="1"/>
        <v>2966.9597484509395</v>
      </c>
      <c r="C98" s="47">
        <f>('CO2'!F101)*'Simulation for each fuel'!$D$6</f>
        <v>342.87430693870198</v>
      </c>
      <c r="D98" s="37">
        <f>(H2O!F101*'Simulation for each fuel'!$F$6)</f>
        <v>297.016182660325</v>
      </c>
      <c r="E98" s="37">
        <f>'O2'!F101*'Simulation for each fuel'!$G$6</f>
        <v>235.60175260552285</v>
      </c>
      <c r="F98" s="37">
        <f>'N2'!F101*'Simulation for each fuel'!$H$6</f>
        <v>2091.4675062463898</v>
      </c>
      <c r="G98" s="47">
        <v>1460</v>
      </c>
    </row>
    <row r="99" spans="2:7" x14ac:dyDescent="0.3">
      <c r="B99" s="37">
        <f t="shared" si="1"/>
        <v>3023.5984230651557</v>
      </c>
      <c r="C99" s="47">
        <f>('CO2'!F102)*'Simulation for each fuel'!$D$6</f>
        <v>349.64113365128213</v>
      </c>
      <c r="D99" s="37">
        <f>(H2O!F102*'Simulation for each fuel'!$F$6)</f>
        <v>302.85363515566439</v>
      </c>
      <c r="E99" s="37">
        <f>'O2'!F102*'Simulation for each fuel'!$G$6</f>
        <v>240.0436490950872</v>
      </c>
      <c r="F99" s="37">
        <f>'N2'!F102*'Simulation for each fuel'!$H$6</f>
        <v>2131.0600051631218</v>
      </c>
      <c r="G99" s="47">
        <v>1480</v>
      </c>
    </row>
    <row r="100" spans="2:7" x14ac:dyDescent="0.3">
      <c r="B100" s="37">
        <f t="shared" si="1"/>
        <v>3080.3697202736121</v>
      </c>
      <c r="C100" s="47">
        <f>('CO2'!F103)*'Simulation for each fuel'!$D$6</f>
        <v>356.42320798780264</v>
      </c>
      <c r="D100" s="37">
        <f>(H2O!F103*'Simulation for each fuel'!$F$6)</f>
        <v>308.70238765812121</v>
      </c>
      <c r="E100" s="37">
        <f>'O2'!F103*'Simulation for each fuel'!$G$6</f>
        <v>244.49605120630665</v>
      </c>
      <c r="F100" s="37">
        <f>'N2'!F103*'Simulation for each fuel'!$H$6</f>
        <v>2170.7480734213818</v>
      </c>
      <c r="G100" s="47">
        <v>1500</v>
      </c>
    </row>
    <row r="101" spans="2:7" x14ac:dyDescent="0.3">
      <c r="B101" s="37">
        <f t="shared" si="1"/>
        <v>3137.2714249518976</v>
      </c>
      <c r="C101" s="47">
        <f>('CO2'!F104)*'Simulation for each fuel'!$D$6</f>
        <v>363.22035026889512</v>
      </c>
      <c r="D101" s="37">
        <f>(H2O!F104*'Simulation for each fuel'!$F$6)</f>
        <v>314.56124788170382</v>
      </c>
      <c r="E101" s="37">
        <f>'O2'!F104*'Simulation for each fuel'!$G$6</f>
        <v>248.9590886879127</v>
      </c>
      <c r="F101" s="37">
        <f>'N2'!F104*'Simulation for each fuel'!$H$6</f>
        <v>2210.5307381133862</v>
      </c>
      <c r="G101" s="47">
        <v>1520</v>
      </c>
    </row>
    <row r="102" spans="2:7" x14ac:dyDescent="0.3">
      <c r="B102" s="37">
        <f t="shared" si="1"/>
        <v>3194.3014483289162</v>
      </c>
      <c r="C102" s="47">
        <f>('CO2'!F105)*'Simulation for each fuel'!$D$6</f>
        <v>370.03240985926504</v>
      </c>
      <c r="D102" s="37">
        <f>(H2O!F105*'Simulation for each fuel'!$F$6)</f>
        <v>320.428987990069</v>
      </c>
      <c r="E102" s="37">
        <f>'O2'!F105*'Simulation for each fuel'!$G$6</f>
        <v>253.43290882872157</v>
      </c>
      <c r="F102" s="37">
        <f>'N2'!F105*'Simulation for each fuel'!$H$6</f>
        <v>2250.4071416508605</v>
      </c>
      <c r="G102" s="47">
        <v>1540</v>
      </c>
    </row>
    <row r="103" spans="2:7" x14ac:dyDescent="0.3">
      <c r="B103" s="37">
        <f t="shared" si="1"/>
        <v>3251.4578320099072</v>
      </c>
      <c r="C103" s="47">
        <f>('CO2'!F106)*'Simulation for each fuel'!$D$6</f>
        <v>376.85926477575356</v>
      </c>
      <c r="D103" s="37">
        <f>(H2O!F106*'Simulation for each fuel'!$F$6)</f>
        <v>326.30434422501588</v>
      </c>
      <c r="E103" s="37">
        <f>'O2'!F106*'Simulation for each fuel'!$G$6</f>
        <v>257.9176764924245</v>
      </c>
      <c r="F103" s="37">
        <f>'N2'!F106*'Simulation for each fuel'!$H$6</f>
        <v>2290.3765465167135</v>
      </c>
      <c r="G103" s="47">
        <v>1560</v>
      </c>
    </row>
    <row r="104" spans="2:7" x14ac:dyDescent="0.3">
      <c r="B104" s="37">
        <f t="shared" si="1"/>
        <v>3308.7387517097259</v>
      </c>
      <c r="C104" s="47">
        <f>('CO2'!F107)*'Simulation for each fuel'!$D$6</f>
        <v>383.70082129539924</v>
      </c>
      <c r="D104" s="37">
        <f>(H2O!F107*'Simulation for each fuel'!$F$6)</f>
        <v>332.18601650511943</v>
      </c>
      <c r="E104" s="37">
        <f>'O2'!F107*'Simulation for each fuel'!$G$6</f>
        <v>262.41357415237849</v>
      </c>
      <c r="F104" s="37">
        <f>'N2'!F107*'Simulation for each fuel'!$H$6</f>
        <v>2330.4383397568286</v>
      </c>
      <c r="G104" s="47">
        <v>1580</v>
      </c>
    </row>
    <row r="105" spans="2:7" x14ac:dyDescent="0.3">
      <c r="B105" s="37">
        <f t="shared" si="1"/>
        <v>3366.142520696354</v>
      </c>
      <c r="C105" s="47">
        <f>('CO2'!F108)*'Simulation for each fuel'!$D$6</f>
        <v>390.55701356349988</v>
      </c>
      <c r="D105" s="37">
        <f>(H2O!F108*'Simulation for each fuel'!$F$6)</f>
        <v>338.07266799450514</v>
      </c>
      <c r="E105" s="37">
        <f>'O2'!F108*'Simulation for each fuel'!$G$6</f>
        <v>266.92080192639622</v>
      </c>
      <c r="F105" s="37">
        <f>'N2'!F108*'Simulation for each fuel'!$H$6</f>
        <v>2370.5920372119526</v>
      </c>
      <c r="G105" s="47">
        <v>1600</v>
      </c>
    </row>
    <row r="106" spans="2:7" x14ac:dyDescent="0.3">
      <c r="B106" s="37">
        <f t="shared" si="1"/>
        <v>3423.667592944681</v>
      </c>
      <c r="C106" s="47">
        <f>('CO2'!F109)*'Simulation for each fuel'!$D$6</f>
        <v>397.42780320167526</v>
      </c>
      <c r="D106" s="37">
        <f>(H2O!F109*'Simulation for each fuel'!$F$6)</f>
        <v>343.96292464176338</v>
      </c>
      <c r="E106" s="37">
        <f>'O2'!F109*'Simulation for each fuel'!$G$6</f>
        <v>271.43957761153695</v>
      </c>
      <c r="F106" s="37">
        <f>'N2'!F109*'Simulation for each fuel'!$H$6</f>
        <v>2410.8372874897054</v>
      </c>
      <c r="G106" s="47">
        <v>1620</v>
      </c>
    </row>
    <row r="107" spans="2:7" x14ac:dyDescent="0.3">
      <c r="B107" s="37">
        <f t="shared" si="1"/>
        <v>3481.3125660005167</v>
      </c>
      <c r="C107" s="47">
        <f>('CO2'!F110)*'Simulation for each fuel'!$D$6</f>
        <v>404.31317891592789</v>
      </c>
      <c r="D107" s="37">
        <f>(H2O!F110*'Simulation for each fuel'!$F$6)</f>
        <v>349.85537468900293</v>
      </c>
      <c r="E107" s="37">
        <f>'O2'!F110*'Simulation for each fuel'!$G$6</f>
        <v>275.97013671889647</v>
      </c>
      <c r="F107" s="37">
        <f>'N2'!F110*'Simulation for each fuel'!$H$6</f>
        <v>2451.1738756766895</v>
      </c>
      <c r="G107" s="47">
        <v>1640</v>
      </c>
    </row>
    <row r="108" spans="2:7" x14ac:dyDescent="0.3">
      <c r="B108" s="37">
        <f t="shared" si="1"/>
        <v>3539.076183554861</v>
      </c>
      <c r="C108" s="47">
        <f>('CO2'!F111)*'Simulation for each fuel'!$D$6</f>
        <v>411.21315610470589</v>
      </c>
      <c r="D108" s="37">
        <f>(H2O!F111*'Simulation for each fuel'!$F$6)</f>
        <v>355.74856815104704</v>
      </c>
      <c r="E108" s="37">
        <f>'O2'!F111*'Simulation for each fuel'!$G$6</f>
        <v>280.5127325083979</v>
      </c>
      <c r="F108" s="37">
        <f>'N2'!F111*'Simulation for each fuel'!$H$6</f>
        <v>2491.6017267907105</v>
      </c>
      <c r="G108" s="47">
        <v>1660</v>
      </c>
    </row>
    <row r="109" spans="2:7" x14ac:dyDescent="0.3">
      <c r="B109" s="37">
        <f t="shared" si="1"/>
        <v>3596.9573377284241</v>
      </c>
      <c r="C109" s="47">
        <f>('CO2'!F112)*'Simulation for each fuel'!$D$6</f>
        <v>418.12777646696463</v>
      </c>
      <c r="D109" s="37">
        <f>(H2O!F112*'Simulation for each fuel'!$F$6)</f>
        <v>361.64101626476679</v>
      </c>
      <c r="E109" s="37">
        <f>'O2'!F112*'Simulation for each fuel'!$G$6</f>
        <v>285.06763602358177</v>
      </c>
      <c r="F109" s="37">
        <f>'N2'!F112*'Simulation for each fuel'!$H$6</f>
        <v>2532.120908973111</v>
      </c>
      <c r="G109" s="47">
        <v>1680</v>
      </c>
    </row>
    <row r="110" spans="2:7" x14ac:dyDescent="0.3">
      <c r="B110" s="37">
        <f t="shared" si="1"/>
        <v>3654.9550710663893</v>
      </c>
      <c r="C110" s="47">
        <f>('CO2'!F113)*'Simulation for each fuel'!$D$6</f>
        <v>425.05710761022846</v>
      </c>
      <c r="D110" s="37">
        <f>(H2O!F113*'Simulation for each fuel'!$F$6)</f>
        <v>367.53119090855733</v>
      </c>
      <c r="E110" s="37">
        <f>'O2'!F113*'Simulation for each fuel'!$G$6</f>
        <v>289.63513612639645</v>
      </c>
      <c r="F110" s="37">
        <f>'N2'!F113*'Simulation for each fuel'!$H$6</f>
        <v>2572.731636421207</v>
      </c>
      <c r="G110" s="47">
        <v>1700</v>
      </c>
    </row>
    <row r="111" spans="2:7" x14ac:dyDescent="0.3">
      <c r="B111" s="37">
        <f t="shared" si="1"/>
        <v>3713.0685782434293</v>
      </c>
      <c r="C111" s="47">
        <f>('CO2'!F114)*'Simulation for each fuel'!$D$6</f>
        <v>432.00124265865344</v>
      </c>
      <c r="D111" s="37">
        <f>(H2O!F114*'Simulation for each fuel'!$F$6)</f>
        <v>373.41752399195167</v>
      </c>
      <c r="E111" s="37">
        <f>'O2'!F114*'Simulation for each fuel'!$G$6</f>
        <v>294.2155395319889</v>
      </c>
      <c r="F111" s="37">
        <f>'N2'!F114*'Simulation for each fuel'!$H$6</f>
        <v>2613.4342720608356</v>
      </c>
      <c r="G111" s="47">
        <v>1720</v>
      </c>
    </row>
    <row r="112" spans="2:7" x14ac:dyDescent="0.3">
      <c r="B112" s="37">
        <f t="shared" si="1"/>
        <v>3771.2972074789732</v>
      </c>
      <c r="C112" s="47">
        <f>('CO2'!F115)*'Simulation for each fuel'!$D$6</f>
        <v>438.96029986108806</v>
      </c>
      <c r="D112" s="37">
        <f>(H2O!F115*'Simulation for each fuel'!$F$6)</f>
        <v>379.29840681537712</v>
      </c>
      <c r="E112" s="37">
        <f>'O2'!F115*'Simulation for each fuel'!$G$6</f>
        <v>298.8091708434946</v>
      </c>
      <c r="F112" s="37">
        <f>'N2'!F115*'Simulation for each fuel'!$H$6</f>
        <v>2654.2293299590133</v>
      </c>
      <c r="G112" s="47">
        <v>1740</v>
      </c>
    </row>
    <row r="113" spans="2:7" x14ac:dyDescent="0.3">
      <c r="B113" s="37">
        <f t="shared" si="1"/>
        <v>3829.6404616627137</v>
      </c>
      <c r="C113" s="47">
        <f>('CO2'!F116)*'Simulation for each fuel'!$D$6</f>
        <v>445.93442219913618</v>
      </c>
      <c r="D113" s="37">
        <f>(H2O!F116*'Simulation for each fuel'!$F$6)</f>
        <v>385.17218940005012</v>
      </c>
      <c r="E113" s="37">
        <f>'O2'!F116*'Simulation for each fuel'!$G$6</f>
        <v>303.41637258682834</v>
      </c>
      <c r="F113" s="37">
        <f>'N2'!F116*'Simulation for each fuel'!$H$6</f>
        <v>2695.1174774766992</v>
      </c>
      <c r="G113" s="47">
        <v>1760</v>
      </c>
    </row>
    <row r="114" spans="2:7" x14ac:dyDescent="0.3">
      <c r="B114" s="37">
        <f t="shared" si="1"/>
        <v>3888.0979991903769</v>
      </c>
      <c r="C114" s="47">
        <f>('CO2'!F117)*'Simulation for each fuel'!$D$6</f>
        <v>452.92377699521904</v>
      </c>
      <c r="D114" s="37">
        <f>(H2O!F117*'Simulation for each fuel'!$F$6)</f>
        <v>391.03717978801183</v>
      </c>
      <c r="E114" s="37">
        <f>'O2'!F117*'Simulation for each fuel'!$G$6</f>
        <v>308.03750524547428</v>
      </c>
      <c r="F114" s="37">
        <f>'N2'!F117*'Simulation for each fuel'!$H$6</f>
        <v>2736.0995371616718</v>
      </c>
      <c r="G114" s="47">
        <v>1780</v>
      </c>
    </row>
    <row r="115" spans="2:7" x14ac:dyDescent="0.3">
      <c r="B115" s="37">
        <f t="shared" si="1"/>
        <v>3946.6696345097262</v>
      </c>
      <c r="C115" s="47">
        <f>('CO2'!F118)*'Simulation for each fuel'!$D$6</f>
        <v>459.92855552063622</v>
      </c>
      <c r="D115" s="37">
        <f>(H2O!F118*'Simulation for each fuel'!$F$6)</f>
        <v>396.89164331230398</v>
      </c>
      <c r="E115" s="37">
        <f>'O2'!F118*'Simulation for each fuel'!$G$6</f>
        <v>312.67294729527657</v>
      </c>
      <c r="F115" s="37">
        <f>'N2'!F118*'Simulation for each fuel'!$H$6</f>
        <v>2777.1764883815094</v>
      </c>
      <c r="G115" s="47">
        <v>1800</v>
      </c>
    </row>
    <row r="116" spans="2:7" x14ac:dyDescent="0.3">
      <c r="B116" s="37">
        <f t="shared" si="1"/>
        <v>4005.3553383768285</v>
      </c>
      <c r="C116" s="47">
        <f>('CO2'!F119)*'Simulation for each fuel'!$D$6</f>
        <v>466.94897260362853</v>
      </c>
      <c r="D116" s="37">
        <f>(H2O!F119*'Simulation for each fuel'!$F$6)</f>
        <v>402.73380183728477</v>
      </c>
      <c r="E116" s="37">
        <f>'O2'!F119*'Simulation for each fuel'!$G$6</f>
        <v>317.32309523922981</v>
      </c>
      <c r="F116" s="37">
        <f>'N2'!F119*'Simulation for each fuel'!$H$6</f>
        <v>2818.3494686966851</v>
      </c>
      <c r="G116" s="47">
        <v>1820</v>
      </c>
    </row>
    <row r="117" spans="2:7" x14ac:dyDescent="0.3">
      <c r="B117" s="37">
        <f t="shared" si="1"/>
        <v>4064.155237822557</v>
      </c>
      <c r="C117" s="47">
        <f>('CO2'!F120)*'Simulation for each fuel'!$D$6</f>
        <v>473.98526623743982</v>
      </c>
      <c r="D117" s="37">
        <f>(H2O!F120*'Simulation for each fuel'!$F$6)</f>
        <v>408.56183296908489</v>
      </c>
      <c r="E117" s="37">
        <f>'O2'!F120*'Simulation for each fuel'!$G$6</f>
        <v>321.98836364226912</v>
      </c>
      <c r="F117" s="37">
        <f>'N2'!F120*'Simulation for each fuel'!$H$6</f>
        <v>2859.619774973763</v>
      </c>
      <c r="G117" s="47">
        <v>1840</v>
      </c>
    </row>
    <row r="118" spans="2:7" x14ac:dyDescent="0.3">
      <c r="B118" s="37">
        <f t="shared" si="1"/>
        <v>4123.0696158293576</v>
      </c>
      <c r="C118" s="47">
        <f>('CO2'!F121)*'Simulation for each fuel'!$D$6</f>
        <v>481.03769718837844</v>
      </c>
      <c r="D118" s="37">
        <f>(H2O!F121*'Simulation for each fuel'!$F$6)</f>
        <v>414.37386923620403</v>
      </c>
      <c r="E118" s="37">
        <f>'O2'!F121*'Simulation for each fuel'!$G$6</f>
        <v>326.66918516606091</v>
      </c>
      <c r="F118" s="37">
        <f>'N2'!F121*'Simulation for each fuel'!$H$6</f>
        <v>2900.9888642387141</v>
      </c>
      <c r="G118" s="47">
        <v>1860</v>
      </c>
    </row>
    <row r="119" spans="2:7" x14ac:dyDescent="0.3">
      <c r="B119" s="37">
        <f t="shared" si="1"/>
        <v>4182.098910718245</v>
      </c>
      <c r="C119" s="47">
        <f>('CO2'!F122)*'Simulation for each fuel'!$D$6</f>
        <v>488.10654860387979</v>
      </c>
      <c r="D119" s="37">
        <f>(H2O!F122*'Simulation for each fuel'!$F$6)</f>
        <v>420.16799724024656</v>
      </c>
      <c r="E119" s="37">
        <f>'O2'!F122*'Simulation for each fuel'!$G$6</f>
        <v>331.3660106037932</v>
      </c>
      <c r="F119" s="37">
        <f>'N2'!F122*'Simulation for each fuel'!$H$6</f>
        <v>2942.4583542703258</v>
      </c>
      <c r="G119" s="47">
        <v>1880</v>
      </c>
    </row>
    <row r="120" spans="2:7" x14ac:dyDescent="0.3">
      <c r="B120" s="37">
        <f t="shared" si="1"/>
        <v>4241.2437152460707</v>
      </c>
      <c r="C120" s="47">
        <f>('CO2'!F123)*'Simulation for each fuel'!$D$6</f>
        <v>495.19212562056754</v>
      </c>
      <c r="D120" s="37">
        <f>(H2O!F123*'Simulation for each fuel'!$F$6)</f>
        <v>425.94225677679896</v>
      </c>
      <c r="E120" s="37">
        <f>'O2'!F123*'Simulation for each fuel'!$G$6</f>
        <v>336.07930891496574</v>
      </c>
      <c r="F120" s="37">
        <f>'N2'!F123*'Simulation for each fuel'!$H$6</f>
        <v>2984.0300239337384</v>
      </c>
      <c r="G120" s="47">
        <v>1900</v>
      </c>
    </row>
    <row r="121" spans="2:7" x14ac:dyDescent="0.3">
      <c r="B121" s="37">
        <f t="shared" si="1"/>
        <v>4300.5047754130173</v>
      </c>
      <c r="C121" s="47">
        <f>('CO2'!F124)*'Simulation for each fuel'!$D$6</f>
        <v>502.29475497231675</v>
      </c>
      <c r="D121" s="37">
        <f>(H2O!F124*'Simulation for each fuel'!$F$6)</f>
        <v>431.69463992644569</v>
      </c>
      <c r="E121" s="37">
        <f>'O2'!F124*'Simulation for each fuel'!$G$6</f>
        <v>340.8095672601807</v>
      </c>
      <c r="F121" s="37">
        <f>'N2'!F124*'Simulation for each fuel'!$H$6</f>
        <v>3025.7058132540737</v>
      </c>
      <c r="G121" s="47">
        <v>1920</v>
      </c>
    </row>
    <row r="122" spans="2:7" x14ac:dyDescent="0.3">
      <c r="B122" s="37">
        <f t="shared" si="1"/>
        <v>4359.8829889803565</v>
      </c>
      <c r="C122" s="47">
        <f>('CO2'!F125)*'Simulation for each fuel'!$D$6</f>
        <v>509.41478459831478</v>
      </c>
      <c r="D122" s="37">
        <f>(H2O!F125*'Simulation for each fuel'!$F$6)</f>
        <v>437.42309011592687</v>
      </c>
      <c r="E122" s="37">
        <f>'O2'!F125*'Simulation for each fuel'!$G$6</f>
        <v>345.55729103593308</v>
      </c>
      <c r="F122" s="37">
        <f>'N2'!F125*'Simulation for each fuel'!$H$6</f>
        <v>3067.4878232301821</v>
      </c>
      <c r="G122" s="47">
        <v>1940</v>
      </c>
    </row>
    <row r="123" spans="2:7" x14ac:dyDescent="0.3">
      <c r="B123" s="37">
        <f t="shared" si="1"/>
        <v>4419.3794036984573</v>
      </c>
      <c r="C123" s="47">
        <f>('CO2'!F126)*'Simulation for each fuel'!$D$6</f>
        <v>516.55258325112311</v>
      </c>
      <c r="D123" s="37">
        <f>(H2O!F126*'Simulation for each fuel'!$F$6)</f>
        <v>443.12550114943457</v>
      </c>
      <c r="E123" s="37">
        <f>'O2'!F126*'Simulation for each fuel'!$G$6</f>
        <v>350.32300390940088</v>
      </c>
      <c r="F123" s="37">
        <f>'N2'!F126*'Simulation for each fuel'!$H$6</f>
        <v>3109.3783153884988</v>
      </c>
      <c r="G123" s="47">
        <v>1960</v>
      </c>
    </row>
    <row r="124" spans="2:7" x14ac:dyDescent="0.3">
      <c r="B124" s="37">
        <f t="shared" si="1"/>
        <v>4478.9952152450278</v>
      </c>
      <c r="C124" s="47">
        <f>('CO2'!F127)*'Simulation for each fuel'!$D$6</f>
        <v>523.70854010474068</v>
      </c>
      <c r="D124" s="37">
        <f>(H2O!F127*'Simulation for each fuel'!$F$6)</f>
        <v>448.79971621005041</v>
      </c>
      <c r="E124" s="37">
        <f>'O2'!F127*'Simulation for each fuel'!$G$6</f>
        <v>355.10724785323578</v>
      </c>
      <c r="F124" s="37">
        <f>'N2'!F127*'Simulation for each fuel'!$H$6</f>
        <v>3151.3797110770006</v>
      </c>
      <c r="G124" s="47">
        <v>1980</v>
      </c>
    </row>
    <row r="125" spans="2:7" x14ac:dyDescent="0.3">
      <c r="B125" s="37">
        <f t="shared" si="1"/>
        <v>4538.7317648736225</v>
      </c>
      <c r="C125" s="47">
        <f>('CO2'!F128)*'Simulation for each fuel'!$D$6</f>
        <v>530.88306436266396</v>
      </c>
      <c r="D125" s="37">
        <f>(H2O!F128*'Simulation for each fuel'!$F$6)</f>
        <v>454.44352683132286</v>
      </c>
      <c r="E125" s="37">
        <f>'O2'!F128*'Simulation for each fuel'!$G$6</f>
        <v>359.91058318035323</v>
      </c>
      <c r="F125" s="37">
        <f>'N2'!F128*'Simulation for each fuel'!$H$6</f>
        <v>3193.4945904992819</v>
      </c>
      <c r="G125" s="47">
        <v>2000</v>
      </c>
    </row>
    <row r="126" spans="2:7" x14ac:dyDescent="0.3">
      <c r="B126" s="37">
        <f t="shared" si="1"/>
        <v>4688.6114517921214</v>
      </c>
      <c r="C126" s="47">
        <f>('CO2'!F129)*'Simulation for each fuel'!$D$6</f>
        <v>548.90346893657068</v>
      </c>
      <c r="D126" s="37">
        <f>(H2O!F129*'Simulation for each fuel'!$F$6)</f>
        <v>468.40506234323652</v>
      </c>
      <c r="E126" s="37">
        <f>'O2'!F129*'Simulation for each fuel'!$G$6</f>
        <v>372.00628925384899</v>
      </c>
      <c r="F126" s="37">
        <f>'N2'!F129*'Simulation for each fuel'!$H$6</f>
        <v>3299.2966312584654</v>
      </c>
      <c r="G126" s="47">
        <v>2050</v>
      </c>
    </row>
    <row r="127" spans="2:7" x14ac:dyDescent="0.3">
      <c r="B127" s="37">
        <f t="shared" si="1"/>
        <v>4839.2823612938791</v>
      </c>
      <c r="C127" s="47">
        <f>('CO2'!F130)*'Simulation for each fuel'!$D$6</f>
        <v>567.04987151996397</v>
      </c>
      <c r="D127" s="37">
        <f>(H2O!F130*'Simulation for each fuel'!$F$6)</f>
        <v>482.12546570258428</v>
      </c>
      <c r="E127" s="37">
        <f>'O2'!F130*'Simulation for each fuel'!$G$6</f>
        <v>384.23452971928805</v>
      </c>
      <c r="F127" s="37">
        <f>'N2'!F130*'Simulation for each fuel'!$H$6</f>
        <v>3405.8724943520433</v>
      </c>
      <c r="G127" s="47">
        <v>2100</v>
      </c>
    </row>
    <row r="128" spans="2:7" x14ac:dyDescent="0.3">
      <c r="B128" s="37">
        <f t="shared" si="1"/>
        <v>4990.7765672488204</v>
      </c>
      <c r="C128" s="47">
        <f>('CO2'!F131)*'Simulation for each fuel'!$D$6</f>
        <v>585.33020447098545</v>
      </c>
      <c r="D128" s="37">
        <f>(H2O!F131*'Simulation for each fuel'!$F$6)</f>
        <v>495.56569815420289</v>
      </c>
      <c r="E128" s="37">
        <f>'O2'!F131*'Simulation for each fuel'!$G$6</f>
        <v>396.60557321592614</v>
      </c>
      <c r="F128" s="37">
        <f>'N2'!F131*'Simulation for each fuel'!$H$6</f>
        <v>3513.2750914077064</v>
      </c>
      <c r="G128" s="47">
        <v>2150</v>
      </c>
    </row>
    <row r="129" spans="2:7" x14ac:dyDescent="0.3">
      <c r="B129" s="37">
        <f t="shared" si="1"/>
        <v>5143.1308602764329</v>
      </c>
      <c r="C129" s="47">
        <f>('CO2'!F132)*'Simulation for each fuel'!$D$6</f>
        <v>603.75307537950198</v>
      </c>
      <c r="D129" s="37">
        <f>(H2O!F132*'Simulation for each fuel'!$F$6)</f>
        <v>508.68438849391811</v>
      </c>
      <c r="E129" s="37">
        <f>'O2'!F132*'Simulation for each fuel'!$G$6</f>
        <v>409.13041431257966</v>
      </c>
      <c r="F129" s="37">
        <f>'N2'!F132*'Simulation for each fuel'!$H$6</f>
        <v>3621.5629820904328</v>
      </c>
      <c r="G129" s="47">
        <v>2200</v>
      </c>
    </row>
    <row r="130" spans="2:7" x14ac:dyDescent="0.3">
      <c r="B130" s="37">
        <f t="shared" si="1"/>
        <v>5296.3862705171514</v>
      </c>
      <c r="C130" s="47">
        <f>('CO2'!F133)*'Simulation for each fuel'!$D$6</f>
        <v>622.32772879190486</v>
      </c>
      <c r="D130" s="37">
        <f>(H2O!F133*'Simulation for each fuel'!$F$6)</f>
        <v>521.43770712164462</v>
      </c>
      <c r="E130" s="37">
        <f>'O2'!F133*'Simulation for each fuel'!$G$6</f>
        <v>421.82077690512449</v>
      </c>
      <c r="F130" s="37">
        <f>'N2'!F133*'Simulation for each fuel'!$H$6</f>
        <v>3730.8000576984773</v>
      </c>
      <c r="G130" s="47">
        <v>2250</v>
      </c>
    </row>
    <row r="131" spans="2:7" x14ac:dyDescent="0.3">
      <c r="B131" s="37">
        <f t="shared" si="1"/>
        <v>5450.5875196637735</v>
      </c>
      <c r="C131" s="47">
        <f>('CO2'!F134)*'Simulation for each fuel'!$D$6</f>
        <v>641.06400793591024</v>
      </c>
      <c r="D131" s="37">
        <f>(H2O!F134*'Simulation for each fuel'!$F$6)</f>
        <v>533.7792328044867</v>
      </c>
      <c r="E131" s="37">
        <f>'O2'!F134*'Simulation for each fuel'!$G$6</f>
        <v>434.68911761399693</v>
      </c>
      <c r="F131" s="37">
        <f>'N2'!F134*'Simulation for each fuel'!$H$6</f>
        <v>3841.0551613093789</v>
      </c>
      <c r="G131" s="47">
        <v>2300</v>
      </c>
    </row>
    <row r="132" spans="2:7" x14ac:dyDescent="0.3">
      <c r="B132" s="37">
        <f t="shared" si="1"/>
        <v>5605.7824022528494</v>
      </c>
      <c r="C132" s="47">
        <f>('CO2'!F135)*'Simulation for each fuel'!$D$6</f>
        <v>659.97231644535918</v>
      </c>
      <c r="D132" s="37">
        <f>(H2O!F135*'Simulation for each fuel'!$F$6)</f>
        <v>545.65981214983799</v>
      </c>
      <c r="E132" s="37">
        <f>'O2'!F135*'Simulation for each fuel'!$G$6</f>
        <v>447.74862918169333</v>
      </c>
      <c r="F132" s="37">
        <f>'N2'!F135*'Simulation for each fuel'!$H$6</f>
        <v>3952.4016444759586</v>
      </c>
      <c r="G132" s="47">
        <v>2350</v>
      </c>
    </row>
    <row r="133" spans="2:7" x14ac:dyDescent="0.3">
      <c r="B133" s="37">
        <f t="shared" ref="B133:B144" si="2">C133+D133+E133+F133</f>
        <v>5762.0210962160827</v>
      </c>
      <c r="C133" s="47">
        <f>('CO2'!F136)*'Simulation for each fuel'!$D$6</f>
        <v>679.06358008501707</v>
      </c>
      <c r="D133" s="37">
        <f>(H2O!F136*'Simulation for each fuel'!$F$6)</f>
        <v>557.02741178848021</v>
      </c>
      <c r="E133" s="37">
        <f>'O2'!F136*'Simulation for each fuel'!$G$6</f>
        <v>461.01324387026949</v>
      </c>
      <c r="F133" s="37">
        <f>'N2'!F136*'Simulation for each fuel'!$H$6</f>
        <v>4064.9168604723159</v>
      </c>
      <c r="G133" s="47">
        <v>2400</v>
      </c>
    </row>
    <row r="134" spans="2:7" x14ac:dyDescent="0.3">
      <c r="B134" s="37">
        <f t="shared" si="2"/>
        <v>5919.3554026917427</v>
      </c>
      <c r="C134" s="47">
        <f>('CO2'!F137)*'Simulation for each fuel'!$D$6</f>
        <v>698.34920847537535</v>
      </c>
      <c r="D134" s="37">
        <f>(H2O!F137*'Simulation for each fuel'!$F$6)</f>
        <v>567.82696326768564</v>
      </c>
      <c r="E134" s="37">
        <f>'O2'!F137*'Simulation for each fuel'!$G$6</f>
        <v>474.49763685884176</v>
      </c>
      <c r="F134" s="37">
        <f>'N2'!F137*'Simulation for each fuel'!$H$6</f>
        <v>4178.6815940898405</v>
      </c>
      <c r="G134" s="47">
        <v>2450</v>
      </c>
    </row>
    <row r="135" spans="2:7" x14ac:dyDescent="0.3">
      <c r="B135" s="37">
        <f t="shared" si="2"/>
        <v>6077.8379150960463</v>
      </c>
      <c r="C135" s="47">
        <f>('CO2'!F138)*'Simulation for each fuel'!$D$6</f>
        <v>717.84105681744848</v>
      </c>
      <c r="D135" s="37">
        <f>(H2O!F138*'Simulation for each fuel'!$F$6)</f>
        <v>578.00020065431511</v>
      </c>
      <c r="E135" s="37">
        <f>'O2'!F138*'Simulation for each fuel'!$G$6</f>
        <v>488.21722964108631</v>
      </c>
      <c r="F135" s="37">
        <f>'N2'!F138*'Simulation for each fuel'!$H$6</f>
        <v>4293.779427983196</v>
      </c>
      <c r="G135" s="47">
        <v>2500</v>
      </c>
    </row>
    <row r="136" spans="2:7" x14ac:dyDescent="0.3">
      <c r="B136" s="37">
        <f t="shared" si="2"/>
        <v>6237.5211174545666</v>
      </c>
      <c r="C136" s="47">
        <f>('CO2'!F139)*'Simulation for each fuel'!$D$6</f>
        <v>737.55138761757712</v>
      </c>
      <c r="D136" s="37">
        <f>(H2O!F139*'Simulation for each fuel'!$F$6)</f>
        <v>587.48549084791875</v>
      </c>
      <c r="E136" s="37">
        <f>'O2'!F139*'Simulation for each fuel'!$G$6</f>
        <v>502.18819342273912</v>
      </c>
      <c r="F136" s="37">
        <f>'N2'!F139*'Simulation for each fuel'!$H$6</f>
        <v>4410.2960455663315</v>
      </c>
      <c r="G136" s="47">
        <v>2550</v>
      </c>
    </row>
    <row r="137" spans="2:7" x14ac:dyDescent="0.3">
      <c r="B137" s="37">
        <f t="shared" si="2"/>
        <v>6398.4564119936394</v>
      </c>
      <c r="C137" s="47">
        <f>('CO2'!F140)*'Simulation for each fuel'!$D$6</f>
        <v>757.49283241222599</v>
      </c>
      <c r="D137" s="37">
        <f>(H2O!F140*'Simulation for each fuel'!$F$6)</f>
        <v>596.21765660383574</v>
      </c>
      <c r="E137" s="37">
        <f>'O2'!F140*'Simulation for each fuel'!$G$6</f>
        <v>516.42745251909651</v>
      </c>
      <c r="F137" s="37">
        <f>'N2'!F140*'Simulation for each fuel'!$H$6</f>
        <v>4528.318470458481</v>
      </c>
      <c r="G137" s="47">
        <v>2600</v>
      </c>
    </row>
    <row r="138" spans="2:7" x14ac:dyDescent="0.3">
      <c r="B138" s="37">
        <f t="shared" si="2"/>
        <v>6560.6930759917477</v>
      </c>
      <c r="C138" s="47">
        <f>('CO2'!F141)*'Simulation for each fuel'!$D$6</f>
        <v>777.67835349278516</v>
      </c>
      <c r="D138" s="37">
        <f>(H2O!F141*'Simulation for each fuel'!$F$6)</f>
        <v>604.12779226629448</v>
      </c>
      <c r="E138" s="37">
        <f>'O2'!F141*'Simulation for each fuel'!$G$6</f>
        <v>530.95268775251452</v>
      </c>
      <c r="F138" s="37">
        <f>'N2'!F141*'Simulation for each fuel'!$H$6</f>
        <v>4647.9342424801534</v>
      </c>
      <c r="G138" s="47">
        <v>2650</v>
      </c>
    </row>
    <row r="139" spans="2:7" x14ac:dyDescent="0.3">
      <c r="B139" s="37">
        <f t="shared" si="2"/>
        <v>6724.2771478909299</v>
      </c>
      <c r="C139" s="47">
        <f>('CO2'!F142)*'Simulation for each fuel'!$D$6</f>
        <v>798.12120563036899</v>
      </c>
      <c r="D139" s="37">
        <f>(H2O!F142*'Simulation for each fuel'!$F$6)</f>
        <v>611.14307221151319</v>
      </c>
      <c r="E139" s="37">
        <f>'O2'!F142*'Simulation for each fuel'!$G$6</f>
        <v>545.78233984990936</v>
      </c>
      <c r="F139" s="37">
        <f>'N2'!F142*'Simulation for each fuel'!$H$6</f>
        <v>4769.2305301991382</v>
      </c>
      <c r="G139" s="47">
        <v>2700</v>
      </c>
    </row>
    <row r="140" spans="2:7" x14ac:dyDescent="0.3">
      <c r="B140" s="37">
        <f t="shared" si="2"/>
        <v>6889.2502426681976</v>
      </c>
      <c r="C140" s="47">
        <f>('CO2'!F143)*'Simulation for each fuel'!$D$6</f>
        <v>818.83489780061666</v>
      </c>
      <c r="D140" s="37">
        <f>(H2O!F143*'Simulation for each fuel'!$F$6)</f>
        <v>617.18655200079809</v>
      </c>
      <c r="E140" s="37">
        <f>'O2'!F143*'Simulation for each fuel'!$G$6</f>
        <v>560.93561284025702</v>
      </c>
      <c r="F140" s="37">
        <f>'N2'!F143*'Simulation for each fuel'!$H$6</f>
        <v>4892.293180026526</v>
      </c>
      <c r="G140" s="47">
        <v>2750</v>
      </c>
    </row>
    <row r="141" spans="2:7" x14ac:dyDescent="0.3">
      <c r="B141" s="37">
        <f t="shared" si="2"/>
        <v>7055.648296466894</v>
      </c>
      <c r="C141" s="47">
        <f>('CO2'!F144)*'Simulation for each fuel'!$D$6</f>
        <v>839.83315490849282</v>
      </c>
      <c r="D141" s="37">
        <f>(H2O!F144*'Simulation for each fuel'!$F$6)</f>
        <v>622.17696224364613</v>
      </c>
      <c r="E141" s="37">
        <f>'O2'!F144*'Simulation for each fuel'!$G$6</f>
        <v>576.43247745209408</v>
      </c>
      <c r="F141" s="37">
        <f>'N2'!F144*'Simulation for each fuel'!$H$6</f>
        <v>5017.205701862661</v>
      </c>
      <c r="G141" s="47">
        <v>2800</v>
      </c>
    </row>
    <row r="142" spans="2:7" x14ac:dyDescent="0.3">
      <c r="B142" s="37">
        <f t="shared" si="2"/>
        <v>7223.5002404881416</v>
      </c>
      <c r="C142" s="47">
        <f>('CO2'!F145)*'Simulation for each fuel'!$D$6</f>
        <v>861.12987951308639</v>
      </c>
      <c r="D142" s="37">
        <f>(H2O!F145*'Simulation for each fuel'!$F$6)</f>
        <v>626.02849517084189</v>
      </c>
      <c r="E142" s="37">
        <f>'O2'!F145*'Simulation for each fuel'!$G$6</f>
        <v>592.29367451101632</v>
      </c>
      <c r="F142" s="37">
        <f>'N2'!F145*'Simulation for each fuel'!$H$6</f>
        <v>5144.0481912931973</v>
      </c>
      <c r="G142" s="47">
        <v>2850</v>
      </c>
    </row>
    <row r="143" spans="2:7" x14ac:dyDescent="0.3">
      <c r="B143" s="37">
        <f t="shared" si="2"/>
        <v>7392.826604142193</v>
      </c>
      <c r="C143" s="47">
        <f>('CO2'!F146)*'Simulation for each fuel'!$D$6</f>
        <v>882.73911355241114</v>
      </c>
      <c r="D143" s="37">
        <f>(H2O!F146*'Simulation for each fuel'!$F$6)</f>
        <v>628.65058391755986</v>
      </c>
      <c r="E143" s="37">
        <f>'O2'!F146*'Simulation for each fuel'!$G$6</f>
        <v>608.5407183371799</v>
      </c>
      <c r="F143" s="37">
        <f>'N2'!F146*'Simulation for each fuel'!$H$6</f>
        <v>5272.8961883350421</v>
      </c>
      <c r="G143" s="47">
        <v>2900</v>
      </c>
    </row>
    <row r="144" spans="2:7" x14ac:dyDescent="0.3">
      <c r="B144" s="37">
        <f t="shared" si="2"/>
        <v>7735.9338227639946</v>
      </c>
      <c r="C144" s="47">
        <f>('CO2'!F147)*'Simulation for each fuel'!$D$6</f>
        <v>926.95174493073205</v>
      </c>
      <c r="D144" s="37">
        <f>(H2O!F147*'Simulation for each fuel'!$F$6)</f>
        <v>629.81899060080787</v>
      </c>
      <c r="E144" s="37">
        <f>'O2'!F147*'Simulation for each fuel'!$G$6</f>
        <v>642.28229142965586</v>
      </c>
      <c r="F144" s="37">
        <f>'N2'!F147*'Simulation for each fuel'!$H$6</f>
        <v>5536.8807958027983</v>
      </c>
      <c r="G144" s="47">
        <v>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Fuel Tables</vt:lpstr>
      <vt:lpstr>Heats of Formation at 298k</vt:lpstr>
      <vt:lpstr>Simulation of Task1</vt:lpstr>
      <vt:lpstr>Task 1</vt:lpstr>
      <vt:lpstr>Goal Seek 2nd order</vt:lpstr>
      <vt:lpstr>Goal Seek 6th order</vt:lpstr>
      <vt:lpstr>Nox</vt:lpstr>
      <vt:lpstr>EGR</vt:lpstr>
      <vt:lpstr>O2N2 @ EGR</vt:lpstr>
      <vt:lpstr>Nox Graphs</vt:lpstr>
      <vt:lpstr>CO2</vt:lpstr>
      <vt:lpstr>CO</vt:lpstr>
      <vt:lpstr>H2O</vt:lpstr>
      <vt:lpstr>N2</vt:lpstr>
      <vt:lpstr>O2</vt:lpstr>
      <vt:lpstr>Simulation for each fuel</vt:lpstr>
      <vt:lpstr>Temp vs Poly @ SUM{all gases}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Bass (P146018)</dc:creator>
  <cp:lastModifiedBy>J_Bass97</cp:lastModifiedBy>
  <cp:lastPrinted>2019-12-19T15:25:18Z</cp:lastPrinted>
  <dcterms:created xsi:type="dcterms:W3CDTF">2019-11-07T10:03:09Z</dcterms:created>
  <dcterms:modified xsi:type="dcterms:W3CDTF">2020-01-05T11:28:07Z</dcterms:modified>
</cp:coreProperties>
</file>