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3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 Arthurs\Dropbox (Andrew Scott Ltd)\Jack Arthurs storage\Uni\Yr 3\Measurement\"/>
    </mc:Choice>
  </mc:AlternateContent>
  <xr:revisionPtr revIDLastSave="0" documentId="13_ncr:1_{D3993156-1777-407E-A80C-DF638830230C}" xr6:coauthVersionLast="47" xr6:coauthVersionMax="47" xr10:uidLastSave="{00000000-0000-0000-0000-000000000000}"/>
  <bookViews>
    <workbookView xWindow="-108" yWindow="-108" windowWidth="23256" windowHeight="12576" tabRatio="793" xr2:uid="{00000000-000D-0000-FFFF-FFFF00000000}"/>
  </bookViews>
  <sheets>
    <sheet name="Cover" sheetId="10" r:id="rId1"/>
    <sheet name="Information Used" sheetId="6" r:id="rId2"/>
    <sheet name="Summary of Cost Plan" sheetId="9" r:id="rId3"/>
    <sheet name="NRM1 Elemental Cost Plan -  JA" sheetId="11" r:id="rId4"/>
    <sheet name="Query Sheet" sheetId="1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__INF1" localSheetId="3">#REF!</definedName>
    <definedName name="____INF1" localSheetId="2">#REF!</definedName>
    <definedName name="____INF1">#REF!</definedName>
    <definedName name="____INF2" localSheetId="3">#REF!</definedName>
    <definedName name="____INF2" localSheetId="2">#REF!</definedName>
    <definedName name="____INF2">#REF!</definedName>
    <definedName name="___INF1" localSheetId="3">#REF!</definedName>
    <definedName name="___INF1" localSheetId="2">#REF!</definedName>
    <definedName name="___INF1">#REF!</definedName>
    <definedName name="___INF2" localSheetId="3">#REF!</definedName>
    <definedName name="___INF2" localSheetId="2">#REF!</definedName>
    <definedName name="___INF2">#REF!</definedName>
    <definedName name="__INF1" localSheetId="3">#REF!</definedName>
    <definedName name="__INF1" localSheetId="2">#REF!</definedName>
    <definedName name="__INF1">#REF!</definedName>
    <definedName name="__INF2" localSheetId="3">#REF!</definedName>
    <definedName name="__INF2" localSheetId="2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 localSheetId="2">#REF!</definedName>
    <definedName name="_bar1">#REF!</definedName>
    <definedName name="_boh1" localSheetId="3">#REF!</definedName>
    <definedName name="_boh1" localSheetId="2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localSheetId="2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 localSheetId="2">#REF!</definedName>
    <definedName name="_foh1">#REF!</definedName>
    <definedName name="_INF1" localSheetId="3">#REF!</definedName>
    <definedName name="_INF1" localSheetId="2">#REF!</definedName>
    <definedName name="_INF1">#REF!</definedName>
    <definedName name="_INF2" localSheetId="3">#REF!</definedName>
    <definedName name="_INF2" localSheetId="2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localSheetId="2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 localSheetId="2">#REF!</definedName>
    <definedName name="ADDRESS1">#REF!</definedName>
    <definedName name="ADDRESS2" localSheetId="3">#REF!</definedName>
    <definedName name="ADDRESS2" localSheetId="2">#REF!</definedName>
    <definedName name="ADDRESS2">#REF!</definedName>
    <definedName name="admin1" localSheetId="3">#REF!</definedName>
    <definedName name="admin1" localSheetId="2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localSheetId="2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 localSheetId="2">'[3]Master Data Sheet'!$D$41</definedName>
    <definedName name="Base_Date">'[4]PROJECT INPUTS'!$E$9</definedName>
    <definedName name="bathrooms1" localSheetId="3">#REF!</definedName>
    <definedName name="bathrooms1" localSheetId="2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 localSheetId="2">#REF!</definedName>
    <definedName name="bedroomcorridors1">#REF!</definedName>
    <definedName name="bedrooms1" localSheetId="3">#REF!</definedName>
    <definedName name="bedrooms1" localSheetId="2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 localSheetId="2">#REF!</definedName>
    <definedName name="BWIC">#REF!</definedName>
    <definedName name="C_COMPLETION" localSheetId="3">#REF!</definedName>
    <definedName name="C_COMPLETION" localSheetId="2">#REF!</definedName>
    <definedName name="C_COMPLETION">#REF!</definedName>
    <definedName name="C_PERIOD" localSheetId="3">#REF!</definedName>
    <definedName name="C_PERIOD" localSheetId="2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localSheetId="2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 localSheetId="2">#REF!</definedName>
    <definedName name="CC">#REF!</definedName>
    <definedName name="CCGIA">'[7]CC - Data'!$E$29</definedName>
    <definedName name="CCOMPLETION" localSheetId="3">#REF!</definedName>
    <definedName name="CCOMPLETION" localSheetId="2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localSheetId="2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 localSheetId="2">#REF!</definedName>
    <definedName name="columbian">#REF!</definedName>
    <definedName name="COMPANY" localSheetId="3">#REF!</definedName>
    <definedName name="COMPANY" localSheetId="2">#REF!</definedName>
    <definedName name="COMPANY">#REF!</definedName>
    <definedName name="COMPLETION" localSheetId="3">#REF!</definedName>
    <definedName name="COMPLETION" localSheetId="2">#REF!</definedName>
    <definedName name="COMPLETION">#REF!</definedName>
    <definedName name="CONTACT" localSheetId="3">#REF!</definedName>
    <definedName name="CONTACT" localSheetId="2">#REF!</definedName>
    <definedName name="CONTACT">#REF!</definedName>
    <definedName name="CONTINGENCY" localSheetId="3">#REF!</definedName>
    <definedName name="CONTINGENCY" localSheetId="2">#REF!</definedName>
    <definedName name="CONTINGENCY">#REF!</definedName>
    <definedName name="Contract_sum" localSheetId="3">#REF!</definedName>
    <definedName name="Contract_sum" localSheetId="2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localSheetId="2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localSheetId="2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 localSheetId="2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 localSheetId="2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 localSheetId="2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 localSheetId="2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localSheetId="2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localSheetId="2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localSheetId="2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 localSheetId="2">#REF!</definedName>
    <definedName name="Factor">#REF!</definedName>
    <definedName name="factor1">0</definedName>
    <definedName name="FEES" localSheetId="3">#REF!</definedName>
    <definedName name="FEES" localSheetId="2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localSheetId="2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 localSheetId="2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 localSheetId="2">#REF!</definedName>
    <definedName name="function1">#REF!</definedName>
    <definedName name="fUNCTIONAL_UNITS">[5]Area!$T$49</definedName>
    <definedName name="GIFA" localSheetId="3">#REF!</definedName>
    <definedName name="GIFA" localSheetId="2">#REF!</definedName>
    <definedName name="GIFA">#REF!</definedName>
    <definedName name="GIFA_FT2" localSheetId="3">#REF!</definedName>
    <definedName name="GIFA_FT2" localSheetId="2">#REF!</definedName>
    <definedName name="GIFA_FT2">#REF!</definedName>
    <definedName name="GIFA_M2" localSheetId="3">#REF!</definedName>
    <definedName name="GIFA_M2" localSheetId="2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 localSheetId="2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localSheetId="2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localSheetId="2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 localSheetId="2">#REF!</definedName>
    <definedName name="InflationRetail">#REF!</definedName>
    <definedName name="InflationSC" localSheetId="3">#REF!</definedName>
    <definedName name="InflationSC" localSheetId="2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 localSheetId="2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localSheetId="2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 localSheetId="2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 localSheetId="2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 localSheetId="2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localSheetId="2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localSheetId="2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 localSheetId="2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 localSheetId="2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 localSheetId="2">MAX(Page)</definedName>
    <definedName name="Page_total">MAX(Page)</definedName>
    <definedName name="Pal_Workbook_GUID" hidden="1">"LK1PTII9F5DJ467I7FBPU14Z"</definedName>
    <definedName name="PERIOD" localSheetId="3">#REF!</definedName>
    <definedName name="PERIOD" localSheetId="2">#REF!</definedName>
    <definedName name="PERIOD">#REF!</definedName>
    <definedName name="PRELIMS" localSheetId="3">#REF!</definedName>
    <definedName name="PRELIMS" localSheetId="2">#REF!</definedName>
    <definedName name="Prelims">'[4]PROJECT INPUTS'!$B$9</definedName>
    <definedName name="_xlnm.Print_Area" localSheetId="0">Cover!$A$1:$I$38</definedName>
    <definedName name="_xlnm.Print_Area" localSheetId="1">'Information Used'!$A$1:$L$67</definedName>
    <definedName name="_xlnm.Print_Area" localSheetId="3">'NRM1 Elemental Cost Plan -  JA'!$A$1:$L$231</definedName>
    <definedName name="_xlnm.Print_Area" localSheetId="2">'Summary of Cost Plan'!$A$1:$F$33</definedName>
    <definedName name="_xlnm.Print_Area">#REF!</definedName>
    <definedName name="private_flat_gia">[20]Assumptions!$C$59:$C$63</definedName>
    <definedName name="PROJECT" localSheetId="3">#REF!</definedName>
    <definedName name="PROJECT" localSheetId="2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 localSheetId="2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 localSheetId="2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 localSheetId="2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localSheetId="2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 localSheetId="2">[29]Contents!#REF!</definedName>
    <definedName name="S.5">[29]Contents!#REF!</definedName>
    <definedName name="S.6" localSheetId="3">[29]Contents!#REF!</definedName>
    <definedName name="S.6" localSheetId="2">[29]Contents!#REF!</definedName>
    <definedName name="S.6">[29]Contents!#REF!</definedName>
    <definedName name="S.7" localSheetId="3">[29]Contents!#REF!</definedName>
    <definedName name="S.7" localSheetId="2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 localSheetId="2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localSheetId="2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2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2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localSheetId="2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 localSheetId="2">#REF!</definedName>
    <definedName name="Stan_bath">#REF!</definedName>
    <definedName name="Stan_bed" localSheetId="3">[37]RATES!#REF!</definedName>
    <definedName name="Stan_bed" localSheetId="2">[37]RATES!#REF!</definedName>
    <definedName name="Stan_bed">[37]RATES!#REF!</definedName>
    <definedName name="START" localSheetId="3">#REF!</definedName>
    <definedName name="START" localSheetId="2">#REF!</definedName>
    <definedName name="START">#REF!</definedName>
    <definedName name="start_contingency">[5]Library!$C$1226</definedName>
    <definedName name="Start_date" localSheetId="3">#REF!</definedName>
    <definedName name="Start_date" localSheetId="2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localSheetId="2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localSheetId="2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 localSheetId="2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localSheetId="2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localSheetId="2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 localSheetId="2">#REF!</definedName>
    <definedName name="TOTAL">#REF!</definedName>
    <definedName name="Total_beds" localSheetId="3">#REF!</definedName>
    <definedName name="Total_beds" localSheetId="2">#REF!</definedName>
    <definedName name="Total_beds">#REF!</definedName>
    <definedName name="TotalCapital" localSheetId="3">#REF!</definedName>
    <definedName name="TotalCapital" localSheetId="2">#REF!</definedName>
    <definedName name="TotalCapital">#REF!</definedName>
    <definedName name="TotalNormalRevenue" localSheetId="3">#REF!</definedName>
    <definedName name="TotalNormalRevenue" localSheetId="2">#REF!</definedName>
    <definedName name="TotalNormalRevenue">#REF!</definedName>
    <definedName name="TotalRevenue" localSheetId="3">#REF!</definedName>
    <definedName name="TotalRevenue" localSheetId="2">#REF!</definedName>
    <definedName name="TotalRevenue">#REF!</definedName>
    <definedName name="TotalWriteOffRevenue" localSheetId="3">#REF!</definedName>
    <definedName name="TotalWriteOffRevenue" localSheetId="2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localSheetId="2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 localSheetId="2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localSheetId="2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 localSheetId="2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 localSheetId="2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localSheetId="2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localSheetId="2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localSheetId="2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localSheetId="2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localSheetId="2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localSheetId="2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localSheetId="2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localSheetId="2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localSheetId="2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localSheetId="2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localSheetId="2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localSheetId="2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localSheetId="2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 localSheetId="2">#REF!</definedName>
    <definedName name="YEAR1">#REF!</definedName>
    <definedName name="YEAR2" localSheetId="3">#REF!</definedName>
    <definedName name="YEAR2" localSheetId="2">#REF!</definedName>
    <definedName name="YEAR2">#REF!</definedName>
    <definedName name="YEAR3" localSheetId="3">#REF!</definedName>
    <definedName name="YEAR3" localSheetId="2">#REF!</definedName>
    <definedName name="YEAR3">#REF!</definedName>
    <definedName name="YEAR4" localSheetId="3">#REF!</definedName>
    <definedName name="YEAR4" localSheetId="2">#REF!</definedName>
    <definedName name="YEAR4">#REF!</definedName>
    <definedName name="YEAR5" localSheetId="3">#REF!</definedName>
    <definedName name="YEAR5" localSheetId="2">#REF!</definedName>
    <definedName name="YEAR5">#REF!</definedName>
    <definedName name="YEAR6" localSheetId="3">#REF!</definedName>
    <definedName name="YEAR6" localSheetId="2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localSheetId="2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4" i="9" l="1"/>
  <c r="I226" i="11"/>
  <c r="H224" i="11"/>
  <c r="G224" i="11"/>
  <c r="G220" i="11"/>
  <c r="I211" i="11"/>
  <c r="I204" i="11"/>
  <c r="I198" i="11"/>
  <c r="E190" i="11"/>
  <c r="E191" i="11" s="1"/>
  <c r="H191" i="11" s="1"/>
  <c r="E189" i="11"/>
  <c r="H189" i="11" s="1"/>
  <c r="E186" i="11"/>
  <c r="E187" i="11" s="1"/>
  <c r="H187" i="11" s="1"/>
  <c r="E185" i="11"/>
  <c r="H185" i="11" s="1"/>
  <c r="E182" i="11"/>
  <c r="E183" i="11" s="1"/>
  <c r="H183" i="11" s="1"/>
  <c r="E181" i="11"/>
  <c r="H181" i="11" s="1"/>
  <c r="H176" i="11"/>
  <c r="H171" i="11"/>
  <c r="H170" i="11"/>
  <c r="H169" i="11"/>
  <c r="E167" i="11"/>
  <c r="H167" i="11" s="1"/>
  <c r="H163" i="11"/>
  <c r="E161" i="11"/>
  <c r="H161" i="11" s="1"/>
  <c r="E159" i="11"/>
  <c r="H159" i="11" s="1"/>
  <c r="E157" i="11"/>
  <c r="H157" i="11" s="1"/>
  <c r="K149" i="11"/>
  <c r="H149" i="11"/>
  <c r="H147" i="11"/>
  <c r="E143" i="11"/>
  <c r="H143" i="11" s="1"/>
  <c r="E142" i="11"/>
  <c r="H142" i="11" s="1"/>
  <c r="E141" i="11"/>
  <c r="H141" i="11" s="1"/>
  <c r="E140" i="11"/>
  <c r="H140" i="11" s="1"/>
  <c r="E139" i="11"/>
  <c r="H139" i="11" s="1"/>
  <c r="E138" i="11"/>
  <c r="H138" i="11" s="1"/>
  <c r="E137" i="11"/>
  <c r="H137" i="11" s="1"/>
  <c r="E136" i="11"/>
  <c r="H136" i="11" s="1"/>
  <c r="E135" i="11"/>
  <c r="H135" i="11" s="1"/>
  <c r="E130" i="11"/>
  <c r="H130" i="11" s="1"/>
  <c r="H128" i="11"/>
  <c r="E125" i="11"/>
  <c r="H125" i="11" s="1"/>
  <c r="E124" i="11"/>
  <c r="H124" i="11" s="1"/>
  <c r="G123" i="11"/>
  <c r="H123" i="11" s="1"/>
  <c r="E123" i="11"/>
  <c r="E122" i="11"/>
  <c r="H122" i="11" s="1"/>
  <c r="E121" i="11"/>
  <c r="H121" i="11" s="1"/>
  <c r="E120" i="11"/>
  <c r="H120" i="11" s="1"/>
  <c r="E115" i="11"/>
  <c r="H115" i="11" s="1"/>
  <c r="H114" i="11"/>
  <c r="E109" i="11"/>
  <c r="H109" i="11" s="1"/>
  <c r="E108" i="11"/>
  <c r="H108" i="11" s="1"/>
  <c r="E106" i="11"/>
  <c r="H106" i="11" s="1"/>
  <c r="E103" i="11"/>
  <c r="H103" i="11" s="1"/>
  <c r="E99" i="11"/>
  <c r="E101" i="11" s="1"/>
  <c r="H101" i="11" s="1"/>
  <c r="E95" i="11"/>
  <c r="H95" i="11" s="1"/>
  <c r="C95" i="11"/>
  <c r="E93" i="11"/>
  <c r="H93" i="11" s="1"/>
  <c r="E88" i="11"/>
  <c r="H88" i="11" s="1"/>
  <c r="E87" i="11"/>
  <c r="H87" i="11" s="1"/>
  <c r="E86" i="11"/>
  <c r="H86" i="11" s="1"/>
  <c r="E83" i="11"/>
  <c r="H83" i="11" s="1"/>
  <c r="E81" i="11"/>
  <c r="H81" i="11" s="1"/>
  <c r="E80" i="11"/>
  <c r="H80" i="11" s="1"/>
  <c r="E78" i="11"/>
  <c r="H78" i="11" s="1"/>
  <c r="E77" i="11"/>
  <c r="H77" i="11" s="1"/>
  <c r="E76" i="11"/>
  <c r="H76" i="11" s="1"/>
  <c r="K70" i="11"/>
  <c r="H70" i="11"/>
  <c r="H69" i="11"/>
  <c r="H68" i="11"/>
  <c r="E66" i="11"/>
  <c r="H66" i="11" s="1"/>
  <c r="K65" i="11"/>
  <c r="G65" i="11"/>
  <c r="E65" i="11"/>
  <c r="E63" i="11"/>
  <c r="H63" i="11" s="1"/>
  <c r="H60" i="11"/>
  <c r="H59" i="11"/>
  <c r="H58" i="11"/>
  <c r="E57" i="11"/>
  <c r="H57" i="11" s="1"/>
  <c r="H54" i="11"/>
  <c r="E50" i="11"/>
  <c r="H50" i="11" s="1"/>
  <c r="E49" i="11"/>
  <c r="H49" i="11" s="1"/>
  <c r="H45" i="11"/>
  <c r="H44" i="11"/>
  <c r="H43" i="11"/>
  <c r="H41" i="11"/>
  <c r="H39" i="11"/>
  <c r="H36" i="11"/>
  <c r="H33" i="11"/>
  <c r="H31" i="11"/>
  <c r="H29" i="11"/>
  <c r="H26" i="11"/>
  <c r="H23" i="11"/>
  <c r="H21" i="11"/>
  <c r="H18" i="11"/>
  <c r="J16" i="11"/>
  <c r="J18" i="11" s="1"/>
  <c r="J21" i="11" s="1"/>
  <c r="J23" i="11" s="1"/>
  <c r="J26" i="11" s="1"/>
  <c r="J29" i="11" s="1"/>
  <c r="J31" i="11" s="1"/>
  <c r="J33" i="11" s="1"/>
  <c r="J36" i="11" s="1"/>
  <c r="J39" i="11" s="1"/>
  <c r="J41" i="11" s="1"/>
  <c r="J43" i="11" s="1"/>
  <c r="J44" i="11" s="1"/>
  <c r="J45" i="11" s="1"/>
  <c r="H16" i="11"/>
  <c r="H14" i="11"/>
  <c r="F7" i="11"/>
  <c r="F6" i="11"/>
  <c r="F5" i="11"/>
  <c r="F4" i="11"/>
  <c r="F3" i="11"/>
  <c r="F2" i="11"/>
  <c r="E7" i="9"/>
  <c r="E6" i="9"/>
  <c r="H65" i="11" l="1"/>
  <c r="I47" i="11" s="1"/>
  <c r="F13" i="9" s="1"/>
  <c r="H186" i="11"/>
  <c r="I12" i="11"/>
  <c r="E196" i="11"/>
  <c r="H196" i="11" s="1"/>
  <c r="H182" i="11"/>
  <c r="H99" i="11"/>
  <c r="H190" i="11"/>
  <c r="H220" i="11" l="1"/>
  <c r="I172" i="11"/>
  <c r="F15" i="9" s="1"/>
  <c r="I71" i="11"/>
  <c r="F14" i="9" s="1"/>
  <c r="F21" i="9" l="1"/>
  <c r="I218" i="11"/>
  <c r="F22" i="9" s="1"/>
  <c r="I222" i="11"/>
  <c r="F23" i="9" l="1"/>
  <c r="F25" i="9" s="1"/>
</calcChain>
</file>

<file path=xl/sharedStrings.xml><?xml version="1.0" encoding="utf-8"?>
<sst xmlns="http://schemas.openxmlformats.org/spreadsheetml/2006/main" count="611" uniqueCount="422">
  <si>
    <t>Information Used &amp; Assumptions</t>
  </si>
  <si>
    <t>Information Used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</si>
  <si>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</si>
  <si>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</si>
  <si>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</si>
  <si>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All costs are provisional awaiting design development.</t>
  </si>
  <si>
    <t>All included costs are subject to variation following design development.</t>
  </si>
  <si>
    <t>Risks associated with BREXIT are not considered.</t>
  </si>
  <si>
    <t>VAT is excluded from the estimate.</t>
  </si>
  <si>
    <t>Works will be undertaken in a single phase.</t>
  </si>
  <si>
    <t xml:space="preserve">Elements in red are NRM1 Phraseologies </t>
  </si>
  <si>
    <t>Quantity / unit</t>
  </si>
  <si>
    <t>Rate</t>
  </si>
  <si>
    <t>Sub-Total</t>
  </si>
  <si>
    <t>Group-Total</t>
  </si>
  <si>
    <t>£</t>
  </si>
  <si>
    <t>FACILITATING WORKS</t>
  </si>
  <si>
    <t xml:space="preserve">item </t>
  </si>
  <si>
    <t xml:space="preserve">Contaminated land </t>
  </si>
  <si>
    <t xml:space="preserve">Major demolition works </t>
  </si>
  <si>
    <t>item</t>
  </si>
  <si>
    <t>SUBSTRUCTURE</t>
  </si>
  <si>
    <t>SUPERSTRUCTURE</t>
  </si>
  <si>
    <t xml:space="preserve">Frame </t>
  </si>
  <si>
    <t>Upper Floors</t>
  </si>
  <si>
    <t>Roof</t>
  </si>
  <si>
    <t xml:space="preserve">Stairs &amp; Ramps </t>
  </si>
  <si>
    <t>External Walls</t>
  </si>
  <si>
    <t>Windows and external doors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</si>
  <si>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</si>
  <si>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</si>
  <si>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</si>
  <si>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INTERNAL FINISHES</t>
  </si>
  <si>
    <t>Wall finishes</t>
  </si>
  <si>
    <t>Finishes to walls and columns: details to be stated.</t>
  </si>
  <si>
    <t>Paint finish</t>
  </si>
  <si>
    <t>Floor finishes</t>
  </si>
  <si>
    <t>Finishes to floors: details to be stated.</t>
  </si>
  <si>
    <t>Ceiling finishes</t>
  </si>
  <si>
    <t>Finishes to ceilings: details to be stated.</t>
  </si>
  <si>
    <t>FITTINGS AND FURNISHINGS</t>
  </si>
  <si>
    <t>SERVICES</t>
  </si>
  <si>
    <t xml:space="preserve">EXTERNAL WORKS </t>
  </si>
  <si>
    <t>MAIN CONTRACTOR'S PRELIMINARIES</t>
  </si>
  <si>
    <t>Main contractors preliminaries &amp; OHP</t>
  </si>
  <si>
    <t>%</t>
  </si>
  <si>
    <t>SECTION SUB-TOTAL</t>
  </si>
  <si>
    <t>New Rules of Measurement 1</t>
  </si>
  <si>
    <t>Based on Level 2 Codes</t>
  </si>
  <si>
    <t>Elemental Cost Plan No. 1</t>
  </si>
  <si>
    <t>Y Fforwm Building</t>
  </si>
  <si>
    <t>Cost Centre</t>
  </si>
  <si>
    <t>Group Element / Element</t>
  </si>
  <si>
    <t>As Query Sheet Reference 1</t>
  </si>
  <si>
    <t>Toxic or hazardous material removal</t>
  </si>
  <si>
    <t>Toxic or hazardous material removal: details to be stated.</t>
  </si>
  <si>
    <t>Eradication of plant growth</t>
  </si>
  <si>
    <t>Eradication of Japanese knotweed, giant hogweed or other invasive plant.</t>
  </si>
  <si>
    <t>Removal and/or treatment of contaminated ground material.</t>
  </si>
  <si>
    <t>Demolition of entire buildings: details to be stated.</t>
  </si>
  <si>
    <t>Soft strip works</t>
  </si>
  <si>
    <t>Stripping out building components, services, fittings and finishes in from a building as preparatory works to demolition or refurbishment.</t>
  </si>
  <si>
    <t>Temporary support to adjacent structures</t>
  </si>
  <si>
    <t>Specialist groundworks</t>
  </si>
  <si>
    <t>Site dewatering and pumping</t>
  </si>
  <si>
    <t>Soil stabilisation measures</t>
  </si>
  <si>
    <t>Soil stabilisation measures: details to be stated.</t>
  </si>
  <si>
    <t>Ground gas venting measures</t>
  </si>
  <si>
    <t>Ground gas venting: details to be stated.</t>
  </si>
  <si>
    <t>Temporary diversion works</t>
  </si>
  <si>
    <t>Temporary diversion of existing drainage systems, existing services installations and systems, rivers, streams and the like</t>
  </si>
  <si>
    <t>Extraordinary site investigation works</t>
  </si>
  <si>
    <t>Site based archaeological investigation works</t>
  </si>
  <si>
    <t>Reptile/wildlife mitigation measures</t>
  </si>
  <si>
    <t>Relocation of reptiles/wildlife and provision of fences/barriers to cordon off the working area.</t>
  </si>
  <si>
    <t>Other extraordinary site investigation works</t>
  </si>
  <si>
    <t>Physical site investigation works: details to be stated.</t>
  </si>
  <si>
    <t>Temporary screens, fences, barriers and the like: details to be stated</t>
  </si>
  <si>
    <t>Attendance</t>
  </si>
  <si>
    <t>Not Included</t>
  </si>
  <si>
    <t>M2</t>
  </si>
  <si>
    <t>M</t>
  </si>
  <si>
    <t>Specialist foundations</t>
  </si>
  <si>
    <t>Piled foundations</t>
  </si>
  <si>
    <t>Measure Reference</t>
  </si>
  <si>
    <t>Piles: details, including type, diameter (mm) and depth (m) of piles, to be stated.</t>
  </si>
  <si>
    <t>Nr</t>
  </si>
  <si>
    <t>Triple Pilecap; As Plan drawing 181 C7</t>
  </si>
  <si>
    <t>Pile caps: details, including size of and reinforcement rate(kg/m3) to pile cap, to be stated.</t>
  </si>
  <si>
    <t>Reinforcement rate not stated in documents.</t>
  </si>
  <si>
    <t>Ground beams: details, including size of and reinforcement rate (kg/m3) to pile cap, to be stated.</t>
  </si>
  <si>
    <t>1.2.4</t>
  </si>
  <si>
    <t>1.2.12</t>
  </si>
  <si>
    <t>1.2.13</t>
  </si>
  <si>
    <t>As document titled "1.2.13 Ground Beams Fforwm"</t>
  </si>
  <si>
    <t>As document titled "1.2.12 Pile Caps Fforwm"</t>
  </si>
  <si>
    <t>1.3.1</t>
  </si>
  <si>
    <t>Lowest floor construction: details to be stated.</t>
  </si>
  <si>
    <t>Ground Beams to measure 750mm wide x 450mm depth U.N.O</t>
  </si>
  <si>
    <t>Size referenced from drawing 181 C7</t>
  </si>
  <si>
    <t>Notes / Assumptions</t>
  </si>
  <si>
    <t>Based on 250/244 Dia Piles as drawing 181 C7. Depth not noted.</t>
  </si>
  <si>
    <t>M3</t>
  </si>
  <si>
    <t>No Reinforcement stated in documents.</t>
  </si>
  <si>
    <t>Slab as Section 2. (Lift Pit) at 1200mm Depth</t>
  </si>
  <si>
    <t>Extra over lowest floor construction for forming of lift pits and the like: details, including the number and size (m) of lift pits, to be stated.</t>
  </si>
  <si>
    <t>2NR Lift Pits; 2350mm x 1600mm x 1000mm Depth</t>
  </si>
  <si>
    <t>As Section 2. (Lift Pit) shown on drawing 183 C6.</t>
  </si>
  <si>
    <t>As shown on drawing 182 C5.</t>
  </si>
  <si>
    <t>1Nr Pit; 900mm x 900mm x 900mm Depth. 200 Thick RC Base Slab and 200 Thick RC Walls; 1 Layer A393 Mesh to All faces top and bottom.</t>
  </si>
  <si>
    <t>1Nr Pit; 1500mm x 900mm x 900mm Depth. 200 Thick RC Base Slab and 200 Thick RC Walls; 1 Layer A393 Mesh to All faces top and bottom. Top Edge to have 100 x 100 galvanised angle with fish tail tangs all round to to support checker plate.</t>
  </si>
  <si>
    <t>1.3.3</t>
  </si>
  <si>
    <t>Rate/Cost Reference</t>
  </si>
  <si>
    <t>As Structural Foundation Schedule shown on Drawing 180 C4.</t>
  </si>
  <si>
    <t>Rate used from Spon’s Civil Engineering and Highway Works Price Book 2020. Page 281, Class P: Piles.</t>
  </si>
  <si>
    <t>Excavation</t>
  </si>
  <si>
    <t>Excavate Topsoil; Maximium depth ne 0.25m</t>
  </si>
  <si>
    <t>Rate used from Spon’s Civil Engineering and Highway Works Price Book 2020. Page 188, Class E: Earthworks.</t>
  </si>
  <si>
    <t>Excavate material other than topsoil, rock or artificial hard material; 1.0-2.0 M Deep</t>
  </si>
  <si>
    <t>As document titled "1 Ground Area Fforwm"</t>
  </si>
  <si>
    <t>As Above.</t>
  </si>
  <si>
    <t>Single Pilecap; 750mm x 750mm x 750mm Depth</t>
  </si>
  <si>
    <t>Double Pilecap; 750mm x 1300mm x 750mm Depth</t>
  </si>
  <si>
    <t>Double Pilecap Type A; 1100mm x 1300mm x 750mm Depth</t>
  </si>
  <si>
    <t>Excavate pit in firm ground by machine, partial backfill, partial disposal, support, compaction, cut off pile and prepare reinforcement, formwork; reinforced in situ concrete cap 25 N/mm²; reinforcement at 50 kg/m³; rates per cap for cap size</t>
  </si>
  <si>
    <t>Rate used from Spon’s Civil Engineering and Highway Works Price Book 2020. Page 107, General Building Works.</t>
  </si>
  <si>
    <t>Precast concrete ground beams; square ends and dowelled. Supplied and installed in lengths to span between stanchion bases; concrete strength C50; maximum UDL of 4.5 kN/m; in situ work at beam ends not included</t>
  </si>
  <si>
    <t>Rate used from Spon’s Civil Engineering and Highway Works Price Book 2020. Page 108, General Building Works.</t>
  </si>
  <si>
    <t>Rate as 250mm thick concrete slab with extra over for every additional 50mm thick concrete.</t>
  </si>
  <si>
    <t>Rate used for 13 person lift as 8 person is too small.</t>
  </si>
  <si>
    <t>As above</t>
  </si>
  <si>
    <t>Concrete Lift Pit rate for 8 person used as no other suitable rate for deep pit available.</t>
  </si>
  <si>
    <t>2.1.4</t>
  </si>
  <si>
    <t>2.1</t>
  </si>
  <si>
    <t>Concrete frames</t>
  </si>
  <si>
    <t>2.1.4.1</t>
  </si>
  <si>
    <t>Columns: details, including number (nr) of columns, column size (mm), concrete grade, reinforcement rate (kg/m3) and type of formwork finish, to be stated.</t>
  </si>
  <si>
    <t>Detail As shown in drawing 280 C3, Height as Elevations. Section 3. (Typical Internal Section) states 500 Dia RC Column. RC assumed at 180KG/M2.</t>
  </si>
  <si>
    <t>Rate used from Spon’s Civil Engineering and Highway Works Price Book 2020. Page 109, General Building Works. Rate of 300mm x 600mm /M Used.</t>
  </si>
  <si>
    <t>No Diametre rate. Same rate as above used as area is near enough the same and the next rate is double the area.</t>
  </si>
  <si>
    <t>Higher rate of 300mm x 600mm /M Rate used as larger rates are to high in comparison to side increase.</t>
  </si>
  <si>
    <t>As shown in document "2.1.4.1 Columns Fforwm".</t>
  </si>
  <si>
    <t>As document titled "1.3.1 Ground Floor Slab Fforwm"</t>
  </si>
  <si>
    <t>150 MM Thick RC Ground Bearing Slab</t>
  </si>
  <si>
    <t>Beams: details, including number (nr) of beams, beam size (mm), reinforcement rate (kg/m3) and type of formwork finish, to be stated.</t>
  </si>
  <si>
    <t>2.1.4.2</t>
  </si>
  <si>
    <t>150 x 490 mm RC Beam</t>
  </si>
  <si>
    <t>500 X 300 mm RC concrete columns @ 7.6M Height</t>
  </si>
  <si>
    <t>500 mm Diametre RC concrete columns @ 7.6M Height</t>
  </si>
  <si>
    <t>500 X 385 mm RC concrete columns @ 7.6M Height</t>
  </si>
  <si>
    <t>Details as shown in drawing 281 C4. RC assumed at 200kg/M3.</t>
  </si>
  <si>
    <t>Rate used from Spon’s Civil Engineering and Highway Works Price Book 2020. Page 110, General Building Works. Rate of 225mm x 450mm /M Used as larger rates are to high in comparison to the size of beam being used.</t>
  </si>
  <si>
    <t>300 x 490 mm RC Beam</t>
  </si>
  <si>
    <t>As above.</t>
  </si>
  <si>
    <t>275 x 250 mm RC Beam</t>
  </si>
  <si>
    <t>Rate as 225mm x 450mm used, as detailed above.</t>
  </si>
  <si>
    <t>2.1.4.3</t>
  </si>
  <si>
    <t>Walls: details, including thickness of wall (mm), concrete grade, reinforcement rate (kg/m3) and type of formwork finish, to be stated.</t>
  </si>
  <si>
    <t>600MM Height as Section 1 (Typical Edge Section) shown on drawing 183 C6.</t>
  </si>
  <si>
    <t>As shown in document "2.1.4.3 Perimetre Walls Fforwm"</t>
  </si>
  <si>
    <t>Rate used from Spon’s Civil Engineering and Highway Works Price Book 2020. Page 119, General Building Works.</t>
  </si>
  <si>
    <t>As shown in document "2.1.4.2 Beams Fforwm" and "2.1.4.2 Beams Second Floor Fforwm".</t>
  </si>
  <si>
    <t>As shown in document "2.1.4.3 Lift Walls Fforwm"</t>
  </si>
  <si>
    <t>150mm thick</t>
  </si>
  <si>
    <t>In situ reinforced concrete 25.00 N/mm²; 15 kg/m² reinforcement; formwork both sides;</t>
  </si>
  <si>
    <t>Rate 300mm Thick as next rate below 300mm was 225mm.</t>
  </si>
  <si>
    <t>250mm thick; Lift Walls</t>
  </si>
  <si>
    <t>250mm thick; Stair Walls</t>
  </si>
  <si>
    <t>As shown in document "2.1.4.3 Stair Walls Fforwm"</t>
  </si>
  <si>
    <t>Suspended slabs; thickness 150-300mm; 275mm</t>
  </si>
  <si>
    <t>275MM thick slab as drawing 281 C4.</t>
  </si>
  <si>
    <t>Rate used from Spon’s Civil Engineering and Highway Works Price Book 2020. Page 206, Class F: In Situ Concrete.</t>
  </si>
  <si>
    <t>First Floor</t>
  </si>
  <si>
    <t>Second Floor</t>
  </si>
  <si>
    <t>Suspended floor slab: details, including type, thickness (mm), span (m) and loading (kN/m2), to be stated.</t>
  </si>
  <si>
    <t>2.2.1.5</t>
  </si>
  <si>
    <t>As shown in document "2.2.1.5 Suspended Slab Fforwm"</t>
  </si>
  <si>
    <t>As shown in document "2.2.1.5 Suspended Slab Second Floor Fforwm"</t>
  </si>
  <si>
    <t>Roof structure – pitched roofs: details, including design loads (kN/m2), spans (m) and angle of pitch (°), to be stated.</t>
  </si>
  <si>
    <t>2.3.1.1</t>
  </si>
  <si>
    <t xml:space="preserve">M2 </t>
  </si>
  <si>
    <t>Design load, span and angle TBC</t>
  </si>
  <si>
    <t>As shown In document "2.3.1.1 Roof Structure Fforwm"</t>
  </si>
  <si>
    <t>Rate used from Spon’s Civil Engineering and Highway Works Price Book 2020. Page 113, General Building Works.</t>
  </si>
  <si>
    <t>Softwood trussed pitched roofs; Structure only. Timber roof trusses and bracings only; comprising 75mm× 50mm roof trusses at 600mm centres</t>
  </si>
  <si>
    <t>2.3.2.1</t>
  </si>
  <si>
    <t>Roof coverings, non-structural screeds, thermal insulation, and surface treatments: details to be stated.</t>
  </si>
  <si>
    <t>Rate used from Spon’s Civil Engineering and Highway Works Price Book 2020. Page 114, General Building Works.</t>
  </si>
  <si>
    <t>Aluminium roofing; standing seam</t>
  </si>
  <si>
    <t>2.3.4.1</t>
  </si>
  <si>
    <t>Gutters: details to be stated.</t>
  </si>
  <si>
    <t xml:space="preserve">300mm Gutter, Material and Price TBC </t>
  </si>
  <si>
    <t>No Price for over 170mm Guttering. No price included.</t>
  </si>
  <si>
    <t>Rainwater pipes: details to be stated.</t>
  </si>
  <si>
    <t>Rainwater downpipes pipes; fixed to backgrounds; including offsets and shoes</t>
  </si>
  <si>
    <t>Rate used from Spon’s Civil Engineering and Highway Works Price Book 2020. Page 115, General Building Works.</t>
  </si>
  <si>
    <t>100mm Diametre UPVC Pipework</t>
  </si>
  <si>
    <t xml:space="preserve">110mm Rate used as closest suitable. </t>
  </si>
  <si>
    <t>Height measured as 10.92M as shown in document "2.3.4.1 Roof Downpipes Fforwm"</t>
  </si>
  <si>
    <t>Rooflights, skylights and openings: type and size to be stated.</t>
  </si>
  <si>
    <t>2.3.5.1</t>
  </si>
  <si>
    <t>individual polycarbonate rooflights; rectangular; fixed light; 4Nr</t>
  </si>
  <si>
    <t>As noted in elevation drawing, legend key item 11</t>
  </si>
  <si>
    <t>As shown in document "2.3.5.1 Roof Openings Fforwm"</t>
  </si>
  <si>
    <t>Rate used from Spon’s Civil Engineering and Highway Works Price Book 2020. Page 116, General Building Works.</t>
  </si>
  <si>
    <t>PPC metal ventilation louvres</t>
  </si>
  <si>
    <t>No Price for opening suitable for louvre. No price included.</t>
  </si>
  <si>
    <t>As shown in document "2.3.5.1 Roof Openings Louvre Fforwm"</t>
  </si>
  <si>
    <t>Stair structures: details, including vertical rise of staircase, to be stated.</t>
  </si>
  <si>
    <t>2.4.1.1</t>
  </si>
  <si>
    <t>Grid 2-4 Staircase</t>
  </si>
  <si>
    <t>Staircase; terrazzo finish; stainless steel balustrades and handrails; plastered and decorated soffit 3.00m rise; dogleg</t>
  </si>
  <si>
    <t>Rate used from Spon’s Civil Engineering and Highway Works Price Book 2020. Page 117, General Building Works.</t>
  </si>
  <si>
    <t>plus or minus for each 300mm variation in storey height</t>
  </si>
  <si>
    <t>14.9 SSL Minus 7.7 FFL = 7.2LM Height</t>
  </si>
  <si>
    <t>As elevation drawing 290 C1</t>
  </si>
  <si>
    <t>7.2M Height minus 2x3M Rise = 1.2 LM Storey variation / 300mm = 4Nr</t>
  </si>
  <si>
    <t>External walls: details to be stated.</t>
  </si>
  <si>
    <t>2.5.1.1</t>
  </si>
  <si>
    <t>Facing brick walls; sand faced facings; bricks PC £500.00/1000 half brick thick; pointed one side</t>
  </si>
  <si>
    <t>AS shown in document "2.5.1.1 Facing Brickwork EL.1"</t>
  </si>
  <si>
    <t>Rate used from Spon’s Civil Engineering and Highway Works Price Book 2020. Page 118, General Building Works.</t>
  </si>
  <si>
    <t>AS shown in document "2.5.1.1 Facing Brickwork EL.2"</t>
  </si>
  <si>
    <t>Assumed half brick thick with pointed on one side as internal make up is not facing brickwork.</t>
  </si>
  <si>
    <t>as above.</t>
  </si>
  <si>
    <t>Facing brickwork - Ibstock Chester Red Blend; Elevation Sheet 1</t>
  </si>
  <si>
    <t>Facing brickwork - Ibstock Chester Red Blend; Elevation Sheet 2</t>
  </si>
  <si>
    <t xml:space="preserve">Design Drawings; </t>
  </si>
  <si>
    <t>By Jack Arthurs</t>
  </si>
  <si>
    <t>Dated: April 2022</t>
  </si>
  <si>
    <t>Extra over external walls for plinths, cornices, ornamental bands and the like: details to be stated.</t>
  </si>
  <si>
    <t>2.5.1.2</t>
  </si>
  <si>
    <t>plinths; projection 103mm× 900mm wide</t>
  </si>
  <si>
    <t>As drawing titled "Technical Elevations Sheet 1" and "Technical Elevations Sheet 2"</t>
  </si>
  <si>
    <t>Rate used from Spon’s Civil Engineering and Highway Works Price Book 2020. Page 332, Class 3: Brickwork, Blockwork and Masonry.</t>
  </si>
  <si>
    <t>Extra over cladding or curtain walling system for integral opening vents and panels: details, including purpose of opening and overall size of opening (mm), to be stated.</t>
  </si>
  <si>
    <t>2.5.1.7</t>
  </si>
  <si>
    <t>PPC shading louvres and Supply / extract louvre</t>
  </si>
  <si>
    <t>As shown in document "2.5.1.7 Vent Openings"</t>
  </si>
  <si>
    <t xml:space="preserve">As detailed in Elevation Sheet 2 as type 7 and 13. </t>
  </si>
  <si>
    <t>No rate in Spons Document suitable.</t>
  </si>
  <si>
    <t>Rate used from Spon’s Civil Engineering and Highway Works Price Book 2020. Page 120, General Building Works.</t>
  </si>
  <si>
    <t>As shown in document "2.5.1.1 Cladding"</t>
  </si>
  <si>
    <t>Aluminium rainscreen cladding for library - Ash &amp; Lacy Ashtech Lingrid, Dark Grey PPC, colour RAL 7016 - H92/120A; Elevation 1</t>
  </si>
  <si>
    <t>Aluminium rainscreen cladding for library - Ash &amp; Lacy Ashtech Lingrid, Dark Grey PPC, colour RAL 7016 - H92/120A; Elevation 2</t>
  </si>
  <si>
    <t>As shown in document "2.5.1.1 Cladding 2"</t>
  </si>
  <si>
    <t>As shown in document "2.5.1.1 Curtain Walling"</t>
  </si>
  <si>
    <t>Vertical aluminium curtain walling - Kawneer AA100, dark grey PPC, colour RAL 7016 - H11/110; Elevation 1</t>
  </si>
  <si>
    <t>Vertical aluminium curtain walling - Kawneer AA100, dark grey PPC, colour RAL 7016 - H11/110; Elevation 2</t>
  </si>
  <si>
    <t>As shown in document "2.5.1.1 Curtain Walling 2"</t>
  </si>
  <si>
    <t>2.6.1.1</t>
  </si>
  <si>
    <t>Windows: details, including overall size of opening (mm), to be stated.</t>
  </si>
  <si>
    <t>Aluminium window - Kawneer AA541, dark grey PPC, colour RAL 7016 - L10/330</t>
  </si>
  <si>
    <t>W Type 1; 460mm x 2400mm</t>
  </si>
  <si>
    <t>W Type 2; 1360mm x 2400mm</t>
  </si>
  <si>
    <t>W Type 2a; 1360mm x 2400mm</t>
  </si>
  <si>
    <t xml:space="preserve">W Type 3; 1360mm x 2400mm </t>
  </si>
  <si>
    <t>W Type 3a; 1360mm x 2400mm</t>
  </si>
  <si>
    <t>W Type 4; 1360mm x 2400mm</t>
  </si>
  <si>
    <t>W Type 5; 1360mm x 3225mm</t>
  </si>
  <si>
    <t>W Type 6; 1360mm x 3225mm</t>
  </si>
  <si>
    <t>W Type 7; 3450mm x 3265mm</t>
  </si>
  <si>
    <t>Quantity and size referenced from document "Window Elevations"</t>
  </si>
  <si>
    <t>As document titled "Window Elevations"</t>
  </si>
  <si>
    <t>Composite aluminium/timber windows; U-value = 1.5W/m2K Purpose-made windows; stainless steel ironmongery; Velfac System 200 or similar</t>
  </si>
  <si>
    <t>Rate used from Spon’s Civil Engineering and Highway Works Price Book 2020. Page 124, General Building Works.</t>
  </si>
  <si>
    <t>£290/M2 Up to 1.5m2. £260/M2 Up to 1.5m2-4M2.</t>
  </si>
  <si>
    <t>UWTSD Library FIRST</t>
  </si>
  <si>
    <t>UWTSD Library GROUND</t>
  </si>
  <si>
    <t>Fforwm A1toA3 scaled (1)</t>
  </si>
  <si>
    <t>UWTSD Library SECOND</t>
  </si>
  <si>
    <t>UWTSD_STL_04_00_DR_A_ZZZZ_11D01_C119_Ground Floor Plan</t>
  </si>
  <si>
    <t>UWTSD_STL_04_01_DR_A_ZZZZ_11D02_C119_First Floor Plan</t>
  </si>
  <si>
    <t>UWTSD_STL_04_02_DR_A_ZZZZ_11D03_C119_Second Floor Plan</t>
  </si>
  <si>
    <t>UWTSD_STL_04_ZZ_DR_A_ZZZZ_21D01_C119_Technical Elevations Sheet 1</t>
  </si>
  <si>
    <t>UWTSD_STL_04_ZZ_DR_A_ZZZZ_21D02_C119_Technical Elevations Sheet 2</t>
  </si>
  <si>
    <t>UWTSD_STL_04_ZZ_DR_A_ZZZZ_62D01_C119_Window Elevations</t>
  </si>
  <si>
    <t>UWTSD_STL_04_ZZ_DR_A_ZZZZ_64D01_C119_Curtain Wall Elevations Sheet 1 (1)</t>
  </si>
  <si>
    <t>UWTSD_STL_04_ZZ_DR_A_ZZZZ_64D02_C119_Curtain Wall Elevations Sheet 2</t>
  </si>
  <si>
    <t>UWTSD_STL_04_ZZ_DR_A_ZZZZ_71D02_C119_Library Door Elevations</t>
  </si>
  <si>
    <t>UWTSD_STL_04_ZZ_SH_A_ZZZZ_71D01_C119_Library Door Schedule</t>
  </si>
  <si>
    <t>nrm-1-order-of-cost-estimating-and-cost-planning-2nd-edition-rics</t>
  </si>
  <si>
    <t>Spon_s Civil 2020 (1)</t>
  </si>
  <si>
    <t>2.6.2.1</t>
  </si>
  <si>
    <t>External doors: details, including type, number of door leaves (nr), size of each door leaf (mm) and overall size of opening (mm), to be stated.</t>
  </si>
  <si>
    <t>Composite aluminium/timber entrance screens and doors; U-value = 1.5W/m2K Purpose-made doors glazed single personnel door; stainless steel ironmongery; Velfac System100 or similar</t>
  </si>
  <si>
    <t>Rate used from Spon’s Civil Engineering and Highway Works Price Book 2020. Page 125, General Building Works.</t>
  </si>
  <si>
    <t>As document titled "Technical Elevations Sheet 1" and "Technical Elevations Sheet 2"</t>
  </si>
  <si>
    <t>Assumed as described, unless otherwise stated.</t>
  </si>
  <si>
    <t>NOTE: ALL OTHER EXTERNAL DOORS ARE INCLUDED IN CURTAIN WALLING ITEMS</t>
  </si>
  <si>
    <t>External Single doors</t>
  </si>
  <si>
    <t>2.6.2.2</t>
  </si>
  <si>
    <t>Revolving doors: details, including overall size of opening (mm), to be stated.</t>
  </si>
  <si>
    <t>Automatic Glazed Entrance Doors; Automatic revolving door, structural glass. ASSA ABLOY automatic glass revolving door system providing hands free operation and Hi-Tech functionality. Modern modular design comprising four door leaves, curve glazed outer walls, glass ceiling/canopy, complete with in-floor mounted operator and imbedded digital control</t>
  </si>
  <si>
    <t>Assumed as described, unless otherwise stated. 3M stated in rate used, used highest rate range possible.</t>
  </si>
  <si>
    <t>Rate used from Spon’s Civil Engineering and Highway Works Price Book 2020. Page 126, General Building Works.</t>
  </si>
  <si>
    <t>Internal walls and partitions</t>
  </si>
  <si>
    <t>Internal walls: details, including thickness, to be stated.</t>
  </si>
  <si>
    <t>Metal stud and board partitions; height range from 2.40m to 3.30m</t>
  </si>
  <si>
    <t>73mm partition; 48mm studs and channels; one layer of 12.5mm Gyproc Wallboard each side; joints filled with joint filler and joint tape; emulsion paint finish; softwood skirtings with gloss finish</t>
  </si>
  <si>
    <t>Ground Floor</t>
  </si>
  <si>
    <t>As document titled "2.7.1.1 Ground Int Walls Fforwm"</t>
  </si>
  <si>
    <t>No details noted on documents. Assumed as detail described. Height taken from Elevation Sheet 1.</t>
  </si>
  <si>
    <t>2.7.1.1</t>
  </si>
  <si>
    <t>As document titled "2.7.1.1 First Int Walls Fforwm"</t>
  </si>
  <si>
    <t>As document titled "2.7.1.1 Second Int Walls Fforwm"</t>
  </si>
  <si>
    <t>2.7.4</t>
  </si>
  <si>
    <t>Framed panel cubicles</t>
  </si>
  <si>
    <t>standard quality WC cubicle partition sets; aluminium framing; melamine face chipboard dividing panels and doors; ironmongery; small range (up to 5 cubicles); standard cubicle set; (rate per cubicle)</t>
  </si>
  <si>
    <t>Quantity as counted in floor plans.</t>
  </si>
  <si>
    <t>Rate used from Spon’s Civil Engineering and Highway Works Price Book 2020. Page 128, General Building Works.</t>
  </si>
  <si>
    <t>Standard doors; Standard doors; cellular core; softwood; softwood architrave; aluminium ironmongery (latch only) single leaf; moulded panel; gloss paint finish</t>
  </si>
  <si>
    <t>Rate used from Spon’s Civil Engineering and Highway Works Price Book 2020. Page 129, General Building Works.</t>
  </si>
  <si>
    <t>Quantity as counted in document titled "Library Door Schedule"</t>
  </si>
  <si>
    <t>As Above</t>
  </si>
  <si>
    <t>Fire doors; Standard fire doors; cellular core; softwood lining; softwood architrave; aluminuim ironmongery (lockable, self-closure); painting or polishing; single leaf; Oak veneered; 30 min fire resistance; polished</t>
  </si>
  <si>
    <t>Fire doors; Standard fire doors; cellular core; softwood lining; softwood architrave; aluminuim ironmongery (lockable, self-closure); painting or polishing; single leaf; Oak veneered; 60 min fire resistance; polished</t>
  </si>
  <si>
    <t>Fire doors; Standard fire doors; cellular core; softwood lining; softwood architrave; aluminuim ironmongery (lockable, self-closure); painting or polishing; double leaf; Oak veneered; 60 min fire resistance; polished</t>
  </si>
  <si>
    <t>No Rate for FD120; Used Double Leaf 60 Min as suitable rate.</t>
  </si>
  <si>
    <t>2.8.1.1</t>
  </si>
  <si>
    <t>2.8.1.2</t>
  </si>
  <si>
    <t>Included in Section 2.7</t>
  </si>
  <si>
    <t>Carpet tiles; including underlay, edge grippers heavy domestic duty; to floors; PC Sum £38/m2</t>
  </si>
  <si>
    <t>Rate used from Spon’s Civil Engineering and Highway Works Price Book 2020. Page 132, General Building Works.</t>
  </si>
  <si>
    <t>As document titled "3.2 Ground Floor Finishes"</t>
  </si>
  <si>
    <t>Carpet to all locations other than WC areas.</t>
  </si>
  <si>
    <t>As document titled "3.2 Ground Floor WC Finishes"</t>
  </si>
  <si>
    <t>vinyl floor tiling; 2.00mm thick</t>
  </si>
  <si>
    <t xml:space="preserve">Flowing Screeds; Latex screeds; self colour; 3mm to 5mm thick; </t>
  </si>
  <si>
    <t>Latex to Vinyl Areas.</t>
  </si>
  <si>
    <t>As document titled "3.2 First Floor Finishes"</t>
  </si>
  <si>
    <t>As document titled "3.2 First Floor WC Finishes"</t>
  </si>
  <si>
    <t>As document titled "3.2 Second Floor Finishes"</t>
  </si>
  <si>
    <t>As document titled "3.2 Second Floor WC Finishes"</t>
  </si>
  <si>
    <t>perforated aluminium ceiling tiles 600mm× 600mm</t>
  </si>
  <si>
    <t>Assumed Suspended Ceilings as not deatiled in documents.</t>
  </si>
  <si>
    <t>Ceiling Area same as Flooring Area.</t>
  </si>
  <si>
    <t>Rate used from Spon’s Civil Engineering and Highway Works Price Book 2020. Page 133, General Building Works.</t>
  </si>
  <si>
    <t>Demountable suspended ceilings: details to be stated.</t>
  </si>
  <si>
    <t>Fittings, furnishings and equipment</t>
  </si>
  <si>
    <t>No Fittings and Furnishings allowed for due to high nature</t>
  </si>
  <si>
    <t>of variety in Pricing Document,</t>
  </si>
  <si>
    <t>No rate would be suitable to accuratly budget.</t>
  </si>
  <si>
    <t>No Services allowed for due to high nature</t>
  </si>
  <si>
    <t>No Services drawing to quantify in documents.</t>
  </si>
  <si>
    <t>Cost/M2 of GIFA</t>
  </si>
  <si>
    <t>Total Cost of Element (Target Cost)</t>
  </si>
  <si>
    <t>Summary Of</t>
  </si>
  <si>
    <t>Cost Plan</t>
  </si>
  <si>
    <t>FACILITATING WORKS AND BUILDING WORKS</t>
  </si>
  <si>
    <t>Facilitating works</t>
  </si>
  <si>
    <t>Substructure</t>
  </si>
  <si>
    <t>Superstructure</t>
  </si>
  <si>
    <t>Internal finishes</t>
  </si>
  <si>
    <t>Services</t>
  </si>
  <si>
    <t>Prefabricated buildings and building units</t>
  </si>
  <si>
    <t>Work to existing buildings</t>
  </si>
  <si>
    <t>External works</t>
  </si>
  <si>
    <t>SUB-TOTAL: FACILITATING WORKS AND BUILDING WORKS (A)</t>
  </si>
  <si>
    <t>Main contractor’s preliminaries (B)</t>
  </si>
  <si>
    <t>SUB-TOTAL: FACILITATING WORKS AND BUILDING WORKS (including main contractor’s preliminaries) (C) [C = A + B]</t>
  </si>
  <si>
    <t>Main contractor’s overheads and profit (D)</t>
  </si>
  <si>
    <t>TOTAL: BUILDINGWORKS ESTIMATE (E) [E = C + D]</t>
  </si>
  <si>
    <t>Excluded (See Note)</t>
  </si>
  <si>
    <t>Note:</t>
  </si>
  <si>
    <t>Facilitating works excluded as no requirements in contract documents.</t>
  </si>
  <si>
    <t>Fittings, furnishigns and equipment excluded as no requirements in contract documents.</t>
  </si>
  <si>
    <t>Services excluded as no requirements in contract documents.</t>
  </si>
  <si>
    <t>Prefabricated buildings and building units excluded as no requirements in contract documents.</t>
  </si>
  <si>
    <t>Work to existing buildings excluded as no requirements in contract documents.</t>
  </si>
  <si>
    <t>External works excluded as no requirements in contract documents.</t>
  </si>
  <si>
    <t>MAIN CONTRACTOR'S OVERHEADS AND PROFIT</t>
  </si>
  <si>
    <t>Main Contractor'S Overheads And Profit</t>
  </si>
  <si>
    <t>Costs are based upon what is referenced in the Rate/Cost Reference column.</t>
  </si>
  <si>
    <t>The exact nature of specification for numerous items, as noted in the cost plan, is as assumed.</t>
  </si>
  <si>
    <t>Assumed no details of any particular restraints to be imposed by the employer, local planners or statutory undertakers.</t>
  </si>
  <si>
    <t>Assumed no details of indicitave life span</t>
  </si>
  <si>
    <t>Assumed no details of particular site conditions</t>
  </si>
  <si>
    <t>Piles are assumed as concrete piles as shown in elevation drawings.</t>
  </si>
  <si>
    <t>Piles are assumed as bored, casts in place.</t>
  </si>
  <si>
    <t>Piles are assumed as installed by lorry/crawler mounted rotary rig.</t>
  </si>
  <si>
    <t>The pits on line 7 - 8 are not lift pits, however, are priced as so due to no other rates suitable.</t>
  </si>
  <si>
    <t>No structural Screed Included.</t>
  </si>
  <si>
    <t>General assumptions, Notes, Exclusions;</t>
  </si>
  <si>
    <t>Risks associated with COVID-19 Virus are not considered.</t>
  </si>
  <si>
    <t>No risk allowance is included for this estimate.</t>
  </si>
  <si>
    <t>Floor Finishes not detailed, assumed as carpet throughout with vinyl in WC areas.</t>
  </si>
  <si>
    <t>Ceiling Finishes not detailed, assumed as demountable suspended ceiling throughout.</t>
  </si>
  <si>
    <t>All measures are as per documents attached.</t>
  </si>
  <si>
    <t>All assumptions, notes and exclusions if not included below, as per Notes / Assumptions column in Cost Plan.</t>
  </si>
  <si>
    <t xml:space="preserve">Student name: </t>
  </si>
  <si>
    <t>Jack Arthurs</t>
  </si>
  <si>
    <t>Return email:</t>
  </si>
  <si>
    <t>1906127@student.uwtsd.ac.uk</t>
  </si>
  <si>
    <t>Y Fforwm Building - Cost Plan</t>
  </si>
  <si>
    <t>Query Sheet Nr. 1</t>
  </si>
  <si>
    <t>Date :</t>
  </si>
  <si>
    <t>QUERY LIST</t>
  </si>
  <si>
    <t>Answer</t>
  </si>
  <si>
    <t>Are there particular programme or key dates to meet?</t>
  </si>
  <si>
    <t>Pile Length not noted. What is the proposed length?</t>
  </si>
  <si>
    <t>Are concrete piles are to be Bored, Cast in Place?</t>
  </si>
  <si>
    <t>Assumed as such until otherwise informed.</t>
  </si>
  <si>
    <t xml:space="preserve">Are the piles to be installed by lorry/crawler </t>
  </si>
  <si>
    <t>mounted rotary rig?</t>
  </si>
  <si>
    <t>No reinforcement concrete stated in pile caps.</t>
  </si>
  <si>
    <t>Is there any to be included?</t>
  </si>
  <si>
    <t>Column rates as comments on BQ. Is this suitable?</t>
  </si>
  <si>
    <t>No Structural screed located, is this required?</t>
  </si>
  <si>
    <t>No roof detail shown on documents.</t>
  </si>
  <si>
    <t>What is the roof makeup?</t>
  </si>
  <si>
    <t>Assumed as softwood trussed pitched roof</t>
  </si>
  <si>
    <t>Guttering is shown however no data specified.</t>
  </si>
  <si>
    <t>Measure complete but no rate available.</t>
  </si>
  <si>
    <t xml:space="preserve"> </t>
  </si>
  <si>
    <t>Is guttering required in take off?</t>
  </si>
  <si>
    <t>The external doors have no detail / specification</t>
  </si>
  <si>
    <t>They are priced as Composite aluminium/timber</t>
  </si>
  <si>
    <t>entrance screens and doors; Is this suitable?</t>
  </si>
  <si>
    <t>There is no detail stated for the internal walls.</t>
  </si>
  <si>
    <t>What is the detail for these?</t>
  </si>
  <si>
    <t>Metal stud and board partitions allowed for.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</si>
</sst>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#,##0_);[Red]\(#,##0_);"/>
    <numFmt numFmtId="166" formatCode="[$-F800]dddd\,\ mmmm\ dd\,\ yyyy"/>
  </numFmts>
  <fonts count="3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name val="Times New Roman"/>
      <family val="1"/>
    </font>
    <font>
      <sz val="8"/>
      <name val="Calibri"/>
      <family val="2"/>
      <scheme val="minor"/>
    </font>
    <font>
      <b/>
      <sz val="17"/>
      <color rgb="FF0091CF"/>
      <name val="Calibri"/>
      <family val="2"/>
    </font>
    <font>
      <sz val="17"/>
      <color rgb="FF0091CF"/>
      <name val="Calibri"/>
      <family val="2"/>
    </font>
    <font>
      <b/>
      <u/>
      <sz val="17"/>
      <color rgb="FF004194"/>
      <name val="Calibri"/>
      <family val="2"/>
    </font>
    <font>
      <sz val="17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i/>
      <sz val="10"/>
      <color rgb="FFFF0000"/>
      <name val="Calibri"/>
      <family val="2"/>
    </font>
    <font>
      <b/>
      <u/>
      <sz val="10"/>
      <color theme="1"/>
      <name val="Calibri"/>
      <family val="2"/>
    </font>
    <font>
      <sz val="10"/>
      <color rgb="FFFF0000"/>
      <name val="Calibri"/>
      <family val="2"/>
    </font>
    <font>
      <i/>
      <sz val="10"/>
      <name val="Calibri"/>
      <family val="2"/>
    </font>
    <font>
      <u/>
      <sz val="10"/>
      <color theme="1"/>
      <name val="Calibri"/>
      <family val="2"/>
    </font>
    <font>
      <b/>
      <u/>
      <sz val="10"/>
      <name val="Calibri"/>
      <family val="2"/>
    </font>
    <font>
      <i/>
      <sz val="10"/>
      <color theme="1"/>
      <name val="Calibri"/>
      <family val="2"/>
    </font>
    <font>
      <sz val="18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u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2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Protection="0">
      <alignment vertical="top" wrapText="1"/>
    </xf>
    <xf numFmtId="0" fontId="4" fillId="0" borderId="0"/>
    <xf numFmtId="0" fontId="5" fillId="0" borderId="0"/>
    <xf numFmtId="0" fontId="2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1" fillId="0" borderId="0" applyNumberFormat="0" applyFill="0" applyBorder="0" applyAlignment="0" applyProtection="0"/>
  </cellStyleXfs>
  <cellXfs count="228">
    <xf numFmtId="0" fontId="0" fillId="0" borderId="0" xfId="0"/>
    <xf numFmtId="0" fontId="3" fillId="0" borderId="0" xfId="4">
      <alignment vertical="top" wrapText="1"/>
    </xf>
    <xf numFmtId="0" fontId="6" fillId="0" borderId="0" xfId="4" applyFont="1">
      <alignment vertical="top" wrapText="1"/>
    </xf>
    <xf numFmtId="0" fontId="7" fillId="0" borderId="0" xfId="7" applyFont="1" applyAlignment="1">
      <alignment horizontal="left" vertical="top" wrapText="1"/>
    </xf>
    <xf numFmtId="0" fontId="6" fillId="0" borderId="0" xfId="5" applyFont="1" applyAlignment="1">
      <alignment horizontal="center" vertical="top"/>
    </xf>
    <xf numFmtId="0" fontId="6" fillId="0" borderId="0" xfId="5" applyFont="1" applyAlignment="1">
      <alignment vertical="top"/>
    </xf>
    <xf numFmtId="44" fontId="11" fillId="0" borderId="0" xfId="3" applyFont="1" applyBorder="1" applyAlignment="1">
      <alignment horizontal="left" vertical="top"/>
    </xf>
    <xf numFmtId="49" fontId="6" fillId="0" borderId="0" xfId="5" applyNumberFormat="1" applyFont="1" applyAlignment="1">
      <alignment horizontal="left" vertical="top"/>
    </xf>
    <xf numFmtId="44" fontId="6" fillId="0" borderId="0" xfId="3" applyFont="1" applyBorder="1" applyAlignment="1">
      <alignment horizontal="left" vertical="top"/>
    </xf>
    <xf numFmtId="1" fontId="15" fillId="0" borderId="0" xfId="10" applyNumberFormat="1" applyFont="1" applyAlignment="1">
      <alignment horizontal="left" vertical="center"/>
    </xf>
    <xf numFmtId="44" fontId="15" fillId="0" borderId="0" xfId="3" applyFont="1" applyBorder="1" applyAlignment="1">
      <alignment horizontal="left" vertical="center"/>
    </xf>
    <xf numFmtId="49" fontId="6" fillId="0" borderId="0" xfId="5" applyNumberFormat="1" applyFont="1" applyAlignment="1">
      <alignment horizontal="center" vertical="top"/>
    </xf>
    <xf numFmtId="49" fontId="17" fillId="0" borderId="0" xfId="5" applyNumberFormat="1" applyFont="1" applyAlignment="1">
      <alignment vertical="top"/>
    </xf>
    <xf numFmtId="49" fontId="6" fillId="0" borderId="0" xfId="5" applyNumberFormat="1" applyFont="1" applyAlignment="1">
      <alignment horizontal="center" vertical="top" wrapText="1"/>
    </xf>
    <xf numFmtId="49" fontId="17" fillId="0" borderId="0" xfId="5" applyNumberFormat="1" applyFont="1" applyAlignment="1">
      <alignment vertical="top" wrapText="1"/>
    </xf>
    <xf numFmtId="0" fontId="6" fillId="0" borderId="0" xfId="5" applyFont="1" applyAlignment="1">
      <alignment vertical="top" wrapText="1"/>
    </xf>
    <xf numFmtId="49" fontId="17" fillId="0" borderId="0" xfId="5" applyNumberFormat="1" applyFont="1" applyAlignment="1">
      <alignment horizontal="center" vertical="top"/>
    </xf>
    <xf numFmtId="0" fontId="17" fillId="0" borderId="0" xfId="5" applyFont="1" applyAlignment="1">
      <alignment vertical="top"/>
    </xf>
    <xf numFmtId="49" fontId="6" fillId="0" borderId="0" xfId="5" applyNumberFormat="1" applyFont="1" applyAlignment="1">
      <alignment vertical="top"/>
    </xf>
    <xf numFmtId="44" fontId="6" fillId="0" borderId="0" xfId="3" applyFont="1" applyAlignment="1">
      <alignment horizontal="left" vertical="top"/>
    </xf>
    <xf numFmtId="1" fontId="15" fillId="0" borderId="0" xfId="10" applyNumberFormat="1" applyFont="1" applyAlignment="1">
      <alignment horizontal="center" vertical="center"/>
    </xf>
    <xf numFmtId="49" fontId="6" fillId="0" borderId="0" xfId="5" applyNumberFormat="1" applyFont="1" applyAlignment="1">
      <alignment horizontal="center" vertical="center"/>
    </xf>
    <xf numFmtId="49" fontId="6" fillId="0" borderId="0" xfId="5" applyNumberFormat="1" applyFont="1" applyAlignment="1">
      <alignment horizontal="left" vertical="center"/>
    </xf>
    <xf numFmtId="0" fontId="6" fillId="0" borderId="0" xfId="5" applyFont="1" applyAlignment="1">
      <alignment horizontal="left" vertical="top"/>
    </xf>
    <xf numFmtId="0" fontId="13" fillId="0" borderId="0" xfId="5" applyFont="1" applyAlignment="1">
      <alignment horizontal="left" vertical="top"/>
    </xf>
    <xf numFmtId="0" fontId="14" fillId="0" borderId="0" xfId="5" applyFont="1" applyAlignment="1">
      <alignment horizontal="left" vertical="top"/>
    </xf>
    <xf numFmtId="49" fontId="17" fillId="0" borderId="0" xfId="5" applyNumberFormat="1" applyFont="1" applyAlignment="1">
      <alignment horizontal="left" vertical="top"/>
    </xf>
    <xf numFmtId="44" fontId="15" fillId="0" borderId="0" xfId="3" applyFont="1" applyBorder="1" applyAlignment="1">
      <alignment horizontal="left" vertical="top"/>
    </xf>
    <xf numFmtId="1" fontId="18" fillId="0" borderId="0" xfId="10" applyNumberFormat="1" applyFont="1" applyAlignment="1">
      <alignment horizontal="left" vertical="top"/>
    </xf>
    <xf numFmtId="164" fontId="15" fillId="0" borderId="1" xfId="10" applyNumberFormat="1" applyFont="1" applyBorder="1" applyAlignment="1">
      <alignment horizontal="center" vertical="center" wrapText="1"/>
    </xf>
    <xf numFmtId="164" fontId="15" fillId="0" borderId="1" xfId="10" applyNumberFormat="1" applyFont="1" applyBorder="1" applyAlignment="1">
      <alignment horizontal="left" wrapText="1"/>
    </xf>
    <xf numFmtId="0" fontId="6" fillId="0" borderId="1" xfId="5" applyFont="1" applyBorder="1" applyAlignment="1">
      <alignment vertical="top" wrapText="1"/>
    </xf>
    <xf numFmtId="44" fontId="15" fillId="0" borderId="1" xfId="3" applyFont="1" applyBorder="1" applyAlignment="1">
      <alignment horizontal="center" vertical="center" wrapText="1"/>
    </xf>
    <xf numFmtId="164" fontId="19" fillId="0" borderId="1" xfId="10" applyNumberFormat="1" applyFont="1" applyBorder="1" applyAlignment="1">
      <alignment horizontal="left" vertical="top" wrapText="1"/>
    </xf>
    <xf numFmtId="164" fontId="16" fillId="0" borderId="1" xfId="10" applyNumberFormat="1" applyFont="1" applyBorder="1" applyAlignment="1">
      <alignment horizontal="center" vertical="center" wrapText="1"/>
    </xf>
    <xf numFmtId="44" fontId="16" fillId="0" borderId="1" xfId="3" applyFont="1" applyBorder="1" applyAlignment="1">
      <alignment horizontal="center" vertical="center" wrapText="1"/>
    </xf>
    <xf numFmtId="164" fontId="20" fillId="0" borderId="1" xfId="10" applyNumberFormat="1" applyFont="1" applyBorder="1" applyAlignment="1">
      <alignment horizontal="left" vertical="center" wrapText="1"/>
    </xf>
    <xf numFmtId="164" fontId="21" fillId="0" borderId="1" xfId="10" applyNumberFormat="1" applyFont="1" applyBorder="1" applyAlignment="1">
      <alignment horizontal="left" vertical="center" wrapText="1"/>
    </xf>
    <xf numFmtId="164" fontId="16" fillId="0" borderId="1" xfId="10" applyNumberFormat="1" applyFont="1" applyBorder="1" applyAlignment="1">
      <alignment horizontal="left" vertical="center" wrapText="1"/>
    </xf>
    <xf numFmtId="164" fontId="15" fillId="0" borderId="1" xfId="10" applyNumberFormat="1" applyFont="1" applyBorder="1" applyAlignment="1">
      <alignment horizontal="left" vertical="center" wrapText="1"/>
    </xf>
    <xf numFmtId="164" fontId="19" fillId="0" borderId="1" xfId="10" applyNumberFormat="1" applyFont="1" applyBorder="1" applyAlignment="1">
      <alignment horizontal="left" vertical="center" wrapText="1"/>
    </xf>
    <xf numFmtId="164" fontId="22" fillId="0" borderId="1" xfId="10" applyNumberFormat="1" applyFont="1" applyBorder="1" applyAlignment="1">
      <alignment horizontal="left" vertical="center" wrapText="1"/>
    </xf>
    <xf numFmtId="1" fontId="15" fillId="0" borderId="1" xfId="10" quotePrefix="1" applyNumberFormat="1" applyFont="1" applyBorder="1" applyAlignment="1">
      <alignment horizontal="left" vertical="center" wrapText="1"/>
    </xf>
    <xf numFmtId="1" fontId="16" fillId="0" borderId="1" xfId="10" quotePrefix="1" applyNumberFormat="1" applyFont="1" applyBorder="1" applyAlignment="1">
      <alignment horizontal="left" vertical="center" wrapText="1"/>
    </xf>
    <xf numFmtId="44" fontId="15" fillId="0" borderId="1" xfId="3" applyFont="1" applyBorder="1" applyAlignment="1">
      <alignment horizontal="center" vertical="center"/>
    </xf>
    <xf numFmtId="44" fontId="16" fillId="0" borderId="1" xfId="3" quotePrefix="1" applyFont="1" applyBorder="1" applyAlignment="1">
      <alignment horizontal="left"/>
    </xf>
    <xf numFmtId="44" fontId="15" fillId="0" borderId="1" xfId="3" quotePrefix="1" applyFont="1" applyBorder="1" applyAlignment="1">
      <alignment horizontal="left"/>
    </xf>
    <xf numFmtId="44" fontId="6" fillId="0" borderId="1" xfId="3" quotePrefix="1" applyFont="1" applyBorder="1" applyAlignment="1">
      <alignment horizontal="left" vertical="center" wrapText="1"/>
    </xf>
    <xf numFmtId="1" fontId="19" fillId="0" borderId="1" xfId="10" quotePrefix="1" applyNumberFormat="1" applyFont="1" applyBorder="1" applyAlignment="1">
      <alignment horizontal="left" vertical="center" wrapText="1"/>
    </xf>
    <xf numFmtId="44" fontId="16" fillId="0" borderId="1" xfId="3" quotePrefix="1" applyFont="1" applyFill="1" applyBorder="1" applyAlignment="1">
      <alignment horizontal="left"/>
    </xf>
    <xf numFmtId="44" fontId="15" fillId="0" borderId="1" xfId="3" quotePrefix="1" applyFont="1" applyFill="1" applyBorder="1" applyAlignment="1">
      <alignment horizontal="left"/>
    </xf>
    <xf numFmtId="44" fontId="19" fillId="0" borderId="1" xfId="3" quotePrefix="1" applyFont="1" applyBorder="1" applyAlignment="1">
      <alignment horizontal="left" vertical="top" wrapText="1"/>
    </xf>
    <xf numFmtId="44" fontId="19" fillId="0" borderId="1" xfId="3" quotePrefix="1" applyFont="1" applyBorder="1" applyAlignment="1">
      <alignment horizontal="left" vertical="center" wrapText="1"/>
    </xf>
    <xf numFmtId="1" fontId="23" fillId="0" borderId="1" xfId="10" quotePrefix="1" applyNumberFormat="1" applyFont="1" applyBorder="1" applyAlignment="1">
      <alignment horizontal="left" vertical="center" wrapText="1"/>
    </xf>
    <xf numFmtId="1" fontId="16" fillId="0" borderId="1" xfId="10" quotePrefix="1" applyNumberFormat="1" applyFont="1" applyBorder="1" applyAlignment="1">
      <alignment horizontal="left" vertical="top" wrapText="1"/>
    </xf>
    <xf numFmtId="0" fontId="16" fillId="0" borderId="1" xfId="10" quotePrefix="1" applyFont="1" applyBorder="1" applyAlignment="1">
      <alignment vertical="top"/>
    </xf>
    <xf numFmtId="0" fontId="16" fillId="0" borderId="1" xfId="10" quotePrefix="1" applyFont="1" applyBorder="1" applyAlignment="1">
      <alignment vertical="top" wrapText="1"/>
    </xf>
    <xf numFmtId="44" fontId="16" fillId="0" borderId="1" xfId="3" quotePrefix="1" applyFont="1" applyFill="1" applyBorder="1" applyAlignment="1"/>
    <xf numFmtId="0" fontId="15" fillId="0" borderId="1" xfId="10" quotePrefix="1" applyFont="1" applyBorder="1" applyAlignment="1">
      <alignment horizontal="right" vertical="top"/>
    </xf>
    <xf numFmtId="44" fontId="15" fillId="0" borderId="3" xfId="3" quotePrefix="1" applyFont="1" applyBorder="1" applyAlignment="1">
      <alignment horizontal="left"/>
    </xf>
    <xf numFmtId="0" fontId="15" fillId="0" borderId="2" xfId="3" applyNumberFormat="1" applyFont="1" applyBorder="1" applyAlignment="1">
      <alignment horizontal="center" vertical="center" wrapText="1"/>
    </xf>
    <xf numFmtId="164" fontId="15" fillId="0" borderId="4" xfId="10" applyNumberFormat="1" applyFont="1" applyBorder="1" applyAlignment="1">
      <alignment horizontal="center" vertical="center" wrapText="1"/>
    </xf>
    <xf numFmtId="164" fontId="15" fillId="0" borderId="5" xfId="10" applyNumberFormat="1" applyFont="1" applyBorder="1" applyAlignment="1">
      <alignment horizontal="center" vertical="center" wrapText="1"/>
    </xf>
    <xf numFmtId="164" fontId="15" fillId="0" borderId="7" xfId="10" applyNumberFormat="1" applyFont="1" applyBorder="1" applyAlignment="1">
      <alignment horizontal="center" vertical="center" wrapText="1"/>
    </xf>
    <xf numFmtId="164" fontId="15" fillId="0" borderId="6" xfId="10" applyNumberFormat="1" applyFont="1" applyBorder="1" applyAlignment="1">
      <alignment horizontal="center" vertical="center" wrapText="1"/>
    </xf>
    <xf numFmtId="164" fontId="15" fillId="0" borderId="6" xfId="10" applyNumberFormat="1" applyFont="1" applyBorder="1" applyAlignment="1">
      <alignment horizontal="center" vertical="center"/>
    </xf>
    <xf numFmtId="164" fontId="15" fillId="0" borderId="7" xfId="10" applyNumberFormat="1" applyFont="1" applyBorder="1" applyAlignment="1">
      <alignment horizontal="center" vertical="center"/>
    </xf>
    <xf numFmtId="1" fontId="15" fillId="0" borderId="6" xfId="10" quotePrefix="1" applyNumberFormat="1" applyFont="1" applyBorder="1" applyAlignment="1">
      <alignment horizontal="center" vertical="center"/>
    </xf>
    <xf numFmtId="164" fontId="15" fillId="0" borderId="7" xfId="10" quotePrefix="1" applyNumberFormat="1" applyFont="1" applyBorder="1" applyAlignment="1">
      <alignment horizontal="left" vertical="center"/>
    </xf>
    <xf numFmtId="164" fontId="15" fillId="0" borderId="6" xfId="10" quotePrefix="1" applyNumberFormat="1" applyFont="1" applyBorder="1" applyAlignment="1">
      <alignment horizontal="center" vertical="center"/>
    </xf>
    <xf numFmtId="1" fontId="16" fillId="0" borderId="6" xfId="10" quotePrefix="1" applyNumberFormat="1" applyFont="1" applyBorder="1" applyAlignment="1">
      <alignment horizontal="center" vertical="center"/>
    </xf>
    <xf numFmtId="1" fontId="16" fillId="0" borderId="7" xfId="10" quotePrefix="1" applyNumberFormat="1" applyFont="1" applyBorder="1" applyAlignment="1">
      <alignment horizontal="left" vertical="center"/>
    </xf>
    <xf numFmtId="1" fontId="15" fillId="0" borderId="7" xfId="10" quotePrefix="1" applyNumberFormat="1" applyFont="1" applyBorder="1" applyAlignment="1">
      <alignment horizontal="left" vertical="center"/>
    </xf>
    <xf numFmtId="164" fontId="16" fillId="0" borderId="6" xfId="10" quotePrefix="1" applyNumberFormat="1" applyFont="1" applyBorder="1" applyAlignment="1">
      <alignment horizontal="center" vertical="center"/>
    </xf>
    <xf numFmtId="2" fontId="15" fillId="0" borderId="6" xfId="10" quotePrefix="1" applyNumberFormat="1" applyFont="1" applyBorder="1" applyAlignment="1">
      <alignment horizontal="center" vertical="center"/>
    </xf>
    <xf numFmtId="0" fontId="15" fillId="0" borderId="6" xfId="10" quotePrefix="1" applyFont="1" applyBorder="1" applyAlignment="1">
      <alignment horizontal="center" vertical="center"/>
    </xf>
    <xf numFmtId="0" fontId="16" fillId="0" borderId="6" xfId="10" quotePrefix="1" applyFont="1" applyBorder="1" applyAlignment="1">
      <alignment horizontal="center" vertical="center"/>
    </xf>
    <xf numFmtId="0" fontId="6" fillId="0" borderId="1" xfId="5" applyFont="1" applyBorder="1" applyAlignment="1">
      <alignment horizontal="left" vertical="center"/>
    </xf>
    <xf numFmtId="0" fontId="16" fillId="0" borderId="7" xfId="10" quotePrefix="1" applyFont="1" applyBorder="1" applyAlignment="1">
      <alignment vertical="center"/>
    </xf>
    <xf numFmtId="1" fontId="15" fillId="2" borderId="6" xfId="10" applyNumberFormat="1" applyFont="1" applyFill="1" applyBorder="1" applyAlignment="1">
      <alignment horizontal="center" vertical="center" wrapText="1"/>
    </xf>
    <xf numFmtId="164" fontId="15" fillId="2" borderId="7" xfId="10" applyNumberFormat="1" applyFont="1" applyFill="1" applyBorder="1" applyAlignment="1">
      <alignment horizontal="center" vertical="center" wrapText="1"/>
    </xf>
    <xf numFmtId="164" fontId="15" fillId="2" borderId="1" xfId="10" applyNumberFormat="1" applyFont="1" applyFill="1" applyBorder="1" applyAlignment="1">
      <alignment horizontal="left" wrapText="1"/>
    </xf>
    <xf numFmtId="164" fontId="15" fillId="2" borderId="1" xfId="10" applyNumberFormat="1" applyFont="1" applyFill="1" applyBorder="1" applyAlignment="1">
      <alignment horizontal="center" vertical="center" wrapText="1"/>
    </xf>
    <xf numFmtId="44" fontId="15" fillId="2" borderId="1" xfId="3" applyFont="1" applyFill="1" applyBorder="1" applyAlignment="1">
      <alignment horizontal="center" vertical="center" wrapText="1"/>
    </xf>
    <xf numFmtId="0" fontId="19" fillId="0" borderId="1" xfId="10" applyNumberFormat="1" applyFont="1" applyBorder="1" applyAlignment="1">
      <alignment horizontal="left" vertical="center" wrapText="1"/>
    </xf>
    <xf numFmtId="0" fontId="22" fillId="0" borderId="1" xfId="10" applyNumberFormat="1" applyFont="1" applyBorder="1" applyAlignment="1">
      <alignment horizontal="left" vertical="center" wrapText="1"/>
    </xf>
    <xf numFmtId="0" fontId="19" fillId="0" borderId="1" xfId="10" quotePrefix="1" applyNumberFormat="1" applyFont="1" applyBorder="1" applyAlignment="1">
      <alignment horizontal="left" vertical="center" wrapText="1"/>
    </xf>
    <xf numFmtId="44" fontId="6" fillId="0" borderId="1" xfId="5" applyNumberFormat="1" applyFont="1" applyBorder="1" applyAlignment="1">
      <alignment horizontal="center" vertical="center" wrapText="1"/>
    </xf>
    <xf numFmtId="44" fontId="6" fillId="0" borderId="0" xfId="3" applyFont="1" applyAlignment="1">
      <alignment horizontal="left" vertical="center" wrapText="1"/>
    </xf>
    <xf numFmtId="44" fontId="6" fillId="0" borderId="0" xfId="3" applyFont="1" applyFill="1" applyAlignment="1">
      <alignment horizontal="left" vertical="center" wrapText="1"/>
    </xf>
    <xf numFmtId="44" fontId="12" fillId="0" borderId="0" xfId="3" applyFont="1" applyBorder="1" applyAlignment="1">
      <alignment horizontal="left" vertical="center" wrapText="1"/>
    </xf>
    <xf numFmtId="44" fontId="6" fillId="0" borderId="0" xfId="3" applyFont="1" applyBorder="1" applyAlignment="1">
      <alignment horizontal="left" vertical="center" wrapText="1"/>
    </xf>
    <xf numFmtId="44" fontId="16" fillId="0" borderId="0" xfId="3" applyFont="1" applyBorder="1" applyAlignment="1">
      <alignment horizontal="left" vertical="center" wrapText="1"/>
    </xf>
    <xf numFmtId="44" fontId="6" fillId="0" borderId="1" xfId="3" applyFont="1" applyBorder="1" applyAlignment="1">
      <alignment horizontal="left" vertical="center" wrapText="1"/>
    </xf>
    <xf numFmtId="44" fontId="6" fillId="2" borderId="1" xfId="3" applyFont="1" applyFill="1" applyBorder="1" applyAlignment="1">
      <alignment horizontal="left" vertical="center" wrapText="1"/>
    </xf>
    <xf numFmtId="44" fontId="6" fillId="0" borderId="1" xfId="5" applyNumberFormat="1" applyFont="1" applyBorder="1" applyAlignment="1">
      <alignment horizontal="left" vertical="center" wrapText="1"/>
    </xf>
    <xf numFmtId="1" fontId="6" fillId="0" borderId="1" xfId="10" quotePrefix="1" applyNumberFormat="1" applyFont="1" applyBorder="1" applyAlignment="1">
      <alignment horizontal="left" vertical="center" wrapText="1"/>
    </xf>
    <xf numFmtId="44" fontId="6" fillId="0" borderId="1" xfId="3" applyFont="1" applyFill="1" applyBorder="1" applyAlignment="1">
      <alignment horizontal="left" vertical="center" wrapText="1"/>
    </xf>
    <xf numFmtId="44" fontId="16" fillId="0" borderId="1" xfId="3" applyFont="1" applyFill="1" applyBorder="1" applyAlignment="1">
      <alignment horizontal="left" vertical="center" wrapText="1"/>
    </xf>
    <xf numFmtId="0" fontId="6" fillId="0" borderId="1" xfId="10" applyNumberFormat="1" applyFont="1" applyBorder="1" applyAlignment="1">
      <alignment horizontal="left" vertical="center" wrapText="1"/>
    </xf>
    <xf numFmtId="0" fontId="6" fillId="0" borderId="0" xfId="5" applyNumberFormat="1" applyFont="1" applyAlignment="1">
      <alignment horizontal="center" vertical="top"/>
    </xf>
    <xf numFmtId="2" fontId="6" fillId="0" borderId="0" xfId="5" applyNumberFormat="1" applyFont="1" applyAlignment="1">
      <alignment horizontal="center" vertical="center"/>
    </xf>
    <xf numFmtId="2" fontId="15" fillId="0" borderId="0" xfId="10" applyNumberFormat="1" applyFont="1" applyAlignment="1">
      <alignment horizontal="center" vertical="center"/>
    </xf>
    <xf numFmtId="2" fontId="15" fillId="0" borderId="1" xfId="10" applyNumberFormat="1" applyFont="1" applyBorder="1" applyAlignment="1">
      <alignment horizontal="center" vertical="center" wrapText="1"/>
    </xf>
    <xf numFmtId="2" fontId="15" fillId="2" borderId="1" xfId="10" applyNumberFormat="1" applyFont="1" applyFill="1" applyBorder="1" applyAlignment="1">
      <alignment horizontal="center" vertical="center" wrapText="1"/>
    </xf>
    <xf numFmtId="2" fontId="6" fillId="0" borderId="1" xfId="5" applyNumberFormat="1" applyFont="1" applyBorder="1" applyAlignment="1">
      <alignment horizontal="center" vertical="center" wrapText="1"/>
    </xf>
    <xf numFmtId="2" fontId="16" fillId="0" borderId="1" xfId="10" applyNumberFormat="1" applyFont="1" applyBorder="1" applyAlignment="1">
      <alignment horizontal="center" vertical="center" wrapText="1"/>
    </xf>
    <xf numFmtId="2" fontId="16" fillId="0" borderId="1" xfId="2" applyNumberFormat="1" applyFont="1" applyFill="1" applyBorder="1" applyAlignment="1">
      <alignment horizontal="center" vertical="center"/>
    </xf>
    <xf numFmtId="2" fontId="16" fillId="0" borderId="1" xfId="2" quotePrefix="1" applyNumberFormat="1" applyFont="1" applyFill="1" applyBorder="1" applyAlignment="1">
      <alignment horizontal="center" vertical="center" wrapText="1"/>
    </xf>
    <xf numFmtId="2" fontId="15" fillId="0" borderId="1" xfId="2" quotePrefix="1" applyNumberFormat="1" applyFont="1" applyFill="1" applyBorder="1" applyAlignment="1">
      <alignment horizontal="center" vertical="center" wrapText="1"/>
    </xf>
    <xf numFmtId="2" fontId="16" fillId="0" borderId="1" xfId="2" quotePrefix="1" applyNumberFormat="1" applyFont="1" applyFill="1" applyBorder="1" applyAlignment="1">
      <alignment horizontal="center" vertical="center"/>
    </xf>
    <xf numFmtId="0" fontId="21" fillId="0" borderId="1" xfId="10" quotePrefix="1" applyNumberFormat="1" applyFont="1" applyBorder="1" applyAlignment="1">
      <alignment horizontal="left" vertical="center" wrapText="1"/>
    </xf>
    <xf numFmtId="0" fontId="6" fillId="0" borderId="1" xfId="10" quotePrefix="1" applyNumberFormat="1" applyFont="1" applyBorder="1" applyAlignment="1">
      <alignment horizontal="left" vertical="center" wrapText="1"/>
    </xf>
    <xf numFmtId="0" fontId="24" fillId="0" borderId="1" xfId="10" applyNumberFormat="1" applyFont="1" applyBorder="1" applyAlignment="1">
      <alignment horizontal="left" vertical="center" wrapText="1"/>
    </xf>
    <xf numFmtId="0" fontId="6" fillId="0" borderId="1" xfId="5" applyFont="1" applyBorder="1" applyAlignment="1">
      <alignment horizontal="center" vertical="center" wrapText="1"/>
    </xf>
    <xf numFmtId="1" fontId="16" fillId="0" borderId="1" xfId="10" quotePrefix="1" applyNumberFormat="1" applyFont="1" applyBorder="1" applyAlignment="1">
      <alignment horizontal="center" vertical="center" wrapText="1"/>
    </xf>
    <xf numFmtId="1" fontId="15" fillId="0" borderId="1" xfId="10" quotePrefix="1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44" fontId="15" fillId="0" borderId="0" xfId="3" applyFont="1" applyBorder="1" applyAlignment="1">
      <alignment horizontal="center" vertical="center"/>
    </xf>
    <xf numFmtId="44" fontId="6" fillId="0" borderId="0" xfId="3" applyFont="1" applyAlignment="1">
      <alignment horizontal="center" vertical="center"/>
    </xf>
    <xf numFmtId="44" fontId="6" fillId="0" borderId="0" xfId="3" applyFont="1" applyBorder="1" applyAlignment="1">
      <alignment horizontal="center" vertical="center"/>
    </xf>
    <xf numFmtId="44" fontId="11" fillId="0" borderId="0" xfId="3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 wrapText="1"/>
    </xf>
    <xf numFmtId="44" fontId="16" fillId="0" borderId="1" xfId="3" quotePrefix="1" applyFont="1" applyBorder="1" applyAlignment="1">
      <alignment horizontal="center" vertical="center" wrapText="1"/>
    </xf>
    <xf numFmtId="44" fontId="16" fillId="0" borderId="1" xfId="3" quotePrefix="1" applyFont="1" applyBorder="1" applyAlignment="1">
      <alignment horizontal="center" vertical="center"/>
    </xf>
    <xf numFmtId="44" fontId="16" fillId="0" borderId="1" xfId="3" quotePrefix="1" applyFont="1" applyFill="1" applyBorder="1" applyAlignment="1">
      <alignment horizontal="center" vertical="center" wrapText="1"/>
    </xf>
    <xf numFmtId="44" fontId="16" fillId="0" borderId="1" xfId="3" quotePrefix="1" applyFont="1" applyFill="1" applyBorder="1" applyAlignment="1">
      <alignment horizontal="center" vertical="center"/>
    </xf>
    <xf numFmtId="44" fontId="15" fillId="0" borderId="1" xfId="3" quotePrefix="1" applyFont="1" applyBorder="1" applyAlignment="1">
      <alignment horizontal="center" vertical="center" wrapText="1"/>
    </xf>
    <xf numFmtId="44" fontId="15" fillId="0" borderId="1" xfId="3" quotePrefix="1" applyFont="1" applyFill="1" applyBorder="1" applyAlignment="1">
      <alignment horizontal="center" vertical="center" wrapText="1"/>
    </xf>
    <xf numFmtId="0" fontId="15" fillId="0" borderId="2" xfId="10" applyNumberFormat="1" applyFont="1" applyBorder="1" applyAlignment="1">
      <alignment horizontal="center" vertical="center" wrapText="1"/>
    </xf>
    <xf numFmtId="0" fontId="16" fillId="0" borderId="1" xfId="10" quotePrefix="1" applyNumberFormat="1" applyFont="1" applyBorder="1" applyAlignment="1">
      <alignment horizontal="left" vertical="center" wrapText="1"/>
    </xf>
    <xf numFmtId="0" fontId="19" fillId="0" borderId="1" xfId="3" quotePrefix="1" applyNumberFormat="1" applyFont="1" applyBorder="1" applyAlignment="1">
      <alignment horizontal="left" vertical="center" wrapText="1"/>
    </xf>
    <xf numFmtId="0" fontId="25" fillId="0" borderId="1" xfId="10" quotePrefix="1" applyNumberFormat="1" applyFont="1" applyBorder="1" applyAlignment="1">
      <alignment horizontal="left" vertical="center" wrapText="1"/>
    </xf>
    <xf numFmtId="0" fontId="6" fillId="0" borderId="1" xfId="5" applyFont="1" applyBorder="1" applyAlignment="1">
      <alignment horizontal="left" vertical="center" wrapText="1"/>
    </xf>
    <xf numFmtId="0" fontId="6" fillId="0" borderId="0" xfId="5" applyNumberFormat="1" applyFont="1" applyAlignment="1">
      <alignment horizontal="left" vertical="center" wrapText="1"/>
    </xf>
    <xf numFmtId="0" fontId="18" fillId="0" borderId="0" xfId="10" applyNumberFormat="1" applyFont="1" applyAlignment="1">
      <alignment horizontal="center" vertical="center" wrapText="1"/>
    </xf>
    <xf numFmtId="0" fontId="15" fillId="0" borderId="1" xfId="10" applyNumberFormat="1" applyFont="1" applyBorder="1" applyAlignment="1">
      <alignment horizontal="center" vertical="center" wrapText="1"/>
    </xf>
    <xf numFmtId="0" fontId="15" fillId="2" borderId="1" xfId="10" applyNumberFormat="1" applyFont="1" applyFill="1" applyBorder="1" applyAlignment="1">
      <alignment horizontal="left" vertical="center" wrapText="1"/>
    </xf>
    <xf numFmtId="0" fontId="20" fillId="0" borderId="1" xfId="10" applyNumberFormat="1" applyFont="1" applyBorder="1" applyAlignment="1">
      <alignment horizontal="left" vertical="center" wrapText="1"/>
    </xf>
    <xf numFmtId="0" fontId="16" fillId="0" borderId="1" xfId="10" applyNumberFormat="1" applyFont="1" applyBorder="1" applyAlignment="1">
      <alignment horizontal="left" vertical="center" wrapText="1"/>
    </xf>
    <xf numFmtId="0" fontId="15" fillId="0" borderId="1" xfId="10" quotePrefix="1" applyNumberFormat="1" applyFont="1" applyBorder="1" applyAlignment="1">
      <alignment horizontal="left" vertical="center" wrapText="1"/>
    </xf>
    <xf numFmtId="0" fontId="20" fillId="0" borderId="1" xfId="10" quotePrefix="1" applyNumberFormat="1" applyFont="1" applyBorder="1" applyAlignment="1">
      <alignment horizontal="left" vertical="center" wrapText="1"/>
    </xf>
    <xf numFmtId="0" fontId="23" fillId="0" borderId="1" xfId="10" quotePrefix="1" applyNumberFormat="1" applyFont="1" applyBorder="1" applyAlignment="1">
      <alignment horizontal="left" vertical="center" wrapText="1"/>
    </xf>
    <xf numFmtId="0" fontId="16" fillId="0" borderId="1" xfId="10" quotePrefix="1" applyNumberFormat="1" applyFont="1" applyBorder="1" applyAlignment="1">
      <alignment vertical="center" wrapText="1"/>
    </xf>
    <xf numFmtId="0" fontId="15" fillId="0" borderId="1" xfId="10" quotePrefix="1" applyNumberFormat="1" applyFont="1" applyBorder="1" applyAlignment="1">
      <alignment horizontal="right" vertical="center" wrapText="1"/>
    </xf>
    <xf numFmtId="0" fontId="2" fillId="0" borderId="4" xfId="7" applyBorder="1"/>
    <xf numFmtId="0" fontId="2" fillId="0" borderId="8" xfId="7" applyBorder="1"/>
    <xf numFmtId="0" fontId="2" fillId="0" borderId="5" xfId="7" applyBorder="1"/>
    <xf numFmtId="0" fontId="2" fillId="0" borderId="0" xfId="7"/>
    <xf numFmtId="0" fontId="2" fillId="0" borderId="6" xfId="7" applyBorder="1"/>
    <xf numFmtId="0" fontId="2" fillId="0" borderId="7" xfId="7" applyBorder="1"/>
    <xf numFmtId="0" fontId="9" fillId="0" borderId="6" xfId="7" applyFont="1" applyBorder="1"/>
    <xf numFmtId="0" fontId="9" fillId="0" borderId="0" xfId="7" applyFont="1"/>
    <xf numFmtId="0" fontId="9" fillId="0" borderId="7" xfId="7" applyFont="1" applyBorder="1"/>
    <xf numFmtId="0" fontId="26" fillId="0" borderId="0" xfId="7" applyFont="1"/>
    <xf numFmtId="0" fontId="9" fillId="0" borderId="9" xfId="7" applyFont="1" applyBorder="1"/>
    <xf numFmtId="0" fontId="9" fillId="0" borderId="10" xfId="7" applyFont="1" applyBorder="1"/>
    <xf numFmtId="0" fontId="9" fillId="0" borderId="11" xfId="7" applyFont="1" applyBorder="1"/>
    <xf numFmtId="0" fontId="16" fillId="0" borderId="9" xfId="10" quotePrefix="1" applyFont="1" applyBorder="1" applyAlignment="1">
      <alignment horizontal="center" vertical="center"/>
    </xf>
    <xf numFmtId="0" fontId="16" fillId="0" borderId="11" xfId="10" quotePrefix="1" applyFont="1" applyBorder="1" applyAlignment="1">
      <alignment vertical="center"/>
    </xf>
    <xf numFmtId="0" fontId="16" fillId="0" borderId="12" xfId="10" quotePrefix="1" applyNumberFormat="1" applyFont="1" applyBorder="1" applyAlignment="1">
      <alignment vertical="center" wrapText="1"/>
    </xf>
    <xf numFmtId="0" fontId="16" fillId="0" borderId="12" xfId="10" quotePrefix="1" applyFont="1" applyBorder="1" applyAlignment="1">
      <alignment vertical="top"/>
    </xf>
    <xf numFmtId="2" fontId="16" fillId="0" borderId="12" xfId="2" quotePrefix="1" applyNumberFormat="1" applyFont="1" applyFill="1" applyBorder="1" applyAlignment="1">
      <alignment horizontal="center" vertical="center"/>
    </xf>
    <xf numFmtId="165" fontId="6" fillId="0" borderId="12" xfId="0" applyNumberFormat="1" applyFont="1" applyBorder="1" applyAlignment="1" applyProtection="1">
      <alignment horizontal="center" vertical="center"/>
      <protection locked="0"/>
    </xf>
    <xf numFmtId="44" fontId="16" fillId="0" borderId="12" xfId="3" quotePrefix="1" applyFont="1" applyBorder="1" applyAlignment="1">
      <alignment horizontal="center" vertical="center"/>
    </xf>
    <xf numFmtId="44" fontId="16" fillId="0" borderId="12" xfId="3" quotePrefix="1" applyFont="1" applyBorder="1" applyAlignment="1">
      <alignment vertical="top"/>
    </xf>
    <xf numFmtId="44" fontId="16" fillId="0" borderId="12" xfId="3" applyFont="1" applyFill="1" applyBorder="1" applyAlignment="1">
      <alignment horizontal="left" vertical="center" wrapText="1"/>
    </xf>
    <xf numFmtId="0" fontId="7" fillId="0" borderId="0" xfId="7" applyFont="1" applyAlignment="1">
      <alignment horizontal="left" vertical="top" wrapText="1"/>
    </xf>
    <xf numFmtId="0" fontId="7" fillId="0" borderId="0" xfId="7" applyFont="1" applyAlignment="1">
      <alignment horizontal="left" vertical="top" wrapText="1" indent="1"/>
    </xf>
    <xf numFmtId="0" fontId="7" fillId="0" borderId="0" xfId="7" applyFont="1" applyAlignment="1">
      <alignment vertical="top" wrapText="1"/>
    </xf>
    <xf numFmtId="44" fontId="6" fillId="0" borderId="1" xfId="3" quotePrefix="1" applyFont="1" applyFill="1" applyBorder="1" applyAlignment="1">
      <alignment horizontal="left" vertical="center" wrapText="1"/>
    </xf>
    <xf numFmtId="0" fontId="15" fillId="0" borderId="2" xfId="10" applyNumberFormat="1" applyFont="1" applyBorder="1" applyAlignment="1">
      <alignment horizontal="center" vertical="center" wrapText="1"/>
    </xf>
    <xf numFmtId="1" fontId="15" fillId="2" borderId="13" xfId="10" applyNumberFormat="1" applyFont="1" applyFill="1" applyBorder="1" applyAlignment="1">
      <alignment horizontal="center" vertical="center" wrapText="1"/>
    </xf>
    <xf numFmtId="0" fontId="15" fillId="2" borderId="2" xfId="10" applyNumberFormat="1" applyFont="1" applyFill="1" applyBorder="1" applyAlignment="1">
      <alignment horizontal="left" vertical="center" wrapText="1"/>
    </xf>
    <xf numFmtId="164" fontId="15" fillId="2" borderId="13" xfId="10" applyNumberFormat="1" applyFont="1" applyFill="1" applyBorder="1" applyAlignment="1"/>
    <xf numFmtId="164" fontId="15" fillId="2" borderId="15" xfId="10" applyNumberFormat="1" applyFont="1" applyFill="1" applyBorder="1" applyAlignment="1"/>
    <xf numFmtId="164" fontId="15" fillId="2" borderId="14" xfId="10" applyNumberFormat="1" applyFont="1" applyFill="1" applyBorder="1" applyAlignment="1"/>
    <xf numFmtId="164" fontId="15" fillId="2" borderId="2" xfId="10" applyNumberFormat="1" applyFont="1" applyFill="1" applyBorder="1" applyAlignment="1"/>
    <xf numFmtId="1" fontId="15" fillId="0" borderId="13" xfId="10" quotePrefix="1" applyNumberFormat="1" applyFont="1" applyBorder="1" applyAlignment="1">
      <alignment horizontal="center" vertical="center"/>
    </xf>
    <xf numFmtId="0" fontId="15" fillId="0" borderId="2" xfId="10" quotePrefix="1" applyNumberFormat="1" applyFont="1" applyBorder="1" applyAlignment="1">
      <alignment horizontal="left" vertical="center" wrapText="1"/>
    </xf>
    <xf numFmtId="44" fontId="6" fillId="0" borderId="2" xfId="3" applyFont="1" applyBorder="1" applyAlignment="1">
      <alignment horizontal="center" vertical="center"/>
    </xf>
    <xf numFmtId="0" fontId="15" fillId="0" borderId="13" xfId="10" quotePrefix="1" applyNumberFormat="1" applyFont="1" applyBorder="1" applyAlignment="1">
      <alignment horizontal="center" vertical="center" wrapText="1"/>
    </xf>
    <xf numFmtId="0" fontId="15" fillId="0" borderId="15" xfId="10" quotePrefix="1" applyNumberFormat="1" applyFont="1" applyBorder="1" applyAlignment="1">
      <alignment horizontal="center" vertical="center" wrapText="1"/>
    </xf>
    <xf numFmtId="0" fontId="15" fillId="0" borderId="14" xfId="10" quotePrefix="1" applyNumberFormat="1" applyFont="1" applyBorder="1" applyAlignment="1">
      <alignment horizontal="center" vertical="center" wrapText="1"/>
    </xf>
    <xf numFmtId="0" fontId="20" fillId="0" borderId="2" xfId="10" quotePrefix="1" applyNumberFormat="1" applyFont="1" applyBorder="1" applyAlignment="1">
      <alignment horizontal="left" vertical="center" wrapText="1"/>
    </xf>
    <xf numFmtId="44" fontId="15" fillId="2" borderId="14" xfId="3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0" fillId="0" borderId="19" xfId="0" applyFont="1" applyBorder="1"/>
    <xf numFmtId="0" fontId="31" fillId="0" borderId="0" xfId="11"/>
    <xf numFmtId="0" fontId="32" fillId="0" borderId="0" xfId="0" applyFont="1"/>
    <xf numFmtId="16" fontId="0" fillId="0" borderId="0" xfId="0" applyNumberFormat="1"/>
    <xf numFmtId="0" fontId="0" fillId="0" borderId="21" xfId="0" applyBorder="1"/>
    <xf numFmtId="0" fontId="0" fillId="0" borderId="22" xfId="0" applyBorder="1"/>
    <xf numFmtId="0" fontId="0" fillId="0" borderId="23" xfId="0" applyBorder="1"/>
    <xf numFmtId="164" fontId="28" fillId="0" borderId="6" xfId="7" applyNumberFormat="1" applyFont="1" applyBorder="1" applyAlignment="1">
      <alignment horizontal="center"/>
    </xf>
    <xf numFmtId="0" fontId="28" fillId="0" borderId="0" xfId="7" applyFont="1" applyAlignment="1">
      <alignment horizontal="center"/>
    </xf>
    <xf numFmtId="0" fontId="28" fillId="0" borderId="7" xfId="7" applyFont="1" applyBorder="1" applyAlignment="1">
      <alignment horizontal="center"/>
    </xf>
    <xf numFmtId="166" fontId="28" fillId="0" borderId="6" xfId="7" applyNumberFormat="1" applyFont="1" applyBorder="1" applyAlignment="1">
      <alignment horizontal="center"/>
    </xf>
    <xf numFmtId="166" fontId="28" fillId="0" borderId="0" xfId="7" applyNumberFormat="1" applyFont="1" applyAlignment="1">
      <alignment horizontal="center"/>
    </xf>
    <xf numFmtId="166" fontId="28" fillId="0" borderId="7" xfId="7" applyNumberFormat="1" applyFont="1" applyBorder="1" applyAlignment="1">
      <alignment horizontal="center"/>
    </xf>
    <xf numFmtId="0" fontId="27" fillId="0" borderId="6" xfId="7" applyFont="1" applyBorder="1" applyAlignment="1">
      <alignment horizontal="center"/>
    </xf>
    <xf numFmtId="0" fontId="27" fillId="0" borderId="0" xfId="7" applyFont="1" applyAlignment="1">
      <alignment horizontal="center"/>
    </xf>
    <xf numFmtId="0" fontId="27" fillId="0" borderId="7" xfId="7" applyFont="1" applyBorder="1" applyAlignment="1">
      <alignment horizontal="center"/>
    </xf>
    <xf numFmtId="0" fontId="7" fillId="0" borderId="0" xfId="7" applyFont="1" applyAlignment="1">
      <alignment horizontal="left" vertical="top" wrapText="1" indent="1"/>
    </xf>
    <xf numFmtId="0" fontId="8" fillId="0" borderId="0" xfId="7" applyFont="1" applyAlignment="1">
      <alignment vertical="top" wrapText="1"/>
    </xf>
    <xf numFmtId="0" fontId="7" fillId="0" borderId="0" xfId="7" applyFont="1" applyAlignment="1">
      <alignment horizontal="left" vertical="top" wrapText="1"/>
    </xf>
    <xf numFmtId="0" fontId="8" fillId="0" borderId="0" xfId="7" applyFont="1" applyAlignment="1">
      <alignment horizontal="left" vertical="top" wrapText="1"/>
    </xf>
    <xf numFmtId="0" fontId="29" fillId="0" borderId="0" xfId="7" applyFont="1" applyAlignment="1">
      <alignment horizontal="left" vertical="top" wrapText="1"/>
    </xf>
    <xf numFmtId="164" fontId="11" fillId="0" borderId="0" xfId="5" applyNumberFormat="1" applyFont="1" applyAlignment="1">
      <alignment horizontal="center" vertical="center" wrapText="1"/>
    </xf>
    <xf numFmtId="0" fontId="15" fillId="0" borderId="13" xfId="10" quotePrefix="1" applyNumberFormat="1" applyFont="1" applyBorder="1" applyAlignment="1">
      <alignment horizontal="center" vertical="center" wrapText="1"/>
    </xf>
    <xf numFmtId="0" fontId="15" fillId="0" borderId="15" xfId="10" quotePrefix="1" applyNumberFormat="1" applyFont="1" applyBorder="1" applyAlignment="1">
      <alignment horizontal="center" vertical="center" wrapText="1"/>
    </xf>
    <xf numFmtId="0" fontId="15" fillId="0" borderId="14" xfId="10" quotePrefix="1" applyNumberFormat="1" applyFont="1" applyBorder="1" applyAlignment="1">
      <alignment horizontal="center" vertical="center" wrapText="1"/>
    </xf>
    <xf numFmtId="0" fontId="15" fillId="0" borderId="2" xfId="1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2">
    <cellStyle name="Comma" xfId="2" builtinId="3"/>
    <cellStyle name="Currency" xfId="3" builtinId="4"/>
    <cellStyle name="Currency 2" xfId="8" xr:uid="{76E2F666-5792-4B9F-80E7-A571CF5388BF}"/>
    <cellStyle name="Hyperlink" xfId="11" builtinId="8"/>
    <cellStyle name="Normal" xfId="0" builtinId="0"/>
    <cellStyle name="Normal 2" xfId="1" xr:uid="{00000000-0005-0000-0000-000001000000}"/>
    <cellStyle name="Normal 2 2" xfId="7" xr:uid="{E37C3646-1083-48D7-B4F4-BC524A08638D}"/>
    <cellStyle name="Normal 2 3" xfId="10" xr:uid="{320E4BC2-3BD2-402D-B223-080E629A308D}"/>
    <cellStyle name="Normal 3" xfId="4" xr:uid="{53664349-6597-46FA-B8BB-3E9E45362315}"/>
    <cellStyle name="Normal 3 2" xfId="6" xr:uid="{4D9FF880-B9B2-4BA9-9026-87B000279DAB}"/>
    <cellStyle name="Normal_Glasgow Teachers Building LCC Model 15-03-06" xfId="5" xr:uid="{5D68323B-834D-425C-B060-A97AB82B293D}"/>
    <cellStyle name="Percent 2" xfId="9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calcChain" Target="calcChain.xml"/><Relationship Id="rId50" Type="http://schemas.openxmlformats.org/officeDocument/2006/relationships/customXml" Target="../customXml/item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customXml" Target="../customXml/item2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customXml" Target="../customXml/item1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2</xdr:row>
      <xdr:rowOff>121920</xdr:rowOff>
    </xdr:from>
    <xdr:to>
      <xdr:col>8</xdr:col>
      <xdr:colOff>510540</xdr:colOff>
      <xdr:row>11</xdr:row>
      <xdr:rowOff>171914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487680"/>
          <a:ext cx="5478780" cy="17949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2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2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2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2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2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2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2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2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2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2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2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2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2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2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2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2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2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2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2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2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10</xdr:row>
          <xdr:rowOff>0</xdr:rowOff>
        </xdr:from>
        <xdr:to>
          <xdr:col>18</xdr:col>
          <xdr:colOff>45720</xdr:colOff>
          <xdr:row>67</xdr:row>
          <xdr:rowOff>76200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2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76200</xdr:colOff>
      <xdr:row>1</xdr:row>
      <xdr:rowOff>5764</xdr:rowOff>
    </xdr:from>
    <xdr:to>
      <xdr:col>2</xdr:col>
      <xdr:colOff>21772</xdr:colOff>
      <xdr:row>6</xdr:row>
      <xdr:rowOff>195943</xdr:rowOff>
    </xdr:to>
    <xdr:pic>
      <xdr:nvPicPr>
        <xdr:cNvPr id="28" name="Picture 2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171" y="179935"/>
          <a:ext cx="3309258" cy="1605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3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3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3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3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3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3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3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3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3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3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3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3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3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3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3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3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1" name="Check Box 17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3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2" name="Check Box 18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3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3" name="Check Box 19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3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4" name="Check Box 20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3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5" name="Check Box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3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6" name="Check Box 2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3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373380</xdr:colOff>
          <xdr:row>221</xdr:row>
          <xdr:rowOff>0</xdr:rowOff>
        </xdr:from>
        <xdr:to>
          <xdr:col>25</xdr:col>
          <xdr:colOff>30480</xdr:colOff>
          <xdr:row>284</xdr:row>
          <xdr:rowOff>68580</xdr:rowOff>
        </xdr:to>
        <xdr:sp macro="" textlink="">
          <xdr:nvSpPr>
            <xdr:cNvPr id="11287" name="Check Box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3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833156</xdr:colOff>
      <xdr:row>0</xdr:row>
      <xdr:rowOff>165287</xdr:rowOff>
    </xdr:from>
    <xdr:to>
      <xdr:col>11</xdr:col>
      <xdr:colOff>2201394</xdr:colOff>
      <xdr:row>7</xdr:row>
      <xdr:rowOff>136712</xdr:rowOff>
    </xdr:to>
    <xdr:pic>
      <xdr:nvPicPr>
        <xdr:cNvPr id="25" name="Picture 2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676" y="165287"/>
          <a:ext cx="3829498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215153</xdr:colOff>
      <xdr:row>0</xdr:row>
      <xdr:rowOff>125506</xdr:rowOff>
    </xdr:from>
    <xdr:to>
      <xdr:col>3</xdr:col>
      <xdr:colOff>202826</xdr:colOff>
      <xdr:row>7</xdr:row>
      <xdr:rowOff>96931</xdr:rowOff>
    </xdr:to>
    <xdr:pic>
      <xdr:nvPicPr>
        <xdr:cNvPr id="26" name="Picture 2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153" y="125506"/>
          <a:ext cx="3828153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551085</xdr:colOff>
      <xdr:row>7</xdr:row>
      <xdr:rowOff>132397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7610" y="707390"/>
          <a:ext cx="1827435" cy="7051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18" Type="http://schemas.openxmlformats.org/officeDocument/2006/relationships/ctrlProp" Target="../ctrlProps/ctrlProp37.xml"/><Relationship Id="rId26" Type="http://schemas.openxmlformats.org/officeDocument/2006/relationships/ctrlProp" Target="../ctrlProps/ctrlProp45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40.x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17" Type="http://schemas.openxmlformats.org/officeDocument/2006/relationships/ctrlProp" Target="../ctrlProps/ctrlProp36.xml"/><Relationship Id="rId25" Type="http://schemas.openxmlformats.org/officeDocument/2006/relationships/ctrlProp" Target="../ctrlProps/ctrlProp4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35.xml"/><Relationship Id="rId20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24" Type="http://schemas.openxmlformats.org/officeDocument/2006/relationships/ctrlProp" Target="../ctrlProps/ctrlProp43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23" Type="http://schemas.openxmlformats.org/officeDocument/2006/relationships/ctrlProp" Target="../ctrlProps/ctrlProp42.xml"/><Relationship Id="rId10" Type="http://schemas.openxmlformats.org/officeDocument/2006/relationships/ctrlProp" Target="../ctrlProps/ctrlProp29.xml"/><Relationship Id="rId19" Type="http://schemas.openxmlformats.org/officeDocument/2006/relationships/ctrlProp" Target="../ctrlProps/ctrlProp38.xml"/><Relationship Id="rId4" Type="http://schemas.openxmlformats.org/officeDocument/2006/relationships/vmlDrawing" Target="../drawings/vmlDrawing4.v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Relationship Id="rId22" Type="http://schemas.openxmlformats.org/officeDocument/2006/relationships/ctrlProp" Target="../ctrlProps/ctrlProp41.xml"/><Relationship Id="rId27" Type="http://schemas.openxmlformats.org/officeDocument/2006/relationships/ctrlProp" Target="../ctrlProps/ctrlProp4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1906127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7BAA3-EB5D-42D3-B4BF-5F02016CF655}">
  <sheetPr>
    <pageSetUpPr fitToPage="1"/>
  </sheetPr>
  <dimension ref="A1:O68"/>
  <sheetViews>
    <sheetView tabSelected="1" workbookViewId="0">
      <selection activeCell="D18" sqref="D18"/>
    </sheetView>
  </sheetViews>
  <sheetFormatPr defaultColWidth="9.109375" defaultRowHeight="14.4" x14ac:dyDescent="0.3"/>
  <cols>
    <col min="1" max="1" width="9.33203125" style="149" customWidth="1"/>
    <col min="2" max="2" width="10.109375" style="149" bestFit="1" customWidth="1"/>
    <col min="3" max="3" width="9.33203125" style="149" customWidth="1"/>
    <col min="4" max="4" width="8.6640625" style="149" customWidth="1"/>
    <col min="5" max="5" width="8.33203125" style="149" customWidth="1"/>
    <col min="6" max="9" width="9.33203125" style="149" customWidth="1"/>
    <col min="10" max="16384" width="9.109375" style="149"/>
  </cols>
  <sheetData>
    <row r="1" spans="1:15" x14ac:dyDescent="0.3">
      <c r="A1" s="146"/>
      <c r="B1" s="147"/>
      <c r="C1" s="147"/>
      <c r="D1" s="147"/>
      <c r="E1" s="147"/>
      <c r="F1" s="147"/>
      <c r="G1" s="147"/>
      <c r="H1" s="147"/>
      <c r="I1" s="148"/>
    </row>
    <row r="2" spans="1:15" x14ac:dyDescent="0.3">
      <c r="A2" s="150"/>
      <c r="I2" s="151"/>
    </row>
    <row r="3" spans="1:15" x14ac:dyDescent="0.3">
      <c r="A3" s="150"/>
      <c r="I3" s="151"/>
    </row>
    <row r="4" spans="1:15" x14ac:dyDescent="0.3">
      <c r="A4" s="150"/>
      <c r="I4" s="151"/>
    </row>
    <row r="5" spans="1:15" x14ac:dyDescent="0.3">
      <c r="A5" s="150"/>
      <c r="I5" s="151"/>
    </row>
    <row r="6" spans="1:15" x14ac:dyDescent="0.3">
      <c r="A6" s="150"/>
      <c r="I6" s="151"/>
      <c r="L6" s="120"/>
      <c r="M6" s="120"/>
      <c r="N6" s="19"/>
      <c r="O6" s="88"/>
    </row>
    <row r="7" spans="1:15" x14ac:dyDescent="0.3">
      <c r="A7" s="150"/>
      <c r="I7" s="151"/>
      <c r="L7" s="121"/>
      <c r="M7" s="121"/>
      <c r="N7" s="8"/>
      <c r="O7" s="89"/>
    </row>
    <row r="8" spans="1:15" x14ac:dyDescent="0.3">
      <c r="A8" s="150"/>
      <c r="I8" s="151"/>
      <c r="L8" s="121"/>
      <c r="M8" s="121"/>
      <c r="N8" s="8"/>
      <c r="O8" s="89"/>
    </row>
    <row r="9" spans="1:15" ht="22.2" x14ac:dyDescent="0.3">
      <c r="A9" s="150"/>
      <c r="I9" s="151"/>
      <c r="L9" s="122"/>
      <c r="M9" s="122"/>
      <c r="N9" s="6"/>
      <c r="O9" s="90"/>
    </row>
    <row r="10" spans="1:15" x14ac:dyDescent="0.3">
      <c r="A10" s="150"/>
      <c r="I10" s="151"/>
      <c r="L10" s="121"/>
      <c r="M10" s="121"/>
      <c r="N10" s="8"/>
      <c r="O10" s="91"/>
    </row>
    <row r="11" spans="1:15" x14ac:dyDescent="0.3">
      <c r="A11" s="152"/>
      <c r="B11" s="153"/>
      <c r="C11" s="153"/>
      <c r="D11" s="153"/>
      <c r="E11" s="153"/>
      <c r="F11" s="153"/>
      <c r="G11" s="153"/>
      <c r="H11" s="153"/>
      <c r="I11" s="154"/>
      <c r="J11" s="153"/>
      <c r="K11" s="153"/>
      <c r="L11" s="119"/>
      <c r="M11" s="119"/>
      <c r="N11" s="27"/>
      <c r="O11" s="92"/>
    </row>
    <row r="12" spans="1:15" x14ac:dyDescent="0.3">
      <c r="A12" s="152"/>
      <c r="B12" s="153"/>
      <c r="C12" s="153"/>
      <c r="D12" s="153"/>
      <c r="E12" s="153"/>
      <c r="F12" s="153"/>
      <c r="G12" s="153"/>
      <c r="H12" s="153"/>
      <c r="I12" s="154"/>
      <c r="J12" s="153"/>
      <c r="K12" s="153"/>
      <c r="L12" s="119"/>
      <c r="M12" s="119"/>
      <c r="N12" s="27"/>
      <c r="O12" s="92"/>
    </row>
    <row r="13" spans="1:15" x14ac:dyDescent="0.3">
      <c r="A13" s="152"/>
      <c r="B13" s="153"/>
      <c r="C13" s="153"/>
      <c r="D13" s="153"/>
      <c r="E13" s="153"/>
      <c r="F13" s="153"/>
      <c r="G13" s="153"/>
      <c r="H13" s="153"/>
      <c r="I13" s="154"/>
      <c r="J13" s="153"/>
      <c r="K13" s="153"/>
      <c r="L13" s="119"/>
      <c r="M13" s="119"/>
      <c r="N13" s="27"/>
      <c r="O13" s="92"/>
    </row>
    <row r="14" spans="1:15" x14ac:dyDescent="0.3">
      <c r="A14" s="152"/>
      <c r="B14" s="153"/>
      <c r="C14" s="153"/>
      <c r="D14" s="153"/>
      <c r="E14" s="153"/>
      <c r="F14" s="153"/>
      <c r="G14" s="153"/>
      <c r="H14" s="153"/>
      <c r="I14" s="154"/>
      <c r="J14" s="153"/>
      <c r="K14" s="153"/>
      <c r="L14" s="119"/>
      <c r="M14" s="119"/>
      <c r="N14" s="10"/>
      <c r="O14" s="92"/>
    </row>
    <row r="15" spans="1:15" x14ac:dyDescent="0.3">
      <c r="A15" s="152"/>
      <c r="B15" s="153"/>
      <c r="C15" s="153"/>
      <c r="D15" s="153"/>
      <c r="E15" s="153"/>
      <c r="F15" s="153"/>
      <c r="G15" s="153"/>
      <c r="H15" s="153"/>
      <c r="I15" s="154"/>
      <c r="J15" s="153"/>
      <c r="K15" s="153"/>
    </row>
    <row r="16" spans="1:15" x14ac:dyDescent="0.3">
      <c r="A16" s="152"/>
      <c r="B16" s="153"/>
      <c r="C16" s="153"/>
      <c r="D16" s="153"/>
      <c r="E16" s="153"/>
      <c r="F16" s="153"/>
      <c r="G16" s="153"/>
      <c r="H16" s="153"/>
      <c r="I16" s="154"/>
      <c r="J16" s="153"/>
      <c r="K16" s="153"/>
    </row>
    <row r="17" spans="1:11" x14ac:dyDescent="0.3">
      <c r="A17" s="152"/>
      <c r="B17" s="153"/>
      <c r="C17" s="153"/>
      <c r="D17" s="153"/>
      <c r="E17" s="153"/>
      <c r="F17" s="153"/>
      <c r="G17" s="153"/>
      <c r="H17" s="153"/>
      <c r="I17" s="154"/>
      <c r="J17" s="153"/>
      <c r="K17" s="153"/>
    </row>
    <row r="18" spans="1:11" x14ac:dyDescent="0.3">
      <c r="A18" s="152"/>
      <c r="B18" s="153"/>
      <c r="C18" s="153"/>
      <c r="D18" s="153"/>
      <c r="E18" s="153"/>
      <c r="F18" s="153"/>
      <c r="G18" s="153"/>
      <c r="H18" s="153"/>
      <c r="I18" s="154"/>
      <c r="J18" s="153"/>
      <c r="K18" s="153"/>
    </row>
    <row r="19" spans="1:11" ht="22.8" x14ac:dyDescent="0.4">
      <c r="A19" s="199" t="s">
        <v>49</v>
      </c>
      <c r="B19" s="200"/>
      <c r="C19" s="200"/>
      <c r="D19" s="200"/>
      <c r="E19" s="200"/>
      <c r="F19" s="200"/>
      <c r="G19" s="200"/>
      <c r="H19" s="200"/>
      <c r="I19" s="201"/>
      <c r="J19" s="153"/>
      <c r="K19" s="153"/>
    </row>
    <row r="20" spans="1:11" ht="22.8" x14ac:dyDescent="0.4">
      <c r="A20" s="202" t="s">
        <v>50</v>
      </c>
      <c r="B20" s="203"/>
      <c r="C20" s="203"/>
      <c r="D20" s="203"/>
      <c r="E20" s="203"/>
      <c r="F20" s="203"/>
      <c r="G20" s="203"/>
      <c r="H20" s="203"/>
      <c r="I20" s="204"/>
      <c r="J20" s="153"/>
      <c r="K20" s="153"/>
    </row>
    <row r="21" spans="1:11" x14ac:dyDescent="0.3">
      <c r="A21" s="152"/>
      <c r="B21" s="153"/>
      <c r="C21" s="153"/>
      <c r="D21" s="153"/>
      <c r="E21" s="153"/>
      <c r="F21" s="153"/>
      <c r="G21" s="153"/>
      <c r="H21" s="153"/>
      <c r="I21" s="154"/>
      <c r="J21" s="153"/>
      <c r="K21" s="153"/>
    </row>
    <row r="22" spans="1:11" x14ac:dyDescent="0.3">
      <c r="A22" s="152"/>
      <c r="B22" s="153"/>
      <c r="C22" s="153"/>
      <c r="D22" s="153"/>
      <c r="E22" s="153"/>
      <c r="F22" s="153"/>
      <c r="G22" s="153"/>
      <c r="H22" s="153"/>
      <c r="I22" s="154"/>
      <c r="J22" s="153"/>
      <c r="K22" s="153"/>
    </row>
    <row r="23" spans="1:11" x14ac:dyDescent="0.3">
      <c r="A23" s="152"/>
      <c r="B23" s="153"/>
      <c r="C23" s="153"/>
      <c r="D23" s="153"/>
      <c r="E23" s="153"/>
      <c r="F23" s="153"/>
      <c r="G23" s="153"/>
      <c r="H23" s="153"/>
      <c r="I23" s="154"/>
      <c r="J23" s="153"/>
      <c r="K23" s="153"/>
    </row>
    <row r="24" spans="1:11" x14ac:dyDescent="0.3">
      <c r="A24" s="152"/>
      <c r="B24" s="153"/>
      <c r="C24" s="153"/>
      <c r="D24" s="153"/>
      <c r="E24" s="153"/>
      <c r="F24" s="153"/>
      <c r="G24" s="153"/>
      <c r="H24" s="153"/>
      <c r="I24" s="154"/>
      <c r="J24" s="153"/>
      <c r="K24" s="153"/>
    </row>
    <row r="25" spans="1:11" ht="20.399999999999999" x14ac:dyDescent="0.35">
      <c r="A25" s="205" t="s">
        <v>47</v>
      </c>
      <c r="B25" s="206"/>
      <c r="C25" s="206"/>
      <c r="D25" s="206"/>
      <c r="E25" s="206"/>
      <c r="F25" s="206"/>
      <c r="G25" s="206"/>
      <c r="H25" s="206"/>
      <c r="I25" s="207"/>
      <c r="J25" s="153"/>
      <c r="K25" s="153"/>
    </row>
    <row r="26" spans="1:11" ht="20.399999999999999" x14ac:dyDescent="0.35">
      <c r="A26" s="205" t="s">
        <v>48</v>
      </c>
      <c r="B26" s="206"/>
      <c r="C26" s="206"/>
      <c r="D26" s="206"/>
      <c r="E26" s="206"/>
      <c r="F26" s="206"/>
      <c r="G26" s="206"/>
      <c r="H26" s="206"/>
      <c r="I26" s="207"/>
      <c r="J26" s="153"/>
      <c r="K26" s="153"/>
    </row>
    <row r="27" spans="1:11" x14ac:dyDescent="0.3">
      <c r="A27" s="152"/>
      <c r="B27" s="153"/>
      <c r="C27" s="153"/>
      <c r="D27" s="153"/>
      <c r="E27" s="153"/>
      <c r="F27" s="153"/>
      <c r="G27" s="153"/>
      <c r="H27" s="153"/>
      <c r="I27" s="154"/>
      <c r="J27" s="153"/>
      <c r="K27" s="153"/>
    </row>
    <row r="28" spans="1:11" x14ac:dyDescent="0.3">
      <c r="A28" s="152"/>
      <c r="B28" s="153"/>
      <c r="C28" s="153"/>
      <c r="D28" s="153"/>
      <c r="E28" s="153"/>
      <c r="F28" s="153"/>
      <c r="G28" s="153"/>
      <c r="H28" s="153"/>
      <c r="I28" s="154"/>
      <c r="J28" s="153"/>
      <c r="K28" s="153"/>
    </row>
    <row r="29" spans="1:11" x14ac:dyDescent="0.3">
      <c r="A29" s="152"/>
      <c r="B29" s="153"/>
      <c r="C29" s="153"/>
      <c r="D29" s="153"/>
      <c r="E29" s="153"/>
      <c r="F29" s="153"/>
      <c r="G29" s="153"/>
      <c r="H29" s="153"/>
      <c r="I29" s="154"/>
      <c r="J29" s="153"/>
      <c r="K29" s="153"/>
    </row>
    <row r="30" spans="1:11" ht="22.8" x14ac:dyDescent="0.4">
      <c r="A30" s="199" t="s">
        <v>228</v>
      </c>
      <c r="B30" s="200"/>
      <c r="C30" s="200"/>
      <c r="D30" s="200"/>
      <c r="E30" s="200"/>
      <c r="F30" s="200"/>
      <c r="G30" s="200"/>
      <c r="H30" s="200"/>
      <c r="I30" s="201"/>
      <c r="J30" s="153"/>
      <c r="K30" s="153"/>
    </row>
    <row r="31" spans="1:11" ht="22.8" x14ac:dyDescent="0.4">
      <c r="A31" s="202" t="s">
        <v>229</v>
      </c>
      <c r="B31" s="203"/>
      <c r="C31" s="203"/>
      <c r="D31" s="203"/>
      <c r="E31" s="203"/>
      <c r="F31" s="203"/>
      <c r="G31" s="203"/>
      <c r="H31" s="203"/>
      <c r="I31" s="204"/>
      <c r="J31" s="153"/>
      <c r="K31" s="153"/>
    </row>
    <row r="32" spans="1:11" x14ac:dyDescent="0.3">
      <c r="A32" s="152"/>
      <c r="B32" s="153"/>
      <c r="C32" s="153"/>
      <c r="D32" s="153"/>
      <c r="E32" s="153"/>
      <c r="F32" s="153"/>
      <c r="G32" s="153"/>
      <c r="H32" s="153"/>
      <c r="I32" s="154"/>
      <c r="J32" s="153"/>
      <c r="K32" s="153"/>
    </row>
    <row r="33" spans="1:11" x14ac:dyDescent="0.3">
      <c r="A33" s="152"/>
      <c r="B33" s="153"/>
      <c r="C33" s="153"/>
      <c r="D33" s="153"/>
      <c r="E33" s="153"/>
      <c r="F33" s="153"/>
      <c r="G33" s="153"/>
      <c r="H33" s="153"/>
      <c r="I33" s="154"/>
      <c r="J33" s="153"/>
      <c r="K33" s="153"/>
    </row>
    <row r="34" spans="1:11" x14ac:dyDescent="0.3">
      <c r="A34" s="152"/>
      <c r="B34" s="153"/>
      <c r="C34" s="153"/>
      <c r="D34" s="153"/>
      <c r="E34" s="153"/>
      <c r="F34" s="153"/>
      <c r="G34" s="153"/>
      <c r="H34" s="153"/>
      <c r="I34" s="154"/>
      <c r="J34" s="153"/>
      <c r="K34" s="153"/>
    </row>
    <row r="35" spans="1:11" x14ac:dyDescent="0.3">
      <c r="A35" s="152"/>
      <c r="B35" s="153"/>
      <c r="C35" s="153"/>
      <c r="D35" s="153"/>
      <c r="E35" s="153"/>
      <c r="F35" s="153"/>
      <c r="G35" s="153"/>
      <c r="H35" s="153"/>
      <c r="I35" s="154"/>
      <c r="J35" s="153"/>
      <c r="K35" s="153"/>
    </row>
    <row r="36" spans="1:11" x14ac:dyDescent="0.3">
      <c r="A36" s="152"/>
      <c r="B36" s="153"/>
      <c r="C36" s="153"/>
      <c r="D36" s="153"/>
      <c r="E36" s="153"/>
      <c r="F36" s="153"/>
      <c r="G36" s="153"/>
      <c r="H36" s="153"/>
      <c r="I36" s="154"/>
      <c r="J36" s="153"/>
      <c r="K36" s="153"/>
    </row>
    <row r="37" spans="1:11" x14ac:dyDescent="0.3">
      <c r="A37" s="152"/>
      <c r="B37" s="153"/>
      <c r="C37" s="153"/>
      <c r="D37" s="153"/>
      <c r="E37" s="153"/>
      <c r="F37" s="153"/>
      <c r="G37" s="153"/>
      <c r="H37" s="153"/>
      <c r="I37" s="154"/>
      <c r="J37" s="153"/>
      <c r="K37" s="153"/>
    </row>
    <row r="38" spans="1:11" x14ac:dyDescent="0.3">
      <c r="A38" s="156"/>
      <c r="B38" s="157"/>
      <c r="C38" s="157"/>
      <c r="D38" s="157"/>
      <c r="E38" s="157"/>
      <c r="F38" s="157"/>
      <c r="G38" s="157"/>
      <c r="H38" s="157"/>
      <c r="I38" s="158"/>
      <c r="J38" s="153"/>
      <c r="K38" s="153"/>
    </row>
    <row r="39" spans="1:11" ht="22.8" x14ac:dyDescent="0.4">
      <c r="A39" s="155"/>
      <c r="B39" s="155"/>
      <c r="C39" s="155"/>
      <c r="D39" s="155"/>
      <c r="E39" s="155"/>
      <c r="F39" s="155"/>
      <c r="G39" s="155"/>
      <c r="H39" s="155"/>
      <c r="I39" s="155"/>
      <c r="J39" s="153"/>
      <c r="K39" s="153"/>
    </row>
    <row r="40" spans="1:11" ht="22.8" x14ac:dyDescent="0.4">
      <c r="A40" s="155"/>
      <c r="B40" s="155"/>
      <c r="C40" s="155"/>
      <c r="D40" s="155"/>
      <c r="E40" s="155"/>
      <c r="F40" s="155"/>
      <c r="G40" s="155"/>
      <c r="H40" s="155"/>
      <c r="I40" s="155"/>
      <c r="J40" s="153"/>
      <c r="K40" s="153"/>
    </row>
    <row r="41" spans="1:11" ht="22.8" x14ac:dyDescent="0.4">
      <c r="A41" s="155"/>
      <c r="B41" s="155"/>
      <c r="C41" s="155"/>
      <c r="D41" s="155"/>
      <c r="E41" s="155"/>
      <c r="F41" s="155"/>
      <c r="G41" s="155"/>
      <c r="H41" s="155"/>
      <c r="I41" s="155"/>
      <c r="J41" s="153"/>
      <c r="K41" s="153"/>
    </row>
    <row r="42" spans="1:11" ht="22.8" x14ac:dyDescent="0.4">
      <c r="A42" s="155"/>
      <c r="B42" s="155"/>
      <c r="C42" s="155"/>
      <c r="D42" s="155"/>
      <c r="E42" s="155"/>
      <c r="F42" s="155"/>
      <c r="G42" s="155"/>
      <c r="H42" s="155"/>
      <c r="I42" s="155"/>
      <c r="J42" s="153"/>
      <c r="K42" s="153"/>
    </row>
    <row r="43" spans="1:11" ht="22.8" x14ac:dyDescent="0.4">
      <c r="A43" s="155"/>
      <c r="B43" s="155"/>
      <c r="C43" s="155"/>
      <c r="D43" s="155"/>
      <c r="E43" s="155"/>
      <c r="F43" s="155"/>
      <c r="G43" s="155"/>
      <c r="H43" s="155"/>
      <c r="I43" s="155"/>
      <c r="J43" s="153"/>
      <c r="K43" s="153"/>
    </row>
    <row r="44" spans="1:11" ht="22.8" x14ac:dyDescent="0.4">
      <c r="A44" s="155"/>
      <c r="B44" s="155"/>
      <c r="C44" s="155"/>
      <c r="D44" s="155"/>
      <c r="E44" s="155"/>
      <c r="F44" s="155"/>
      <c r="G44" s="155"/>
      <c r="H44" s="155"/>
      <c r="I44" s="155"/>
      <c r="J44" s="153"/>
      <c r="K44" s="153"/>
    </row>
    <row r="45" spans="1:11" ht="22.8" x14ac:dyDescent="0.4">
      <c r="A45" s="155"/>
      <c r="B45" s="155"/>
      <c r="C45" s="155"/>
      <c r="D45" s="155"/>
      <c r="E45" s="155"/>
      <c r="F45" s="155"/>
      <c r="G45" s="155"/>
      <c r="H45" s="155"/>
      <c r="I45" s="155"/>
      <c r="J45" s="153"/>
      <c r="K45" s="153"/>
    </row>
    <row r="46" spans="1:11" ht="22.8" x14ac:dyDescent="0.4">
      <c r="A46" s="155"/>
      <c r="B46" s="155"/>
      <c r="C46" s="155"/>
      <c r="D46" s="155"/>
      <c r="E46" s="155"/>
      <c r="F46" s="155"/>
      <c r="G46" s="155"/>
      <c r="H46" s="155"/>
      <c r="I46" s="155"/>
      <c r="J46" s="153"/>
      <c r="K46" s="153"/>
    </row>
    <row r="47" spans="1:11" ht="22.8" x14ac:dyDescent="0.4">
      <c r="A47" s="155"/>
      <c r="B47" s="155"/>
      <c r="C47" s="155"/>
      <c r="D47" s="155"/>
      <c r="E47" s="155"/>
      <c r="F47" s="155"/>
      <c r="G47" s="155"/>
      <c r="H47" s="155"/>
      <c r="I47" s="155"/>
      <c r="J47" s="153"/>
      <c r="K47" s="153"/>
    </row>
    <row r="48" spans="1:11" ht="22.8" x14ac:dyDescent="0.4">
      <c r="A48" s="155"/>
      <c r="B48" s="155"/>
      <c r="C48" s="155"/>
      <c r="D48" s="155"/>
      <c r="E48" s="155"/>
      <c r="F48" s="155"/>
      <c r="G48" s="155"/>
      <c r="H48" s="155"/>
      <c r="I48" s="155"/>
      <c r="J48" s="153"/>
      <c r="K48" s="153"/>
    </row>
    <row r="49" spans="1:11" ht="22.8" x14ac:dyDescent="0.4">
      <c r="A49" s="155"/>
      <c r="B49" s="155"/>
      <c r="C49" s="155"/>
      <c r="D49" s="155"/>
      <c r="E49" s="155"/>
      <c r="F49" s="155"/>
      <c r="G49" s="155"/>
      <c r="H49" s="155"/>
      <c r="I49" s="155"/>
      <c r="J49" s="153"/>
      <c r="K49" s="153"/>
    </row>
    <row r="50" spans="1:11" ht="22.8" x14ac:dyDescent="0.4">
      <c r="A50" s="155"/>
      <c r="B50" s="155"/>
      <c r="C50" s="155"/>
      <c r="D50" s="155"/>
      <c r="E50" s="155"/>
      <c r="F50" s="155"/>
      <c r="G50" s="155"/>
      <c r="H50" s="155"/>
      <c r="I50" s="155"/>
      <c r="J50" s="153"/>
      <c r="K50" s="153"/>
    </row>
    <row r="51" spans="1:11" ht="22.8" x14ac:dyDescent="0.4">
      <c r="A51" s="155"/>
      <c r="B51" s="155"/>
      <c r="C51" s="155"/>
      <c r="D51" s="155"/>
      <c r="E51" s="155"/>
      <c r="F51" s="155"/>
      <c r="G51" s="155"/>
      <c r="H51" s="155"/>
      <c r="I51" s="155"/>
      <c r="J51" s="153"/>
      <c r="K51" s="153"/>
    </row>
    <row r="52" spans="1:11" ht="22.8" x14ac:dyDescent="0.4">
      <c r="A52" s="155"/>
      <c r="B52" s="155"/>
      <c r="C52" s="155"/>
      <c r="D52" s="155"/>
      <c r="E52" s="155"/>
      <c r="F52" s="155"/>
      <c r="G52" s="155"/>
      <c r="H52" s="155"/>
      <c r="I52" s="155"/>
      <c r="J52" s="153"/>
      <c r="K52" s="153"/>
    </row>
    <row r="53" spans="1:11" ht="22.8" x14ac:dyDescent="0.4">
      <c r="A53" s="155"/>
      <c r="B53" s="155"/>
      <c r="C53" s="155"/>
      <c r="D53" s="155"/>
      <c r="E53" s="155"/>
      <c r="F53" s="155"/>
      <c r="G53" s="155"/>
      <c r="H53" s="155"/>
      <c r="I53" s="155"/>
      <c r="J53" s="153"/>
      <c r="K53" s="153"/>
    </row>
    <row r="54" spans="1:11" ht="22.8" x14ac:dyDescent="0.4">
      <c r="A54" s="155"/>
      <c r="B54" s="155"/>
      <c r="C54" s="155"/>
      <c r="D54" s="155"/>
      <c r="E54" s="155"/>
      <c r="F54" s="155"/>
      <c r="G54" s="155"/>
      <c r="H54" s="155"/>
      <c r="I54" s="155"/>
      <c r="J54" s="153"/>
      <c r="K54" s="153"/>
    </row>
    <row r="55" spans="1:11" ht="22.8" x14ac:dyDescent="0.4">
      <c r="A55" s="155"/>
      <c r="B55" s="155"/>
      <c r="C55" s="155"/>
      <c r="D55" s="155"/>
      <c r="E55" s="155"/>
      <c r="F55" s="155"/>
      <c r="G55" s="155"/>
      <c r="H55" s="155"/>
      <c r="I55" s="155"/>
      <c r="J55" s="153"/>
      <c r="K55" s="153"/>
    </row>
    <row r="56" spans="1:11" ht="22.8" x14ac:dyDescent="0.4">
      <c r="A56" s="155"/>
      <c r="B56" s="155"/>
      <c r="C56" s="155"/>
      <c r="D56" s="155"/>
      <c r="E56" s="155"/>
      <c r="F56" s="155"/>
      <c r="G56" s="155"/>
      <c r="H56" s="155"/>
      <c r="I56" s="155"/>
      <c r="J56" s="153"/>
      <c r="K56" s="153"/>
    </row>
    <row r="57" spans="1:11" ht="22.8" x14ac:dyDescent="0.4">
      <c r="A57" s="155"/>
      <c r="B57" s="155"/>
      <c r="C57" s="155"/>
      <c r="D57" s="155"/>
      <c r="E57" s="155"/>
      <c r="F57" s="155"/>
      <c r="G57" s="155"/>
      <c r="H57" s="155"/>
      <c r="I57" s="155"/>
      <c r="J57" s="153"/>
      <c r="K57" s="153"/>
    </row>
    <row r="58" spans="1:11" ht="22.8" x14ac:dyDescent="0.4">
      <c r="A58" s="155"/>
      <c r="B58" s="155"/>
      <c r="C58" s="155"/>
      <c r="D58" s="155"/>
      <c r="E58" s="155"/>
      <c r="F58" s="155"/>
      <c r="G58" s="155"/>
      <c r="H58" s="155"/>
      <c r="I58" s="155"/>
      <c r="J58" s="153"/>
      <c r="K58" s="153"/>
    </row>
    <row r="59" spans="1:11" ht="22.8" x14ac:dyDescent="0.4">
      <c r="A59" s="155"/>
      <c r="B59" s="155"/>
      <c r="C59" s="155"/>
      <c r="D59" s="155"/>
      <c r="E59" s="155"/>
      <c r="F59" s="155"/>
      <c r="G59" s="155"/>
      <c r="H59" s="155"/>
      <c r="I59" s="155"/>
      <c r="J59" s="153"/>
      <c r="K59" s="153"/>
    </row>
    <row r="60" spans="1:11" ht="22.8" x14ac:dyDescent="0.4">
      <c r="A60" s="155"/>
      <c r="B60" s="155"/>
      <c r="C60" s="155"/>
      <c r="D60" s="155"/>
      <c r="E60" s="155"/>
      <c r="F60" s="155"/>
      <c r="G60" s="155"/>
      <c r="H60" s="155"/>
      <c r="I60" s="155"/>
      <c r="J60" s="153"/>
      <c r="K60" s="153"/>
    </row>
    <row r="61" spans="1:11" ht="22.8" x14ac:dyDescent="0.4">
      <c r="A61" s="155"/>
      <c r="B61" s="155"/>
      <c r="C61" s="155"/>
      <c r="D61" s="155"/>
      <c r="E61" s="155"/>
      <c r="F61" s="155"/>
      <c r="G61" s="155"/>
      <c r="H61" s="155"/>
      <c r="I61" s="155"/>
      <c r="J61" s="153"/>
      <c r="K61" s="153"/>
    </row>
    <row r="62" spans="1:11" ht="22.8" x14ac:dyDescent="0.4">
      <c r="A62" s="155"/>
      <c r="B62" s="155"/>
      <c r="C62" s="155"/>
      <c r="D62" s="155"/>
      <c r="E62" s="155"/>
      <c r="F62" s="155"/>
      <c r="G62" s="155"/>
      <c r="H62" s="155"/>
      <c r="I62" s="155"/>
      <c r="J62" s="153"/>
      <c r="K62" s="153"/>
    </row>
    <row r="63" spans="1:11" ht="22.8" x14ac:dyDescent="0.4">
      <c r="A63" s="155"/>
      <c r="B63" s="155"/>
      <c r="C63" s="155"/>
      <c r="D63" s="155"/>
      <c r="E63" s="155"/>
      <c r="F63" s="155"/>
      <c r="G63" s="155"/>
      <c r="H63" s="155"/>
      <c r="I63" s="155"/>
      <c r="J63" s="153"/>
      <c r="K63" s="153"/>
    </row>
    <row r="64" spans="1:11" x14ac:dyDescent="0.3">
      <c r="A64" s="153"/>
      <c r="B64" s="153"/>
      <c r="C64" s="153"/>
      <c r="D64" s="153"/>
      <c r="E64" s="153"/>
      <c r="F64" s="153"/>
      <c r="G64" s="153"/>
      <c r="H64" s="153"/>
      <c r="I64" s="153"/>
      <c r="J64" s="153"/>
      <c r="K64" s="153"/>
    </row>
    <row r="65" spans="1:11" x14ac:dyDescent="0.3">
      <c r="A65" s="153"/>
      <c r="B65" s="153"/>
      <c r="C65" s="153"/>
      <c r="D65" s="153"/>
      <c r="E65" s="153"/>
      <c r="F65" s="153"/>
      <c r="G65" s="153"/>
      <c r="H65" s="153"/>
      <c r="I65" s="153"/>
      <c r="J65" s="153"/>
      <c r="K65" s="153"/>
    </row>
    <row r="66" spans="1:11" x14ac:dyDescent="0.3">
      <c r="A66" s="153"/>
      <c r="B66" s="153"/>
      <c r="C66" s="153"/>
      <c r="D66" s="153"/>
      <c r="E66" s="153"/>
      <c r="F66" s="153"/>
      <c r="G66" s="153"/>
      <c r="H66" s="153"/>
      <c r="I66" s="153"/>
      <c r="J66" s="153"/>
      <c r="K66" s="153"/>
    </row>
    <row r="67" spans="1:11" x14ac:dyDescent="0.3">
      <c r="A67" s="153"/>
      <c r="B67" s="153"/>
      <c r="C67" s="153"/>
      <c r="D67" s="153"/>
      <c r="E67" s="153"/>
      <c r="F67" s="153"/>
      <c r="G67" s="153"/>
      <c r="H67" s="153"/>
      <c r="I67" s="153"/>
      <c r="J67" s="153"/>
      <c r="K67" s="153"/>
    </row>
    <row r="68" spans="1:11" x14ac:dyDescent="0.3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K68" s="153"/>
    </row>
  </sheetData>
  <mergeCells count="6">
    <mergeCell ref="A19:I19"/>
    <mergeCell ref="A20:I20"/>
    <mergeCell ref="A25:I25"/>
    <mergeCell ref="A30:I30"/>
    <mergeCell ref="A31:I31"/>
    <mergeCell ref="A26:I26"/>
  </mergeCells>
  <conditionalFormatting sqref="L7:N8">
    <cfRule type="cellIs" dxfId="0" priority="1" stopIfTrue="1" operator="equal">
      <formula>#N/A</formula>
    </cfRule>
  </conditionalFormatting>
  <pageMargins left="0.87" right="0.38" top="0.81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K70"/>
  <sheetViews>
    <sheetView view="pageBreakPreview" topLeftCell="A43" zoomScale="115" zoomScaleNormal="100" zoomScaleSheetLayoutView="115" workbookViewId="0">
      <selection activeCell="C9" sqref="C9:K9"/>
    </sheetView>
  </sheetViews>
  <sheetFormatPr defaultColWidth="9.109375" defaultRowHeight="13.2" x14ac:dyDescent="0.3"/>
  <cols>
    <col min="1" max="1" width="2.5546875" style="1" customWidth="1"/>
    <col min="2" max="2" width="2" style="1" bestFit="1" customWidth="1"/>
    <col min="3" max="10" width="9.109375" style="1"/>
    <col min="11" max="11" width="16" style="1" customWidth="1"/>
    <col min="12" max="12" width="3.109375" style="1" customWidth="1"/>
    <col min="13" max="16384" width="9.109375" style="1"/>
  </cols>
  <sheetData>
    <row r="1" spans="1:11" ht="14.4" x14ac:dyDescent="0.3">
      <c r="A1" s="2"/>
      <c r="B1" s="211" t="s">
        <v>0</v>
      </c>
      <c r="C1" s="211"/>
      <c r="D1" s="211"/>
      <c r="E1" s="211"/>
      <c r="F1" s="211"/>
      <c r="G1" s="211"/>
      <c r="H1" s="211"/>
      <c r="I1" s="211"/>
      <c r="J1" s="211"/>
      <c r="K1" s="170"/>
    </row>
    <row r="2" spans="1:11" ht="14.4" x14ac:dyDescent="0.3">
      <c r="A2" s="2"/>
      <c r="B2" s="168"/>
      <c r="C2" s="208"/>
      <c r="D2" s="208"/>
      <c r="E2" s="208"/>
      <c r="F2" s="208"/>
      <c r="G2" s="208"/>
      <c r="H2" s="208"/>
      <c r="I2" s="208"/>
      <c r="J2" s="208"/>
      <c r="K2" s="208"/>
    </row>
    <row r="3" spans="1:11" ht="14.4" x14ac:dyDescent="0.3">
      <c r="A3" s="2"/>
      <c r="B3" s="168">
        <v>1</v>
      </c>
      <c r="C3" s="211" t="s">
        <v>1</v>
      </c>
      <c r="D3" s="211"/>
      <c r="E3" s="211"/>
      <c r="F3" s="211"/>
      <c r="G3" s="211"/>
      <c r="H3" s="211"/>
      <c r="I3" s="211"/>
      <c r="J3" s="211"/>
      <c r="K3" s="211"/>
    </row>
    <row r="4" spans="1:11" ht="14.4" x14ac:dyDescent="0.3">
      <c r="A4" s="2"/>
      <c r="B4" s="168"/>
      <c r="C4" s="210" t="s">
        <v>281</v>
      </c>
      <c r="D4" s="210"/>
      <c r="E4" s="210"/>
      <c r="F4" s="210"/>
      <c r="G4" s="210"/>
      <c r="H4" s="210"/>
      <c r="I4" s="210"/>
      <c r="J4" s="210"/>
      <c r="K4" s="210"/>
    </row>
    <row r="5" spans="1:11" ht="14.4" x14ac:dyDescent="0.3">
      <c r="A5" s="2"/>
      <c r="B5" s="168"/>
      <c r="C5" s="210" t="s">
        <v>282</v>
      </c>
      <c r="D5" s="210"/>
      <c r="E5" s="210"/>
      <c r="F5" s="210"/>
      <c r="G5" s="210"/>
      <c r="H5" s="210"/>
      <c r="I5" s="210"/>
      <c r="J5" s="210"/>
      <c r="K5" s="210"/>
    </row>
    <row r="6" spans="1:11" ht="14.4" x14ac:dyDescent="0.3">
      <c r="A6" s="2"/>
      <c r="B6" s="168"/>
      <c r="C6" s="208"/>
      <c r="D6" s="208"/>
      <c r="E6" s="208"/>
      <c r="F6" s="208"/>
      <c r="G6" s="208"/>
      <c r="H6" s="208"/>
      <c r="I6" s="208"/>
      <c r="J6" s="208"/>
      <c r="K6" s="208"/>
    </row>
    <row r="7" spans="1:11" ht="14.4" x14ac:dyDescent="0.3">
      <c r="A7" s="2"/>
      <c r="B7" s="3"/>
      <c r="C7" s="212" t="s">
        <v>227</v>
      </c>
      <c r="D7" s="212"/>
      <c r="E7" s="212"/>
      <c r="F7" s="212"/>
      <c r="G7" s="212"/>
      <c r="H7" s="212"/>
      <c r="I7" s="212"/>
      <c r="J7" s="212"/>
      <c r="K7" s="212"/>
    </row>
    <row r="8" spans="1:11" ht="14.4" x14ac:dyDescent="0.3">
      <c r="A8" s="2"/>
      <c r="B8" s="3"/>
      <c r="C8" s="208" t="s">
        <v>269</v>
      </c>
      <c r="D8" s="208"/>
      <c r="E8" s="208"/>
      <c r="F8" s="208"/>
      <c r="G8" s="208"/>
      <c r="H8" s="208"/>
      <c r="I8" s="208"/>
      <c r="J8" s="208"/>
      <c r="K8" s="208"/>
    </row>
    <row r="9" spans="1:11" ht="14.4" x14ac:dyDescent="0.3">
      <c r="A9" s="2"/>
      <c r="B9" s="3"/>
      <c r="C9" s="208" t="s">
        <v>267</v>
      </c>
      <c r="D9" s="208"/>
      <c r="E9" s="208"/>
      <c r="F9" s="208"/>
      <c r="G9" s="208"/>
      <c r="H9" s="208"/>
      <c r="I9" s="208"/>
      <c r="J9" s="208"/>
      <c r="K9" s="208"/>
    </row>
    <row r="10" spans="1:11" ht="14.4" x14ac:dyDescent="0.3">
      <c r="A10" s="2"/>
      <c r="B10" s="3"/>
      <c r="C10" s="208" t="s">
        <v>268</v>
      </c>
      <c r="D10" s="208"/>
      <c r="E10" s="208"/>
      <c r="F10" s="208"/>
      <c r="G10" s="208"/>
      <c r="H10" s="208"/>
      <c r="I10" s="208"/>
      <c r="J10" s="208"/>
      <c r="K10" s="208"/>
    </row>
    <row r="11" spans="1:11" ht="14.4" x14ac:dyDescent="0.3">
      <c r="A11" s="2"/>
      <c r="B11" s="3"/>
      <c r="C11" s="208" t="s">
        <v>270</v>
      </c>
      <c r="D11" s="208"/>
      <c r="E11" s="208"/>
      <c r="F11" s="208"/>
      <c r="G11" s="208"/>
      <c r="H11" s="208"/>
      <c r="I11" s="208"/>
      <c r="J11" s="208"/>
      <c r="K11" s="208"/>
    </row>
    <row r="12" spans="1:11" ht="14.4" x14ac:dyDescent="0.3">
      <c r="A12" s="2"/>
      <c r="B12" s="3"/>
      <c r="C12" s="208" t="s">
        <v>271</v>
      </c>
      <c r="D12" s="208"/>
      <c r="E12" s="208"/>
      <c r="F12" s="208"/>
      <c r="G12" s="208"/>
      <c r="H12" s="208"/>
      <c r="I12" s="208"/>
      <c r="J12" s="208"/>
      <c r="K12" s="208"/>
    </row>
    <row r="13" spans="1:11" ht="14.4" x14ac:dyDescent="0.3">
      <c r="A13" s="2"/>
      <c r="B13" s="3"/>
      <c r="C13" s="208" t="s">
        <v>272</v>
      </c>
      <c r="D13" s="208"/>
      <c r="E13" s="208"/>
      <c r="F13" s="208"/>
      <c r="G13" s="208"/>
      <c r="H13" s="208"/>
      <c r="I13" s="208"/>
      <c r="J13" s="208"/>
      <c r="K13" s="208"/>
    </row>
    <row r="14" spans="1:11" ht="14.4" x14ac:dyDescent="0.3">
      <c r="A14" s="2"/>
      <c r="B14" s="3"/>
      <c r="C14" s="208" t="s">
        <v>273</v>
      </c>
      <c r="D14" s="208"/>
      <c r="E14" s="208"/>
      <c r="F14" s="208"/>
      <c r="G14" s="208"/>
      <c r="H14" s="208"/>
      <c r="I14" s="208"/>
      <c r="J14" s="208"/>
      <c r="K14" s="208"/>
    </row>
    <row r="15" spans="1:11" ht="14.4" x14ac:dyDescent="0.3">
      <c r="A15" s="2"/>
      <c r="B15" s="3"/>
      <c r="C15" s="208" t="s">
        <v>274</v>
      </c>
      <c r="D15" s="208"/>
      <c r="E15" s="208"/>
      <c r="F15" s="208"/>
      <c r="G15" s="208"/>
      <c r="H15" s="208"/>
      <c r="I15" s="208"/>
      <c r="J15" s="208"/>
      <c r="K15" s="208"/>
    </row>
    <row r="16" spans="1:11" ht="14.4" x14ac:dyDescent="0.3">
      <c r="A16" s="2"/>
      <c r="B16" s="3"/>
      <c r="C16" s="208" t="s">
        <v>275</v>
      </c>
      <c r="D16" s="208"/>
      <c r="E16" s="208"/>
      <c r="F16" s="208"/>
      <c r="G16" s="208"/>
      <c r="H16" s="208"/>
      <c r="I16" s="208"/>
      <c r="J16" s="208"/>
      <c r="K16" s="208"/>
    </row>
    <row r="17" spans="1:11" ht="14.4" x14ac:dyDescent="0.3">
      <c r="A17" s="2"/>
      <c r="B17" s="3"/>
      <c r="C17" s="208" t="s">
        <v>276</v>
      </c>
      <c r="D17" s="208"/>
      <c r="E17" s="208"/>
      <c r="F17" s="208"/>
      <c r="G17" s="208"/>
      <c r="H17" s="208"/>
      <c r="I17" s="208"/>
      <c r="J17" s="208"/>
      <c r="K17" s="208"/>
    </row>
    <row r="18" spans="1:11" ht="14.4" x14ac:dyDescent="0.3">
      <c r="A18" s="2"/>
      <c r="B18" s="3"/>
      <c r="C18" s="208" t="s">
        <v>277</v>
      </c>
      <c r="D18" s="208"/>
      <c r="E18" s="208"/>
      <c r="F18" s="208"/>
      <c r="G18" s="208"/>
      <c r="H18" s="208"/>
      <c r="I18" s="208"/>
      <c r="J18" s="208"/>
      <c r="K18" s="208"/>
    </row>
    <row r="19" spans="1:11" ht="14.4" x14ac:dyDescent="0.3">
      <c r="A19" s="2"/>
      <c r="B19" s="3"/>
      <c r="C19" s="208" t="s">
        <v>278</v>
      </c>
      <c r="D19" s="208"/>
      <c r="E19" s="208"/>
      <c r="F19" s="208"/>
      <c r="G19" s="208"/>
      <c r="H19" s="208"/>
      <c r="I19" s="208"/>
      <c r="J19" s="208"/>
      <c r="K19" s="208"/>
    </row>
    <row r="20" spans="1:11" ht="14.4" x14ac:dyDescent="0.3">
      <c r="A20" s="2"/>
      <c r="B20" s="3"/>
      <c r="C20" s="208" t="s">
        <v>279</v>
      </c>
      <c r="D20" s="208"/>
      <c r="E20" s="208"/>
      <c r="F20" s="208"/>
      <c r="G20" s="208"/>
      <c r="H20" s="208"/>
      <c r="I20" s="208"/>
      <c r="J20" s="208"/>
      <c r="K20" s="208"/>
    </row>
    <row r="21" spans="1:11" x14ac:dyDescent="0.3">
      <c r="A21" s="2"/>
      <c r="B21" s="3"/>
      <c r="C21" s="208" t="s">
        <v>280</v>
      </c>
      <c r="D21" s="208"/>
      <c r="E21" s="208"/>
      <c r="F21" s="208"/>
      <c r="G21" s="208"/>
      <c r="H21" s="208"/>
      <c r="I21" s="208"/>
      <c r="J21" s="208"/>
      <c r="K21" s="208"/>
    </row>
    <row r="22" spans="1:11" ht="14.4" x14ac:dyDescent="0.3">
      <c r="A22" s="2"/>
      <c r="B22" s="3"/>
      <c r="C22" s="208"/>
      <c r="D22" s="208"/>
      <c r="E22" s="208"/>
      <c r="F22" s="208"/>
      <c r="G22" s="208"/>
      <c r="H22" s="208"/>
      <c r="I22" s="208"/>
      <c r="J22" s="208"/>
      <c r="K22" s="208"/>
    </row>
    <row r="23" spans="1:11" ht="14.4" x14ac:dyDescent="0.3">
      <c r="B23" s="3">
        <v>2</v>
      </c>
      <c r="C23" s="209" t="s">
        <v>383</v>
      </c>
      <c r="D23" s="209"/>
      <c r="E23" s="209"/>
      <c r="F23" s="209"/>
      <c r="G23" s="209"/>
      <c r="H23" s="209"/>
      <c r="I23" s="209"/>
      <c r="J23" s="209"/>
      <c r="K23" s="209"/>
    </row>
    <row r="24" spans="1:11" ht="27.6" customHeight="1" x14ac:dyDescent="0.3">
      <c r="B24" s="168"/>
      <c r="C24" s="208" t="s">
        <v>389</v>
      </c>
      <c r="D24" s="208"/>
      <c r="E24" s="208"/>
      <c r="F24" s="208"/>
      <c r="G24" s="208"/>
      <c r="H24" s="208"/>
      <c r="I24" s="208"/>
      <c r="J24" s="208"/>
      <c r="K24" s="208"/>
    </row>
    <row r="25" spans="1:11" ht="14.4" x14ac:dyDescent="0.3">
      <c r="B25" s="168"/>
      <c r="C25" s="208" t="s">
        <v>365</v>
      </c>
      <c r="D25" s="208"/>
      <c r="E25" s="208"/>
      <c r="F25" s="208"/>
      <c r="G25" s="208"/>
      <c r="H25" s="208"/>
      <c r="I25" s="208"/>
      <c r="J25" s="208"/>
      <c r="K25" s="208"/>
    </row>
    <row r="26" spans="1:11" ht="14.4" x14ac:dyDescent="0.3">
      <c r="B26" s="168"/>
      <c r="C26" s="208" t="s">
        <v>366</v>
      </c>
      <c r="D26" s="208"/>
      <c r="E26" s="208"/>
      <c r="F26" s="208"/>
      <c r="G26" s="208"/>
      <c r="H26" s="208"/>
      <c r="I26" s="208"/>
      <c r="J26" s="208"/>
      <c r="K26" s="208"/>
    </row>
    <row r="27" spans="1:11" ht="14.4" x14ac:dyDescent="0.3">
      <c r="B27" s="168"/>
      <c r="C27" s="208" t="s">
        <v>367</v>
      </c>
      <c r="D27" s="208"/>
      <c r="E27" s="208"/>
      <c r="F27" s="208"/>
      <c r="G27" s="208"/>
      <c r="H27" s="208"/>
      <c r="I27" s="208"/>
      <c r="J27" s="208"/>
      <c r="K27" s="208"/>
    </row>
    <row r="28" spans="1:11" ht="14.4" x14ac:dyDescent="0.3">
      <c r="B28" s="168"/>
      <c r="C28" s="208" t="s">
        <v>368</v>
      </c>
      <c r="D28" s="208"/>
      <c r="E28" s="208"/>
      <c r="F28" s="208"/>
      <c r="G28" s="208"/>
      <c r="H28" s="208"/>
      <c r="I28" s="208"/>
      <c r="J28" s="208"/>
      <c r="K28" s="208"/>
    </row>
    <row r="29" spans="1:11" ht="14.4" x14ac:dyDescent="0.3">
      <c r="B29" s="168"/>
      <c r="C29" s="208" t="s">
        <v>369</v>
      </c>
      <c r="D29" s="208"/>
      <c r="E29" s="208"/>
      <c r="F29" s="208"/>
      <c r="G29" s="208"/>
      <c r="H29" s="208"/>
      <c r="I29" s="208"/>
      <c r="J29" s="208"/>
      <c r="K29" s="208"/>
    </row>
    <row r="30" spans="1:11" ht="14.4" x14ac:dyDescent="0.3">
      <c r="B30" s="168"/>
      <c r="C30" s="208" t="s">
        <v>370</v>
      </c>
      <c r="D30" s="208"/>
      <c r="E30" s="208"/>
      <c r="F30" s="208"/>
      <c r="G30" s="208"/>
      <c r="H30" s="208"/>
      <c r="I30" s="208"/>
      <c r="J30" s="208"/>
      <c r="K30" s="208"/>
    </row>
    <row r="31" spans="1:11" ht="14.4" x14ac:dyDescent="0.3">
      <c r="B31" s="168"/>
      <c r="C31" s="208" t="s">
        <v>2</v>
      </c>
      <c r="D31" s="208"/>
      <c r="E31" s="208"/>
      <c r="F31" s="208"/>
      <c r="G31" s="208"/>
      <c r="H31" s="208"/>
      <c r="I31" s="208"/>
      <c r="J31" s="208"/>
      <c r="K31" s="208"/>
    </row>
    <row r="32" spans="1:11" ht="14.4" x14ac:dyDescent="0.3">
      <c r="B32" s="168"/>
      <c r="C32" s="208" t="s">
        <v>373</v>
      </c>
      <c r="D32" s="208"/>
      <c r="E32" s="208"/>
      <c r="F32" s="208"/>
      <c r="G32" s="208"/>
      <c r="H32" s="208"/>
      <c r="I32" s="208"/>
      <c r="J32" s="208"/>
      <c r="K32" s="208"/>
    </row>
    <row r="33" spans="2:11" ht="14.4" x14ac:dyDescent="0.3">
      <c r="B33" s="168"/>
      <c r="C33" s="208" t="s">
        <v>3</v>
      </c>
      <c r="D33" s="208"/>
      <c r="E33" s="208"/>
      <c r="F33" s="208"/>
      <c r="G33" s="208"/>
      <c r="H33" s="208"/>
      <c r="I33" s="208"/>
      <c r="J33" s="208"/>
      <c r="K33" s="208"/>
    </row>
    <row r="34" spans="2:11" ht="31.2" customHeight="1" x14ac:dyDescent="0.3">
      <c r="B34" s="168"/>
      <c r="C34" s="208" t="s">
        <v>4</v>
      </c>
      <c r="D34" s="208"/>
      <c r="E34" s="208"/>
      <c r="F34" s="208"/>
      <c r="G34" s="208"/>
      <c r="H34" s="208"/>
      <c r="I34" s="208"/>
      <c r="J34" s="208"/>
      <c r="K34" s="208"/>
    </row>
    <row r="35" spans="2:11" ht="14.4" x14ac:dyDescent="0.3">
      <c r="B35" s="168"/>
      <c r="C35" s="208" t="s">
        <v>374</v>
      </c>
      <c r="D35" s="208"/>
      <c r="E35" s="208"/>
      <c r="F35" s="208"/>
      <c r="G35" s="208"/>
      <c r="H35" s="208"/>
      <c r="I35" s="208"/>
      <c r="J35" s="208"/>
      <c r="K35" s="208"/>
    </row>
    <row r="36" spans="2:11" ht="14.4" x14ac:dyDescent="0.3">
      <c r="B36" s="168"/>
      <c r="C36" s="208" t="s">
        <v>5</v>
      </c>
      <c r="D36" s="208"/>
      <c r="E36" s="208"/>
      <c r="F36" s="208"/>
      <c r="G36" s="208"/>
      <c r="H36" s="208"/>
      <c r="I36" s="208"/>
      <c r="J36" s="208"/>
      <c r="K36" s="208"/>
    </row>
    <row r="37" spans="2:11" ht="30.6" customHeight="1" x14ac:dyDescent="0.3">
      <c r="B37" s="168"/>
      <c r="C37" s="208" t="s">
        <v>375</v>
      </c>
      <c r="D37" s="208"/>
      <c r="E37" s="208"/>
      <c r="F37" s="208"/>
      <c r="G37" s="208"/>
      <c r="H37" s="208"/>
      <c r="I37" s="208"/>
      <c r="J37" s="208"/>
      <c r="K37" s="208"/>
    </row>
    <row r="38" spans="2:11" ht="14.4" x14ac:dyDescent="0.3">
      <c r="B38" s="168"/>
      <c r="C38" s="208" t="s">
        <v>376</v>
      </c>
      <c r="D38" s="208"/>
      <c r="E38" s="208"/>
      <c r="F38" s="208"/>
      <c r="G38" s="208"/>
      <c r="H38" s="208"/>
      <c r="I38" s="208"/>
      <c r="J38" s="208"/>
      <c r="K38" s="208"/>
    </row>
    <row r="39" spans="2:11" ht="14.4" x14ac:dyDescent="0.3">
      <c r="B39" s="168"/>
      <c r="C39" s="208" t="s">
        <v>377</v>
      </c>
      <c r="D39" s="208"/>
      <c r="E39" s="208"/>
      <c r="F39" s="208"/>
      <c r="G39" s="208"/>
      <c r="H39" s="208"/>
      <c r="I39" s="208"/>
      <c r="J39" s="208"/>
      <c r="K39" s="208"/>
    </row>
    <row r="40" spans="2:11" ht="14.4" x14ac:dyDescent="0.3">
      <c r="B40" s="168"/>
      <c r="C40" s="208" t="s">
        <v>378</v>
      </c>
      <c r="D40" s="208"/>
      <c r="E40" s="208"/>
      <c r="F40" s="208"/>
      <c r="G40" s="208"/>
      <c r="H40" s="208"/>
      <c r="I40" s="208"/>
      <c r="J40" s="208"/>
      <c r="K40" s="208"/>
    </row>
    <row r="41" spans="2:11" ht="14.4" x14ac:dyDescent="0.3">
      <c r="B41" s="168"/>
      <c r="C41" s="208" t="s">
        <v>379</v>
      </c>
      <c r="D41" s="208"/>
      <c r="E41" s="208"/>
      <c r="F41" s="208"/>
      <c r="G41" s="208"/>
      <c r="H41" s="208"/>
      <c r="I41" s="208"/>
      <c r="J41" s="208"/>
      <c r="K41" s="208"/>
    </row>
    <row r="42" spans="2:11" ht="14.4" x14ac:dyDescent="0.3">
      <c r="B42" s="168"/>
      <c r="C42" s="208" t="s">
        <v>380</v>
      </c>
      <c r="D42" s="208"/>
      <c r="E42" s="208"/>
      <c r="F42" s="208"/>
      <c r="G42" s="208"/>
      <c r="H42" s="208"/>
      <c r="I42" s="208"/>
      <c r="J42" s="208"/>
      <c r="K42" s="208"/>
    </row>
    <row r="43" spans="2:11" ht="14.4" x14ac:dyDescent="0.3">
      <c r="B43" s="168"/>
      <c r="C43" s="208" t="s">
        <v>381</v>
      </c>
      <c r="D43" s="208"/>
      <c r="E43" s="208"/>
      <c r="F43" s="208"/>
      <c r="G43" s="208"/>
      <c r="H43" s="208"/>
      <c r="I43" s="208"/>
      <c r="J43" s="208"/>
      <c r="K43" s="208"/>
    </row>
    <row r="44" spans="2:11" ht="14.4" x14ac:dyDescent="0.3">
      <c r="B44" s="168"/>
      <c r="C44" s="208" t="s">
        <v>382</v>
      </c>
      <c r="D44" s="208"/>
      <c r="E44" s="208"/>
      <c r="F44" s="208"/>
      <c r="G44" s="208"/>
      <c r="H44" s="208"/>
      <c r="I44" s="208"/>
      <c r="J44" s="208"/>
      <c r="K44" s="208"/>
    </row>
    <row r="45" spans="2:11" ht="14.4" x14ac:dyDescent="0.3">
      <c r="B45" s="168"/>
      <c r="C45" s="208" t="s">
        <v>6</v>
      </c>
      <c r="D45" s="208"/>
      <c r="E45" s="208"/>
      <c r="F45" s="208"/>
      <c r="G45" s="208"/>
      <c r="H45" s="208"/>
      <c r="I45" s="208"/>
      <c r="J45" s="208"/>
      <c r="K45" s="208"/>
    </row>
    <row r="46" spans="2:11" ht="14.4" customHeight="1" x14ac:dyDescent="0.3">
      <c r="B46" s="168"/>
      <c r="C46" s="208" t="s">
        <v>7</v>
      </c>
      <c r="D46" s="208"/>
      <c r="E46" s="208"/>
      <c r="F46" s="208"/>
      <c r="G46" s="208"/>
      <c r="H46" s="208"/>
      <c r="I46" s="208"/>
      <c r="J46" s="208"/>
      <c r="K46" s="208"/>
    </row>
    <row r="47" spans="2:11" ht="14.4" customHeight="1" x14ac:dyDescent="0.3">
      <c r="B47" s="168"/>
      <c r="C47" s="208" t="s">
        <v>384</v>
      </c>
      <c r="D47" s="208"/>
      <c r="E47" s="208"/>
      <c r="F47" s="208"/>
      <c r="G47" s="208"/>
      <c r="H47" s="208"/>
      <c r="I47" s="208"/>
      <c r="J47" s="208"/>
      <c r="K47" s="208"/>
    </row>
    <row r="48" spans="2:11" ht="14.4" x14ac:dyDescent="0.3">
      <c r="B48" s="168"/>
      <c r="C48" s="208" t="s">
        <v>385</v>
      </c>
      <c r="D48" s="208"/>
      <c r="E48" s="208"/>
      <c r="F48" s="208"/>
      <c r="G48" s="208"/>
      <c r="H48" s="208"/>
      <c r="I48" s="208"/>
      <c r="J48" s="208"/>
      <c r="K48" s="208"/>
    </row>
    <row r="49" spans="2:11" ht="14.4" x14ac:dyDescent="0.3">
      <c r="B49" s="168"/>
      <c r="C49" s="208" t="s">
        <v>8</v>
      </c>
      <c r="D49" s="208"/>
      <c r="E49" s="208"/>
      <c r="F49" s="208"/>
      <c r="G49" s="208"/>
      <c r="H49" s="208"/>
      <c r="I49" s="208"/>
      <c r="J49" s="208"/>
      <c r="K49" s="208"/>
    </row>
    <row r="50" spans="2:11" ht="14.4" x14ac:dyDescent="0.3">
      <c r="B50" s="168"/>
      <c r="C50" s="208" t="s">
        <v>9</v>
      </c>
      <c r="D50" s="208"/>
      <c r="E50" s="208"/>
      <c r="F50" s="208"/>
      <c r="G50" s="208"/>
      <c r="H50" s="208"/>
      <c r="I50" s="208"/>
      <c r="J50" s="208"/>
      <c r="K50" s="208"/>
    </row>
    <row r="51" spans="2:11" ht="14.4" x14ac:dyDescent="0.3">
      <c r="B51" s="168"/>
      <c r="C51" s="208" t="s">
        <v>386</v>
      </c>
      <c r="D51" s="208"/>
      <c r="E51" s="208"/>
      <c r="F51" s="208"/>
      <c r="G51" s="208"/>
      <c r="H51" s="208"/>
      <c r="I51" s="208"/>
      <c r="J51" s="208"/>
      <c r="K51" s="208"/>
    </row>
    <row r="52" spans="2:11" ht="14.4" x14ac:dyDescent="0.3">
      <c r="B52" s="168"/>
      <c r="C52" s="208" t="s">
        <v>387</v>
      </c>
      <c r="D52" s="208"/>
      <c r="E52" s="208"/>
      <c r="F52" s="208"/>
      <c r="G52" s="208"/>
      <c r="H52" s="208"/>
      <c r="I52" s="208"/>
      <c r="J52" s="208"/>
      <c r="K52" s="208"/>
    </row>
    <row r="53" spans="2:11" ht="14.4" x14ac:dyDescent="0.3">
      <c r="B53" s="168"/>
      <c r="C53" s="208" t="s">
        <v>388</v>
      </c>
      <c r="D53" s="208"/>
      <c r="E53" s="208"/>
      <c r="F53" s="208"/>
      <c r="G53" s="208"/>
      <c r="H53" s="208"/>
      <c r="I53" s="208"/>
      <c r="J53" s="208"/>
      <c r="K53" s="208"/>
    </row>
    <row r="54" spans="2:11" ht="14.4" x14ac:dyDescent="0.3">
      <c r="B54" s="168"/>
      <c r="C54" s="208"/>
      <c r="D54" s="208"/>
      <c r="E54" s="208"/>
      <c r="F54" s="208"/>
      <c r="G54" s="208"/>
      <c r="H54" s="208"/>
      <c r="I54" s="208"/>
      <c r="J54" s="208"/>
      <c r="K54" s="208"/>
    </row>
    <row r="55" spans="2:11" ht="14.4" x14ac:dyDescent="0.3">
      <c r="B55" s="168"/>
      <c r="C55" s="208"/>
      <c r="D55" s="208"/>
      <c r="E55" s="208"/>
      <c r="F55" s="208"/>
      <c r="G55" s="208"/>
      <c r="H55" s="208"/>
      <c r="I55" s="208"/>
      <c r="J55" s="208"/>
      <c r="K55" s="208"/>
    </row>
    <row r="56" spans="2:11" ht="14.4" x14ac:dyDescent="0.3">
      <c r="B56" s="168"/>
      <c r="C56" s="208"/>
      <c r="D56" s="208"/>
      <c r="E56" s="208"/>
      <c r="F56" s="208"/>
      <c r="G56" s="208"/>
      <c r="H56" s="208"/>
      <c r="I56" s="208"/>
      <c r="J56" s="208"/>
      <c r="K56" s="208"/>
    </row>
    <row r="57" spans="2:11" ht="14.4" x14ac:dyDescent="0.3">
      <c r="B57" s="168"/>
      <c r="C57" s="208"/>
      <c r="D57" s="208"/>
      <c r="E57" s="208"/>
      <c r="F57" s="208"/>
      <c r="G57" s="208"/>
      <c r="H57" s="208"/>
      <c r="I57" s="208"/>
      <c r="J57" s="208"/>
      <c r="K57" s="208"/>
    </row>
    <row r="58" spans="2:11" ht="14.4" x14ac:dyDescent="0.3">
      <c r="B58" s="168"/>
      <c r="C58" s="208"/>
      <c r="D58" s="208"/>
      <c r="E58" s="208"/>
      <c r="F58" s="208"/>
      <c r="G58" s="208"/>
      <c r="H58" s="208"/>
      <c r="I58" s="208"/>
      <c r="J58" s="208"/>
      <c r="K58" s="208"/>
    </row>
    <row r="59" spans="2:11" ht="14.4" x14ac:dyDescent="0.3">
      <c r="B59" s="168"/>
      <c r="C59" s="208"/>
      <c r="D59" s="208"/>
      <c r="E59" s="208"/>
      <c r="F59" s="208"/>
      <c r="G59" s="208"/>
      <c r="H59" s="208"/>
      <c r="I59" s="208"/>
      <c r="J59" s="208"/>
      <c r="K59" s="208"/>
    </row>
    <row r="60" spans="2:11" ht="14.4" x14ac:dyDescent="0.3">
      <c r="B60" s="168"/>
      <c r="C60" s="208"/>
      <c r="D60" s="208"/>
      <c r="E60" s="208"/>
      <c r="F60" s="208"/>
      <c r="G60" s="208"/>
      <c r="H60" s="208"/>
      <c r="I60" s="208"/>
      <c r="J60" s="208"/>
      <c r="K60" s="208"/>
    </row>
    <row r="61" spans="2:11" ht="14.4" x14ac:dyDescent="0.3">
      <c r="B61" s="168"/>
      <c r="C61" s="208"/>
      <c r="D61" s="208"/>
      <c r="E61" s="208"/>
      <c r="F61" s="208"/>
      <c r="G61" s="208"/>
      <c r="H61" s="208"/>
      <c r="I61" s="208"/>
      <c r="J61" s="208"/>
      <c r="K61" s="208"/>
    </row>
    <row r="62" spans="2:11" ht="14.4" x14ac:dyDescent="0.3">
      <c r="B62" s="168"/>
      <c r="C62" s="208"/>
      <c r="D62" s="208"/>
      <c r="E62" s="208"/>
      <c r="F62" s="208"/>
      <c r="G62" s="208"/>
      <c r="H62" s="208"/>
      <c r="I62" s="208"/>
      <c r="J62" s="208"/>
      <c r="K62" s="208"/>
    </row>
    <row r="63" spans="2:11" ht="14.4" x14ac:dyDescent="0.3">
      <c r="B63" s="168"/>
      <c r="C63" s="208"/>
      <c r="D63" s="208"/>
      <c r="E63" s="208"/>
      <c r="F63" s="208"/>
      <c r="G63" s="208"/>
      <c r="H63" s="208"/>
      <c r="I63" s="208"/>
      <c r="J63" s="208"/>
      <c r="K63" s="208"/>
    </row>
    <row r="64" spans="2:11" ht="14.4" x14ac:dyDescent="0.3">
      <c r="B64" s="168"/>
      <c r="C64" s="208"/>
      <c r="D64" s="208"/>
      <c r="E64" s="208"/>
      <c r="F64" s="208"/>
      <c r="G64" s="208"/>
      <c r="H64" s="208"/>
      <c r="I64" s="208"/>
      <c r="J64" s="208"/>
      <c r="K64" s="208"/>
    </row>
    <row r="65" spans="2:11" ht="14.4" x14ac:dyDescent="0.3">
      <c r="B65" s="168"/>
      <c r="C65" s="208"/>
      <c r="D65" s="208"/>
      <c r="E65" s="208"/>
      <c r="F65" s="208"/>
      <c r="G65" s="208"/>
      <c r="H65" s="208"/>
      <c r="I65" s="208"/>
      <c r="J65" s="208"/>
      <c r="K65" s="208"/>
    </row>
    <row r="66" spans="2:11" ht="14.4" x14ac:dyDescent="0.3">
      <c r="B66" s="168"/>
      <c r="C66" s="208"/>
      <c r="D66" s="208"/>
      <c r="E66" s="208"/>
      <c r="F66" s="208"/>
      <c r="G66" s="208"/>
      <c r="H66" s="208"/>
      <c r="I66" s="208"/>
      <c r="J66" s="208"/>
      <c r="K66" s="208"/>
    </row>
    <row r="67" spans="2:11" ht="14.4" x14ac:dyDescent="0.3">
      <c r="B67" s="168"/>
      <c r="C67" s="208"/>
      <c r="D67" s="208"/>
      <c r="E67" s="208"/>
      <c r="F67" s="208"/>
      <c r="G67" s="208"/>
      <c r="H67" s="208"/>
      <c r="I67" s="208"/>
      <c r="J67" s="208"/>
      <c r="K67" s="208"/>
    </row>
    <row r="68" spans="2:11" ht="14.4" x14ac:dyDescent="0.3">
      <c r="B68" s="168"/>
      <c r="C68" s="169"/>
      <c r="D68" s="169"/>
      <c r="E68" s="169"/>
      <c r="F68" s="169"/>
      <c r="G68" s="169"/>
      <c r="H68" s="169"/>
      <c r="I68" s="169"/>
      <c r="J68" s="169"/>
      <c r="K68" s="169"/>
    </row>
    <row r="69" spans="2:11" ht="14.4" x14ac:dyDescent="0.3">
      <c r="B69" s="168"/>
      <c r="C69" s="169"/>
      <c r="D69" s="169"/>
      <c r="E69" s="169"/>
      <c r="F69" s="169"/>
      <c r="G69" s="169"/>
      <c r="H69" s="169"/>
      <c r="I69" s="169"/>
      <c r="J69" s="169"/>
      <c r="K69" s="169"/>
    </row>
    <row r="70" spans="2:11" ht="14.4" x14ac:dyDescent="0.3">
      <c r="B70" s="168"/>
      <c r="C70" s="169"/>
      <c r="D70" s="169"/>
      <c r="E70" s="169"/>
      <c r="F70" s="169"/>
      <c r="G70" s="169"/>
      <c r="H70" s="169"/>
      <c r="I70" s="169"/>
      <c r="J70" s="169"/>
      <c r="K70" s="169"/>
    </row>
  </sheetData>
  <mergeCells count="67">
    <mergeCell ref="C49:K49"/>
    <mergeCell ref="C6:K6"/>
    <mergeCell ref="C2:K2"/>
    <mergeCell ref="C24:K24"/>
    <mergeCell ref="C47:K47"/>
    <mergeCell ref="C42:K42"/>
    <mergeCell ref="C43:K43"/>
    <mergeCell ref="C44:K44"/>
    <mergeCell ref="C45:K45"/>
    <mergeCell ref="C46:K46"/>
    <mergeCell ref="C37:K37"/>
    <mergeCell ref="C38:K38"/>
    <mergeCell ref="C39:K39"/>
    <mergeCell ref="C40:K40"/>
    <mergeCell ref="C41:K41"/>
    <mergeCell ref="C33:K33"/>
    <mergeCell ref="C34:K34"/>
    <mergeCell ref="C35:K35"/>
    <mergeCell ref="C36:K36"/>
    <mergeCell ref="C48:K48"/>
    <mergeCell ref="C4:K4"/>
    <mergeCell ref="C5:K5"/>
    <mergeCell ref="B1:J1"/>
    <mergeCell ref="C3:K3"/>
    <mergeCell ref="C8:K8"/>
    <mergeCell ref="C7:K7"/>
    <mergeCell ref="C9:K9"/>
    <mergeCell ref="C22:K22"/>
    <mergeCell ref="C10:K10"/>
    <mergeCell ref="C13:K13"/>
    <mergeCell ref="C11:K11"/>
    <mergeCell ref="C12:K12"/>
    <mergeCell ref="C18:K18"/>
    <mergeCell ref="C19:K19"/>
    <mergeCell ref="C20:K20"/>
    <mergeCell ref="C14:K14"/>
    <mergeCell ref="C15:K15"/>
    <mergeCell ref="C16:K16"/>
    <mergeCell ref="C55:K55"/>
    <mergeCell ref="C52:K52"/>
    <mergeCell ref="C58:K58"/>
    <mergeCell ref="C21:K21"/>
    <mergeCell ref="C17:K17"/>
    <mergeCell ref="C23:K23"/>
    <mergeCell ref="C25:K25"/>
    <mergeCell ref="C26:K26"/>
    <mergeCell ref="C27:K27"/>
    <mergeCell ref="C50:K50"/>
    <mergeCell ref="C28:K28"/>
    <mergeCell ref="C29:K29"/>
    <mergeCell ref="C30:K30"/>
    <mergeCell ref="C32:K32"/>
    <mergeCell ref="C31:K31"/>
    <mergeCell ref="C54:K54"/>
    <mergeCell ref="C59:K59"/>
    <mergeCell ref="C53:K53"/>
    <mergeCell ref="C56:K56"/>
    <mergeCell ref="C51:K51"/>
    <mergeCell ref="C66:K66"/>
    <mergeCell ref="C67:K67"/>
    <mergeCell ref="C63:K63"/>
    <mergeCell ref="C64:K64"/>
    <mergeCell ref="C57:K57"/>
    <mergeCell ref="C61:K61"/>
    <mergeCell ref="C62:K62"/>
    <mergeCell ref="C65:K65"/>
    <mergeCell ref="C60:K60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pageSetUpPr fitToPage="1"/>
  </sheetPr>
  <dimension ref="A1:M33"/>
  <sheetViews>
    <sheetView showGridLines="0" view="pageBreakPreview" zoomScale="70" zoomScaleNormal="85" zoomScaleSheetLayoutView="70" zoomScalePageLayoutView="70" workbookViewId="0">
      <selection activeCell="F25" sqref="F25"/>
    </sheetView>
  </sheetViews>
  <sheetFormatPr defaultRowHeight="13.8" x14ac:dyDescent="0.3"/>
  <cols>
    <col min="1" max="1" width="7.88671875" style="21" customWidth="1"/>
    <col min="2" max="2" width="52" style="135" bestFit="1" customWidth="1"/>
    <col min="3" max="3" width="5" style="7" customWidth="1"/>
    <col min="4" max="4" width="5" style="101" customWidth="1"/>
    <col min="5" max="5" width="5" style="21" customWidth="1"/>
    <col min="6" max="6" width="19.77734375" style="120" bestFit="1" customWidth="1"/>
    <col min="7" max="7" width="21.5546875" style="4" customWidth="1"/>
    <col min="8" max="8" width="47.88671875" style="5" customWidth="1"/>
    <col min="9" max="258" width="9.109375" style="5"/>
    <col min="259" max="259" width="8.6640625" style="5" customWidth="1"/>
    <col min="260" max="260" width="91.33203125" style="5" customWidth="1"/>
    <col min="261" max="261" width="11.44140625" style="5" customWidth="1"/>
    <col min="262" max="262" width="44" style="5" customWidth="1"/>
    <col min="263" max="514" width="9.109375" style="5"/>
    <col min="515" max="515" width="8.6640625" style="5" customWidth="1"/>
    <col min="516" max="516" width="91.33203125" style="5" customWidth="1"/>
    <col min="517" max="517" width="11.44140625" style="5" customWidth="1"/>
    <col min="518" max="518" width="44" style="5" customWidth="1"/>
    <col min="519" max="770" width="9.109375" style="5"/>
    <col min="771" max="771" width="8.6640625" style="5" customWidth="1"/>
    <col min="772" max="772" width="91.33203125" style="5" customWidth="1"/>
    <col min="773" max="773" width="11.44140625" style="5" customWidth="1"/>
    <col min="774" max="774" width="44" style="5" customWidth="1"/>
    <col min="775" max="1026" width="9.109375" style="5"/>
    <col min="1027" max="1027" width="8.6640625" style="5" customWidth="1"/>
    <col min="1028" max="1028" width="91.33203125" style="5" customWidth="1"/>
    <col min="1029" max="1029" width="11.44140625" style="5" customWidth="1"/>
    <col min="1030" max="1030" width="44" style="5" customWidth="1"/>
    <col min="1031" max="1282" width="9.109375" style="5"/>
    <col min="1283" max="1283" width="8.6640625" style="5" customWidth="1"/>
    <col min="1284" max="1284" width="91.33203125" style="5" customWidth="1"/>
    <col min="1285" max="1285" width="11.44140625" style="5" customWidth="1"/>
    <col min="1286" max="1286" width="44" style="5" customWidth="1"/>
    <col min="1287" max="1538" width="9.109375" style="5"/>
    <col min="1539" max="1539" width="8.6640625" style="5" customWidth="1"/>
    <col min="1540" max="1540" width="91.33203125" style="5" customWidth="1"/>
    <col min="1541" max="1541" width="11.44140625" style="5" customWidth="1"/>
    <col min="1542" max="1542" width="44" style="5" customWidth="1"/>
    <col min="1543" max="1794" width="9.109375" style="5"/>
    <col min="1795" max="1795" width="8.6640625" style="5" customWidth="1"/>
    <col min="1796" max="1796" width="91.33203125" style="5" customWidth="1"/>
    <col min="1797" max="1797" width="11.44140625" style="5" customWidth="1"/>
    <col min="1798" max="1798" width="44" style="5" customWidth="1"/>
    <col min="1799" max="2050" width="9.109375" style="5"/>
    <col min="2051" max="2051" width="8.6640625" style="5" customWidth="1"/>
    <col min="2052" max="2052" width="91.33203125" style="5" customWidth="1"/>
    <col min="2053" max="2053" width="11.44140625" style="5" customWidth="1"/>
    <col min="2054" max="2054" width="44" style="5" customWidth="1"/>
    <col min="2055" max="2306" width="9.109375" style="5"/>
    <col min="2307" max="2307" width="8.6640625" style="5" customWidth="1"/>
    <col min="2308" max="2308" width="91.33203125" style="5" customWidth="1"/>
    <col min="2309" max="2309" width="11.44140625" style="5" customWidth="1"/>
    <col min="2310" max="2310" width="44" style="5" customWidth="1"/>
    <col min="2311" max="2562" width="9.109375" style="5"/>
    <col min="2563" max="2563" width="8.6640625" style="5" customWidth="1"/>
    <col min="2564" max="2564" width="91.33203125" style="5" customWidth="1"/>
    <col min="2565" max="2565" width="11.44140625" style="5" customWidth="1"/>
    <col min="2566" max="2566" width="44" style="5" customWidth="1"/>
    <col min="2567" max="2818" width="9.109375" style="5"/>
    <col min="2819" max="2819" width="8.6640625" style="5" customWidth="1"/>
    <col min="2820" max="2820" width="91.33203125" style="5" customWidth="1"/>
    <col min="2821" max="2821" width="11.44140625" style="5" customWidth="1"/>
    <col min="2822" max="2822" width="44" style="5" customWidth="1"/>
    <col min="2823" max="3074" width="9.109375" style="5"/>
    <col min="3075" max="3075" width="8.6640625" style="5" customWidth="1"/>
    <col min="3076" max="3076" width="91.33203125" style="5" customWidth="1"/>
    <col min="3077" max="3077" width="11.44140625" style="5" customWidth="1"/>
    <col min="3078" max="3078" width="44" style="5" customWidth="1"/>
    <col min="3079" max="3330" width="9.109375" style="5"/>
    <col min="3331" max="3331" width="8.6640625" style="5" customWidth="1"/>
    <col min="3332" max="3332" width="91.33203125" style="5" customWidth="1"/>
    <col min="3333" max="3333" width="11.44140625" style="5" customWidth="1"/>
    <col min="3334" max="3334" width="44" style="5" customWidth="1"/>
    <col min="3335" max="3586" width="9.109375" style="5"/>
    <col min="3587" max="3587" width="8.6640625" style="5" customWidth="1"/>
    <col min="3588" max="3588" width="91.33203125" style="5" customWidth="1"/>
    <col min="3589" max="3589" width="11.44140625" style="5" customWidth="1"/>
    <col min="3590" max="3590" width="44" style="5" customWidth="1"/>
    <col min="3591" max="3842" width="9.109375" style="5"/>
    <col min="3843" max="3843" width="8.6640625" style="5" customWidth="1"/>
    <col min="3844" max="3844" width="91.33203125" style="5" customWidth="1"/>
    <col min="3845" max="3845" width="11.44140625" style="5" customWidth="1"/>
    <col min="3846" max="3846" width="44" style="5" customWidth="1"/>
    <col min="3847" max="4098" width="9.109375" style="5"/>
    <col min="4099" max="4099" width="8.6640625" style="5" customWidth="1"/>
    <col min="4100" max="4100" width="91.33203125" style="5" customWidth="1"/>
    <col min="4101" max="4101" width="11.44140625" style="5" customWidth="1"/>
    <col min="4102" max="4102" width="44" style="5" customWidth="1"/>
    <col min="4103" max="4354" width="9.109375" style="5"/>
    <col min="4355" max="4355" width="8.6640625" style="5" customWidth="1"/>
    <col min="4356" max="4356" width="91.33203125" style="5" customWidth="1"/>
    <col min="4357" max="4357" width="11.44140625" style="5" customWidth="1"/>
    <col min="4358" max="4358" width="44" style="5" customWidth="1"/>
    <col min="4359" max="4610" width="9.109375" style="5"/>
    <col min="4611" max="4611" width="8.6640625" style="5" customWidth="1"/>
    <col min="4612" max="4612" width="91.33203125" style="5" customWidth="1"/>
    <col min="4613" max="4613" width="11.44140625" style="5" customWidth="1"/>
    <col min="4614" max="4614" width="44" style="5" customWidth="1"/>
    <col min="4615" max="4866" width="9.109375" style="5"/>
    <col min="4867" max="4867" width="8.6640625" style="5" customWidth="1"/>
    <col min="4868" max="4868" width="91.33203125" style="5" customWidth="1"/>
    <col min="4869" max="4869" width="11.44140625" style="5" customWidth="1"/>
    <col min="4870" max="4870" width="44" style="5" customWidth="1"/>
    <col min="4871" max="5122" width="9.109375" style="5"/>
    <col min="5123" max="5123" width="8.6640625" style="5" customWidth="1"/>
    <col min="5124" max="5124" width="91.33203125" style="5" customWidth="1"/>
    <col min="5125" max="5125" width="11.44140625" style="5" customWidth="1"/>
    <col min="5126" max="5126" width="44" style="5" customWidth="1"/>
    <col min="5127" max="5378" width="9.109375" style="5"/>
    <col min="5379" max="5379" width="8.6640625" style="5" customWidth="1"/>
    <col min="5380" max="5380" width="91.33203125" style="5" customWidth="1"/>
    <col min="5381" max="5381" width="11.44140625" style="5" customWidth="1"/>
    <col min="5382" max="5382" width="44" style="5" customWidth="1"/>
    <col min="5383" max="5634" width="9.109375" style="5"/>
    <col min="5635" max="5635" width="8.6640625" style="5" customWidth="1"/>
    <col min="5636" max="5636" width="91.33203125" style="5" customWidth="1"/>
    <col min="5637" max="5637" width="11.44140625" style="5" customWidth="1"/>
    <col min="5638" max="5638" width="44" style="5" customWidth="1"/>
    <col min="5639" max="5890" width="9.109375" style="5"/>
    <col min="5891" max="5891" width="8.6640625" style="5" customWidth="1"/>
    <col min="5892" max="5892" width="91.33203125" style="5" customWidth="1"/>
    <col min="5893" max="5893" width="11.44140625" style="5" customWidth="1"/>
    <col min="5894" max="5894" width="44" style="5" customWidth="1"/>
    <col min="5895" max="6146" width="9.109375" style="5"/>
    <col min="6147" max="6147" width="8.6640625" style="5" customWidth="1"/>
    <col min="6148" max="6148" width="91.33203125" style="5" customWidth="1"/>
    <col min="6149" max="6149" width="11.44140625" style="5" customWidth="1"/>
    <col min="6150" max="6150" width="44" style="5" customWidth="1"/>
    <col min="6151" max="6402" width="9.109375" style="5"/>
    <col min="6403" max="6403" width="8.6640625" style="5" customWidth="1"/>
    <col min="6404" max="6404" width="91.33203125" style="5" customWidth="1"/>
    <col min="6405" max="6405" width="11.44140625" style="5" customWidth="1"/>
    <col min="6406" max="6406" width="44" style="5" customWidth="1"/>
    <col min="6407" max="6658" width="9.109375" style="5"/>
    <col min="6659" max="6659" width="8.6640625" style="5" customWidth="1"/>
    <col min="6660" max="6660" width="91.33203125" style="5" customWidth="1"/>
    <col min="6661" max="6661" width="11.44140625" style="5" customWidth="1"/>
    <col min="6662" max="6662" width="44" style="5" customWidth="1"/>
    <col min="6663" max="6914" width="9.109375" style="5"/>
    <col min="6915" max="6915" width="8.6640625" style="5" customWidth="1"/>
    <col min="6916" max="6916" width="91.33203125" style="5" customWidth="1"/>
    <col min="6917" max="6917" width="11.44140625" style="5" customWidth="1"/>
    <col min="6918" max="6918" width="44" style="5" customWidth="1"/>
    <col min="6919" max="7170" width="9.109375" style="5"/>
    <col min="7171" max="7171" width="8.6640625" style="5" customWidth="1"/>
    <col min="7172" max="7172" width="91.33203125" style="5" customWidth="1"/>
    <col min="7173" max="7173" width="11.44140625" style="5" customWidth="1"/>
    <col min="7174" max="7174" width="44" style="5" customWidth="1"/>
    <col min="7175" max="7426" width="9.109375" style="5"/>
    <col min="7427" max="7427" width="8.6640625" style="5" customWidth="1"/>
    <col min="7428" max="7428" width="91.33203125" style="5" customWidth="1"/>
    <col min="7429" max="7429" width="11.44140625" style="5" customWidth="1"/>
    <col min="7430" max="7430" width="44" style="5" customWidth="1"/>
    <col min="7431" max="7682" width="9.109375" style="5"/>
    <col min="7683" max="7683" width="8.6640625" style="5" customWidth="1"/>
    <col min="7684" max="7684" width="91.33203125" style="5" customWidth="1"/>
    <col min="7685" max="7685" width="11.44140625" style="5" customWidth="1"/>
    <col min="7686" max="7686" width="44" style="5" customWidth="1"/>
    <col min="7687" max="7938" width="9.109375" style="5"/>
    <col min="7939" max="7939" width="8.6640625" style="5" customWidth="1"/>
    <col min="7940" max="7940" width="91.33203125" style="5" customWidth="1"/>
    <col min="7941" max="7941" width="11.44140625" style="5" customWidth="1"/>
    <col min="7942" max="7942" width="44" style="5" customWidth="1"/>
    <col min="7943" max="8194" width="9.109375" style="5"/>
    <col min="8195" max="8195" width="8.6640625" style="5" customWidth="1"/>
    <col min="8196" max="8196" width="91.33203125" style="5" customWidth="1"/>
    <col min="8197" max="8197" width="11.44140625" style="5" customWidth="1"/>
    <col min="8198" max="8198" width="44" style="5" customWidth="1"/>
    <col min="8199" max="8450" width="9.109375" style="5"/>
    <col min="8451" max="8451" width="8.6640625" style="5" customWidth="1"/>
    <col min="8452" max="8452" width="91.33203125" style="5" customWidth="1"/>
    <col min="8453" max="8453" width="11.44140625" style="5" customWidth="1"/>
    <col min="8454" max="8454" width="44" style="5" customWidth="1"/>
    <col min="8455" max="8706" width="9.109375" style="5"/>
    <col min="8707" max="8707" width="8.6640625" style="5" customWidth="1"/>
    <col min="8708" max="8708" width="91.33203125" style="5" customWidth="1"/>
    <col min="8709" max="8709" width="11.44140625" style="5" customWidth="1"/>
    <col min="8710" max="8710" width="44" style="5" customWidth="1"/>
    <col min="8711" max="8962" width="9.109375" style="5"/>
    <col min="8963" max="8963" width="8.6640625" style="5" customWidth="1"/>
    <col min="8964" max="8964" width="91.33203125" style="5" customWidth="1"/>
    <col min="8965" max="8965" width="11.44140625" style="5" customWidth="1"/>
    <col min="8966" max="8966" width="44" style="5" customWidth="1"/>
    <col min="8967" max="9218" width="9.109375" style="5"/>
    <col min="9219" max="9219" width="8.6640625" style="5" customWidth="1"/>
    <col min="9220" max="9220" width="91.33203125" style="5" customWidth="1"/>
    <col min="9221" max="9221" width="11.44140625" style="5" customWidth="1"/>
    <col min="9222" max="9222" width="44" style="5" customWidth="1"/>
    <col min="9223" max="9474" width="9.109375" style="5"/>
    <col min="9475" max="9475" width="8.6640625" style="5" customWidth="1"/>
    <col min="9476" max="9476" width="91.33203125" style="5" customWidth="1"/>
    <col min="9477" max="9477" width="11.44140625" style="5" customWidth="1"/>
    <col min="9478" max="9478" width="44" style="5" customWidth="1"/>
    <col min="9479" max="9730" width="9.109375" style="5"/>
    <col min="9731" max="9731" width="8.6640625" style="5" customWidth="1"/>
    <col min="9732" max="9732" width="91.33203125" style="5" customWidth="1"/>
    <col min="9733" max="9733" width="11.44140625" style="5" customWidth="1"/>
    <col min="9734" max="9734" width="44" style="5" customWidth="1"/>
    <col min="9735" max="9986" width="9.109375" style="5"/>
    <col min="9987" max="9987" width="8.6640625" style="5" customWidth="1"/>
    <col min="9988" max="9988" width="91.33203125" style="5" customWidth="1"/>
    <col min="9989" max="9989" width="11.44140625" style="5" customWidth="1"/>
    <col min="9990" max="9990" width="44" style="5" customWidth="1"/>
    <col min="9991" max="10242" width="9.109375" style="5"/>
    <col min="10243" max="10243" width="8.6640625" style="5" customWidth="1"/>
    <col min="10244" max="10244" width="91.33203125" style="5" customWidth="1"/>
    <col min="10245" max="10245" width="11.44140625" style="5" customWidth="1"/>
    <col min="10246" max="10246" width="44" style="5" customWidth="1"/>
    <col min="10247" max="10498" width="9.109375" style="5"/>
    <col min="10499" max="10499" width="8.6640625" style="5" customWidth="1"/>
    <col min="10500" max="10500" width="91.33203125" style="5" customWidth="1"/>
    <col min="10501" max="10501" width="11.44140625" style="5" customWidth="1"/>
    <col min="10502" max="10502" width="44" style="5" customWidth="1"/>
    <col min="10503" max="10754" width="9.109375" style="5"/>
    <col min="10755" max="10755" width="8.6640625" style="5" customWidth="1"/>
    <col min="10756" max="10756" width="91.33203125" style="5" customWidth="1"/>
    <col min="10757" max="10757" width="11.44140625" style="5" customWidth="1"/>
    <col min="10758" max="10758" width="44" style="5" customWidth="1"/>
    <col min="10759" max="11010" width="9.109375" style="5"/>
    <col min="11011" max="11011" width="8.6640625" style="5" customWidth="1"/>
    <col min="11012" max="11012" width="91.33203125" style="5" customWidth="1"/>
    <col min="11013" max="11013" width="11.44140625" style="5" customWidth="1"/>
    <col min="11014" max="11014" width="44" style="5" customWidth="1"/>
    <col min="11015" max="11266" width="9.109375" style="5"/>
    <col min="11267" max="11267" width="8.6640625" style="5" customWidth="1"/>
    <col min="11268" max="11268" width="91.33203125" style="5" customWidth="1"/>
    <col min="11269" max="11269" width="11.44140625" style="5" customWidth="1"/>
    <col min="11270" max="11270" width="44" style="5" customWidth="1"/>
    <col min="11271" max="11522" width="9.109375" style="5"/>
    <col min="11523" max="11523" width="8.6640625" style="5" customWidth="1"/>
    <col min="11524" max="11524" width="91.33203125" style="5" customWidth="1"/>
    <col min="11525" max="11525" width="11.44140625" style="5" customWidth="1"/>
    <col min="11526" max="11526" width="44" style="5" customWidth="1"/>
    <col min="11527" max="11778" width="9.109375" style="5"/>
    <col min="11779" max="11779" width="8.6640625" style="5" customWidth="1"/>
    <col min="11780" max="11780" width="91.33203125" style="5" customWidth="1"/>
    <col min="11781" max="11781" width="11.44140625" style="5" customWidth="1"/>
    <col min="11782" max="11782" width="44" style="5" customWidth="1"/>
    <col min="11783" max="12034" width="9.109375" style="5"/>
    <col min="12035" max="12035" width="8.6640625" style="5" customWidth="1"/>
    <col min="12036" max="12036" width="91.33203125" style="5" customWidth="1"/>
    <col min="12037" max="12037" width="11.44140625" style="5" customWidth="1"/>
    <col min="12038" max="12038" width="44" style="5" customWidth="1"/>
    <col min="12039" max="12290" width="9.109375" style="5"/>
    <col min="12291" max="12291" width="8.6640625" style="5" customWidth="1"/>
    <col min="12292" max="12292" width="91.33203125" style="5" customWidth="1"/>
    <col min="12293" max="12293" width="11.44140625" style="5" customWidth="1"/>
    <col min="12294" max="12294" width="44" style="5" customWidth="1"/>
    <col min="12295" max="12546" width="9.109375" style="5"/>
    <col min="12547" max="12547" width="8.6640625" style="5" customWidth="1"/>
    <col min="12548" max="12548" width="91.33203125" style="5" customWidth="1"/>
    <col min="12549" max="12549" width="11.44140625" style="5" customWidth="1"/>
    <col min="12550" max="12550" width="44" style="5" customWidth="1"/>
    <col min="12551" max="12802" width="9.109375" style="5"/>
    <col min="12803" max="12803" width="8.6640625" style="5" customWidth="1"/>
    <col min="12804" max="12804" width="91.33203125" style="5" customWidth="1"/>
    <col min="12805" max="12805" width="11.44140625" style="5" customWidth="1"/>
    <col min="12806" max="12806" width="44" style="5" customWidth="1"/>
    <col min="12807" max="13058" width="9.109375" style="5"/>
    <col min="13059" max="13059" width="8.6640625" style="5" customWidth="1"/>
    <col min="13060" max="13060" width="91.33203125" style="5" customWidth="1"/>
    <col min="13061" max="13061" width="11.44140625" style="5" customWidth="1"/>
    <col min="13062" max="13062" width="44" style="5" customWidth="1"/>
    <col min="13063" max="13314" width="9.109375" style="5"/>
    <col min="13315" max="13315" width="8.6640625" style="5" customWidth="1"/>
    <col min="13316" max="13316" width="91.33203125" style="5" customWidth="1"/>
    <col min="13317" max="13317" width="11.44140625" style="5" customWidth="1"/>
    <col min="13318" max="13318" width="44" style="5" customWidth="1"/>
    <col min="13319" max="13570" width="9.109375" style="5"/>
    <col min="13571" max="13571" width="8.6640625" style="5" customWidth="1"/>
    <col min="13572" max="13572" width="91.33203125" style="5" customWidth="1"/>
    <col min="13573" max="13573" width="11.44140625" style="5" customWidth="1"/>
    <col min="13574" max="13574" width="44" style="5" customWidth="1"/>
    <col min="13575" max="13826" width="9.109375" style="5"/>
    <col min="13827" max="13827" width="8.6640625" style="5" customWidth="1"/>
    <col min="13828" max="13828" width="91.33203125" style="5" customWidth="1"/>
    <col min="13829" max="13829" width="11.44140625" style="5" customWidth="1"/>
    <col min="13830" max="13830" width="44" style="5" customWidth="1"/>
    <col min="13831" max="14082" width="9.109375" style="5"/>
    <col min="14083" max="14083" width="8.6640625" style="5" customWidth="1"/>
    <col min="14084" max="14084" width="91.33203125" style="5" customWidth="1"/>
    <col min="14085" max="14085" width="11.44140625" style="5" customWidth="1"/>
    <col min="14086" max="14086" width="44" style="5" customWidth="1"/>
    <col min="14087" max="14338" width="9.109375" style="5"/>
    <col min="14339" max="14339" width="8.6640625" style="5" customWidth="1"/>
    <col min="14340" max="14340" width="91.33203125" style="5" customWidth="1"/>
    <col min="14341" max="14341" width="11.44140625" style="5" customWidth="1"/>
    <col min="14342" max="14342" width="44" style="5" customWidth="1"/>
    <col min="14343" max="14594" width="9.109375" style="5"/>
    <col min="14595" max="14595" width="8.6640625" style="5" customWidth="1"/>
    <col min="14596" max="14596" width="91.33203125" style="5" customWidth="1"/>
    <col min="14597" max="14597" width="11.44140625" style="5" customWidth="1"/>
    <col min="14598" max="14598" width="44" style="5" customWidth="1"/>
    <col min="14599" max="14850" width="9.109375" style="5"/>
    <col min="14851" max="14851" width="8.6640625" style="5" customWidth="1"/>
    <col min="14852" max="14852" width="91.33203125" style="5" customWidth="1"/>
    <col min="14853" max="14853" width="11.44140625" style="5" customWidth="1"/>
    <col min="14854" max="14854" width="44" style="5" customWidth="1"/>
    <col min="14855" max="15106" width="9.109375" style="5"/>
    <col min="15107" max="15107" width="8.6640625" style="5" customWidth="1"/>
    <col min="15108" max="15108" width="91.33203125" style="5" customWidth="1"/>
    <col min="15109" max="15109" width="11.44140625" style="5" customWidth="1"/>
    <col min="15110" max="15110" width="44" style="5" customWidth="1"/>
    <col min="15111" max="15362" width="9.109375" style="5"/>
    <col min="15363" max="15363" width="8.6640625" style="5" customWidth="1"/>
    <col min="15364" max="15364" width="91.33203125" style="5" customWidth="1"/>
    <col min="15365" max="15365" width="11.44140625" style="5" customWidth="1"/>
    <col min="15366" max="15366" width="44" style="5" customWidth="1"/>
    <col min="15367" max="15618" width="9.109375" style="5"/>
    <col min="15619" max="15619" width="8.6640625" style="5" customWidth="1"/>
    <col min="15620" max="15620" width="91.33203125" style="5" customWidth="1"/>
    <col min="15621" max="15621" width="11.44140625" style="5" customWidth="1"/>
    <col min="15622" max="15622" width="44" style="5" customWidth="1"/>
    <col min="15623" max="15874" width="9.109375" style="5"/>
    <col min="15875" max="15875" width="8.6640625" style="5" customWidth="1"/>
    <col min="15876" max="15876" width="91.33203125" style="5" customWidth="1"/>
    <col min="15877" max="15877" width="11.44140625" style="5" customWidth="1"/>
    <col min="15878" max="15878" width="44" style="5" customWidth="1"/>
    <col min="15879" max="16130" width="9.109375" style="5"/>
    <col min="16131" max="16131" width="8.6640625" style="5" customWidth="1"/>
    <col min="16132" max="16132" width="91.33203125" style="5" customWidth="1"/>
    <col min="16133" max="16133" width="11.44140625" style="5" customWidth="1"/>
    <col min="16134" max="16134" width="44" style="5" customWidth="1"/>
    <col min="16135" max="16376" width="9.109375" style="5"/>
    <col min="16377" max="16384" width="9.109375" style="5" customWidth="1"/>
  </cols>
  <sheetData>
    <row r="1" spans="1:13" s="23" customFormat="1" x14ac:dyDescent="0.3">
      <c r="A1" s="22"/>
      <c r="B1" s="135"/>
      <c r="C1" s="7"/>
      <c r="D1" s="101"/>
      <c r="E1" s="21"/>
      <c r="F1" s="120"/>
    </row>
    <row r="2" spans="1:13" s="23" customFormat="1" ht="22.2" customHeight="1" x14ac:dyDescent="0.3">
      <c r="E2" s="213" t="s">
        <v>347</v>
      </c>
      <c r="F2" s="213"/>
    </row>
    <row r="3" spans="1:13" s="23" customFormat="1" ht="22.2" customHeight="1" x14ac:dyDescent="0.3">
      <c r="E3" s="213" t="s">
        <v>348</v>
      </c>
      <c r="F3" s="213"/>
    </row>
    <row r="4" spans="1:13" s="25" customFormat="1" ht="22.2" customHeight="1" x14ac:dyDescent="0.3">
      <c r="E4" s="213"/>
      <c r="F4" s="213"/>
      <c r="G4" s="24"/>
    </row>
    <row r="5" spans="1:13" s="23" customFormat="1" ht="22.2" customHeight="1" x14ac:dyDescent="0.3">
      <c r="E5" s="213"/>
      <c r="F5" s="213"/>
    </row>
    <row r="6" spans="1:13" s="23" customFormat="1" ht="22.2" customHeight="1" x14ac:dyDescent="0.3">
      <c r="E6" s="213" t="str">
        <f>Cover!A30</f>
        <v>By Jack Arthurs</v>
      </c>
      <c r="F6" s="213"/>
      <c r="G6" s="7"/>
      <c r="H6" s="26"/>
      <c r="I6" s="26"/>
      <c r="J6" s="26"/>
      <c r="K6" s="26"/>
      <c r="L6" s="26"/>
      <c r="M6" s="26"/>
    </row>
    <row r="7" spans="1:13" s="23" customFormat="1" ht="22.2" customHeight="1" x14ac:dyDescent="0.3">
      <c r="E7" s="213" t="str">
        <f>Cover!A31</f>
        <v>Dated: April 2022</v>
      </c>
      <c r="F7" s="213"/>
      <c r="G7" s="7"/>
      <c r="H7" s="26"/>
      <c r="I7" s="26"/>
      <c r="J7" s="26"/>
      <c r="K7" s="26"/>
      <c r="L7" s="26"/>
      <c r="M7" s="26"/>
    </row>
    <row r="8" spans="1:13" s="23" customFormat="1" x14ac:dyDescent="0.3">
      <c r="A8" s="9"/>
      <c r="B8" s="136"/>
      <c r="C8" s="28"/>
      <c r="D8" s="102"/>
      <c r="E8" s="20"/>
      <c r="F8" s="119"/>
      <c r="G8" s="7"/>
      <c r="H8" s="26"/>
      <c r="I8" s="26"/>
      <c r="J8" s="26"/>
      <c r="K8" s="26"/>
      <c r="L8" s="26"/>
      <c r="M8" s="26"/>
    </row>
    <row r="9" spans="1:13" x14ac:dyDescent="0.3">
      <c r="A9" s="20"/>
      <c r="B9" s="136"/>
      <c r="C9" s="9"/>
      <c r="D9" s="102"/>
      <c r="E9" s="20"/>
      <c r="F9" s="119"/>
      <c r="G9" s="11"/>
      <c r="H9" s="12"/>
      <c r="I9" s="12"/>
      <c r="J9" s="12"/>
      <c r="K9" s="12"/>
      <c r="L9" s="12"/>
      <c r="M9" s="12"/>
    </row>
    <row r="10" spans="1:13" s="15" customFormat="1" ht="41.4" customHeight="1" x14ac:dyDescent="0.3">
      <c r="A10" s="172" t="s">
        <v>51</v>
      </c>
      <c r="B10" s="130" t="s">
        <v>52</v>
      </c>
      <c r="C10" s="217" t="s">
        <v>345</v>
      </c>
      <c r="D10" s="218"/>
      <c r="E10" s="218"/>
      <c r="F10" s="60" t="s">
        <v>346</v>
      </c>
      <c r="G10" s="13"/>
      <c r="H10" s="14"/>
      <c r="I10" s="14"/>
      <c r="J10" s="14"/>
      <c r="K10" s="14"/>
      <c r="L10" s="14"/>
      <c r="M10" s="14"/>
    </row>
    <row r="11" spans="1:13" x14ac:dyDescent="0.3">
      <c r="A11" s="173"/>
      <c r="B11" s="174" t="s">
        <v>349</v>
      </c>
      <c r="C11" s="175"/>
      <c r="D11" s="176"/>
      <c r="E11" s="177"/>
      <c r="F11" s="178"/>
    </row>
    <row r="12" spans="1:13" x14ac:dyDescent="0.3">
      <c r="A12" s="179">
        <v>0</v>
      </c>
      <c r="B12" s="180" t="s">
        <v>350</v>
      </c>
      <c r="C12" s="214"/>
      <c r="D12" s="215"/>
      <c r="E12" s="216"/>
      <c r="F12" s="181" t="s">
        <v>363</v>
      </c>
    </row>
    <row r="13" spans="1:13" x14ac:dyDescent="0.3">
      <c r="A13" s="179">
        <v>1</v>
      </c>
      <c r="B13" s="180" t="s">
        <v>351</v>
      </c>
      <c r="C13" s="214"/>
      <c r="D13" s="215"/>
      <c r="E13" s="216"/>
      <c r="F13" s="181">
        <f>'NRM1 Elemental Cost Plan -  JA'!I47</f>
        <v>252775.54109471527</v>
      </c>
    </row>
    <row r="14" spans="1:13" x14ac:dyDescent="0.3">
      <c r="A14" s="179">
        <v>2</v>
      </c>
      <c r="B14" s="180" t="s">
        <v>352</v>
      </c>
      <c r="C14" s="214"/>
      <c r="D14" s="215"/>
      <c r="E14" s="216"/>
      <c r="F14" s="181">
        <f>'NRM1 Elemental Cost Plan -  JA'!I71</f>
        <v>1027570.2744920291</v>
      </c>
    </row>
    <row r="15" spans="1:13" x14ac:dyDescent="0.3">
      <c r="A15" s="179">
        <v>3</v>
      </c>
      <c r="B15" s="180" t="s">
        <v>353</v>
      </c>
      <c r="C15" s="214"/>
      <c r="D15" s="215"/>
      <c r="E15" s="216"/>
      <c r="F15" s="181">
        <f>'NRM1 Elemental Cost Plan -  JA'!I172</f>
        <v>273238.90800857695</v>
      </c>
    </row>
    <row r="16" spans="1:13" x14ac:dyDescent="0.3">
      <c r="A16" s="179">
        <v>4</v>
      </c>
      <c r="B16" s="180" t="s">
        <v>339</v>
      </c>
      <c r="C16" s="214"/>
      <c r="D16" s="215"/>
      <c r="E16" s="216"/>
      <c r="F16" s="181" t="s">
        <v>363</v>
      </c>
    </row>
    <row r="17" spans="1:6" x14ac:dyDescent="0.3">
      <c r="A17" s="179">
        <v>5</v>
      </c>
      <c r="B17" s="180" t="s">
        <v>354</v>
      </c>
      <c r="C17" s="214"/>
      <c r="D17" s="215"/>
      <c r="E17" s="216"/>
      <c r="F17" s="181" t="s">
        <v>363</v>
      </c>
    </row>
    <row r="18" spans="1:6" x14ac:dyDescent="0.3">
      <c r="A18" s="179">
        <v>6</v>
      </c>
      <c r="B18" s="180" t="s">
        <v>355</v>
      </c>
      <c r="C18" s="214"/>
      <c r="D18" s="215"/>
      <c r="E18" s="216"/>
      <c r="F18" s="181" t="s">
        <v>363</v>
      </c>
    </row>
    <row r="19" spans="1:6" x14ac:dyDescent="0.3">
      <c r="A19" s="179">
        <v>7</v>
      </c>
      <c r="B19" s="180" t="s">
        <v>356</v>
      </c>
      <c r="C19" s="214"/>
      <c r="D19" s="215"/>
      <c r="E19" s="216"/>
      <c r="F19" s="181" t="s">
        <v>363</v>
      </c>
    </row>
    <row r="20" spans="1:6" x14ac:dyDescent="0.3">
      <c r="A20" s="179">
        <v>8</v>
      </c>
      <c r="B20" s="180" t="s">
        <v>357</v>
      </c>
      <c r="C20" s="214"/>
      <c r="D20" s="215"/>
      <c r="E20" s="216"/>
      <c r="F20" s="181" t="s">
        <v>363</v>
      </c>
    </row>
    <row r="21" spans="1:6" x14ac:dyDescent="0.3">
      <c r="A21" s="173"/>
      <c r="B21" s="174" t="s">
        <v>358</v>
      </c>
      <c r="C21" s="175"/>
      <c r="D21" s="176"/>
      <c r="E21" s="177"/>
      <c r="F21" s="186">
        <f>SUM(F12:F20)</f>
        <v>1553584.7235953212</v>
      </c>
    </row>
    <row r="22" spans="1:6" x14ac:dyDescent="0.3">
      <c r="A22" s="179">
        <v>9</v>
      </c>
      <c r="B22" s="180" t="s">
        <v>359</v>
      </c>
      <c r="C22" s="214"/>
      <c r="D22" s="215"/>
      <c r="E22" s="216"/>
      <c r="F22" s="181">
        <f>'NRM1 Elemental Cost Plan -  JA'!I218</f>
        <v>155358.4723595322</v>
      </c>
    </row>
    <row r="23" spans="1:6" ht="27.6" x14ac:dyDescent="0.3">
      <c r="A23" s="173"/>
      <c r="B23" s="174" t="s">
        <v>360</v>
      </c>
      <c r="C23" s="175"/>
      <c r="D23" s="176"/>
      <c r="E23" s="177"/>
      <c r="F23" s="186">
        <f>F22+F21</f>
        <v>1708943.1959548534</v>
      </c>
    </row>
    <row r="24" spans="1:6" x14ac:dyDescent="0.3">
      <c r="A24" s="179">
        <v>10</v>
      </c>
      <c r="B24" s="180" t="s">
        <v>361</v>
      </c>
      <c r="C24" s="214"/>
      <c r="D24" s="215"/>
      <c r="E24" s="216"/>
      <c r="F24" s="181">
        <f>'NRM1 Elemental Cost Plan -  JA'!I222</f>
        <v>170894.3195954854</v>
      </c>
    </row>
    <row r="25" spans="1:6" x14ac:dyDescent="0.3">
      <c r="A25" s="173"/>
      <c r="B25" s="174" t="s">
        <v>362</v>
      </c>
      <c r="C25" s="175"/>
      <c r="D25" s="176"/>
      <c r="E25" s="177"/>
      <c r="F25" s="186">
        <f>F23+F24</f>
        <v>1879837.5155503389</v>
      </c>
    </row>
    <row r="26" spans="1:6" x14ac:dyDescent="0.3">
      <c r="A26" s="179"/>
      <c r="B26" s="180"/>
      <c r="C26" s="214"/>
      <c r="D26" s="215"/>
      <c r="E26" s="216"/>
      <c r="F26" s="181"/>
    </row>
    <row r="27" spans="1:6" x14ac:dyDescent="0.3">
      <c r="A27" s="179"/>
      <c r="B27" s="185" t="s">
        <v>364</v>
      </c>
      <c r="C27" s="214"/>
      <c r="D27" s="215"/>
      <c r="E27" s="216"/>
      <c r="F27" s="181"/>
    </row>
    <row r="28" spans="1:6" ht="27.6" x14ac:dyDescent="0.3">
      <c r="A28" s="179"/>
      <c r="B28" s="180" t="s">
        <v>365</v>
      </c>
      <c r="C28" s="182"/>
      <c r="D28" s="183"/>
      <c r="E28" s="184"/>
      <c r="F28" s="181"/>
    </row>
    <row r="29" spans="1:6" ht="27.6" x14ac:dyDescent="0.3">
      <c r="A29" s="179"/>
      <c r="B29" s="180" t="s">
        <v>366</v>
      </c>
      <c r="C29" s="182"/>
      <c r="D29" s="183"/>
      <c r="E29" s="184"/>
      <c r="F29" s="181"/>
    </row>
    <row r="30" spans="1:6" x14ac:dyDescent="0.3">
      <c r="A30" s="179"/>
      <c r="B30" s="180" t="s">
        <v>367</v>
      </c>
      <c r="C30" s="182"/>
      <c r="D30" s="183"/>
      <c r="E30" s="184"/>
      <c r="F30" s="181"/>
    </row>
    <row r="31" spans="1:6" ht="27.6" x14ac:dyDescent="0.3">
      <c r="A31" s="179"/>
      <c r="B31" s="180" t="s">
        <v>368</v>
      </c>
      <c r="C31" s="182"/>
      <c r="D31" s="183"/>
      <c r="E31" s="184"/>
      <c r="F31" s="181"/>
    </row>
    <row r="32" spans="1:6" ht="27.6" x14ac:dyDescent="0.3">
      <c r="A32" s="179"/>
      <c r="B32" s="180" t="s">
        <v>369</v>
      </c>
      <c r="C32" s="182"/>
      <c r="D32" s="183"/>
      <c r="E32" s="184"/>
      <c r="F32" s="181"/>
    </row>
    <row r="33" spans="1:6" ht="27.6" x14ac:dyDescent="0.3">
      <c r="A33" s="179"/>
      <c r="B33" s="180" t="s">
        <v>370</v>
      </c>
      <c r="C33" s="182"/>
      <c r="D33" s="183"/>
      <c r="E33" s="184"/>
      <c r="F33" s="181"/>
    </row>
  </sheetData>
  <mergeCells count="20">
    <mergeCell ref="C26:E26"/>
    <mergeCell ref="C27:E27"/>
    <mergeCell ref="C22:E22"/>
    <mergeCell ref="C24:E24"/>
    <mergeCell ref="E7:F7"/>
    <mergeCell ref="C10:E10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E2:F2"/>
    <mergeCell ref="E3:F3"/>
    <mergeCell ref="E4:F4"/>
    <mergeCell ref="E5:F5"/>
    <mergeCell ref="E6:F6"/>
  </mergeCells>
  <phoneticPr fontId="10" type="noConversion"/>
  <pageMargins left="0.74803149606299213" right="0" top="0.19685039370078741" bottom="0.98425196850393704" header="0.51181102362204722" footer="0.51181102362204722"/>
  <pageSetup paperSize="9" scale="98" firstPageNumber="3" fitToHeight="0" orientation="portrait" useFirstPageNumber="1" r:id="rId1"/>
  <headerFooter alignWithMargins="0">
    <oddFooter>&amp;L&amp;"Arial,Regular"&amp;8&amp;P                    &amp;F&amp;R&amp;G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17</xdr:col>
                    <xdr:colOff>373380</xdr:colOff>
                    <xdr:row>10</xdr:row>
                    <xdr:rowOff>0</xdr:rowOff>
                  </from>
                  <to>
                    <xdr:col>18</xdr:col>
                    <xdr:colOff>45720</xdr:colOff>
                    <xdr:row>67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D5368-1484-464C-995D-3E1999F2D529}">
  <sheetPr>
    <pageSetUpPr fitToPage="1"/>
  </sheetPr>
  <dimension ref="A1:T227"/>
  <sheetViews>
    <sheetView showGridLines="0" view="pageBreakPreview" zoomScale="70" zoomScaleNormal="85" zoomScaleSheetLayoutView="70" zoomScalePageLayoutView="70" workbookViewId="0">
      <selection activeCell="J12" sqref="J12:J13"/>
    </sheetView>
  </sheetViews>
  <sheetFormatPr defaultRowHeight="13.8" x14ac:dyDescent="0.3"/>
  <cols>
    <col min="1" max="1" width="5.5546875" style="21" customWidth="1"/>
    <col min="2" max="2" width="1.44140625" style="22" customWidth="1"/>
    <col min="3" max="3" width="49" style="135" customWidth="1"/>
    <col min="4" max="4" width="7.44140625" style="7" customWidth="1"/>
    <col min="5" max="5" width="9.44140625" style="101" bestFit="1" customWidth="1"/>
    <col min="6" max="6" width="8.109375" style="21" customWidth="1"/>
    <col min="7" max="7" width="14.88671875" style="120" customWidth="1"/>
    <col min="8" max="8" width="18" style="120" customWidth="1"/>
    <col min="9" max="9" width="16.44140625" style="19" customWidth="1"/>
    <col min="10" max="12" width="35.88671875" style="88" customWidth="1"/>
    <col min="13" max="13" width="21.88671875" style="4" customWidth="1"/>
    <col min="14" max="14" width="21.5546875" style="4" customWidth="1"/>
    <col min="15" max="15" width="47.88671875" style="5" customWidth="1"/>
    <col min="16" max="265" width="8.88671875" style="5"/>
    <col min="266" max="266" width="8.6640625" style="5" customWidth="1"/>
    <col min="267" max="267" width="91.33203125" style="5" customWidth="1"/>
    <col min="268" max="268" width="11.44140625" style="5" customWidth="1"/>
    <col min="269" max="269" width="44" style="5" customWidth="1"/>
    <col min="270" max="521" width="8.88671875" style="5"/>
    <col min="522" max="522" width="8.6640625" style="5" customWidth="1"/>
    <col min="523" max="523" width="91.33203125" style="5" customWidth="1"/>
    <col min="524" max="524" width="11.44140625" style="5" customWidth="1"/>
    <col min="525" max="525" width="44" style="5" customWidth="1"/>
    <col min="526" max="777" width="8.88671875" style="5"/>
    <col min="778" max="778" width="8.6640625" style="5" customWidth="1"/>
    <col min="779" max="779" width="91.33203125" style="5" customWidth="1"/>
    <col min="780" max="780" width="11.44140625" style="5" customWidth="1"/>
    <col min="781" max="781" width="44" style="5" customWidth="1"/>
    <col min="782" max="1033" width="8.88671875" style="5"/>
    <col min="1034" max="1034" width="8.6640625" style="5" customWidth="1"/>
    <col min="1035" max="1035" width="91.33203125" style="5" customWidth="1"/>
    <col min="1036" max="1036" width="11.44140625" style="5" customWidth="1"/>
    <col min="1037" max="1037" width="44" style="5" customWidth="1"/>
    <col min="1038" max="1289" width="8.88671875" style="5"/>
    <col min="1290" max="1290" width="8.6640625" style="5" customWidth="1"/>
    <col min="1291" max="1291" width="91.33203125" style="5" customWidth="1"/>
    <col min="1292" max="1292" width="11.44140625" style="5" customWidth="1"/>
    <col min="1293" max="1293" width="44" style="5" customWidth="1"/>
    <col min="1294" max="1545" width="8.88671875" style="5"/>
    <col min="1546" max="1546" width="8.6640625" style="5" customWidth="1"/>
    <col min="1547" max="1547" width="91.33203125" style="5" customWidth="1"/>
    <col min="1548" max="1548" width="11.44140625" style="5" customWidth="1"/>
    <col min="1549" max="1549" width="44" style="5" customWidth="1"/>
    <col min="1550" max="1801" width="8.88671875" style="5"/>
    <col min="1802" max="1802" width="8.6640625" style="5" customWidth="1"/>
    <col min="1803" max="1803" width="91.33203125" style="5" customWidth="1"/>
    <col min="1804" max="1804" width="11.44140625" style="5" customWidth="1"/>
    <col min="1805" max="1805" width="44" style="5" customWidth="1"/>
    <col min="1806" max="2057" width="8.88671875" style="5"/>
    <col min="2058" max="2058" width="8.6640625" style="5" customWidth="1"/>
    <col min="2059" max="2059" width="91.33203125" style="5" customWidth="1"/>
    <col min="2060" max="2060" width="11.44140625" style="5" customWidth="1"/>
    <col min="2061" max="2061" width="44" style="5" customWidth="1"/>
    <col min="2062" max="2313" width="8.88671875" style="5"/>
    <col min="2314" max="2314" width="8.6640625" style="5" customWidth="1"/>
    <col min="2315" max="2315" width="91.33203125" style="5" customWidth="1"/>
    <col min="2316" max="2316" width="11.44140625" style="5" customWidth="1"/>
    <col min="2317" max="2317" width="44" style="5" customWidth="1"/>
    <col min="2318" max="2569" width="8.88671875" style="5"/>
    <col min="2570" max="2570" width="8.6640625" style="5" customWidth="1"/>
    <col min="2571" max="2571" width="91.33203125" style="5" customWidth="1"/>
    <col min="2572" max="2572" width="11.44140625" style="5" customWidth="1"/>
    <col min="2573" max="2573" width="44" style="5" customWidth="1"/>
    <col min="2574" max="2825" width="8.88671875" style="5"/>
    <col min="2826" max="2826" width="8.6640625" style="5" customWidth="1"/>
    <col min="2827" max="2827" width="91.33203125" style="5" customWidth="1"/>
    <col min="2828" max="2828" width="11.44140625" style="5" customWidth="1"/>
    <col min="2829" max="2829" width="44" style="5" customWidth="1"/>
    <col min="2830" max="3081" width="8.88671875" style="5"/>
    <col min="3082" max="3082" width="8.6640625" style="5" customWidth="1"/>
    <col min="3083" max="3083" width="91.33203125" style="5" customWidth="1"/>
    <col min="3084" max="3084" width="11.44140625" style="5" customWidth="1"/>
    <col min="3085" max="3085" width="44" style="5" customWidth="1"/>
    <col min="3086" max="3337" width="8.88671875" style="5"/>
    <col min="3338" max="3338" width="8.6640625" style="5" customWidth="1"/>
    <col min="3339" max="3339" width="91.33203125" style="5" customWidth="1"/>
    <col min="3340" max="3340" width="11.44140625" style="5" customWidth="1"/>
    <col min="3341" max="3341" width="44" style="5" customWidth="1"/>
    <col min="3342" max="3593" width="8.88671875" style="5"/>
    <col min="3594" max="3594" width="8.6640625" style="5" customWidth="1"/>
    <col min="3595" max="3595" width="91.33203125" style="5" customWidth="1"/>
    <col min="3596" max="3596" width="11.44140625" style="5" customWidth="1"/>
    <col min="3597" max="3597" width="44" style="5" customWidth="1"/>
    <col min="3598" max="3849" width="8.88671875" style="5"/>
    <col min="3850" max="3850" width="8.6640625" style="5" customWidth="1"/>
    <col min="3851" max="3851" width="91.33203125" style="5" customWidth="1"/>
    <col min="3852" max="3852" width="11.44140625" style="5" customWidth="1"/>
    <col min="3853" max="3853" width="44" style="5" customWidth="1"/>
    <col min="3854" max="4105" width="8.88671875" style="5"/>
    <col min="4106" max="4106" width="8.6640625" style="5" customWidth="1"/>
    <col min="4107" max="4107" width="91.33203125" style="5" customWidth="1"/>
    <col min="4108" max="4108" width="11.44140625" style="5" customWidth="1"/>
    <col min="4109" max="4109" width="44" style="5" customWidth="1"/>
    <col min="4110" max="4361" width="8.88671875" style="5"/>
    <col min="4362" max="4362" width="8.6640625" style="5" customWidth="1"/>
    <col min="4363" max="4363" width="91.33203125" style="5" customWidth="1"/>
    <col min="4364" max="4364" width="11.44140625" style="5" customWidth="1"/>
    <col min="4365" max="4365" width="44" style="5" customWidth="1"/>
    <col min="4366" max="4617" width="8.88671875" style="5"/>
    <col min="4618" max="4618" width="8.6640625" style="5" customWidth="1"/>
    <col min="4619" max="4619" width="91.33203125" style="5" customWidth="1"/>
    <col min="4620" max="4620" width="11.44140625" style="5" customWidth="1"/>
    <col min="4621" max="4621" width="44" style="5" customWidth="1"/>
    <col min="4622" max="4873" width="8.88671875" style="5"/>
    <col min="4874" max="4874" width="8.6640625" style="5" customWidth="1"/>
    <col min="4875" max="4875" width="91.33203125" style="5" customWidth="1"/>
    <col min="4876" max="4876" width="11.44140625" style="5" customWidth="1"/>
    <col min="4877" max="4877" width="44" style="5" customWidth="1"/>
    <col min="4878" max="5129" width="8.88671875" style="5"/>
    <col min="5130" max="5130" width="8.6640625" style="5" customWidth="1"/>
    <col min="5131" max="5131" width="91.33203125" style="5" customWidth="1"/>
    <col min="5132" max="5132" width="11.44140625" style="5" customWidth="1"/>
    <col min="5133" max="5133" width="44" style="5" customWidth="1"/>
    <col min="5134" max="5385" width="8.88671875" style="5"/>
    <col min="5386" max="5386" width="8.6640625" style="5" customWidth="1"/>
    <col min="5387" max="5387" width="91.33203125" style="5" customWidth="1"/>
    <col min="5388" max="5388" width="11.44140625" style="5" customWidth="1"/>
    <col min="5389" max="5389" width="44" style="5" customWidth="1"/>
    <col min="5390" max="5641" width="8.88671875" style="5"/>
    <col min="5642" max="5642" width="8.6640625" style="5" customWidth="1"/>
    <col min="5643" max="5643" width="91.33203125" style="5" customWidth="1"/>
    <col min="5644" max="5644" width="11.44140625" style="5" customWidth="1"/>
    <col min="5645" max="5645" width="44" style="5" customWidth="1"/>
    <col min="5646" max="5897" width="8.88671875" style="5"/>
    <col min="5898" max="5898" width="8.6640625" style="5" customWidth="1"/>
    <col min="5899" max="5899" width="91.33203125" style="5" customWidth="1"/>
    <col min="5900" max="5900" width="11.44140625" style="5" customWidth="1"/>
    <col min="5901" max="5901" width="44" style="5" customWidth="1"/>
    <col min="5902" max="6153" width="8.88671875" style="5"/>
    <col min="6154" max="6154" width="8.6640625" style="5" customWidth="1"/>
    <col min="6155" max="6155" width="91.33203125" style="5" customWidth="1"/>
    <col min="6156" max="6156" width="11.44140625" style="5" customWidth="1"/>
    <col min="6157" max="6157" width="44" style="5" customWidth="1"/>
    <col min="6158" max="6409" width="8.88671875" style="5"/>
    <col min="6410" max="6410" width="8.6640625" style="5" customWidth="1"/>
    <col min="6411" max="6411" width="91.33203125" style="5" customWidth="1"/>
    <col min="6412" max="6412" width="11.44140625" style="5" customWidth="1"/>
    <col min="6413" max="6413" width="44" style="5" customWidth="1"/>
    <col min="6414" max="6665" width="8.88671875" style="5"/>
    <col min="6666" max="6666" width="8.6640625" style="5" customWidth="1"/>
    <col min="6667" max="6667" width="91.33203125" style="5" customWidth="1"/>
    <col min="6668" max="6668" width="11.44140625" style="5" customWidth="1"/>
    <col min="6669" max="6669" width="44" style="5" customWidth="1"/>
    <col min="6670" max="6921" width="8.88671875" style="5"/>
    <col min="6922" max="6922" width="8.6640625" style="5" customWidth="1"/>
    <col min="6923" max="6923" width="91.33203125" style="5" customWidth="1"/>
    <col min="6924" max="6924" width="11.44140625" style="5" customWidth="1"/>
    <col min="6925" max="6925" width="44" style="5" customWidth="1"/>
    <col min="6926" max="7177" width="8.88671875" style="5"/>
    <col min="7178" max="7178" width="8.6640625" style="5" customWidth="1"/>
    <col min="7179" max="7179" width="91.33203125" style="5" customWidth="1"/>
    <col min="7180" max="7180" width="11.44140625" style="5" customWidth="1"/>
    <col min="7181" max="7181" width="44" style="5" customWidth="1"/>
    <col min="7182" max="7433" width="8.88671875" style="5"/>
    <col min="7434" max="7434" width="8.6640625" style="5" customWidth="1"/>
    <col min="7435" max="7435" width="91.33203125" style="5" customWidth="1"/>
    <col min="7436" max="7436" width="11.44140625" style="5" customWidth="1"/>
    <col min="7437" max="7437" width="44" style="5" customWidth="1"/>
    <col min="7438" max="7689" width="8.88671875" style="5"/>
    <col min="7690" max="7690" width="8.6640625" style="5" customWidth="1"/>
    <col min="7691" max="7691" width="91.33203125" style="5" customWidth="1"/>
    <col min="7692" max="7692" width="11.44140625" style="5" customWidth="1"/>
    <col min="7693" max="7693" width="44" style="5" customWidth="1"/>
    <col min="7694" max="7945" width="8.88671875" style="5"/>
    <col min="7946" max="7946" width="8.6640625" style="5" customWidth="1"/>
    <col min="7947" max="7947" width="91.33203125" style="5" customWidth="1"/>
    <col min="7948" max="7948" width="11.44140625" style="5" customWidth="1"/>
    <col min="7949" max="7949" width="44" style="5" customWidth="1"/>
    <col min="7950" max="8201" width="8.88671875" style="5"/>
    <col min="8202" max="8202" width="8.6640625" style="5" customWidth="1"/>
    <col min="8203" max="8203" width="91.33203125" style="5" customWidth="1"/>
    <col min="8204" max="8204" width="11.44140625" style="5" customWidth="1"/>
    <col min="8205" max="8205" width="44" style="5" customWidth="1"/>
    <col min="8206" max="8457" width="8.88671875" style="5"/>
    <col min="8458" max="8458" width="8.6640625" style="5" customWidth="1"/>
    <col min="8459" max="8459" width="91.33203125" style="5" customWidth="1"/>
    <col min="8460" max="8460" width="11.44140625" style="5" customWidth="1"/>
    <col min="8461" max="8461" width="44" style="5" customWidth="1"/>
    <col min="8462" max="8713" width="8.88671875" style="5"/>
    <col min="8714" max="8714" width="8.6640625" style="5" customWidth="1"/>
    <col min="8715" max="8715" width="91.33203125" style="5" customWidth="1"/>
    <col min="8716" max="8716" width="11.44140625" style="5" customWidth="1"/>
    <col min="8717" max="8717" width="44" style="5" customWidth="1"/>
    <col min="8718" max="8969" width="8.88671875" style="5"/>
    <col min="8970" max="8970" width="8.6640625" style="5" customWidth="1"/>
    <col min="8971" max="8971" width="91.33203125" style="5" customWidth="1"/>
    <col min="8972" max="8972" width="11.44140625" style="5" customWidth="1"/>
    <col min="8973" max="8973" width="44" style="5" customWidth="1"/>
    <col min="8974" max="9225" width="8.88671875" style="5"/>
    <col min="9226" max="9226" width="8.6640625" style="5" customWidth="1"/>
    <col min="9227" max="9227" width="91.33203125" style="5" customWidth="1"/>
    <col min="9228" max="9228" width="11.44140625" style="5" customWidth="1"/>
    <col min="9229" max="9229" width="44" style="5" customWidth="1"/>
    <col min="9230" max="9481" width="8.88671875" style="5"/>
    <col min="9482" max="9482" width="8.6640625" style="5" customWidth="1"/>
    <col min="9483" max="9483" width="91.33203125" style="5" customWidth="1"/>
    <col min="9484" max="9484" width="11.44140625" style="5" customWidth="1"/>
    <col min="9485" max="9485" width="44" style="5" customWidth="1"/>
    <col min="9486" max="9737" width="8.88671875" style="5"/>
    <col min="9738" max="9738" width="8.6640625" style="5" customWidth="1"/>
    <col min="9739" max="9739" width="91.33203125" style="5" customWidth="1"/>
    <col min="9740" max="9740" width="11.44140625" style="5" customWidth="1"/>
    <col min="9741" max="9741" width="44" style="5" customWidth="1"/>
    <col min="9742" max="9993" width="8.88671875" style="5"/>
    <col min="9994" max="9994" width="8.6640625" style="5" customWidth="1"/>
    <col min="9995" max="9995" width="91.33203125" style="5" customWidth="1"/>
    <col min="9996" max="9996" width="11.44140625" style="5" customWidth="1"/>
    <col min="9997" max="9997" width="44" style="5" customWidth="1"/>
    <col min="9998" max="10249" width="8.88671875" style="5"/>
    <col min="10250" max="10250" width="8.6640625" style="5" customWidth="1"/>
    <col min="10251" max="10251" width="91.33203125" style="5" customWidth="1"/>
    <col min="10252" max="10252" width="11.44140625" style="5" customWidth="1"/>
    <col min="10253" max="10253" width="44" style="5" customWidth="1"/>
    <col min="10254" max="10505" width="8.88671875" style="5"/>
    <col min="10506" max="10506" width="8.6640625" style="5" customWidth="1"/>
    <col min="10507" max="10507" width="91.33203125" style="5" customWidth="1"/>
    <col min="10508" max="10508" width="11.44140625" style="5" customWidth="1"/>
    <col min="10509" max="10509" width="44" style="5" customWidth="1"/>
    <col min="10510" max="10761" width="8.88671875" style="5"/>
    <col min="10762" max="10762" width="8.6640625" style="5" customWidth="1"/>
    <col min="10763" max="10763" width="91.33203125" style="5" customWidth="1"/>
    <col min="10764" max="10764" width="11.44140625" style="5" customWidth="1"/>
    <col min="10765" max="10765" width="44" style="5" customWidth="1"/>
    <col min="10766" max="11017" width="8.88671875" style="5"/>
    <col min="11018" max="11018" width="8.6640625" style="5" customWidth="1"/>
    <col min="11019" max="11019" width="91.33203125" style="5" customWidth="1"/>
    <col min="11020" max="11020" width="11.44140625" style="5" customWidth="1"/>
    <col min="11021" max="11021" width="44" style="5" customWidth="1"/>
    <col min="11022" max="11273" width="8.88671875" style="5"/>
    <col min="11274" max="11274" width="8.6640625" style="5" customWidth="1"/>
    <col min="11275" max="11275" width="91.33203125" style="5" customWidth="1"/>
    <col min="11276" max="11276" width="11.44140625" style="5" customWidth="1"/>
    <col min="11277" max="11277" width="44" style="5" customWidth="1"/>
    <col min="11278" max="11529" width="8.88671875" style="5"/>
    <col min="11530" max="11530" width="8.6640625" style="5" customWidth="1"/>
    <col min="11531" max="11531" width="91.33203125" style="5" customWidth="1"/>
    <col min="11532" max="11532" width="11.44140625" style="5" customWidth="1"/>
    <col min="11533" max="11533" width="44" style="5" customWidth="1"/>
    <col min="11534" max="11785" width="8.88671875" style="5"/>
    <col min="11786" max="11786" width="8.6640625" style="5" customWidth="1"/>
    <col min="11787" max="11787" width="91.33203125" style="5" customWidth="1"/>
    <col min="11788" max="11788" width="11.44140625" style="5" customWidth="1"/>
    <col min="11789" max="11789" width="44" style="5" customWidth="1"/>
    <col min="11790" max="12041" width="8.88671875" style="5"/>
    <col min="12042" max="12042" width="8.6640625" style="5" customWidth="1"/>
    <col min="12043" max="12043" width="91.33203125" style="5" customWidth="1"/>
    <col min="12044" max="12044" width="11.44140625" style="5" customWidth="1"/>
    <col min="12045" max="12045" width="44" style="5" customWidth="1"/>
    <col min="12046" max="12297" width="8.88671875" style="5"/>
    <col min="12298" max="12298" width="8.6640625" style="5" customWidth="1"/>
    <col min="12299" max="12299" width="91.33203125" style="5" customWidth="1"/>
    <col min="12300" max="12300" width="11.44140625" style="5" customWidth="1"/>
    <col min="12301" max="12301" width="44" style="5" customWidth="1"/>
    <col min="12302" max="12553" width="8.88671875" style="5"/>
    <col min="12554" max="12554" width="8.6640625" style="5" customWidth="1"/>
    <col min="12555" max="12555" width="91.33203125" style="5" customWidth="1"/>
    <col min="12556" max="12556" width="11.44140625" style="5" customWidth="1"/>
    <col min="12557" max="12557" width="44" style="5" customWidth="1"/>
    <col min="12558" max="12809" width="8.88671875" style="5"/>
    <col min="12810" max="12810" width="8.6640625" style="5" customWidth="1"/>
    <col min="12811" max="12811" width="91.33203125" style="5" customWidth="1"/>
    <col min="12812" max="12812" width="11.44140625" style="5" customWidth="1"/>
    <col min="12813" max="12813" width="44" style="5" customWidth="1"/>
    <col min="12814" max="13065" width="8.88671875" style="5"/>
    <col min="13066" max="13066" width="8.6640625" style="5" customWidth="1"/>
    <col min="13067" max="13067" width="91.33203125" style="5" customWidth="1"/>
    <col min="13068" max="13068" width="11.44140625" style="5" customWidth="1"/>
    <col min="13069" max="13069" width="44" style="5" customWidth="1"/>
    <col min="13070" max="13321" width="8.88671875" style="5"/>
    <col min="13322" max="13322" width="8.6640625" style="5" customWidth="1"/>
    <col min="13323" max="13323" width="91.33203125" style="5" customWidth="1"/>
    <col min="13324" max="13324" width="11.44140625" style="5" customWidth="1"/>
    <col min="13325" max="13325" width="44" style="5" customWidth="1"/>
    <col min="13326" max="13577" width="8.88671875" style="5"/>
    <col min="13578" max="13578" width="8.6640625" style="5" customWidth="1"/>
    <col min="13579" max="13579" width="91.33203125" style="5" customWidth="1"/>
    <col min="13580" max="13580" width="11.44140625" style="5" customWidth="1"/>
    <col min="13581" max="13581" width="44" style="5" customWidth="1"/>
    <col min="13582" max="13833" width="8.88671875" style="5"/>
    <col min="13834" max="13834" width="8.6640625" style="5" customWidth="1"/>
    <col min="13835" max="13835" width="91.33203125" style="5" customWidth="1"/>
    <col min="13836" max="13836" width="11.44140625" style="5" customWidth="1"/>
    <col min="13837" max="13837" width="44" style="5" customWidth="1"/>
    <col min="13838" max="14089" width="8.88671875" style="5"/>
    <col min="14090" max="14090" width="8.6640625" style="5" customWidth="1"/>
    <col min="14091" max="14091" width="91.33203125" style="5" customWidth="1"/>
    <col min="14092" max="14092" width="11.44140625" style="5" customWidth="1"/>
    <col min="14093" max="14093" width="44" style="5" customWidth="1"/>
    <col min="14094" max="14345" width="8.88671875" style="5"/>
    <col min="14346" max="14346" width="8.6640625" style="5" customWidth="1"/>
    <col min="14347" max="14347" width="91.33203125" style="5" customWidth="1"/>
    <col min="14348" max="14348" width="11.44140625" style="5" customWidth="1"/>
    <col min="14349" max="14349" width="44" style="5" customWidth="1"/>
    <col min="14350" max="14601" width="8.88671875" style="5"/>
    <col min="14602" max="14602" width="8.6640625" style="5" customWidth="1"/>
    <col min="14603" max="14603" width="91.33203125" style="5" customWidth="1"/>
    <col min="14604" max="14604" width="11.44140625" style="5" customWidth="1"/>
    <col min="14605" max="14605" width="44" style="5" customWidth="1"/>
    <col min="14606" max="14857" width="8.88671875" style="5"/>
    <col min="14858" max="14858" width="8.6640625" style="5" customWidth="1"/>
    <col min="14859" max="14859" width="91.33203125" style="5" customWidth="1"/>
    <col min="14860" max="14860" width="11.44140625" style="5" customWidth="1"/>
    <col min="14861" max="14861" width="44" style="5" customWidth="1"/>
    <col min="14862" max="15113" width="8.88671875" style="5"/>
    <col min="15114" max="15114" width="8.6640625" style="5" customWidth="1"/>
    <col min="15115" max="15115" width="91.33203125" style="5" customWidth="1"/>
    <col min="15116" max="15116" width="11.44140625" style="5" customWidth="1"/>
    <col min="15117" max="15117" width="44" style="5" customWidth="1"/>
    <col min="15118" max="15369" width="8.88671875" style="5"/>
    <col min="15370" max="15370" width="8.6640625" style="5" customWidth="1"/>
    <col min="15371" max="15371" width="91.33203125" style="5" customWidth="1"/>
    <col min="15372" max="15372" width="11.44140625" style="5" customWidth="1"/>
    <col min="15373" max="15373" width="44" style="5" customWidth="1"/>
    <col min="15374" max="15625" width="8.88671875" style="5"/>
    <col min="15626" max="15626" width="8.6640625" style="5" customWidth="1"/>
    <col min="15627" max="15627" width="91.33203125" style="5" customWidth="1"/>
    <col min="15628" max="15628" width="11.44140625" style="5" customWidth="1"/>
    <col min="15629" max="15629" width="44" style="5" customWidth="1"/>
    <col min="15630" max="15881" width="8.88671875" style="5"/>
    <col min="15882" max="15882" width="8.6640625" style="5" customWidth="1"/>
    <col min="15883" max="15883" width="91.33203125" style="5" customWidth="1"/>
    <col min="15884" max="15884" width="11.44140625" style="5" customWidth="1"/>
    <col min="15885" max="15885" width="44" style="5" customWidth="1"/>
    <col min="15886" max="16137" width="8.88671875" style="5"/>
    <col min="16138" max="16138" width="8.6640625" style="5" customWidth="1"/>
    <col min="16139" max="16139" width="91.33203125" style="5" customWidth="1"/>
    <col min="16140" max="16140" width="11.44140625" style="5" customWidth="1"/>
    <col min="16141" max="16141" width="44" style="5" customWidth="1"/>
    <col min="16142" max="16383" width="8.88671875" style="5"/>
    <col min="16384" max="16384" width="9.109375" style="5" customWidth="1"/>
  </cols>
  <sheetData>
    <row r="1" spans="1:20" s="23" customFormat="1" x14ac:dyDescent="0.3">
      <c r="A1" s="22"/>
      <c r="B1" s="22"/>
      <c r="C1" s="135"/>
      <c r="D1" s="7"/>
      <c r="E1" s="101"/>
      <c r="F1" s="21"/>
      <c r="G1" s="120"/>
      <c r="H1" s="120"/>
      <c r="I1" s="19"/>
      <c r="J1" s="88"/>
      <c r="K1" s="88"/>
      <c r="L1" s="88"/>
    </row>
    <row r="2" spans="1:20" s="23" customFormat="1" ht="22.2" customHeight="1" x14ac:dyDescent="0.3">
      <c r="F2" s="213" t="str">
        <f>Cover!A19</f>
        <v>Elemental Cost Plan No. 1</v>
      </c>
      <c r="G2" s="213"/>
      <c r="H2" s="213"/>
      <c r="I2" s="213"/>
      <c r="J2" s="213"/>
      <c r="K2" s="89"/>
      <c r="L2" s="89"/>
    </row>
    <row r="3" spans="1:20" s="23" customFormat="1" ht="22.2" customHeight="1" x14ac:dyDescent="0.3">
      <c r="F3" s="213" t="str">
        <f>Cover!A20</f>
        <v>Y Fforwm Building</v>
      </c>
      <c r="G3" s="213"/>
      <c r="H3" s="213"/>
      <c r="I3" s="213"/>
      <c r="J3" s="213"/>
      <c r="K3" s="89"/>
      <c r="L3" s="89"/>
    </row>
    <row r="4" spans="1:20" s="25" customFormat="1" ht="22.2" customHeight="1" x14ac:dyDescent="0.3">
      <c r="F4" s="213" t="str">
        <f>Cover!A25</f>
        <v>New Rules of Measurement 1</v>
      </c>
      <c r="G4" s="213"/>
      <c r="H4" s="213"/>
      <c r="I4" s="213"/>
      <c r="J4" s="213"/>
      <c r="K4" s="90"/>
      <c r="L4" s="90"/>
      <c r="M4" s="24"/>
      <c r="N4" s="24"/>
    </row>
    <row r="5" spans="1:20" s="23" customFormat="1" ht="22.2" customHeight="1" x14ac:dyDescent="0.3">
      <c r="F5" s="213" t="str">
        <f>Cover!A26</f>
        <v>Based on Level 2 Codes</v>
      </c>
      <c r="G5" s="213"/>
      <c r="H5" s="213"/>
      <c r="I5" s="213"/>
      <c r="J5" s="213"/>
      <c r="K5" s="91"/>
      <c r="L5" s="91"/>
    </row>
    <row r="6" spans="1:20" s="23" customFormat="1" ht="22.2" customHeight="1" x14ac:dyDescent="0.3">
      <c r="F6" s="213" t="str">
        <f>Cover!A30</f>
        <v>By Jack Arthurs</v>
      </c>
      <c r="G6" s="213"/>
      <c r="H6" s="213"/>
      <c r="I6" s="213"/>
      <c r="J6" s="213"/>
      <c r="K6" s="92"/>
      <c r="L6" s="92"/>
      <c r="M6" s="7"/>
      <c r="N6" s="7"/>
      <c r="O6" s="26"/>
      <c r="P6" s="26"/>
      <c r="Q6" s="26"/>
      <c r="R6" s="26"/>
      <c r="S6" s="26"/>
      <c r="T6" s="26"/>
    </row>
    <row r="7" spans="1:20" s="23" customFormat="1" ht="22.2" customHeight="1" x14ac:dyDescent="0.3">
      <c r="F7" s="213" t="str">
        <f>Cover!A31</f>
        <v>Dated: April 2022</v>
      </c>
      <c r="G7" s="213"/>
      <c r="H7" s="213"/>
      <c r="I7" s="213"/>
      <c r="J7" s="213"/>
      <c r="K7" s="92"/>
      <c r="L7" s="92"/>
      <c r="M7" s="7"/>
      <c r="N7" s="7"/>
      <c r="O7" s="26"/>
      <c r="P7" s="26"/>
      <c r="Q7" s="26"/>
      <c r="R7" s="26"/>
      <c r="S7" s="26"/>
      <c r="T7" s="26"/>
    </row>
    <row r="8" spans="1:20" s="23" customFormat="1" x14ac:dyDescent="0.3">
      <c r="A8" s="9"/>
      <c r="B8" s="9"/>
      <c r="C8" s="136"/>
      <c r="D8" s="28"/>
      <c r="E8" s="102"/>
      <c r="F8" s="20"/>
      <c r="G8" s="119"/>
      <c r="H8" s="119"/>
      <c r="I8" s="27"/>
      <c r="J8" s="92"/>
      <c r="K8" s="92"/>
      <c r="L8" s="92"/>
      <c r="M8" s="7"/>
      <c r="N8" s="7"/>
      <c r="O8" s="26"/>
      <c r="P8" s="26"/>
      <c r="Q8" s="26"/>
      <c r="R8" s="26"/>
      <c r="S8" s="26"/>
      <c r="T8" s="26"/>
    </row>
    <row r="9" spans="1:20" x14ac:dyDescent="0.3">
      <c r="A9" s="20"/>
      <c r="B9" s="9"/>
      <c r="C9" s="136" t="s">
        <v>10</v>
      </c>
      <c r="D9" s="9"/>
      <c r="E9" s="102"/>
      <c r="F9" s="20"/>
      <c r="G9" s="119"/>
      <c r="H9" s="119"/>
      <c r="I9" s="10"/>
      <c r="J9" s="92"/>
      <c r="K9" s="92"/>
      <c r="L9" s="92"/>
      <c r="M9" s="11"/>
      <c r="N9" s="11"/>
      <c r="O9" s="12"/>
      <c r="P9" s="12"/>
      <c r="Q9" s="12"/>
      <c r="R9" s="12"/>
      <c r="S9" s="12"/>
      <c r="T9" s="12"/>
    </row>
    <row r="10" spans="1:20" s="15" customFormat="1" ht="27" customHeight="1" x14ac:dyDescent="0.3">
      <c r="A10" s="217" t="s">
        <v>51</v>
      </c>
      <c r="B10" s="217"/>
      <c r="C10" s="172" t="s">
        <v>52</v>
      </c>
      <c r="D10" s="217" t="s">
        <v>11</v>
      </c>
      <c r="E10" s="218"/>
      <c r="F10" s="218"/>
      <c r="G10" s="60" t="s">
        <v>12</v>
      </c>
      <c r="H10" s="60" t="s">
        <v>13</v>
      </c>
      <c r="I10" s="60" t="s">
        <v>14</v>
      </c>
      <c r="J10" s="60" t="s">
        <v>100</v>
      </c>
      <c r="K10" s="60" t="s">
        <v>84</v>
      </c>
      <c r="L10" s="60" t="s">
        <v>112</v>
      </c>
      <c r="M10" s="13"/>
      <c r="N10" s="13"/>
      <c r="O10" s="14"/>
      <c r="P10" s="14"/>
      <c r="Q10" s="14"/>
      <c r="R10" s="14"/>
      <c r="S10" s="14"/>
      <c r="T10" s="14"/>
    </row>
    <row r="11" spans="1:20" s="15" customFormat="1" x14ac:dyDescent="0.3">
      <c r="A11" s="61"/>
      <c r="B11" s="62"/>
      <c r="C11" s="137"/>
      <c r="D11" s="29"/>
      <c r="E11" s="103"/>
      <c r="F11" s="29"/>
      <c r="G11" s="44" t="s">
        <v>15</v>
      </c>
      <c r="H11" s="44" t="s">
        <v>15</v>
      </c>
      <c r="I11" s="44" t="s">
        <v>15</v>
      </c>
      <c r="J11" s="93"/>
      <c r="K11" s="93"/>
      <c r="L11" s="93"/>
      <c r="M11" s="13"/>
      <c r="N11" s="13"/>
      <c r="O11" s="14"/>
      <c r="P11" s="14"/>
      <c r="Q11" s="14"/>
      <c r="R11" s="14"/>
      <c r="S11" s="14"/>
      <c r="T11" s="14"/>
    </row>
    <row r="12" spans="1:20" s="15" customFormat="1" x14ac:dyDescent="0.3">
      <c r="A12" s="79">
        <v>0</v>
      </c>
      <c r="B12" s="80"/>
      <c r="C12" s="138" t="s">
        <v>16</v>
      </c>
      <c r="D12" s="81"/>
      <c r="E12" s="104"/>
      <c r="F12" s="82"/>
      <c r="G12" s="123"/>
      <c r="H12" s="123"/>
      <c r="I12" s="83">
        <f>SUM(H14:H46)</f>
        <v>0</v>
      </c>
      <c r="J12" s="94" t="s">
        <v>53</v>
      </c>
      <c r="K12" s="94"/>
      <c r="L12" s="94"/>
      <c r="M12" s="13"/>
      <c r="N12" s="13"/>
      <c r="O12" s="14"/>
      <c r="P12" s="14"/>
      <c r="Q12" s="14"/>
      <c r="R12" s="14"/>
      <c r="S12" s="14"/>
      <c r="T12" s="14"/>
    </row>
    <row r="13" spans="1:20" s="15" customFormat="1" x14ac:dyDescent="0.3">
      <c r="A13" s="64">
        <v>0.1</v>
      </c>
      <c r="B13" s="63"/>
      <c r="C13" s="139" t="s">
        <v>54</v>
      </c>
      <c r="D13" s="30"/>
      <c r="E13" s="105"/>
      <c r="F13" s="114"/>
      <c r="G13" s="32"/>
      <c r="H13" s="32"/>
      <c r="I13" s="31"/>
      <c r="J13" s="93"/>
      <c r="K13" s="93"/>
      <c r="L13" s="93"/>
      <c r="M13" s="13"/>
      <c r="N13" s="13"/>
      <c r="O13" s="14"/>
      <c r="P13" s="14"/>
      <c r="Q13" s="14"/>
      <c r="R13" s="14"/>
      <c r="S13" s="14"/>
      <c r="T13" s="14"/>
    </row>
    <row r="14" spans="1:20" s="15" customFormat="1" x14ac:dyDescent="0.3">
      <c r="A14" s="64"/>
      <c r="B14" s="63"/>
      <c r="C14" s="84" t="s">
        <v>55</v>
      </c>
      <c r="D14" s="33"/>
      <c r="E14" s="106">
        <v>0</v>
      </c>
      <c r="F14" s="34" t="s">
        <v>17</v>
      </c>
      <c r="G14" s="35"/>
      <c r="H14" s="87">
        <f>E14*G14</f>
        <v>0</v>
      </c>
      <c r="I14" s="31"/>
      <c r="J14" s="93" t="s">
        <v>79</v>
      </c>
      <c r="K14" s="93"/>
      <c r="L14" s="93"/>
      <c r="M14" s="13"/>
      <c r="N14" s="13"/>
      <c r="O14" s="14"/>
      <c r="P14" s="14"/>
      <c r="Q14" s="14"/>
      <c r="R14" s="14"/>
      <c r="S14" s="14"/>
      <c r="T14" s="14"/>
    </row>
    <row r="15" spans="1:20" s="15" customFormat="1" x14ac:dyDescent="0.3">
      <c r="A15" s="64"/>
      <c r="B15" s="63"/>
      <c r="C15" s="139" t="s">
        <v>18</v>
      </c>
      <c r="D15" s="36"/>
      <c r="E15" s="105"/>
      <c r="F15" s="114"/>
      <c r="G15" s="114"/>
      <c r="H15" s="114"/>
      <c r="I15" s="32"/>
      <c r="J15" s="93"/>
      <c r="K15" s="93"/>
      <c r="L15" s="93"/>
      <c r="M15" s="13"/>
      <c r="N15" s="13"/>
      <c r="O15" s="14"/>
      <c r="P15" s="14"/>
      <c r="Q15" s="14"/>
      <c r="R15" s="14"/>
      <c r="S15" s="14"/>
      <c r="T15" s="14"/>
    </row>
    <row r="16" spans="1:20" s="15" customFormat="1" ht="27.6" x14ac:dyDescent="0.3">
      <c r="A16" s="64"/>
      <c r="B16" s="63"/>
      <c r="C16" s="84" t="s">
        <v>58</v>
      </c>
      <c r="D16" s="37"/>
      <c r="E16" s="106">
        <v>0</v>
      </c>
      <c r="F16" s="34" t="s">
        <v>17</v>
      </c>
      <c r="G16" s="35"/>
      <c r="H16" s="35">
        <f>E16*G16</f>
        <v>0</v>
      </c>
      <c r="I16" s="32"/>
      <c r="J16" s="93" t="str">
        <f>J14</f>
        <v>Not Included</v>
      </c>
      <c r="K16" s="93"/>
      <c r="L16" s="93"/>
      <c r="M16" s="13"/>
      <c r="N16" s="13"/>
      <c r="O16" s="14"/>
      <c r="P16" s="14"/>
      <c r="Q16" s="14"/>
      <c r="R16" s="14"/>
      <c r="S16" s="14"/>
      <c r="T16" s="14"/>
    </row>
    <row r="17" spans="1:20" s="15" customFormat="1" x14ac:dyDescent="0.3">
      <c r="A17" s="64"/>
      <c r="B17" s="63"/>
      <c r="C17" s="139" t="s">
        <v>56</v>
      </c>
      <c r="D17" s="36"/>
      <c r="E17" s="105"/>
      <c r="F17" s="114"/>
      <c r="G17" s="114"/>
      <c r="H17" s="114"/>
      <c r="I17" s="32"/>
      <c r="J17" s="93"/>
      <c r="K17" s="93"/>
      <c r="L17" s="93"/>
      <c r="M17" s="13"/>
      <c r="N17" s="13"/>
      <c r="O17" s="14"/>
      <c r="P17" s="14"/>
      <c r="Q17" s="14"/>
      <c r="R17" s="14"/>
      <c r="S17" s="14"/>
      <c r="T17" s="14"/>
    </row>
    <row r="18" spans="1:20" s="15" customFormat="1" ht="27.6" x14ac:dyDescent="0.3">
      <c r="A18" s="64"/>
      <c r="B18" s="63"/>
      <c r="C18" s="84" t="s">
        <v>57</v>
      </c>
      <c r="D18" s="37"/>
      <c r="E18" s="106">
        <v>0</v>
      </c>
      <c r="F18" s="34" t="s">
        <v>17</v>
      </c>
      <c r="G18" s="35"/>
      <c r="H18" s="35">
        <f>E18*G18</f>
        <v>0</v>
      </c>
      <c r="I18" s="32"/>
      <c r="J18" s="93" t="str">
        <f>J16</f>
        <v>Not Included</v>
      </c>
      <c r="K18" s="93"/>
      <c r="L18" s="93"/>
      <c r="M18" s="13"/>
      <c r="N18" s="13"/>
      <c r="O18" s="14"/>
      <c r="P18" s="14"/>
      <c r="Q18" s="14"/>
      <c r="R18" s="14"/>
      <c r="S18" s="14"/>
      <c r="T18" s="14"/>
    </row>
    <row r="19" spans="1:20" s="15" customFormat="1" x14ac:dyDescent="0.3">
      <c r="A19" s="64"/>
      <c r="B19" s="63"/>
      <c r="C19" s="140"/>
      <c r="D19" s="38"/>
      <c r="E19" s="106"/>
      <c r="F19" s="34"/>
      <c r="G19" s="35"/>
      <c r="H19" s="35"/>
      <c r="I19" s="32"/>
      <c r="J19" s="93"/>
      <c r="K19" s="93"/>
      <c r="L19" s="93"/>
      <c r="M19" s="13"/>
      <c r="N19" s="13"/>
      <c r="O19" s="14"/>
      <c r="P19" s="14"/>
      <c r="Q19" s="14"/>
      <c r="R19" s="14"/>
      <c r="S19" s="14"/>
      <c r="T19" s="14"/>
    </row>
    <row r="20" spans="1:20" s="15" customFormat="1" x14ac:dyDescent="0.3">
      <c r="A20" s="64">
        <v>0.2</v>
      </c>
      <c r="B20" s="63"/>
      <c r="C20" s="139" t="s">
        <v>19</v>
      </c>
      <c r="D20" s="39"/>
      <c r="E20" s="106"/>
      <c r="F20" s="34"/>
      <c r="G20" s="35"/>
      <c r="H20" s="35"/>
      <c r="I20" s="32"/>
      <c r="J20" s="93"/>
      <c r="K20" s="93"/>
      <c r="L20" s="93"/>
      <c r="M20" s="13"/>
      <c r="N20" s="13"/>
      <c r="O20" s="14"/>
      <c r="P20" s="14"/>
      <c r="Q20" s="14"/>
      <c r="R20" s="14"/>
      <c r="S20" s="14"/>
      <c r="T20" s="14"/>
    </row>
    <row r="21" spans="1:20" s="15" customFormat="1" x14ac:dyDescent="0.3">
      <c r="A21" s="64"/>
      <c r="B21" s="63"/>
      <c r="C21" s="84" t="s">
        <v>59</v>
      </c>
      <c r="D21" s="40"/>
      <c r="E21" s="106">
        <v>0</v>
      </c>
      <c r="F21" s="34" t="s">
        <v>20</v>
      </c>
      <c r="G21" s="35"/>
      <c r="H21" s="35">
        <f>E21*G21</f>
        <v>0</v>
      </c>
      <c r="I21" s="32"/>
      <c r="J21" s="95" t="str">
        <f>J18</f>
        <v>Not Included</v>
      </c>
      <c r="K21" s="95"/>
      <c r="L21" s="95"/>
      <c r="M21" s="13"/>
      <c r="N21" s="13"/>
      <c r="O21" s="14"/>
      <c r="P21" s="14"/>
      <c r="Q21" s="14"/>
      <c r="R21" s="14"/>
      <c r="S21" s="14"/>
      <c r="T21" s="14"/>
    </row>
    <row r="22" spans="1:20" s="15" customFormat="1" x14ac:dyDescent="0.3">
      <c r="A22" s="64"/>
      <c r="B22" s="63"/>
      <c r="C22" s="139" t="s">
        <v>60</v>
      </c>
      <c r="D22" s="39"/>
      <c r="E22" s="106"/>
      <c r="F22" s="34"/>
      <c r="G22" s="35"/>
      <c r="H22" s="35"/>
      <c r="I22" s="32"/>
      <c r="J22" s="93"/>
      <c r="K22" s="93"/>
      <c r="L22" s="93"/>
      <c r="M22" s="13"/>
      <c r="N22" s="13"/>
      <c r="O22" s="14"/>
      <c r="P22" s="14"/>
      <c r="Q22" s="14"/>
      <c r="R22" s="14"/>
      <c r="S22" s="14"/>
      <c r="T22" s="14"/>
    </row>
    <row r="23" spans="1:20" s="15" customFormat="1" ht="41.4" x14ac:dyDescent="0.3">
      <c r="A23" s="64"/>
      <c r="B23" s="63"/>
      <c r="C23" s="84" t="s">
        <v>61</v>
      </c>
      <c r="D23" s="40"/>
      <c r="E23" s="106">
        <v>0</v>
      </c>
      <c r="F23" s="34" t="s">
        <v>20</v>
      </c>
      <c r="G23" s="35"/>
      <c r="H23" s="35">
        <f>E23*G23</f>
        <v>0</v>
      </c>
      <c r="I23" s="32"/>
      <c r="J23" s="95" t="str">
        <f>J21</f>
        <v>Not Included</v>
      </c>
      <c r="K23" s="95"/>
      <c r="L23" s="95"/>
      <c r="M23" s="13"/>
      <c r="N23" s="13"/>
      <c r="O23" s="14"/>
      <c r="P23" s="14"/>
      <c r="Q23" s="14"/>
      <c r="R23" s="14"/>
      <c r="S23" s="14"/>
      <c r="T23" s="14"/>
    </row>
    <row r="24" spans="1:20" s="15" customFormat="1" x14ac:dyDescent="0.3">
      <c r="A24" s="64"/>
      <c r="B24" s="63"/>
      <c r="C24" s="140"/>
      <c r="D24" s="38"/>
      <c r="E24" s="106"/>
      <c r="F24" s="34"/>
      <c r="G24" s="35"/>
      <c r="H24" s="35"/>
      <c r="I24" s="32"/>
      <c r="J24" s="93"/>
      <c r="K24" s="93"/>
      <c r="L24" s="93"/>
      <c r="M24" s="13"/>
      <c r="N24" s="13"/>
      <c r="O24" s="14"/>
      <c r="P24" s="14"/>
      <c r="Q24" s="14"/>
      <c r="R24" s="14"/>
      <c r="S24" s="14"/>
      <c r="T24" s="14"/>
    </row>
    <row r="25" spans="1:20" s="15" customFormat="1" x14ac:dyDescent="0.3">
      <c r="A25" s="64">
        <v>0.3</v>
      </c>
      <c r="B25" s="63"/>
      <c r="C25" s="139" t="s">
        <v>62</v>
      </c>
      <c r="D25" s="41"/>
      <c r="E25" s="106"/>
      <c r="F25" s="34"/>
      <c r="G25" s="35"/>
      <c r="H25" s="35"/>
      <c r="I25" s="32"/>
      <c r="J25" s="95"/>
      <c r="K25" s="95"/>
      <c r="L25" s="95"/>
      <c r="M25" s="13"/>
      <c r="N25" s="13"/>
      <c r="O25" s="14"/>
      <c r="P25" s="14"/>
      <c r="Q25" s="14"/>
      <c r="R25" s="14"/>
      <c r="S25" s="14"/>
      <c r="T25" s="14"/>
    </row>
    <row r="26" spans="1:20" s="15" customFormat="1" x14ac:dyDescent="0.3">
      <c r="A26" s="64"/>
      <c r="B26" s="63"/>
      <c r="C26" s="84" t="s">
        <v>62</v>
      </c>
      <c r="D26" s="41"/>
      <c r="E26" s="106">
        <v>0</v>
      </c>
      <c r="F26" s="34" t="s">
        <v>20</v>
      </c>
      <c r="G26" s="35"/>
      <c r="H26" s="35">
        <f>E26*G26</f>
        <v>0</v>
      </c>
      <c r="I26" s="32"/>
      <c r="J26" s="95" t="str">
        <f>J23</f>
        <v>Not Included</v>
      </c>
      <c r="K26" s="95"/>
      <c r="L26" s="95"/>
      <c r="M26" s="13"/>
      <c r="N26" s="13"/>
      <c r="O26" s="14"/>
      <c r="P26" s="14"/>
      <c r="Q26" s="14"/>
      <c r="R26" s="14"/>
      <c r="S26" s="14"/>
      <c r="T26" s="14"/>
    </row>
    <row r="27" spans="1:20" s="15" customFormat="1" x14ac:dyDescent="0.3">
      <c r="A27" s="64"/>
      <c r="B27" s="63"/>
      <c r="C27" s="140"/>
      <c r="D27" s="38"/>
      <c r="E27" s="106"/>
      <c r="F27" s="34"/>
      <c r="G27" s="35"/>
      <c r="H27" s="35"/>
      <c r="I27" s="32"/>
      <c r="J27" s="93"/>
      <c r="K27" s="93"/>
      <c r="L27" s="93"/>
      <c r="M27" s="13"/>
      <c r="N27" s="13"/>
      <c r="O27" s="14"/>
      <c r="P27" s="14"/>
      <c r="Q27" s="14"/>
      <c r="R27" s="14"/>
      <c r="S27" s="14"/>
      <c r="T27" s="14"/>
    </row>
    <row r="28" spans="1:20" s="15" customFormat="1" x14ac:dyDescent="0.3">
      <c r="A28" s="64">
        <v>0.4</v>
      </c>
      <c r="B28" s="63"/>
      <c r="C28" s="139" t="s">
        <v>63</v>
      </c>
      <c r="D28" s="41"/>
      <c r="E28" s="106"/>
      <c r="F28" s="34"/>
      <c r="G28" s="35"/>
      <c r="H28" s="35"/>
      <c r="I28" s="32"/>
      <c r="J28" s="95"/>
      <c r="K28" s="95"/>
      <c r="L28" s="95"/>
      <c r="M28" s="13"/>
      <c r="N28" s="13"/>
      <c r="O28" s="14"/>
      <c r="P28" s="14"/>
      <c r="Q28" s="14"/>
      <c r="R28" s="14"/>
      <c r="S28" s="14"/>
      <c r="T28" s="14"/>
    </row>
    <row r="29" spans="1:20" s="15" customFormat="1" x14ac:dyDescent="0.3">
      <c r="A29" s="64"/>
      <c r="B29" s="63"/>
      <c r="C29" s="84" t="s">
        <v>64</v>
      </c>
      <c r="D29" s="41"/>
      <c r="E29" s="106">
        <v>0</v>
      </c>
      <c r="F29" s="34" t="s">
        <v>20</v>
      </c>
      <c r="G29" s="35"/>
      <c r="H29" s="35">
        <f>E29*G29</f>
        <v>0</v>
      </c>
      <c r="I29" s="32"/>
      <c r="J29" s="95" t="str">
        <f>J26</f>
        <v>Not Included</v>
      </c>
      <c r="K29" s="95"/>
      <c r="L29" s="95"/>
      <c r="M29" s="13"/>
      <c r="N29" s="13"/>
      <c r="O29" s="14"/>
      <c r="P29" s="14"/>
      <c r="Q29" s="14"/>
      <c r="R29" s="14"/>
      <c r="S29" s="14"/>
      <c r="T29" s="14"/>
    </row>
    <row r="30" spans="1:20" s="15" customFormat="1" x14ac:dyDescent="0.3">
      <c r="A30" s="64"/>
      <c r="B30" s="63"/>
      <c r="C30" s="139" t="s">
        <v>65</v>
      </c>
      <c r="D30" s="41"/>
      <c r="E30" s="106"/>
      <c r="F30" s="34"/>
      <c r="G30" s="35"/>
      <c r="H30" s="35"/>
      <c r="I30" s="32"/>
      <c r="J30" s="95"/>
      <c r="K30" s="95"/>
      <c r="L30" s="95"/>
      <c r="M30" s="13"/>
      <c r="N30" s="13"/>
      <c r="O30" s="14"/>
      <c r="P30" s="14"/>
      <c r="Q30" s="14"/>
      <c r="R30" s="14"/>
      <c r="S30" s="14"/>
      <c r="T30" s="14"/>
    </row>
    <row r="31" spans="1:20" s="15" customFormat="1" x14ac:dyDescent="0.3">
      <c r="A31" s="64"/>
      <c r="B31" s="63"/>
      <c r="C31" s="84" t="s">
        <v>66</v>
      </c>
      <c r="D31" s="41"/>
      <c r="E31" s="106">
        <v>0</v>
      </c>
      <c r="F31" s="34" t="s">
        <v>20</v>
      </c>
      <c r="G31" s="35"/>
      <c r="H31" s="35">
        <f>E31*G31</f>
        <v>0</v>
      </c>
      <c r="I31" s="32"/>
      <c r="J31" s="95" t="str">
        <f>J29</f>
        <v>Not Included</v>
      </c>
      <c r="K31" s="95"/>
      <c r="L31" s="95"/>
      <c r="M31" s="13"/>
      <c r="N31" s="13"/>
      <c r="O31" s="14"/>
      <c r="P31" s="14"/>
      <c r="Q31" s="14"/>
      <c r="R31" s="14"/>
      <c r="S31" s="14"/>
      <c r="T31" s="14"/>
    </row>
    <row r="32" spans="1:20" s="15" customFormat="1" x14ac:dyDescent="0.3">
      <c r="A32" s="64"/>
      <c r="B32" s="63"/>
      <c r="C32" s="139" t="s">
        <v>67</v>
      </c>
      <c r="D32" s="41"/>
      <c r="E32" s="106"/>
      <c r="F32" s="34"/>
      <c r="G32" s="35"/>
      <c r="H32" s="35"/>
      <c r="I32" s="32"/>
      <c r="J32" s="95"/>
      <c r="K32" s="95"/>
      <c r="L32" s="95"/>
      <c r="M32" s="13"/>
      <c r="N32" s="13"/>
      <c r="O32" s="14"/>
      <c r="P32" s="14"/>
      <c r="Q32" s="14"/>
      <c r="R32" s="14"/>
      <c r="S32" s="14"/>
      <c r="T32" s="14"/>
    </row>
    <row r="33" spans="1:20" s="15" customFormat="1" x14ac:dyDescent="0.3">
      <c r="A33" s="64"/>
      <c r="B33" s="63"/>
      <c r="C33" s="84" t="s">
        <v>68</v>
      </c>
      <c r="D33" s="41"/>
      <c r="E33" s="106">
        <v>0</v>
      </c>
      <c r="F33" s="34" t="s">
        <v>20</v>
      </c>
      <c r="G33" s="35"/>
      <c r="H33" s="35">
        <f>E33*G33</f>
        <v>0</v>
      </c>
      <c r="I33" s="32"/>
      <c r="J33" s="95" t="str">
        <f>J31</f>
        <v>Not Included</v>
      </c>
      <c r="K33" s="95"/>
      <c r="L33" s="95"/>
      <c r="M33" s="13"/>
      <c r="N33" s="13"/>
      <c r="O33" s="14"/>
      <c r="P33" s="14"/>
      <c r="Q33" s="14"/>
      <c r="R33" s="14"/>
      <c r="S33" s="14"/>
      <c r="T33" s="14"/>
    </row>
    <row r="34" spans="1:20" s="15" customFormat="1" x14ac:dyDescent="0.3">
      <c r="A34" s="64"/>
      <c r="B34" s="63"/>
      <c r="C34" s="84"/>
      <c r="D34" s="41"/>
      <c r="E34" s="106"/>
      <c r="F34" s="34"/>
      <c r="G34" s="35"/>
      <c r="H34" s="35"/>
      <c r="I34" s="32"/>
      <c r="J34" s="95"/>
      <c r="K34" s="95"/>
      <c r="L34" s="95"/>
      <c r="M34" s="13"/>
      <c r="N34" s="13"/>
      <c r="O34" s="14"/>
      <c r="P34" s="14"/>
      <c r="Q34" s="14"/>
      <c r="R34" s="14"/>
      <c r="S34" s="14"/>
      <c r="T34" s="14"/>
    </row>
    <row r="35" spans="1:20" s="15" customFormat="1" x14ac:dyDescent="0.3">
      <c r="A35" s="64">
        <v>0.5</v>
      </c>
      <c r="B35" s="63"/>
      <c r="C35" s="139" t="s">
        <v>69</v>
      </c>
      <c r="D35" s="41"/>
      <c r="E35" s="106"/>
      <c r="F35" s="34"/>
      <c r="G35" s="35"/>
      <c r="H35" s="35"/>
      <c r="I35" s="32"/>
      <c r="J35" s="95"/>
      <c r="K35" s="95"/>
      <c r="L35" s="95"/>
      <c r="M35" s="13"/>
      <c r="N35" s="13"/>
      <c r="O35" s="14"/>
      <c r="P35" s="14"/>
      <c r="Q35" s="14"/>
      <c r="R35" s="14"/>
      <c r="S35" s="14"/>
      <c r="T35" s="14"/>
    </row>
    <row r="36" spans="1:20" s="15" customFormat="1" ht="41.4" x14ac:dyDescent="0.3">
      <c r="A36" s="64"/>
      <c r="B36" s="63"/>
      <c r="C36" s="84" t="s">
        <v>70</v>
      </c>
      <c r="D36" s="41"/>
      <c r="E36" s="106">
        <v>0</v>
      </c>
      <c r="F36" s="34" t="s">
        <v>20</v>
      </c>
      <c r="G36" s="35"/>
      <c r="H36" s="35">
        <f>E36*G36</f>
        <v>0</v>
      </c>
      <c r="I36" s="32"/>
      <c r="J36" s="95" t="str">
        <f>J33</f>
        <v>Not Included</v>
      </c>
      <c r="K36" s="95"/>
      <c r="L36" s="95"/>
      <c r="M36" s="13"/>
      <c r="N36" s="13"/>
      <c r="O36" s="14"/>
      <c r="P36" s="14"/>
      <c r="Q36" s="14"/>
      <c r="R36" s="14"/>
      <c r="S36" s="14"/>
      <c r="T36" s="14"/>
    </row>
    <row r="37" spans="1:20" s="15" customFormat="1" x14ac:dyDescent="0.3">
      <c r="A37" s="64"/>
      <c r="B37" s="63"/>
      <c r="C37" s="84"/>
      <c r="D37" s="41"/>
      <c r="E37" s="106"/>
      <c r="F37" s="34"/>
      <c r="G37" s="35"/>
      <c r="H37" s="35"/>
      <c r="I37" s="32"/>
      <c r="J37" s="95"/>
      <c r="K37" s="95"/>
      <c r="L37" s="95"/>
      <c r="M37" s="13"/>
      <c r="N37" s="13"/>
      <c r="O37" s="14"/>
      <c r="P37" s="14"/>
      <c r="Q37" s="14"/>
      <c r="R37" s="14"/>
      <c r="S37" s="14"/>
      <c r="T37" s="14"/>
    </row>
    <row r="38" spans="1:20" s="15" customFormat="1" x14ac:dyDescent="0.3">
      <c r="A38" s="64">
        <v>0.6</v>
      </c>
      <c r="B38" s="63"/>
      <c r="C38" s="139" t="s">
        <v>71</v>
      </c>
      <c r="D38" s="41"/>
      <c r="E38" s="106"/>
      <c r="F38" s="34"/>
      <c r="G38" s="35"/>
      <c r="H38" s="35"/>
      <c r="I38" s="32"/>
      <c r="J38" s="95"/>
      <c r="K38" s="95"/>
      <c r="L38" s="95"/>
      <c r="M38" s="13"/>
      <c r="N38" s="13"/>
      <c r="O38" s="14"/>
      <c r="P38" s="14"/>
      <c r="Q38" s="14"/>
      <c r="R38" s="14"/>
      <c r="S38" s="14"/>
      <c r="T38" s="14"/>
    </row>
    <row r="39" spans="1:20" s="15" customFormat="1" x14ac:dyDescent="0.3">
      <c r="A39" s="64"/>
      <c r="B39" s="63"/>
      <c r="C39" s="84" t="s">
        <v>72</v>
      </c>
      <c r="D39" s="41"/>
      <c r="E39" s="106">
        <v>0</v>
      </c>
      <c r="F39" s="34" t="s">
        <v>20</v>
      </c>
      <c r="G39" s="35"/>
      <c r="H39" s="35">
        <f>E39*G39</f>
        <v>0</v>
      </c>
      <c r="I39" s="32"/>
      <c r="J39" s="95" t="str">
        <f>J36</f>
        <v>Not Included</v>
      </c>
      <c r="K39" s="95"/>
      <c r="L39" s="95"/>
      <c r="M39" s="13"/>
      <c r="N39" s="13"/>
      <c r="O39" s="14"/>
      <c r="P39" s="14"/>
      <c r="Q39" s="14"/>
      <c r="R39" s="14"/>
      <c r="S39" s="14"/>
      <c r="T39" s="14"/>
    </row>
    <row r="40" spans="1:20" s="15" customFormat="1" x14ac:dyDescent="0.3">
      <c r="A40" s="64"/>
      <c r="B40" s="63"/>
      <c r="C40" s="139" t="s">
        <v>73</v>
      </c>
      <c r="D40" s="41"/>
      <c r="E40" s="106"/>
      <c r="F40" s="34"/>
      <c r="G40" s="35"/>
      <c r="H40" s="35"/>
      <c r="I40" s="32"/>
      <c r="J40" s="95"/>
      <c r="K40" s="95"/>
      <c r="L40" s="95"/>
      <c r="M40" s="13"/>
      <c r="N40" s="13"/>
      <c r="O40" s="14"/>
      <c r="P40" s="14"/>
      <c r="Q40" s="14"/>
      <c r="R40" s="14"/>
      <c r="S40" s="14"/>
      <c r="T40" s="14"/>
    </row>
    <row r="41" spans="1:20" s="15" customFormat="1" ht="27.6" x14ac:dyDescent="0.3">
      <c r="A41" s="64"/>
      <c r="B41" s="63"/>
      <c r="C41" s="84" t="s">
        <v>74</v>
      </c>
      <c r="D41" s="41"/>
      <c r="E41" s="106">
        <v>0</v>
      </c>
      <c r="F41" s="34" t="s">
        <v>20</v>
      </c>
      <c r="G41" s="35"/>
      <c r="H41" s="35">
        <f>E41*G41</f>
        <v>0</v>
      </c>
      <c r="I41" s="32"/>
      <c r="J41" s="95" t="str">
        <f>J39</f>
        <v>Not Included</v>
      </c>
      <c r="K41" s="95"/>
      <c r="L41" s="95"/>
      <c r="M41" s="13"/>
      <c r="N41" s="13"/>
      <c r="O41" s="14"/>
      <c r="P41" s="14"/>
      <c r="Q41" s="14"/>
      <c r="R41" s="14"/>
      <c r="S41" s="14"/>
      <c r="T41" s="14"/>
    </row>
    <row r="42" spans="1:20" s="15" customFormat="1" x14ac:dyDescent="0.3">
      <c r="A42" s="64"/>
      <c r="B42" s="63"/>
      <c r="C42" s="139" t="s">
        <v>75</v>
      </c>
      <c r="D42" s="41"/>
      <c r="E42" s="106"/>
      <c r="F42" s="34"/>
      <c r="G42" s="35"/>
      <c r="H42" s="35"/>
      <c r="I42" s="32"/>
      <c r="J42" s="95"/>
      <c r="K42" s="95"/>
      <c r="L42" s="95"/>
      <c r="M42" s="13"/>
      <c r="N42" s="13"/>
      <c r="O42" s="14"/>
      <c r="P42" s="14"/>
      <c r="Q42" s="14"/>
      <c r="R42" s="14"/>
      <c r="S42" s="14"/>
      <c r="T42" s="14"/>
    </row>
    <row r="43" spans="1:20" s="15" customFormat="1" x14ac:dyDescent="0.3">
      <c r="A43" s="64"/>
      <c r="B43" s="63"/>
      <c r="C43" s="84" t="s">
        <v>76</v>
      </c>
      <c r="D43" s="41"/>
      <c r="E43" s="106">
        <v>0</v>
      </c>
      <c r="F43" s="34" t="s">
        <v>20</v>
      </c>
      <c r="G43" s="35"/>
      <c r="H43" s="35">
        <f>E43*G43</f>
        <v>0</v>
      </c>
      <c r="I43" s="32"/>
      <c r="J43" s="95" t="str">
        <f>J41</f>
        <v>Not Included</v>
      </c>
      <c r="K43" s="95"/>
      <c r="L43" s="95"/>
      <c r="M43" s="13"/>
      <c r="N43" s="13"/>
      <c r="O43" s="14"/>
      <c r="P43" s="14"/>
      <c r="Q43" s="14"/>
      <c r="R43" s="14"/>
      <c r="S43" s="14"/>
      <c r="T43" s="14"/>
    </row>
    <row r="44" spans="1:20" s="15" customFormat="1" ht="27.6" x14ac:dyDescent="0.3">
      <c r="A44" s="64"/>
      <c r="B44" s="63"/>
      <c r="C44" s="84" t="s">
        <v>77</v>
      </c>
      <c r="D44" s="41"/>
      <c r="E44" s="106">
        <v>0</v>
      </c>
      <c r="F44" s="34" t="s">
        <v>20</v>
      </c>
      <c r="G44" s="35"/>
      <c r="H44" s="35">
        <f>E44*G44</f>
        <v>0</v>
      </c>
      <c r="I44" s="32"/>
      <c r="J44" s="95" t="str">
        <f>J43</f>
        <v>Not Included</v>
      </c>
      <c r="K44" s="95"/>
      <c r="L44" s="95"/>
      <c r="M44" s="13"/>
      <c r="N44" s="13"/>
      <c r="O44" s="14"/>
      <c r="P44" s="14"/>
      <c r="Q44" s="14"/>
      <c r="R44" s="14"/>
      <c r="S44" s="14"/>
      <c r="T44" s="14"/>
    </row>
    <row r="45" spans="1:20" s="15" customFormat="1" x14ac:dyDescent="0.3">
      <c r="A45" s="64"/>
      <c r="B45" s="63"/>
      <c r="C45" s="84" t="s">
        <v>78</v>
      </c>
      <c r="D45" s="41"/>
      <c r="E45" s="106">
        <v>0</v>
      </c>
      <c r="F45" s="34" t="s">
        <v>20</v>
      </c>
      <c r="G45" s="35"/>
      <c r="H45" s="35">
        <f>E45*G45</f>
        <v>0</v>
      </c>
      <c r="I45" s="32"/>
      <c r="J45" s="95" t="str">
        <f>J44</f>
        <v>Not Included</v>
      </c>
      <c r="K45" s="95"/>
      <c r="L45" s="95"/>
      <c r="M45" s="13"/>
      <c r="N45" s="13"/>
      <c r="O45" s="14"/>
      <c r="P45" s="14"/>
      <c r="Q45" s="14"/>
      <c r="R45" s="14"/>
      <c r="S45" s="14"/>
      <c r="T45" s="14"/>
    </row>
    <row r="46" spans="1:20" s="15" customFormat="1" x14ac:dyDescent="0.3">
      <c r="A46" s="64"/>
      <c r="B46" s="63"/>
      <c r="C46" s="140"/>
      <c r="D46" s="38"/>
      <c r="E46" s="106"/>
      <c r="F46" s="34"/>
      <c r="G46" s="35"/>
      <c r="H46" s="35"/>
      <c r="I46" s="32"/>
      <c r="J46" s="93"/>
      <c r="K46" s="93"/>
      <c r="L46" s="93"/>
      <c r="M46" s="13"/>
      <c r="N46" s="13"/>
      <c r="O46" s="14"/>
      <c r="P46" s="14"/>
      <c r="Q46" s="14"/>
      <c r="R46" s="14"/>
      <c r="S46" s="14"/>
      <c r="T46" s="14"/>
    </row>
    <row r="47" spans="1:20" s="15" customFormat="1" x14ac:dyDescent="0.3">
      <c r="A47" s="79">
        <v>1</v>
      </c>
      <c r="B47" s="80"/>
      <c r="C47" s="138" t="s">
        <v>21</v>
      </c>
      <c r="D47" s="81"/>
      <c r="E47" s="104"/>
      <c r="F47" s="82"/>
      <c r="G47" s="123"/>
      <c r="H47" s="123"/>
      <c r="I47" s="83">
        <f>SUM(H49:H70)</f>
        <v>252775.54109471527</v>
      </c>
      <c r="J47" s="94"/>
      <c r="K47" s="94"/>
      <c r="L47" s="94"/>
      <c r="M47" s="13"/>
      <c r="N47" s="13"/>
      <c r="O47" s="14"/>
      <c r="P47" s="14"/>
      <c r="Q47" s="14"/>
      <c r="R47" s="14"/>
      <c r="S47" s="14"/>
      <c r="T47" s="14"/>
    </row>
    <row r="48" spans="1:20" x14ac:dyDescent="0.3">
      <c r="A48" s="65"/>
      <c r="B48" s="66"/>
      <c r="C48" s="113" t="s">
        <v>115</v>
      </c>
      <c r="D48" s="43"/>
      <c r="E48" s="106"/>
      <c r="F48" s="34"/>
      <c r="G48" s="35"/>
      <c r="H48" s="35"/>
      <c r="I48" s="44"/>
      <c r="J48" s="93"/>
      <c r="K48" s="93"/>
      <c r="L48" s="93"/>
      <c r="M48" s="11"/>
      <c r="N48" s="100"/>
      <c r="O48" s="12"/>
      <c r="P48" s="12"/>
      <c r="Q48" s="12"/>
      <c r="R48" s="12"/>
      <c r="S48" s="12"/>
      <c r="T48" s="12"/>
    </row>
    <row r="49" spans="1:20" ht="41.4" x14ac:dyDescent="0.3">
      <c r="A49" s="65"/>
      <c r="B49" s="66"/>
      <c r="C49" s="99" t="s">
        <v>116</v>
      </c>
      <c r="D49" s="43"/>
      <c r="E49" s="106">
        <f>(1050146094.09/1000000)*0.25</f>
        <v>262.53652352250003</v>
      </c>
      <c r="F49" s="34" t="s">
        <v>102</v>
      </c>
      <c r="G49" s="35">
        <v>3.46</v>
      </c>
      <c r="H49" s="35">
        <f>E49*G49</f>
        <v>908.3763713878501</v>
      </c>
      <c r="I49" s="44"/>
      <c r="J49" s="93"/>
      <c r="K49" s="93" t="s">
        <v>119</v>
      </c>
      <c r="L49" s="93" t="s">
        <v>117</v>
      </c>
      <c r="M49" s="11"/>
      <c r="N49" s="100"/>
      <c r="O49" s="12"/>
      <c r="P49" s="12"/>
      <c r="Q49" s="12"/>
      <c r="R49" s="12"/>
      <c r="S49" s="12"/>
      <c r="T49" s="12"/>
    </row>
    <row r="50" spans="1:20" ht="27.6" x14ac:dyDescent="0.3">
      <c r="A50" s="65"/>
      <c r="B50" s="66"/>
      <c r="C50" s="99" t="s">
        <v>118</v>
      </c>
      <c r="D50" s="43"/>
      <c r="E50" s="106">
        <f>(1050146094.09/1000000)*2</f>
        <v>2100.2921881800003</v>
      </c>
      <c r="F50" s="34" t="s">
        <v>102</v>
      </c>
      <c r="G50" s="35">
        <v>7.93</v>
      </c>
      <c r="H50" s="35">
        <f>E50*G50</f>
        <v>16655.317052267401</v>
      </c>
      <c r="I50" s="44"/>
      <c r="J50" s="93"/>
      <c r="K50" s="93" t="s">
        <v>120</v>
      </c>
      <c r="L50" s="93" t="s">
        <v>120</v>
      </c>
      <c r="M50" s="11"/>
      <c r="N50" s="100"/>
      <c r="O50" s="12"/>
      <c r="P50" s="12"/>
      <c r="Q50" s="12"/>
      <c r="R50" s="12"/>
      <c r="S50" s="12"/>
      <c r="T50" s="12"/>
    </row>
    <row r="51" spans="1:20" x14ac:dyDescent="0.3">
      <c r="A51" s="65"/>
      <c r="B51" s="66"/>
      <c r="C51" s="99"/>
      <c r="D51" s="43"/>
      <c r="E51" s="106"/>
      <c r="F51" s="34"/>
      <c r="G51" s="35"/>
      <c r="H51" s="35"/>
      <c r="I51" s="44"/>
      <c r="J51" s="93"/>
      <c r="K51" s="93"/>
      <c r="L51" s="93"/>
      <c r="M51" s="11"/>
      <c r="N51" s="100"/>
      <c r="O51" s="12"/>
      <c r="P51" s="12"/>
      <c r="Q51" s="12"/>
      <c r="R51" s="12"/>
      <c r="S51" s="12"/>
      <c r="T51" s="12"/>
    </row>
    <row r="52" spans="1:20" x14ac:dyDescent="0.3">
      <c r="A52" s="65">
        <v>1.2</v>
      </c>
      <c r="B52" s="66"/>
      <c r="C52" s="139" t="s">
        <v>82</v>
      </c>
      <c r="D52" s="43"/>
      <c r="E52" s="106"/>
      <c r="F52" s="34"/>
      <c r="G52" s="35"/>
      <c r="H52" s="35"/>
      <c r="I52" s="44"/>
      <c r="J52" s="93"/>
      <c r="K52" s="93"/>
      <c r="L52" s="93"/>
      <c r="M52" s="11"/>
      <c r="N52" s="100"/>
      <c r="O52" s="12"/>
      <c r="P52" s="12"/>
      <c r="Q52" s="12"/>
      <c r="R52" s="12"/>
      <c r="S52" s="12"/>
      <c r="T52" s="12"/>
    </row>
    <row r="53" spans="1:20" x14ac:dyDescent="0.3">
      <c r="A53" s="65"/>
      <c r="B53" s="66"/>
      <c r="C53" s="84" t="s">
        <v>83</v>
      </c>
      <c r="D53" s="43"/>
      <c r="E53" s="106"/>
      <c r="F53" s="34"/>
      <c r="G53" s="35"/>
      <c r="H53" s="35"/>
      <c r="I53" s="44"/>
      <c r="J53" s="93"/>
      <c r="K53" s="93"/>
      <c r="L53" s="93"/>
      <c r="M53" s="11"/>
      <c r="N53" s="100"/>
      <c r="O53" s="12"/>
      <c r="P53" s="12"/>
      <c r="Q53" s="12"/>
      <c r="R53" s="12"/>
      <c r="S53" s="12"/>
      <c r="T53" s="12"/>
    </row>
    <row r="54" spans="1:20" ht="41.4" x14ac:dyDescent="0.3">
      <c r="A54" s="65" t="s">
        <v>91</v>
      </c>
      <c r="B54" s="66"/>
      <c r="C54" s="84" t="s">
        <v>85</v>
      </c>
      <c r="D54" s="43"/>
      <c r="E54" s="106">
        <v>96</v>
      </c>
      <c r="F54" s="34" t="s">
        <v>86</v>
      </c>
      <c r="G54" s="35">
        <v>193.07</v>
      </c>
      <c r="H54" s="35">
        <f>E54*G54</f>
        <v>18534.72</v>
      </c>
      <c r="I54" s="32"/>
      <c r="J54" s="93" t="s">
        <v>101</v>
      </c>
      <c r="K54" s="93" t="s">
        <v>113</v>
      </c>
      <c r="L54" s="93" t="s">
        <v>114</v>
      </c>
      <c r="M54" s="11"/>
      <c r="N54" s="100"/>
      <c r="O54" s="12"/>
      <c r="P54" s="12"/>
      <c r="Q54" s="12"/>
      <c r="R54" s="12"/>
      <c r="S54" s="12"/>
      <c r="T54" s="12"/>
    </row>
    <row r="55" spans="1:20" ht="27.6" x14ac:dyDescent="0.3">
      <c r="A55" s="65" t="s">
        <v>92</v>
      </c>
      <c r="B55" s="66"/>
      <c r="C55" s="84" t="s">
        <v>88</v>
      </c>
      <c r="D55" s="43"/>
      <c r="E55" s="106">
        <v>33</v>
      </c>
      <c r="F55" s="34" t="s">
        <v>86</v>
      </c>
      <c r="G55" s="35"/>
      <c r="H55" s="35"/>
      <c r="I55" s="32"/>
      <c r="J55" s="93" t="s">
        <v>89</v>
      </c>
      <c r="K55" s="93" t="s">
        <v>95</v>
      </c>
      <c r="L55" s="93"/>
      <c r="M55" s="11"/>
      <c r="N55" s="100"/>
      <c r="O55" s="12"/>
      <c r="P55" s="12"/>
      <c r="Q55" s="12"/>
      <c r="R55" s="12"/>
      <c r="S55" s="12"/>
      <c r="T55" s="12"/>
    </row>
    <row r="56" spans="1:20" ht="69" x14ac:dyDescent="0.3">
      <c r="A56" s="65"/>
      <c r="B56" s="66"/>
      <c r="C56" s="85" t="s">
        <v>124</v>
      </c>
      <c r="D56" s="43"/>
      <c r="E56" s="106"/>
      <c r="F56" s="34"/>
      <c r="G56" s="35"/>
      <c r="H56" s="35"/>
      <c r="I56" s="32"/>
      <c r="J56" s="93"/>
      <c r="K56" s="93"/>
      <c r="L56" s="93"/>
      <c r="M56" s="11"/>
      <c r="N56" s="100"/>
      <c r="O56" s="12"/>
      <c r="P56" s="12"/>
      <c r="Q56" s="12"/>
      <c r="R56" s="12"/>
      <c r="S56" s="12"/>
      <c r="T56" s="12"/>
    </row>
    <row r="57" spans="1:20" ht="41.4" x14ac:dyDescent="0.3">
      <c r="A57" s="65"/>
      <c r="B57" s="66"/>
      <c r="C57" s="99" t="s">
        <v>121</v>
      </c>
      <c r="D57" s="43"/>
      <c r="E57" s="106">
        <f>4</f>
        <v>4</v>
      </c>
      <c r="F57" s="34" t="s">
        <v>86</v>
      </c>
      <c r="G57" s="35">
        <v>750</v>
      </c>
      <c r="H57" s="35">
        <f>E57*G57</f>
        <v>3000</v>
      </c>
      <c r="I57" s="44"/>
      <c r="J57" s="93" t="s">
        <v>99</v>
      </c>
      <c r="K57" s="93" t="s">
        <v>120</v>
      </c>
      <c r="L57" s="93" t="s">
        <v>125</v>
      </c>
      <c r="M57" s="11"/>
      <c r="N57" s="100"/>
      <c r="O57" s="12"/>
      <c r="P57" s="12"/>
      <c r="Q57" s="12"/>
      <c r="R57" s="12"/>
      <c r="S57" s="12"/>
      <c r="T57" s="12"/>
    </row>
    <row r="58" spans="1:20" x14ac:dyDescent="0.3">
      <c r="A58" s="65"/>
      <c r="B58" s="66"/>
      <c r="C58" s="99" t="s">
        <v>122</v>
      </c>
      <c r="D58" s="43"/>
      <c r="E58" s="106">
        <v>8</v>
      </c>
      <c r="F58" s="34" t="s">
        <v>86</v>
      </c>
      <c r="G58" s="35">
        <v>1675</v>
      </c>
      <c r="H58" s="35">
        <f>E58*G58</f>
        <v>13400</v>
      </c>
      <c r="I58" s="44"/>
      <c r="J58" s="93" t="s">
        <v>99</v>
      </c>
      <c r="K58" s="93" t="s">
        <v>120</v>
      </c>
      <c r="L58" s="93" t="s">
        <v>120</v>
      </c>
      <c r="M58" s="11"/>
      <c r="N58" s="100"/>
      <c r="O58" s="12"/>
      <c r="P58" s="12"/>
      <c r="Q58" s="12"/>
      <c r="R58" s="12"/>
      <c r="S58" s="12"/>
      <c r="T58" s="12"/>
    </row>
    <row r="59" spans="1:20" x14ac:dyDescent="0.3">
      <c r="A59" s="65"/>
      <c r="B59" s="66"/>
      <c r="C59" s="131" t="s">
        <v>123</v>
      </c>
      <c r="D59" s="43"/>
      <c r="E59" s="107">
        <v>11</v>
      </c>
      <c r="F59" s="34" t="s">
        <v>86</v>
      </c>
      <c r="G59" s="35">
        <v>1675</v>
      </c>
      <c r="H59" s="35">
        <f>E59*G59</f>
        <v>18425</v>
      </c>
      <c r="I59" s="44"/>
      <c r="J59" s="93" t="s">
        <v>99</v>
      </c>
      <c r="K59" s="93" t="s">
        <v>120</v>
      </c>
      <c r="L59" s="93" t="s">
        <v>120</v>
      </c>
      <c r="M59" s="11"/>
      <c r="N59" s="11"/>
      <c r="O59" s="12"/>
      <c r="P59" s="12"/>
      <c r="Q59" s="12"/>
      <c r="R59" s="12"/>
      <c r="S59" s="12"/>
      <c r="T59" s="12"/>
    </row>
    <row r="60" spans="1:20" x14ac:dyDescent="0.3">
      <c r="A60" s="65"/>
      <c r="B60" s="66"/>
      <c r="C60" s="131" t="s">
        <v>87</v>
      </c>
      <c r="D60" s="43"/>
      <c r="E60" s="107">
        <v>10</v>
      </c>
      <c r="F60" s="34" t="s">
        <v>86</v>
      </c>
      <c r="G60" s="35">
        <v>1675</v>
      </c>
      <c r="H60" s="35">
        <f>E60*G60</f>
        <v>16750</v>
      </c>
      <c r="I60" s="44"/>
      <c r="J60" s="93" t="s">
        <v>99</v>
      </c>
      <c r="K60" s="93" t="s">
        <v>120</v>
      </c>
      <c r="L60" s="93" t="s">
        <v>120</v>
      </c>
      <c r="M60" s="11"/>
      <c r="N60" s="11"/>
      <c r="O60" s="12"/>
      <c r="P60" s="12"/>
      <c r="Q60" s="12"/>
      <c r="R60" s="12"/>
      <c r="S60" s="12"/>
      <c r="T60" s="12"/>
    </row>
    <row r="61" spans="1:20" ht="27.6" x14ac:dyDescent="0.3">
      <c r="A61" s="65" t="s">
        <v>93</v>
      </c>
      <c r="B61" s="66"/>
      <c r="C61" s="111" t="s">
        <v>90</v>
      </c>
      <c r="D61" s="43"/>
      <c r="E61" s="107"/>
      <c r="F61" s="34"/>
      <c r="G61" s="35"/>
      <c r="H61" s="35"/>
      <c r="I61" s="44"/>
      <c r="J61" s="93" t="s">
        <v>89</v>
      </c>
      <c r="K61" s="93" t="s">
        <v>94</v>
      </c>
      <c r="L61" s="93"/>
      <c r="M61" s="11"/>
      <c r="N61" s="11"/>
      <c r="O61" s="12"/>
      <c r="P61" s="12"/>
      <c r="Q61" s="12"/>
      <c r="R61" s="12"/>
      <c r="S61" s="12"/>
      <c r="T61" s="12"/>
    </row>
    <row r="62" spans="1:20" ht="55.2" x14ac:dyDescent="0.3">
      <c r="A62" s="65"/>
      <c r="B62" s="66"/>
      <c r="C62" s="112" t="s">
        <v>126</v>
      </c>
      <c r="D62" s="43"/>
      <c r="E62" s="107"/>
      <c r="F62" s="34"/>
      <c r="G62" s="35"/>
      <c r="H62" s="35"/>
      <c r="I62" s="44"/>
      <c r="J62" s="93"/>
      <c r="K62" s="93"/>
      <c r="L62" s="93"/>
      <c r="M62" s="11"/>
      <c r="N62" s="11"/>
      <c r="O62" s="12"/>
      <c r="P62" s="12"/>
      <c r="Q62" s="12"/>
      <c r="R62" s="12"/>
      <c r="S62" s="12"/>
      <c r="T62" s="12"/>
    </row>
    <row r="63" spans="1:20" ht="27.6" x14ac:dyDescent="0.3">
      <c r="A63" s="65"/>
      <c r="B63" s="66"/>
      <c r="C63" s="131" t="s">
        <v>98</v>
      </c>
      <c r="D63" s="43"/>
      <c r="E63" s="107">
        <f>160738.19/1000</f>
        <v>160.73819</v>
      </c>
      <c r="F63" s="34" t="s">
        <v>81</v>
      </c>
      <c r="G63" s="35">
        <v>300</v>
      </c>
      <c r="H63" s="35">
        <f>E63*G63</f>
        <v>48221.457000000002</v>
      </c>
      <c r="I63" s="44"/>
      <c r="J63" s="93" t="s">
        <v>99</v>
      </c>
      <c r="K63" s="93" t="s">
        <v>120</v>
      </c>
      <c r="L63" s="93" t="s">
        <v>120</v>
      </c>
      <c r="M63" s="11"/>
      <c r="N63" s="11"/>
      <c r="O63" s="12"/>
      <c r="P63" s="12"/>
      <c r="Q63" s="12"/>
      <c r="R63" s="12"/>
      <c r="S63" s="12"/>
      <c r="T63" s="12"/>
    </row>
    <row r="64" spans="1:20" x14ac:dyDescent="0.3">
      <c r="A64" s="65" t="s">
        <v>96</v>
      </c>
      <c r="B64" s="66"/>
      <c r="C64" s="111" t="s">
        <v>97</v>
      </c>
      <c r="D64" s="43"/>
      <c r="E64" s="107"/>
      <c r="F64" s="34"/>
      <c r="G64" s="35"/>
      <c r="H64" s="35"/>
      <c r="I64" s="44"/>
      <c r="J64" s="93" t="s">
        <v>103</v>
      </c>
      <c r="K64" s="93"/>
      <c r="L64" s="93"/>
      <c r="M64" s="11"/>
      <c r="N64" s="11"/>
      <c r="O64" s="12"/>
      <c r="P64" s="12"/>
      <c r="Q64" s="12"/>
      <c r="R64" s="12"/>
      <c r="S64" s="12"/>
      <c r="T64" s="12"/>
    </row>
    <row r="65" spans="1:20" ht="41.4" x14ac:dyDescent="0.3">
      <c r="A65" s="65"/>
      <c r="B65" s="66"/>
      <c r="C65" s="112" t="s">
        <v>104</v>
      </c>
      <c r="D65" s="43"/>
      <c r="E65" s="107">
        <f>121674238/1000000</f>
        <v>121.674238</v>
      </c>
      <c r="F65" s="34" t="s">
        <v>80</v>
      </c>
      <c r="G65" s="35">
        <f>105+(((1.2-0.25)/0.05)*7.45)</f>
        <v>246.54999999999998</v>
      </c>
      <c r="H65" s="35">
        <f>E65*G65</f>
        <v>29998.7833789</v>
      </c>
      <c r="I65" s="44"/>
      <c r="J65" s="93" t="s">
        <v>128</v>
      </c>
      <c r="K65" s="93" t="str">
        <f>K49</f>
        <v>As document titled "1 Ground Area Fforwm"</v>
      </c>
      <c r="L65" s="93" t="s">
        <v>127</v>
      </c>
      <c r="M65" s="11"/>
      <c r="N65" s="11"/>
      <c r="O65" s="12"/>
      <c r="P65" s="12"/>
      <c r="Q65" s="12"/>
      <c r="R65" s="12"/>
      <c r="S65" s="12"/>
      <c r="T65" s="12"/>
    </row>
    <row r="66" spans="1:20" ht="27.6" x14ac:dyDescent="0.3">
      <c r="A66" s="65"/>
      <c r="B66" s="66"/>
      <c r="C66" s="112" t="s">
        <v>143</v>
      </c>
      <c r="D66" s="43"/>
      <c r="E66" s="107">
        <f>781061325.96/1000000</f>
        <v>781.06132596000009</v>
      </c>
      <c r="F66" s="34" t="s">
        <v>80</v>
      </c>
      <c r="G66" s="35">
        <v>96</v>
      </c>
      <c r="H66" s="35">
        <f>E66*G66</f>
        <v>74981.887292160012</v>
      </c>
      <c r="I66" s="44"/>
      <c r="J66" s="93"/>
      <c r="K66" s="93" t="s">
        <v>142</v>
      </c>
      <c r="L66" s="93" t="s">
        <v>120</v>
      </c>
      <c r="M66" s="11"/>
      <c r="N66" s="11"/>
      <c r="O66" s="12"/>
      <c r="P66" s="12"/>
      <c r="Q66" s="12"/>
      <c r="R66" s="12"/>
      <c r="S66" s="12"/>
      <c r="T66" s="12"/>
    </row>
    <row r="67" spans="1:20" ht="41.4" x14ac:dyDescent="0.3">
      <c r="A67" s="65" t="s">
        <v>111</v>
      </c>
      <c r="B67" s="66"/>
      <c r="C67" s="111" t="s">
        <v>105</v>
      </c>
      <c r="D67" s="43"/>
      <c r="E67" s="107"/>
      <c r="F67" s="34"/>
      <c r="G67" s="35"/>
      <c r="H67" s="35"/>
      <c r="I67" s="44"/>
      <c r="J67" s="93"/>
      <c r="K67" s="93"/>
      <c r="L67" s="93"/>
      <c r="M67" s="11"/>
      <c r="N67" s="11"/>
      <c r="O67" s="12"/>
      <c r="P67" s="12"/>
      <c r="Q67" s="12"/>
      <c r="R67" s="12"/>
      <c r="S67" s="12"/>
      <c r="T67" s="12"/>
    </row>
    <row r="68" spans="1:20" ht="41.4" x14ac:dyDescent="0.3">
      <c r="A68" s="65"/>
      <c r="B68" s="66"/>
      <c r="C68" s="112" t="s">
        <v>106</v>
      </c>
      <c r="D68" s="43"/>
      <c r="E68" s="107">
        <v>2</v>
      </c>
      <c r="F68" s="34" t="s">
        <v>86</v>
      </c>
      <c r="G68" s="35">
        <v>3300</v>
      </c>
      <c r="H68" s="35">
        <f>E68*G68</f>
        <v>6600</v>
      </c>
      <c r="I68" s="44"/>
      <c r="J68" s="93" t="s">
        <v>129</v>
      </c>
      <c r="K68" s="93" t="s">
        <v>107</v>
      </c>
      <c r="L68" s="93" t="s">
        <v>125</v>
      </c>
      <c r="M68" s="11"/>
      <c r="N68" s="11"/>
      <c r="O68" s="12"/>
      <c r="P68" s="12"/>
      <c r="Q68" s="12"/>
      <c r="R68" s="12"/>
      <c r="S68" s="12"/>
      <c r="T68" s="12"/>
    </row>
    <row r="69" spans="1:20" ht="41.4" x14ac:dyDescent="0.3">
      <c r="A69" s="65"/>
      <c r="B69" s="66"/>
      <c r="C69" s="112" t="s">
        <v>109</v>
      </c>
      <c r="D69" s="43"/>
      <c r="E69" s="107">
        <v>1</v>
      </c>
      <c r="F69" s="34" t="s">
        <v>86</v>
      </c>
      <c r="G69" s="35">
        <v>2650</v>
      </c>
      <c r="H69" s="35">
        <f t="shared" ref="H69:H70" si="0">E69*G69</f>
        <v>2650</v>
      </c>
      <c r="I69" s="44"/>
      <c r="J69" s="93" t="s">
        <v>131</v>
      </c>
      <c r="K69" s="93" t="s">
        <v>108</v>
      </c>
      <c r="L69" s="93" t="s">
        <v>125</v>
      </c>
      <c r="M69" s="11"/>
      <c r="N69" s="11"/>
      <c r="O69" s="12"/>
      <c r="P69" s="12"/>
      <c r="Q69" s="12"/>
      <c r="R69" s="12"/>
      <c r="S69" s="12"/>
      <c r="T69" s="12"/>
    </row>
    <row r="70" spans="1:20" ht="69" x14ac:dyDescent="0.3">
      <c r="A70" s="65"/>
      <c r="B70" s="66"/>
      <c r="C70" s="112" t="s">
        <v>110</v>
      </c>
      <c r="D70" s="43"/>
      <c r="E70" s="107">
        <v>1</v>
      </c>
      <c r="F70" s="34" t="s">
        <v>86</v>
      </c>
      <c r="G70" s="35">
        <v>2650</v>
      </c>
      <c r="H70" s="35">
        <f t="shared" si="0"/>
        <v>2650</v>
      </c>
      <c r="I70" s="44"/>
      <c r="J70" s="93" t="s">
        <v>130</v>
      </c>
      <c r="K70" s="93" t="str">
        <f>K69</f>
        <v>As shown on drawing 182 C5.</v>
      </c>
      <c r="L70" s="93" t="s">
        <v>125</v>
      </c>
      <c r="M70" s="11"/>
      <c r="N70" s="11"/>
      <c r="O70" s="12"/>
      <c r="P70" s="12"/>
      <c r="Q70" s="12"/>
      <c r="R70" s="12"/>
      <c r="S70" s="12"/>
      <c r="T70" s="12"/>
    </row>
    <row r="71" spans="1:20" s="15" customFormat="1" x14ac:dyDescent="0.3">
      <c r="A71" s="79">
        <v>2</v>
      </c>
      <c r="B71" s="80"/>
      <c r="C71" s="138" t="s">
        <v>22</v>
      </c>
      <c r="D71" s="81"/>
      <c r="E71" s="104"/>
      <c r="F71" s="82"/>
      <c r="G71" s="123"/>
      <c r="H71" s="123"/>
      <c r="I71" s="83">
        <f>SUM(H71:H171)</f>
        <v>1027570.2744920291</v>
      </c>
      <c r="J71" s="94"/>
      <c r="K71" s="94"/>
      <c r="L71" s="94"/>
      <c r="M71" s="13"/>
      <c r="N71" s="13"/>
      <c r="O71" s="14"/>
      <c r="P71" s="14"/>
      <c r="Q71" s="14"/>
      <c r="R71" s="14"/>
      <c r="S71" s="14"/>
      <c r="T71" s="14"/>
    </row>
    <row r="72" spans="1:20" x14ac:dyDescent="0.3">
      <c r="A72" s="67"/>
      <c r="B72" s="68"/>
      <c r="C72" s="141"/>
      <c r="D72" s="42"/>
      <c r="E72" s="108"/>
      <c r="F72" s="115"/>
      <c r="G72" s="124"/>
      <c r="H72" s="125"/>
      <c r="I72" s="46"/>
      <c r="J72" s="47"/>
      <c r="K72" s="47"/>
      <c r="L72" s="47"/>
      <c r="M72" s="11"/>
      <c r="N72" s="11"/>
      <c r="O72" s="12"/>
      <c r="P72" s="12"/>
      <c r="Q72" s="12"/>
      <c r="R72" s="12"/>
      <c r="S72" s="12"/>
      <c r="T72" s="12"/>
    </row>
    <row r="73" spans="1:20" x14ac:dyDescent="0.3">
      <c r="A73" s="69" t="s">
        <v>133</v>
      </c>
      <c r="B73" s="68"/>
      <c r="C73" s="142" t="s">
        <v>23</v>
      </c>
      <c r="D73" s="42"/>
      <c r="E73" s="108"/>
      <c r="F73" s="115"/>
      <c r="G73" s="124"/>
      <c r="H73" s="125"/>
      <c r="I73" s="46"/>
      <c r="J73" s="47"/>
      <c r="K73" s="47"/>
      <c r="L73" s="47"/>
      <c r="M73" s="11"/>
      <c r="N73" s="11"/>
      <c r="O73" s="12"/>
      <c r="P73" s="12"/>
      <c r="Q73" s="12"/>
      <c r="R73" s="12"/>
      <c r="S73" s="12"/>
      <c r="T73" s="12"/>
    </row>
    <row r="74" spans="1:20" x14ac:dyDescent="0.3">
      <c r="A74" s="69" t="s">
        <v>132</v>
      </c>
      <c r="B74" s="68"/>
      <c r="C74" s="86" t="s">
        <v>134</v>
      </c>
      <c r="D74" s="48"/>
      <c r="E74" s="108"/>
      <c r="F74" s="115"/>
      <c r="G74" s="124"/>
      <c r="H74" s="125"/>
      <c r="I74" s="46"/>
      <c r="J74" s="47"/>
      <c r="K74" s="47"/>
      <c r="L74" s="47"/>
      <c r="M74" s="11"/>
      <c r="N74" s="11"/>
      <c r="O74" s="12"/>
      <c r="P74" s="12"/>
      <c r="Q74" s="12"/>
      <c r="R74" s="12"/>
      <c r="S74" s="12"/>
      <c r="T74" s="12"/>
    </row>
    <row r="75" spans="1:20" ht="41.4" x14ac:dyDescent="0.3">
      <c r="A75" s="69" t="s">
        <v>135</v>
      </c>
      <c r="B75" s="68"/>
      <c r="C75" s="86" t="s">
        <v>136</v>
      </c>
      <c r="D75" s="43"/>
      <c r="E75" s="108"/>
      <c r="F75" s="115"/>
      <c r="G75" s="124"/>
      <c r="H75" s="125"/>
      <c r="I75" s="46"/>
      <c r="J75" s="96"/>
      <c r="K75" s="96"/>
      <c r="L75" s="96"/>
      <c r="M75" s="11"/>
      <c r="N75" s="11"/>
      <c r="O75" s="12"/>
      <c r="P75" s="12"/>
      <c r="Q75" s="12"/>
      <c r="R75" s="12"/>
      <c r="S75" s="12"/>
      <c r="T75" s="12"/>
    </row>
    <row r="76" spans="1:20" ht="55.2" x14ac:dyDescent="0.3">
      <c r="A76" s="69"/>
      <c r="B76" s="68"/>
      <c r="C76" s="131" t="s">
        <v>147</v>
      </c>
      <c r="D76" s="43"/>
      <c r="E76" s="108">
        <f>7.6*16</f>
        <v>121.6</v>
      </c>
      <c r="F76" s="115" t="s">
        <v>81</v>
      </c>
      <c r="G76" s="124">
        <v>190</v>
      </c>
      <c r="H76" s="35">
        <f t="shared" ref="H76:H81" si="1">E76*G76</f>
        <v>23104</v>
      </c>
      <c r="I76" s="46"/>
      <c r="J76" s="96" t="s">
        <v>137</v>
      </c>
      <c r="K76" s="96" t="s">
        <v>141</v>
      </c>
      <c r="L76" s="93" t="s">
        <v>138</v>
      </c>
      <c r="M76" s="11"/>
      <c r="N76" s="11"/>
      <c r="O76" s="12"/>
      <c r="P76" s="12"/>
      <c r="Q76" s="12"/>
      <c r="R76" s="12"/>
      <c r="S76" s="12"/>
      <c r="T76" s="12"/>
    </row>
    <row r="77" spans="1:20" ht="41.4" x14ac:dyDescent="0.3">
      <c r="A77" s="69"/>
      <c r="B77" s="68"/>
      <c r="C77" s="131" t="s">
        <v>148</v>
      </c>
      <c r="D77" s="43"/>
      <c r="E77" s="108">
        <f>7.6*14</f>
        <v>106.39999999999999</v>
      </c>
      <c r="F77" s="115" t="s">
        <v>81</v>
      </c>
      <c r="G77" s="124">
        <v>190</v>
      </c>
      <c r="H77" s="35">
        <f t="shared" si="1"/>
        <v>20216</v>
      </c>
      <c r="I77" s="46"/>
      <c r="J77" s="96" t="s">
        <v>130</v>
      </c>
      <c r="K77" s="96" t="s">
        <v>130</v>
      </c>
      <c r="L77" s="96" t="s">
        <v>139</v>
      </c>
      <c r="M77" s="11"/>
      <c r="N77" s="11"/>
      <c r="O77" s="12"/>
      <c r="P77" s="12"/>
      <c r="Q77" s="12"/>
      <c r="R77" s="12"/>
      <c r="S77" s="12"/>
      <c r="T77" s="12"/>
    </row>
    <row r="78" spans="1:20" ht="41.4" x14ac:dyDescent="0.3">
      <c r="A78" s="69"/>
      <c r="B78" s="68"/>
      <c r="C78" s="131" t="s">
        <v>149</v>
      </c>
      <c r="D78" s="43"/>
      <c r="E78" s="108">
        <f>7.6*3</f>
        <v>22.799999999999997</v>
      </c>
      <c r="F78" s="115" t="s">
        <v>81</v>
      </c>
      <c r="G78" s="124">
        <v>235</v>
      </c>
      <c r="H78" s="35">
        <f t="shared" si="1"/>
        <v>5357.9999999999991</v>
      </c>
      <c r="I78" s="46"/>
      <c r="J78" s="96" t="s">
        <v>130</v>
      </c>
      <c r="K78" s="96" t="s">
        <v>130</v>
      </c>
      <c r="L78" s="93" t="s">
        <v>140</v>
      </c>
      <c r="M78" s="11"/>
      <c r="N78" s="11"/>
      <c r="O78" s="12"/>
      <c r="P78" s="12"/>
      <c r="Q78" s="12"/>
      <c r="R78" s="12"/>
      <c r="S78" s="12"/>
      <c r="T78" s="12"/>
    </row>
    <row r="79" spans="1:20" ht="41.4" x14ac:dyDescent="0.3">
      <c r="A79" s="69" t="s">
        <v>145</v>
      </c>
      <c r="B79" s="68"/>
      <c r="C79" s="86" t="s">
        <v>144</v>
      </c>
      <c r="D79" s="43"/>
      <c r="E79" s="108"/>
      <c r="F79" s="115"/>
      <c r="G79" s="124"/>
      <c r="H79" s="125"/>
      <c r="I79" s="46"/>
      <c r="J79" s="96"/>
      <c r="K79" s="96"/>
      <c r="L79" s="96"/>
      <c r="M79" s="11"/>
      <c r="N79" s="11"/>
      <c r="O79" s="12"/>
      <c r="P79" s="12"/>
      <c r="Q79" s="12"/>
      <c r="R79" s="12"/>
      <c r="S79" s="12"/>
      <c r="T79" s="12"/>
    </row>
    <row r="80" spans="1:20" ht="82.8" x14ac:dyDescent="0.3">
      <c r="A80" s="69"/>
      <c r="B80" s="68"/>
      <c r="C80" s="131" t="s">
        <v>146</v>
      </c>
      <c r="D80" s="43"/>
      <c r="E80" s="108">
        <f>((47565.73+5096.93+22500.17)+(121778.68))/1000</f>
        <v>196.94151000000002</v>
      </c>
      <c r="F80" s="115" t="s">
        <v>81</v>
      </c>
      <c r="G80" s="124">
        <v>110</v>
      </c>
      <c r="H80" s="35">
        <f t="shared" si="1"/>
        <v>21663.566100000004</v>
      </c>
      <c r="I80" s="46"/>
      <c r="J80" s="96" t="s">
        <v>150</v>
      </c>
      <c r="K80" s="96" t="s">
        <v>161</v>
      </c>
      <c r="L80" s="93" t="s">
        <v>151</v>
      </c>
      <c r="M80" s="11"/>
      <c r="N80" s="11"/>
      <c r="O80" s="12"/>
      <c r="P80" s="12"/>
      <c r="Q80" s="12"/>
      <c r="R80" s="12"/>
      <c r="S80" s="12"/>
      <c r="T80" s="12"/>
    </row>
    <row r="81" spans="1:20" ht="41.4" x14ac:dyDescent="0.3">
      <c r="A81" s="69"/>
      <c r="B81" s="68"/>
      <c r="C81" s="131" t="s">
        <v>152</v>
      </c>
      <c r="D81" s="43"/>
      <c r="E81" s="108">
        <f>5867.4/1000</f>
        <v>5.8673999999999999</v>
      </c>
      <c r="F81" s="115" t="s">
        <v>81</v>
      </c>
      <c r="G81" s="124">
        <v>180</v>
      </c>
      <c r="H81" s="125">
        <f t="shared" si="1"/>
        <v>1056.1320000000001</v>
      </c>
      <c r="I81" s="46"/>
      <c r="J81" s="96" t="s">
        <v>120</v>
      </c>
      <c r="K81" s="96" t="s">
        <v>153</v>
      </c>
      <c r="L81" s="93" t="s">
        <v>140</v>
      </c>
      <c r="M81" s="11"/>
      <c r="N81" s="11"/>
      <c r="O81" s="12"/>
      <c r="P81" s="12"/>
      <c r="Q81" s="12"/>
      <c r="R81" s="12"/>
      <c r="S81" s="12"/>
      <c r="T81" s="12"/>
    </row>
    <row r="82" spans="1:20" x14ac:dyDescent="0.3">
      <c r="A82" s="69"/>
      <c r="B82" s="68"/>
      <c r="C82" s="131"/>
      <c r="D82" s="43"/>
      <c r="E82" s="108"/>
      <c r="F82" s="115"/>
      <c r="G82" s="124"/>
      <c r="H82" s="125"/>
      <c r="I82" s="46"/>
      <c r="J82" s="96"/>
      <c r="K82" s="96"/>
      <c r="L82" s="96"/>
      <c r="M82" s="11"/>
      <c r="N82" s="11"/>
      <c r="O82" s="12"/>
      <c r="P82" s="12"/>
      <c r="Q82" s="12"/>
      <c r="R82" s="12"/>
      <c r="S82" s="12"/>
      <c r="T82" s="12"/>
    </row>
    <row r="83" spans="1:20" ht="27.6" x14ac:dyDescent="0.3">
      <c r="A83" s="69"/>
      <c r="B83" s="68"/>
      <c r="C83" s="131" t="s">
        <v>154</v>
      </c>
      <c r="D83" s="43"/>
      <c r="E83" s="108">
        <f>(6299.2+7154.33)/1000</f>
        <v>13.453529999999999</v>
      </c>
      <c r="F83" s="115" t="s">
        <v>81</v>
      </c>
      <c r="G83" s="124">
        <v>110</v>
      </c>
      <c r="H83" s="125">
        <f t="shared" ref="H83" si="2">E83*G83</f>
        <v>1479.8882999999998</v>
      </c>
      <c r="I83" s="46"/>
      <c r="J83" s="96" t="s">
        <v>120</v>
      </c>
      <c r="K83" s="96" t="s">
        <v>153</v>
      </c>
      <c r="L83" s="96" t="s">
        <v>155</v>
      </c>
      <c r="M83" s="11"/>
      <c r="N83" s="11"/>
      <c r="O83" s="12"/>
      <c r="P83" s="12"/>
      <c r="Q83" s="12"/>
      <c r="R83" s="12"/>
      <c r="S83" s="12"/>
      <c r="T83" s="12"/>
    </row>
    <row r="84" spans="1:20" ht="41.4" x14ac:dyDescent="0.3">
      <c r="A84" s="69" t="s">
        <v>156</v>
      </c>
      <c r="B84" s="68"/>
      <c r="C84" s="86" t="s">
        <v>157</v>
      </c>
      <c r="D84" s="43"/>
      <c r="E84" s="108"/>
      <c r="F84" s="115"/>
      <c r="G84" s="124"/>
      <c r="H84" s="125"/>
      <c r="I84" s="46"/>
      <c r="J84" s="96"/>
      <c r="K84" s="96"/>
      <c r="L84" s="96"/>
      <c r="M84" s="11"/>
      <c r="N84" s="11"/>
      <c r="O84" s="12"/>
      <c r="P84" s="12"/>
      <c r="Q84" s="12"/>
      <c r="R84" s="12"/>
      <c r="S84" s="12"/>
      <c r="T84" s="12"/>
    </row>
    <row r="85" spans="1:20" ht="27.6" x14ac:dyDescent="0.3">
      <c r="A85" s="69"/>
      <c r="B85" s="68"/>
      <c r="C85" s="133" t="s">
        <v>164</v>
      </c>
      <c r="D85" s="43"/>
      <c r="E85" s="108"/>
      <c r="F85" s="115"/>
      <c r="G85" s="124"/>
      <c r="H85" s="125"/>
      <c r="I85" s="46"/>
      <c r="J85" s="96"/>
      <c r="K85" s="96"/>
      <c r="L85" s="93"/>
      <c r="M85" s="11"/>
      <c r="N85" s="11"/>
      <c r="O85" s="12"/>
      <c r="P85" s="12"/>
      <c r="Q85" s="12"/>
      <c r="R85" s="12"/>
      <c r="S85" s="12"/>
      <c r="T85" s="12"/>
    </row>
    <row r="86" spans="1:20" ht="41.4" x14ac:dyDescent="0.3">
      <c r="A86" s="69"/>
      <c r="B86" s="68"/>
      <c r="C86" s="131" t="s">
        <v>163</v>
      </c>
      <c r="D86" s="43"/>
      <c r="E86" s="108">
        <f>(101679.33+5876.09+22597.53)*0.15/1000</f>
        <v>19.522942499999996</v>
      </c>
      <c r="F86" s="115" t="s">
        <v>80</v>
      </c>
      <c r="G86" s="124">
        <v>135</v>
      </c>
      <c r="H86" s="125">
        <f t="shared" ref="H86:H88" si="3">E86*G86</f>
        <v>2635.5972374999992</v>
      </c>
      <c r="I86" s="46"/>
      <c r="J86" s="96" t="s">
        <v>158</v>
      </c>
      <c r="K86" s="96" t="s">
        <v>159</v>
      </c>
      <c r="L86" s="93" t="s">
        <v>160</v>
      </c>
      <c r="M86" s="11"/>
      <c r="N86" s="11"/>
      <c r="O86" s="12"/>
      <c r="P86" s="12"/>
      <c r="Q86" s="12"/>
      <c r="R86" s="12"/>
      <c r="S86" s="12"/>
      <c r="T86" s="12"/>
    </row>
    <row r="87" spans="1:20" ht="27.6" x14ac:dyDescent="0.3">
      <c r="A87" s="69"/>
      <c r="B87" s="68"/>
      <c r="C87" s="131" t="s">
        <v>166</v>
      </c>
      <c r="D87" s="43"/>
      <c r="E87" s="108">
        <f>(((2843.07+3837.81+1428.07+2317.52+3532.85+5219.74+877.89)*12852.4)/1000000)+((6878.39*11007.07)/1000000)</f>
        <v>333.49086439729996</v>
      </c>
      <c r="F87" s="115" t="s">
        <v>80</v>
      </c>
      <c r="G87" s="124">
        <v>170</v>
      </c>
      <c r="H87" s="125">
        <f t="shared" si="3"/>
        <v>56693.446947540993</v>
      </c>
      <c r="I87" s="46"/>
      <c r="J87" s="96" t="s">
        <v>165</v>
      </c>
      <c r="K87" s="96" t="s">
        <v>162</v>
      </c>
      <c r="L87" s="96" t="s">
        <v>130</v>
      </c>
      <c r="M87" s="11"/>
      <c r="N87" s="11"/>
      <c r="O87" s="12"/>
      <c r="P87" s="12"/>
      <c r="Q87" s="12"/>
      <c r="R87" s="12"/>
      <c r="S87" s="12"/>
      <c r="T87" s="12"/>
    </row>
    <row r="88" spans="1:20" ht="27.6" x14ac:dyDescent="0.3">
      <c r="A88" s="69"/>
      <c r="B88" s="68"/>
      <c r="C88" s="131" t="s">
        <v>167</v>
      </c>
      <c r="D88" s="43"/>
      <c r="E88" s="108">
        <f>(((3485.55+877.57+2410.22+4536.16+2682.14)*12852.4)/1000000)+((6940.19*11007.07)/1000000)</f>
        <v>256.21731107929998</v>
      </c>
      <c r="F88" s="115" t="s">
        <v>80</v>
      </c>
      <c r="G88" s="124">
        <v>170</v>
      </c>
      <c r="H88" s="125">
        <f t="shared" si="3"/>
        <v>43556.942883480995</v>
      </c>
      <c r="I88" s="46"/>
      <c r="J88" s="96" t="s">
        <v>153</v>
      </c>
      <c r="K88" s="96" t="s">
        <v>168</v>
      </c>
      <c r="L88" s="96" t="s">
        <v>130</v>
      </c>
      <c r="M88" s="11"/>
      <c r="N88" s="11"/>
      <c r="O88" s="12"/>
      <c r="P88" s="12"/>
      <c r="Q88" s="12"/>
      <c r="R88" s="12"/>
      <c r="S88" s="12"/>
      <c r="T88" s="12"/>
    </row>
    <row r="89" spans="1:20" x14ac:dyDescent="0.3">
      <c r="A89" s="67"/>
      <c r="B89" s="68"/>
      <c r="C89" s="131"/>
      <c r="D89" s="43"/>
      <c r="E89" s="108"/>
      <c r="F89" s="115"/>
      <c r="G89" s="124"/>
      <c r="H89" s="125"/>
      <c r="I89" s="46"/>
      <c r="J89" s="47"/>
      <c r="K89" s="47"/>
      <c r="L89" s="47"/>
      <c r="M89" s="11"/>
      <c r="N89" s="11"/>
      <c r="O89" s="12"/>
      <c r="P89" s="12"/>
      <c r="Q89" s="12"/>
      <c r="R89" s="12"/>
      <c r="S89" s="12"/>
      <c r="T89" s="12"/>
    </row>
    <row r="90" spans="1:20" x14ac:dyDescent="0.3">
      <c r="A90" s="69" t="s">
        <v>175</v>
      </c>
      <c r="B90" s="68"/>
      <c r="C90" s="142" t="s">
        <v>24</v>
      </c>
      <c r="D90" s="42"/>
      <c r="E90" s="108"/>
      <c r="F90" s="115"/>
      <c r="G90" s="124"/>
      <c r="H90" s="125"/>
      <c r="I90" s="46"/>
      <c r="J90" s="93"/>
      <c r="K90" s="93"/>
      <c r="L90" s="93"/>
      <c r="M90" s="11"/>
      <c r="N90" s="11"/>
      <c r="O90" s="12"/>
      <c r="P90" s="12"/>
      <c r="Q90" s="12"/>
      <c r="R90" s="12"/>
      <c r="S90" s="12"/>
      <c r="T90" s="12"/>
    </row>
    <row r="91" spans="1:20" ht="27.6" x14ac:dyDescent="0.3">
      <c r="A91" s="67"/>
      <c r="B91" s="68"/>
      <c r="C91" s="132" t="s">
        <v>174</v>
      </c>
      <c r="D91" s="43"/>
      <c r="E91" s="108"/>
      <c r="F91" s="115"/>
      <c r="G91" s="126"/>
      <c r="H91" s="127"/>
      <c r="I91" s="50"/>
      <c r="J91" s="171"/>
      <c r="K91" s="171"/>
      <c r="L91" s="171"/>
      <c r="M91" s="11"/>
      <c r="N91" s="11"/>
      <c r="O91" s="12"/>
      <c r="P91" s="12"/>
      <c r="Q91" s="12"/>
      <c r="R91" s="12"/>
      <c r="S91" s="12"/>
      <c r="T91" s="12"/>
    </row>
    <row r="92" spans="1:20" x14ac:dyDescent="0.3">
      <c r="A92" s="67"/>
      <c r="B92" s="68"/>
      <c r="C92" s="133" t="s">
        <v>172</v>
      </c>
      <c r="D92" s="43"/>
      <c r="E92" s="108"/>
      <c r="F92" s="115"/>
      <c r="G92" s="126"/>
      <c r="H92" s="127"/>
      <c r="I92" s="50"/>
      <c r="J92" s="171"/>
      <c r="K92" s="171"/>
      <c r="L92" s="171"/>
      <c r="M92" s="11"/>
      <c r="N92" s="11"/>
      <c r="O92" s="12"/>
      <c r="P92" s="12"/>
      <c r="Q92" s="12"/>
      <c r="R92" s="12"/>
      <c r="S92" s="12"/>
      <c r="T92" s="12"/>
    </row>
    <row r="93" spans="1:20" ht="41.4" x14ac:dyDescent="0.3">
      <c r="A93" s="67"/>
      <c r="B93" s="68"/>
      <c r="C93" s="131" t="s">
        <v>169</v>
      </c>
      <c r="D93" s="43"/>
      <c r="E93" s="108">
        <f>(796514922.44/1000000)*0.275</f>
        <v>219.04160367100005</v>
      </c>
      <c r="F93" s="115" t="s">
        <v>102</v>
      </c>
      <c r="G93" s="126">
        <v>45.95</v>
      </c>
      <c r="H93" s="125">
        <f t="shared" ref="H93" si="4">E93*G93</f>
        <v>10064.961688682453</v>
      </c>
      <c r="I93" s="50"/>
      <c r="J93" s="171" t="s">
        <v>170</v>
      </c>
      <c r="K93" s="171" t="s">
        <v>176</v>
      </c>
      <c r="L93" s="93" t="s">
        <v>171</v>
      </c>
      <c r="M93" s="11"/>
      <c r="N93" s="11"/>
      <c r="O93" s="12"/>
      <c r="P93" s="12"/>
      <c r="Q93" s="12"/>
      <c r="R93" s="12"/>
      <c r="S93" s="12"/>
      <c r="T93" s="12"/>
    </row>
    <row r="94" spans="1:20" x14ac:dyDescent="0.3">
      <c r="A94" s="67"/>
      <c r="B94" s="68"/>
      <c r="C94" s="133" t="s">
        <v>173</v>
      </c>
      <c r="D94" s="43"/>
      <c r="E94" s="108"/>
      <c r="F94" s="115"/>
      <c r="G94" s="126"/>
      <c r="H94" s="127"/>
      <c r="I94" s="50"/>
      <c r="J94" s="171"/>
      <c r="K94" s="171"/>
      <c r="L94" s="171"/>
      <c r="M94" s="11"/>
      <c r="N94" s="11"/>
      <c r="O94" s="12"/>
      <c r="P94" s="12"/>
      <c r="Q94" s="12"/>
      <c r="R94" s="12"/>
      <c r="S94" s="12"/>
      <c r="T94" s="12"/>
    </row>
    <row r="95" spans="1:20" ht="27.6" x14ac:dyDescent="0.3">
      <c r="A95" s="67"/>
      <c r="B95" s="68"/>
      <c r="C95" s="131" t="str">
        <f>C93</f>
        <v>Suspended slabs; thickness 150-300mm; 275mm</v>
      </c>
      <c r="D95" s="43"/>
      <c r="E95" s="108">
        <f>(922113024.2/1000000)*0.275</f>
        <v>253.58108165500002</v>
      </c>
      <c r="F95" s="115" t="s">
        <v>102</v>
      </c>
      <c r="G95" s="126">
        <v>45.95</v>
      </c>
      <c r="H95" s="125">
        <f>E95*G95</f>
        <v>11652.050702047252</v>
      </c>
      <c r="I95" s="50"/>
      <c r="J95" s="171" t="s">
        <v>130</v>
      </c>
      <c r="K95" s="171" t="s">
        <v>177</v>
      </c>
      <c r="L95" s="93" t="s">
        <v>130</v>
      </c>
      <c r="M95" s="11"/>
      <c r="N95" s="11"/>
      <c r="O95" s="12"/>
      <c r="P95" s="12"/>
      <c r="Q95" s="12"/>
      <c r="R95" s="12"/>
      <c r="S95" s="12"/>
      <c r="T95" s="12"/>
    </row>
    <row r="96" spans="1:20" x14ac:dyDescent="0.3">
      <c r="A96" s="67"/>
      <c r="B96" s="68"/>
      <c r="C96" s="131"/>
      <c r="D96" s="43"/>
      <c r="E96" s="108"/>
      <c r="F96" s="115"/>
      <c r="G96" s="126"/>
      <c r="H96" s="125"/>
      <c r="I96" s="50"/>
      <c r="J96" s="171"/>
      <c r="K96" s="171"/>
      <c r="L96" s="93"/>
      <c r="M96" s="11"/>
      <c r="N96" s="11"/>
      <c r="O96" s="12"/>
      <c r="P96" s="12"/>
      <c r="Q96" s="12"/>
      <c r="R96" s="12"/>
      <c r="S96" s="12"/>
      <c r="T96" s="12"/>
    </row>
    <row r="97" spans="1:20" x14ac:dyDescent="0.3">
      <c r="A97" s="69" t="s">
        <v>179</v>
      </c>
      <c r="B97" s="68"/>
      <c r="C97" s="142" t="s">
        <v>25</v>
      </c>
      <c r="D97" s="42"/>
      <c r="E97" s="108"/>
      <c r="F97" s="115"/>
      <c r="G97" s="124"/>
      <c r="H97" s="125"/>
      <c r="I97" s="46"/>
      <c r="J97" s="47"/>
      <c r="K97" s="47"/>
      <c r="L97" s="47"/>
      <c r="M97" s="11"/>
      <c r="N97" s="11"/>
      <c r="O97" s="12"/>
      <c r="P97" s="12"/>
      <c r="Q97" s="12"/>
      <c r="R97" s="12"/>
      <c r="S97" s="12"/>
      <c r="T97" s="12"/>
    </row>
    <row r="98" spans="1:20" ht="41.4" x14ac:dyDescent="0.3">
      <c r="A98" s="69"/>
      <c r="B98" s="68"/>
      <c r="C98" s="132" t="s">
        <v>178</v>
      </c>
      <c r="D98" s="51"/>
      <c r="E98" s="108"/>
      <c r="F98" s="115"/>
      <c r="G98" s="124"/>
      <c r="H98" s="125"/>
      <c r="I98" s="46"/>
      <c r="J98" s="47"/>
      <c r="K98" s="47"/>
      <c r="L98" s="47"/>
      <c r="M98" s="11"/>
      <c r="N98" s="11"/>
      <c r="O98" s="12"/>
      <c r="P98" s="12"/>
      <c r="Q98" s="12"/>
      <c r="R98" s="12"/>
      <c r="S98" s="12"/>
      <c r="T98" s="12"/>
    </row>
    <row r="99" spans="1:20" ht="41.4" x14ac:dyDescent="0.3">
      <c r="A99" s="69"/>
      <c r="B99" s="68"/>
      <c r="C99" s="131" t="s">
        <v>184</v>
      </c>
      <c r="D99" s="43"/>
      <c r="E99" s="108">
        <f>(12686.025*51587.4)/1000000</f>
        <v>654.43904608500009</v>
      </c>
      <c r="F99" s="115" t="s">
        <v>180</v>
      </c>
      <c r="G99" s="124">
        <v>35.5</v>
      </c>
      <c r="H99" s="125">
        <f>E99*G99</f>
        <v>23232.586136017504</v>
      </c>
      <c r="I99" s="46"/>
      <c r="J99" s="77" t="s">
        <v>181</v>
      </c>
      <c r="K99" s="171" t="s">
        <v>182</v>
      </c>
      <c r="L99" s="93" t="s">
        <v>183</v>
      </c>
      <c r="M99" s="11"/>
      <c r="N99" s="11"/>
      <c r="O99" s="12"/>
      <c r="P99" s="12"/>
      <c r="Q99" s="12"/>
      <c r="R99" s="12"/>
      <c r="S99" s="12"/>
      <c r="T99" s="12"/>
    </row>
    <row r="100" spans="1:20" ht="27.6" x14ac:dyDescent="0.3">
      <c r="A100" s="69" t="s">
        <v>185</v>
      </c>
      <c r="B100" s="68"/>
      <c r="C100" s="132" t="s">
        <v>186</v>
      </c>
      <c r="D100" s="43"/>
      <c r="E100" s="108"/>
      <c r="F100" s="115"/>
      <c r="G100" s="124"/>
      <c r="H100" s="125"/>
      <c r="I100" s="46"/>
      <c r="J100" s="47"/>
      <c r="K100" s="47"/>
      <c r="L100" s="47"/>
      <c r="M100" s="11"/>
      <c r="N100" s="11"/>
      <c r="O100" s="12"/>
      <c r="P100" s="12"/>
      <c r="Q100" s="12"/>
      <c r="R100" s="12"/>
      <c r="S100" s="12"/>
      <c r="T100" s="12"/>
    </row>
    <row r="101" spans="1:20" ht="41.4" x14ac:dyDescent="0.3">
      <c r="A101" s="69"/>
      <c r="B101" s="68"/>
      <c r="C101" s="131" t="s">
        <v>188</v>
      </c>
      <c r="D101" s="43"/>
      <c r="E101" s="108">
        <f>E99</f>
        <v>654.43904608500009</v>
      </c>
      <c r="F101" s="115" t="s">
        <v>180</v>
      </c>
      <c r="G101" s="124">
        <v>66</v>
      </c>
      <c r="H101" s="125">
        <f>E101*G101</f>
        <v>43192.977041610007</v>
      </c>
      <c r="I101" s="46"/>
      <c r="J101" s="77"/>
      <c r="K101" s="171" t="s">
        <v>153</v>
      </c>
      <c r="L101" s="93" t="s">
        <v>187</v>
      </c>
      <c r="M101" s="11"/>
      <c r="N101" s="11"/>
      <c r="O101" s="12"/>
      <c r="P101" s="12"/>
      <c r="Q101" s="12"/>
      <c r="R101" s="12"/>
      <c r="S101" s="12"/>
      <c r="T101" s="12"/>
    </row>
    <row r="102" spans="1:20" x14ac:dyDescent="0.3">
      <c r="A102" s="69" t="s">
        <v>189</v>
      </c>
      <c r="B102" s="68"/>
      <c r="C102" s="86" t="s">
        <v>190</v>
      </c>
      <c r="D102" s="43"/>
      <c r="E102" s="108"/>
      <c r="F102" s="115"/>
      <c r="G102" s="124"/>
      <c r="H102" s="125"/>
      <c r="I102" s="46"/>
      <c r="J102" s="47"/>
      <c r="K102" s="47"/>
      <c r="L102" s="47"/>
      <c r="M102" s="11"/>
      <c r="N102" s="11"/>
      <c r="O102" s="12"/>
      <c r="P102" s="12"/>
      <c r="Q102" s="12"/>
      <c r="R102" s="12"/>
      <c r="S102" s="12"/>
      <c r="T102" s="12"/>
    </row>
    <row r="103" spans="1:20" ht="27.6" x14ac:dyDescent="0.3">
      <c r="A103" s="69"/>
      <c r="B103" s="68"/>
      <c r="C103" s="131" t="s">
        <v>191</v>
      </c>
      <c r="D103" s="43"/>
      <c r="E103" s="108">
        <f>(51587.4/1000)*2</f>
        <v>103.1748</v>
      </c>
      <c r="F103" s="115" t="s">
        <v>81</v>
      </c>
      <c r="G103" s="124">
        <v>0</v>
      </c>
      <c r="H103" s="125">
        <f>E103*G103</f>
        <v>0</v>
      </c>
      <c r="I103" s="46"/>
      <c r="J103" s="47" t="s">
        <v>192</v>
      </c>
      <c r="K103" s="47" t="s">
        <v>130</v>
      </c>
      <c r="L103" s="47"/>
      <c r="M103" s="11"/>
      <c r="N103" s="11"/>
      <c r="O103" s="12"/>
      <c r="P103" s="12"/>
      <c r="Q103" s="12"/>
      <c r="R103" s="12"/>
      <c r="S103" s="12"/>
      <c r="T103" s="12"/>
    </row>
    <row r="104" spans="1:20" x14ac:dyDescent="0.3">
      <c r="A104" s="69"/>
      <c r="B104" s="68"/>
      <c r="C104" s="86" t="s">
        <v>193</v>
      </c>
      <c r="D104" s="43"/>
      <c r="E104" s="108"/>
      <c r="F104" s="115"/>
      <c r="G104" s="124"/>
      <c r="H104" s="125"/>
      <c r="I104" s="46"/>
      <c r="J104" s="47"/>
      <c r="K104" s="47"/>
      <c r="L104" s="47"/>
      <c r="M104" s="11"/>
      <c r="N104" s="11"/>
      <c r="O104" s="12"/>
      <c r="P104" s="12"/>
      <c r="Q104" s="12"/>
      <c r="R104" s="12"/>
      <c r="S104" s="12"/>
      <c r="T104" s="12"/>
    </row>
    <row r="105" spans="1:20" ht="27.6" x14ac:dyDescent="0.3">
      <c r="A105" s="69"/>
      <c r="B105" s="68"/>
      <c r="C105" s="133" t="s">
        <v>194</v>
      </c>
      <c r="D105" s="43"/>
      <c r="E105" s="108"/>
      <c r="F105" s="115"/>
      <c r="G105" s="124"/>
      <c r="H105" s="125"/>
      <c r="I105" s="46"/>
      <c r="J105" s="47"/>
      <c r="K105" s="47"/>
      <c r="L105" s="47"/>
      <c r="M105" s="11"/>
      <c r="N105" s="11"/>
      <c r="O105" s="12"/>
      <c r="P105" s="12"/>
      <c r="Q105" s="12"/>
      <c r="R105" s="12"/>
      <c r="S105" s="12"/>
      <c r="T105" s="12"/>
    </row>
    <row r="106" spans="1:20" ht="41.4" x14ac:dyDescent="0.3">
      <c r="A106" s="69"/>
      <c r="B106" s="68"/>
      <c r="C106" s="131" t="s">
        <v>196</v>
      </c>
      <c r="D106" s="43"/>
      <c r="E106" s="108">
        <f>(10922/1000)*4</f>
        <v>43.688000000000002</v>
      </c>
      <c r="F106" s="115" t="s">
        <v>81</v>
      </c>
      <c r="G106" s="124">
        <v>47</v>
      </c>
      <c r="H106" s="125">
        <f>E106*G106</f>
        <v>2053.3360000000002</v>
      </c>
      <c r="I106" s="46"/>
      <c r="J106" s="47" t="s">
        <v>197</v>
      </c>
      <c r="K106" s="47" t="s">
        <v>198</v>
      </c>
      <c r="L106" s="93" t="s">
        <v>195</v>
      </c>
      <c r="M106" s="11"/>
      <c r="N106" s="11"/>
      <c r="O106" s="12"/>
      <c r="P106" s="12"/>
      <c r="Q106" s="12"/>
      <c r="R106" s="12"/>
      <c r="S106" s="12"/>
      <c r="T106" s="12"/>
    </row>
    <row r="107" spans="1:20" ht="27.6" x14ac:dyDescent="0.3">
      <c r="A107" s="69" t="s">
        <v>200</v>
      </c>
      <c r="B107" s="68"/>
      <c r="C107" s="86" t="s">
        <v>199</v>
      </c>
      <c r="D107" s="43"/>
      <c r="E107" s="108"/>
      <c r="F107" s="115"/>
      <c r="G107" s="124"/>
      <c r="H107" s="125"/>
      <c r="I107" s="46"/>
      <c r="J107" s="47"/>
      <c r="K107" s="47"/>
      <c r="L107" s="47"/>
      <c r="M107" s="11"/>
      <c r="N107" s="11"/>
      <c r="O107" s="12"/>
      <c r="P107" s="12"/>
      <c r="Q107" s="12"/>
      <c r="R107" s="12"/>
      <c r="S107" s="12"/>
      <c r="T107" s="12"/>
    </row>
    <row r="108" spans="1:20" ht="41.4" x14ac:dyDescent="0.3">
      <c r="A108" s="69"/>
      <c r="B108" s="68"/>
      <c r="C108" s="131" t="s">
        <v>201</v>
      </c>
      <c r="D108" s="43"/>
      <c r="E108" s="108">
        <f>(5132244.73/1000000)*4</f>
        <v>20.52897892</v>
      </c>
      <c r="F108" s="115" t="s">
        <v>80</v>
      </c>
      <c r="G108" s="124">
        <v>520</v>
      </c>
      <c r="H108" s="125">
        <f>E108*G108</f>
        <v>10675.069038400001</v>
      </c>
      <c r="I108" s="46"/>
      <c r="J108" s="47" t="s">
        <v>202</v>
      </c>
      <c r="K108" s="47" t="s">
        <v>203</v>
      </c>
      <c r="L108" s="93" t="s">
        <v>204</v>
      </c>
      <c r="M108" s="11"/>
      <c r="N108" s="11"/>
      <c r="O108" s="12"/>
      <c r="P108" s="12"/>
      <c r="Q108" s="12"/>
      <c r="R108" s="12"/>
      <c r="S108" s="12"/>
      <c r="T108" s="12"/>
    </row>
    <row r="109" spans="1:20" ht="27.6" x14ac:dyDescent="0.3">
      <c r="A109" s="69"/>
      <c r="B109" s="68"/>
      <c r="C109" s="131" t="s">
        <v>205</v>
      </c>
      <c r="D109" s="43"/>
      <c r="E109" s="108">
        <f>17962695.49/1000000</f>
        <v>17.962695489999998</v>
      </c>
      <c r="F109" s="115" t="s">
        <v>80</v>
      </c>
      <c r="G109" s="124">
        <v>0</v>
      </c>
      <c r="H109" s="125">
        <f>E109*G109</f>
        <v>0</v>
      </c>
      <c r="I109" s="46"/>
      <c r="J109" s="47" t="s">
        <v>206</v>
      </c>
      <c r="K109" s="47" t="s">
        <v>207</v>
      </c>
      <c r="L109" s="47"/>
      <c r="M109" s="11"/>
      <c r="N109" s="11"/>
      <c r="O109" s="12"/>
      <c r="P109" s="12"/>
      <c r="Q109" s="12"/>
      <c r="R109" s="12"/>
      <c r="S109" s="12"/>
      <c r="T109" s="12"/>
    </row>
    <row r="110" spans="1:20" x14ac:dyDescent="0.3">
      <c r="A110" s="69"/>
      <c r="B110" s="68"/>
      <c r="C110" s="131"/>
      <c r="D110" s="43"/>
      <c r="E110" s="108"/>
      <c r="F110" s="115"/>
      <c r="G110" s="124"/>
      <c r="H110" s="125"/>
      <c r="I110" s="46"/>
      <c r="J110" s="47"/>
      <c r="K110" s="47"/>
      <c r="L110" s="47"/>
      <c r="M110" s="11"/>
      <c r="N110" s="11"/>
      <c r="O110" s="12"/>
      <c r="P110" s="12"/>
      <c r="Q110" s="12"/>
      <c r="R110" s="12"/>
      <c r="S110" s="12"/>
      <c r="T110" s="12"/>
    </row>
    <row r="111" spans="1:20" x14ac:dyDescent="0.3">
      <c r="A111" s="69">
        <v>2.4</v>
      </c>
      <c r="B111" s="68"/>
      <c r="C111" s="142" t="s">
        <v>26</v>
      </c>
      <c r="D111" s="42"/>
      <c r="E111" s="108"/>
      <c r="F111" s="115"/>
      <c r="G111" s="124"/>
      <c r="H111" s="125"/>
      <c r="I111" s="46"/>
      <c r="J111" s="47"/>
      <c r="K111" s="47"/>
      <c r="L111" s="47"/>
      <c r="M111" s="11"/>
      <c r="N111" s="11"/>
      <c r="O111" s="12"/>
      <c r="P111" s="12"/>
      <c r="Q111" s="12"/>
      <c r="R111" s="12"/>
      <c r="S111" s="12"/>
      <c r="T111" s="12"/>
    </row>
    <row r="112" spans="1:20" ht="27.6" x14ac:dyDescent="0.3">
      <c r="A112" s="69" t="s">
        <v>209</v>
      </c>
      <c r="B112" s="68"/>
      <c r="C112" s="132" t="s">
        <v>208</v>
      </c>
      <c r="D112" s="52"/>
      <c r="E112" s="108"/>
      <c r="F112" s="115"/>
      <c r="G112" s="124"/>
      <c r="H112" s="125"/>
      <c r="I112" s="46"/>
      <c r="J112" s="47"/>
      <c r="K112" s="47"/>
      <c r="L112" s="47"/>
      <c r="M112" s="11"/>
      <c r="N112" s="11"/>
      <c r="O112" s="12"/>
      <c r="P112" s="12"/>
      <c r="Q112" s="12"/>
      <c r="R112" s="12"/>
      <c r="S112" s="12"/>
      <c r="T112" s="12"/>
    </row>
    <row r="113" spans="1:20" x14ac:dyDescent="0.3">
      <c r="A113" s="69"/>
      <c r="B113" s="68"/>
      <c r="C113" s="131" t="s">
        <v>210</v>
      </c>
      <c r="D113" s="43"/>
      <c r="E113" s="108"/>
      <c r="F113" s="115"/>
      <c r="G113" s="124"/>
      <c r="H113" s="125"/>
      <c r="I113" s="46"/>
      <c r="J113" s="77"/>
      <c r="K113" s="77"/>
      <c r="L113" s="77"/>
      <c r="M113" s="11"/>
      <c r="N113" s="11"/>
      <c r="O113" s="12"/>
      <c r="P113" s="12"/>
      <c r="Q113" s="12"/>
      <c r="R113" s="12"/>
      <c r="S113" s="12"/>
      <c r="T113" s="12"/>
    </row>
    <row r="114" spans="1:20" ht="41.4" x14ac:dyDescent="0.3">
      <c r="A114" s="69"/>
      <c r="B114" s="68"/>
      <c r="C114" s="131" t="s">
        <v>211</v>
      </c>
      <c r="D114" s="43"/>
      <c r="E114" s="108">
        <v>4</v>
      </c>
      <c r="F114" s="115" t="s">
        <v>86</v>
      </c>
      <c r="G114" s="124">
        <v>11500</v>
      </c>
      <c r="H114" s="125">
        <f>E114*G114</f>
        <v>46000</v>
      </c>
      <c r="I114" s="46"/>
      <c r="J114" s="77" t="s">
        <v>214</v>
      </c>
      <c r="K114" s="77" t="s">
        <v>215</v>
      </c>
      <c r="L114" s="93" t="s">
        <v>212</v>
      </c>
      <c r="M114" s="11"/>
      <c r="N114" s="11"/>
      <c r="O114" s="12"/>
      <c r="P114" s="12"/>
      <c r="Q114" s="12"/>
      <c r="R114" s="12"/>
      <c r="S114" s="12"/>
      <c r="T114" s="12"/>
    </row>
    <row r="115" spans="1:20" ht="41.4" x14ac:dyDescent="0.3">
      <c r="A115" s="69"/>
      <c r="B115" s="68"/>
      <c r="C115" s="131" t="s">
        <v>213</v>
      </c>
      <c r="D115" s="43"/>
      <c r="E115" s="108">
        <f>(((14.9-7.7)-(3*2))/0.3)*2</f>
        <v>8.0000000000000018</v>
      </c>
      <c r="F115" s="115" t="s">
        <v>86</v>
      </c>
      <c r="G115" s="124">
        <v>1150</v>
      </c>
      <c r="H115" s="125">
        <f>E115*G115</f>
        <v>9200.0000000000018</v>
      </c>
      <c r="I115" s="46"/>
      <c r="J115" s="134" t="s">
        <v>216</v>
      </c>
      <c r="K115" s="77"/>
      <c r="L115" s="93" t="s">
        <v>212</v>
      </c>
      <c r="M115" s="11"/>
      <c r="N115" s="11"/>
      <c r="O115" s="12"/>
      <c r="P115" s="12"/>
      <c r="Q115" s="12"/>
      <c r="R115" s="12"/>
      <c r="S115" s="12"/>
      <c r="T115" s="12"/>
    </row>
    <row r="116" spans="1:20" x14ac:dyDescent="0.3">
      <c r="A116" s="69"/>
      <c r="B116" s="68"/>
      <c r="C116" s="131"/>
      <c r="D116" s="43"/>
      <c r="E116" s="108"/>
      <c r="F116" s="115"/>
      <c r="G116" s="124"/>
      <c r="H116" s="125"/>
      <c r="I116" s="46"/>
      <c r="J116" s="47"/>
      <c r="K116" s="47"/>
      <c r="L116" s="47"/>
      <c r="M116" s="11"/>
      <c r="N116" s="11"/>
      <c r="O116" s="12"/>
      <c r="P116" s="12"/>
      <c r="Q116" s="12"/>
      <c r="R116" s="12"/>
      <c r="S116" s="12"/>
      <c r="T116" s="12"/>
    </row>
    <row r="117" spans="1:20" x14ac:dyDescent="0.3">
      <c r="A117" s="69">
        <v>2.5</v>
      </c>
      <c r="B117" s="68"/>
      <c r="C117" s="142" t="s">
        <v>27</v>
      </c>
      <c r="D117" s="42"/>
      <c r="E117" s="108"/>
      <c r="F117" s="115"/>
      <c r="G117" s="124"/>
      <c r="H117" s="125"/>
      <c r="I117" s="46"/>
      <c r="J117" s="47"/>
      <c r="K117" s="47"/>
      <c r="L117" s="47"/>
      <c r="M117" s="11"/>
      <c r="N117" s="11"/>
      <c r="O117" s="12"/>
      <c r="P117" s="12"/>
      <c r="Q117" s="12"/>
      <c r="R117" s="12"/>
      <c r="S117" s="12"/>
      <c r="T117" s="12"/>
    </row>
    <row r="118" spans="1:20" x14ac:dyDescent="0.3">
      <c r="A118" s="69" t="s">
        <v>218</v>
      </c>
      <c r="B118" s="68"/>
      <c r="C118" s="86" t="s">
        <v>217</v>
      </c>
      <c r="D118" s="48"/>
      <c r="E118" s="108"/>
      <c r="F118" s="115"/>
      <c r="G118" s="124"/>
      <c r="H118" s="125"/>
      <c r="I118" s="46"/>
      <c r="J118" s="47"/>
      <c r="K118" s="47"/>
      <c r="L118" s="47"/>
      <c r="M118" s="11"/>
      <c r="N118" s="11"/>
      <c r="O118" s="12"/>
      <c r="P118" s="12"/>
      <c r="Q118" s="12"/>
      <c r="R118" s="12"/>
      <c r="S118" s="12"/>
      <c r="T118" s="12"/>
    </row>
    <row r="119" spans="1:20" ht="27.6" x14ac:dyDescent="0.3">
      <c r="A119" s="69"/>
      <c r="B119" s="68"/>
      <c r="C119" s="133" t="s">
        <v>219</v>
      </c>
      <c r="D119" s="43"/>
      <c r="E119" s="108"/>
      <c r="F119" s="115"/>
      <c r="G119" s="124"/>
      <c r="H119" s="125"/>
      <c r="I119" s="46"/>
      <c r="J119" s="47"/>
      <c r="K119" s="47"/>
      <c r="L119" s="47"/>
      <c r="M119" s="11"/>
      <c r="N119" s="11"/>
      <c r="O119" s="12"/>
      <c r="P119" s="12"/>
      <c r="Q119" s="12"/>
      <c r="R119" s="12"/>
      <c r="S119" s="12"/>
      <c r="T119" s="12"/>
    </row>
    <row r="120" spans="1:20" ht="41.4" x14ac:dyDescent="0.3">
      <c r="A120" s="69"/>
      <c r="B120" s="68"/>
      <c r="C120" s="131" t="s">
        <v>225</v>
      </c>
      <c r="D120" s="43"/>
      <c r="E120" s="108">
        <f>218029969.1/1000000</f>
        <v>218.02996909999999</v>
      </c>
      <c r="F120" s="115" t="s">
        <v>80</v>
      </c>
      <c r="G120" s="124">
        <v>74</v>
      </c>
      <c r="H120" s="125">
        <f>E120*G120</f>
        <v>16134.217713399999</v>
      </c>
      <c r="I120" s="46"/>
      <c r="J120" s="47" t="s">
        <v>223</v>
      </c>
      <c r="K120" s="47" t="s">
        <v>220</v>
      </c>
      <c r="L120" s="93" t="s">
        <v>221</v>
      </c>
      <c r="M120" s="11"/>
      <c r="N120" s="11"/>
      <c r="O120" s="12"/>
      <c r="P120" s="12"/>
      <c r="Q120" s="12"/>
      <c r="R120" s="12"/>
      <c r="S120" s="12"/>
      <c r="T120" s="12"/>
    </row>
    <row r="121" spans="1:20" ht="27.6" x14ac:dyDescent="0.3">
      <c r="A121" s="69"/>
      <c r="B121" s="68"/>
      <c r="C121" s="131" t="s">
        <v>226</v>
      </c>
      <c r="D121" s="43"/>
      <c r="E121" s="108">
        <f>217198864/1000000</f>
        <v>217.19886399999999</v>
      </c>
      <c r="F121" s="115" t="s">
        <v>80</v>
      </c>
      <c r="G121" s="124">
        <v>74</v>
      </c>
      <c r="H121" s="125">
        <f t="shared" ref="H121:H130" si="5">E121*G121</f>
        <v>16072.715935999999</v>
      </c>
      <c r="I121" s="46"/>
      <c r="J121" s="47" t="s">
        <v>224</v>
      </c>
      <c r="K121" s="47" t="s">
        <v>222</v>
      </c>
      <c r="L121" s="93" t="s">
        <v>153</v>
      </c>
      <c r="M121" s="11"/>
      <c r="N121" s="11"/>
      <c r="O121" s="12"/>
      <c r="P121" s="12"/>
      <c r="Q121" s="12"/>
      <c r="R121" s="12"/>
      <c r="S121" s="12"/>
      <c r="T121" s="12"/>
    </row>
    <row r="122" spans="1:20" ht="41.4" x14ac:dyDescent="0.3">
      <c r="A122" s="69"/>
      <c r="B122" s="68"/>
      <c r="C122" s="131" t="s">
        <v>243</v>
      </c>
      <c r="D122" s="43"/>
      <c r="E122" s="108">
        <f>170487864/1000000</f>
        <v>170.487864</v>
      </c>
      <c r="F122" s="115" t="s">
        <v>80</v>
      </c>
      <c r="G122" s="124">
        <v>52</v>
      </c>
      <c r="H122" s="125">
        <f t="shared" si="5"/>
        <v>8865.3689279999999</v>
      </c>
      <c r="I122" s="46"/>
      <c r="J122" s="47"/>
      <c r="K122" s="47" t="s">
        <v>242</v>
      </c>
      <c r="L122" s="93" t="s">
        <v>241</v>
      </c>
      <c r="M122" s="11"/>
      <c r="N122" s="11"/>
      <c r="O122" s="12"/>
      <c r="P122" s="12"/>
      <c r="Q122" s="12"/>
      <c r="R122" s="12"/>
      <c r="S122" s="12"/>
      <c r="T122" s="12"/>
    </row>
    <row r="123" spans="1:20" ht="41.4" x14ac:dyDescent="0.3">
      <c r="A123" s="69"/>
      <c r="B123" s="68"/>
      <c r="C123" s="131" t="s">
        <v>244</v>
      </c>
      <c r="D123" s="43"/>
      <c r="E123" s="108">
        <f>120568638.8/1000000</f>
        <v>120.5686388</v>
      </c>
      <c r="F123" s="115" t="s">
        <v>80</v>
      </c>
      <c r="G123" s="124">
        <f>G122</f>
        <v>52</v>
      </c>
      <c r="H123" s="125">
        <f t="shared" si="5"/>
        <v>6269.5692176000002</v>
      </c>
      <c r="I123" s="46"/>
      <c r="J123" s="47"/>
      <c r="K123" s="47" t="s">
        <v>245</v>
      </c>
      <c r="L123" s="93" t="s">
        <v>153</v>
      </c>
      <c r="M123" s="11"/>
      <c r="N123" s="11"/>
      <c r="O123" s="12"/>
      <c r="P123" s="12"/>
      <c r="Q123" s="12"/>
      <c r="R123" s="12"/>
      <c r="S123" s="12"/>
      <c r="T123" s="12"/>
    </row>
    <row r="124" spans="1:20" ht="41.4" x14ac:dyDescent="0.3">
      <c r="A124" s="69"/>
      <c r="B124" s="68"/>
      <c r="C124" s="131" t="s">
        <v>247</v>
      </c>
      <c r="D124" s="43"/>
      <c r="E124" s="108">
        <f>305333425.2/1000000</f>
        <v>305.33342519999997</v>
      </c>
      <c r="F124" s="115" t="s">
        <v>80</v>
      </c>
      <c r="G124" s="124">
        <v>540</v>
      </c>
      <c r="H124" s="125">
        <f t="shared" si="5"/>
        <v>164880.04960799997</v>
      </c>
      <c r="I124" s="46"/>
      <c r="J124" s="47"/>
      <c r="K124" s="47" t="s">
        <v>246</v>
      </c>
      <c r="L124" s="93" t="s">
        <v>241</v>
      </c>
      <c r="M124" s="11"/>
      <c r="N124" s="11"/>
      <c r="O124" s="12"/>
      <c r="P124" s="12"/>
      <c r="Q124" s="12"/>
      <c r="R124" s="12"/>
      <c r="S124" s="12"/>
      <c r="T124" s="12"/>
    </row>
    <row r="125" spans="1:20" ht="27.6" x14ac:dyDescent="0.3">
      <c r="A125" s="69"/>
      <c r="B125" s="68"/>
      <c r="C125" s="131" t="s">
        <v>248</v>
      </c>
      <c r="D125" s="43"/>
      <c r="E125" s="108">
        <f>403587912.6/1000000</f>
        <v>403.58791260000004</v>
      </c>
      <c r="F125" s="115" t="s">
        <v>80</v>
      </c>
      <c r="G125" s="124">
        <v>540</v>
      </c>
      <c r="H125" s="125">
        <f t="shared" si="5"/>
        <v>217937.47280400002</v>
      </c>
      <c r="I125" s="46"/>
      <c r="J125" s="47"/>
      <c r="K125" s="47" t="s">
        <v>249</v>
      </c>
      <c r="L125" s="93" t="s">
        <v>153</v>
      </c>
      <c r="M125" s="11"/>
      <c r="N125" s="11"/>
      <c r="O125" s="12"/>
      <c r="P125" s="12"/>
      <c r="Q125" s="12"/>
      <c r="R125" s="12"/>
      <c r="S125" s="12"/>
      <c r="T125" s="12"/>
    </row>
    <row r="126" spans="1:20" x14ac:dyDescent="0.3">
      <c r="A126" s="69"/>
      <c r="B126" s="68"/>
      <c r="C126" s="131"/>
      <c r="D126" s="43"/>
      <c r="E126" s="108"/>
      <c r="F126" s="115"/>
      <c r="G126" s="124"/>
      <c r="H126" s="125"/>
      <c r="I126" s="46"/>
      <c r="J126" s="47"/>
      <c r="K126" s="47"/>
      <c r="L126" s="93"/>
      <c r="M126" s="11"/>
      <c r="N126" s="11"/>
      <c r="O126" s="12"/>
      <c r="P126" s="12"/>
      <c r="Q126" s="12"/>
      <c r="R126" s="12"/>
      <c r="S126" s="12"/>
      <c r="T126" s="12"/>
    </row>
    <row r="127" spans="1:20" ht="27.6" x14ac:dyDescent="0.3">
      <c r="A127" s="69" t="s">
        <v>231</v>
      </c>
      <c r="B127" s="68"/>
      <c r="C127" s="86" t="s">
        <v>230</v>
      </c>
      <c r="D127" s="43"/>
      <c r="E127" s="108"/>
      <c r="F127" s="115"/>
      <c r="G127" s="124"/>
      <c r="H127" s="125"/>
      <c r="I127" s="46"/>
      <c r="J127" s="47"/>
      <c r="K127" s="47"/>
      <c r="L127" s="47"/>
      <c r="M127" s="11"/>
      <c r="N127" s="11"/>
      <c r="O127" s="12"/>
      <c r="P127" s="12"/>
      <c r="Q127" s="12"/>
      <c r="R127" s="12"/>
      <c r="S127" s="12"/>
      <c r="T127" s="12"/>
    </row>
    <row r="128" spans="1:20" ht="41.4" x14ac:dyDescent="0.3">
      <c r="A128" s="69"/>
      <c r="B128" s="68"/>
      <c r="C128" s="135" t="s">
        <v>232</v>
      </c>
      <c r="D128" s="43"/>
      <c r="E128" s="108">
        <v>22</v>
      </c>
      <c r="F128" s="115" t="s">
        <v>81</v>
      </c>
      <c r="G128" s="124">
        <v>54.07</v>
      </c>
      <c r="H128" s="125">
        <f t="shared" si="5"/>
        <v>1189.54</v>
      </c>
      <c r="I128" s="46"/>
      <c r="J128" s="47"/>
      <c r="K128" s="47" t="s">
        <v>233</v>
      </c>
      <c r="L128" s="93" t="s">
        <v>234</v>
      </c>
      <c r="M128" s="11"/>
      <c r="N128" s="11"/>
      <c r="O128" s="12"/>
      <c r="P128" s="12"/>
      <c r="Q128" s="12"/>
      <c r="R128" s="12"/>
      <c r="S128" s="12"/>
      <c r="T128" s="12"/>
    </row>
    <row r="129" spans="1:20" ht="41.4" x14ac:dyDescent="0.3">
      <c r="A129" s="69" t="s">
        <v>236</v>
      </c>
      <c r="B129" s="68"/>
      <c r="C129" s="86" t="s">
        <v>235</v>
      </c>
      <c r="D129" s="43"/>
      <c r="E129" s="108"/>
      <c r="G129" s="124"/>
      <c r="H129" s="125"/>
      <c r="I129" s="46"/>
      <c r="J129" s="47"/>
      <c r="K129" s="47"/>
      <c r="L129" s="47"/>
      <c r="M129" s="11"/>
      <c r="N129" s="11"/>
      <c r="O129" s="12"/>
      <c r="P129" s="12"/>
      <c r="Q129" s="12"/>
      <c r="R129" s="12"/>
      <c r="S129" s="12"/>
      <c r="T129" s="12"/>
    </row>
    <row r="130" spans="1:20" ht="27.6" x14ac:dyDescent="0.3">
      <c r="A130" s="69"/>
      <c r="B130" s="68"/>
      <c r="C130" s="131" t="s">
        <v>237</v>
      </c>
      <c r="D130" s="43"/>
      <c r="E130" s="108">
        <f>96314758.41/1000000</f>
        <v>96.314758409999996</v>
      </c>
      <c r="F130" s="115" t="s">
        <v>80</v>
      </c>
      <c r="G130" s="124"/>
      <c r="H130" s="125">
        <f t="shared" si="5"/>
        <v>0</v>
      </c>
      <c r="I130" s="46"/>
      <c r="J130" s="47" t="s">
        <v>239</v>
      </c>
      <c r="K130" s="47" t="s">
        <v>238</v>
      </c>
      <c r="L130" s="47" t="s">
        <v>240</v>
      </c>
      <c r="M130" s="11"/>
      <c r="N130" s="11"/>
      <c r="O130" s="12"/>
      <c r="P130" s="12"/>
      <c r="Q130" s="12"/>
      <c r="R130" s="12"/>
      <c r="S130" s="12"/>
      <c r="T130" s="12"/>
    </row>
    <row r="131" spans="1:20" x14ac:dyDescent="0.3">
      <c r="A131" s="69"/>
      <c r="B131" s="68"/>
      <c r="C131" s="131"/>
      <c r="D131" s="43"/>
      <c r="E131" s="108"/>
      <c r="F131" s="115"/>
      <c r="G131" s="124"/>
      <c r="H131" s="125"/>
      <c r="I131" s="46"/>
      <c r="J131" s="47"/>
      <c r="K131" s="47"/>
      <c r="L131" s="47"/>
      <c r="M131" s="11"/>
      <c r="N131" s="11"/>
      <c r="O131" s="12"/>
      <c r="P131" s="12"/>
      <c r="Q131" s="12"/>
      <c r="R131" s="12"/>
      <c r="S131" s="12"/>
      <c r="T131" s="12"/>
    </row>
    <row r="132" spans="1:20" s="17" customFormat="1" x14ac:dyDescent="0.3">
      <c r="A132" s="69">
        <v>2.6</v>
      </c>
      <c r="B132" s="72"/>
      <c r="C132" s="142" t="s">
        <v>28</v>
      </c>
      <c r="D132" s="42"/>
      <c r="E132" s="109"/>
      <c r="F132" s="116"/>
      <c r="G132" s="128"/>
      <c r="H132" s="125"/>
      <c r="I132" s="46"/>
      <c r="J132" s="47"/>
      <c r="K132" s="47"/>
      <c r="L132" s="47"/>
      <c r="M132" s="16"/>
      <c r="N132" s="16"/>
      <c r="O132" s="12"/>
      <c r="P132" s="12"/>
      <c r="Q132" s="12"/>
      <c r="R132" s="12"/>
      <c r="S132" s="12"/>
      <c r="T132" s="12"/>
    </row>
    <row r="133" spans="1:20" s="17" customFormat="1" ht="55.2" x14ac:dyDescent="0.3">
      <c r="A133" s="69" t="s">
        <v>250</v>
      </c>
      <c r="B133" s="72"/>
      <c r="C133" s="86" t="s">
        <v>251</v>
      </c>
      <c r="D133" s="48"/>
      <c r="E133" s="109"/>
      <c r="F133" s="116"/>
      <c r="G133" s="128"/>
      <c r="H133" s="125"/>
      <c r="I133" s="46"/>
      <c r="J133" s="47" t="s">
        <v>262</v>
      </c>
      <c r="K133" s="47" t="s">
        <v>263</v>
      </c>
      <c r="L133" s="47" t="s">
        <v>264</v>
      </c>
      <c r="M133" s="16"/>
      <c r="N133" s="16"/>
      <c r="O133" s="12"/>
      <c r="P133" s="12"/>
      <c r="Q133" s="12"/>
      <c r="R133" s="12"/>
      <c r="S133" s="12"/>
      <c r="T133" s="12"/>
    </row>
    <row r="134" spans="1:20" s="17" customFormat="1" ht="27.6" x14ac:dyDescent="0.3">
      <c r="A134" s="69"/>
      <c r="B134" s="72"/>
      <c r="C134" s="133" t="s">
        <v>252</v>
      </c>
      <c r="D134" s="53"/>
      <c r="E134" s="109">
        <v>42</v>
      </c>
      <c r="F134" s="116"/>
      <c r="G134" s="128"/>
      <c r="H134" s="125"/>
      <c r="I134" s="46"/>
      <c r="J134" s="47" t="s">
        <v>266</v>
      </c>
      <c r="K134" s="47"/>
      <c r="L134" s="47"/>
      <c r="M134" s="16"/>
      <c r="N134" s="16"/>
      <c r="O134" s="12"/>
      <c r="P134" s="12"/>
      <c r="Q134" s="12"/>
      <c r="R134" s="12"/>
      <c r="S134" s="12"/>
      <c r="T134" s="12"/>
    </row>
    <row r="135" spans="1:20" s="17" customFormat="1" ht="41.4" x14ac:dyDescent="0.3">
      <c r="A135" s="69"/>
      <c r="B135" s="72"/>
      <c r="C135" s="131" t="s">
        <v>253</v>
      </c>
      <c r="D135" s="43"/>
      <c r="E135" s="108">
        <f>4*(0.46*2.4)</f>
        <v>4.4160000000000004</v>
      </c>
      <c r="F135" s="115" t="s">
        <v>80</v>
      </c>
      <c r="G135" s="124">
        <v>290</v>
      </c>
      <c r="H135" s="125">
        <f t="shared" ref="H135:H143" si="6">E135*G135</f>
        <v>1280.6400000000001</v>
      </c>
      <c r="I135" s="46"/>
      <c r="J135" s="47"/>
      <c r="K135" s="47"/>
      <c r="L135" s="93" t="s">
        <v>265</v>
      </c>
      <c r="M135" s="16"/>
      <c r="N135" s="16"/>
      <c r="O135" s="12"/>
      <c r="P135" s="12"/>
      <c r="Q135" s="12"/>
      <c r="R135" s="12"/>
      <c r="S135" s="12"/>
      <c r="T135" s="12"/>
    </row>
    <row r="136" spans="1:20" s="17" customFormat="1" x14ac:dyDescent="0.3">
      <c r="A136" s="69"/>
      <c r="B136" s="72"/>
      <c r="C136" s="131" t="s">
        <v>254</v>
      </c>
      <c r="D136" s="43"/>
      <c r="E136" s="108">
        <f>14*(1.36*2.4)</f>
        <v>45.696000000000005</v>
      </c>
      <c r="F136" s="115" t="s">
        <v>86</v>
      </c>
      <c r="G136" s="124">
        <v>260</v>
      </c>
      <c r="H136" s="125">
        <f t="shared" si="6"/>
        <v>11880.960000000001</v>
      </c>
      <c r="I136" s="46"/>
      <c r="J136" s="47"/>
      <c r="K136" s="47"/>
      <c r="L136" s="47" t="s">
        <v>130</v>
      </c>
      <c r="M136" s="16"/>
      <c r="N136" s="16"/>
      <c r="O136" s="12"/>
      <c r="P136" s="12"/>
      <c r="Q136" s="12"/>
      <c r="R136" s="12"/>
      <c r="S136" s="12"/>
      <c r="T136" s="12"/>
    </row>
    <row r="137" spans="1:20" s="17" customFormat="1" x14ac:dyDescent="0.3">
      <c r="A137" s="69"/>
      <c r="B137" s="72"/>
      <c r="C137" s="131" t="s">
        <v>255</v>
      </c>
      <c r="D137" s="43"/>
      <c r="E137" s="108">
        <f>5*(1.36*2.4)</f>
        <v>16.32</v>
      </c>
      <c r="F137" s="115" t="s">
        <v>86</v>
      </c>
      <c r="G137" s="124">
        <v>260</v>
      </c>
      <c r="H137" s="125">
        <f t="shared" si="6"/>
        <v>4243.2</v>
      </c>
      <c r="I137" s="46"/>
      <c r="J137" s="47"/>
      <c r="K137" s="47"/>
      <c r="L137" s="47" t="s">
        <v>130</v>
      </c>
      <c r="M137" s="16"/>
      <c r="N137" s="16"/>
      <c r="O137" s="12"/>
      <c r="P137" s="12"/>
      <c r="Q137" s="12"/>
      <c r="R137" s="12"/>
      <c r="S137" s="12"/>
      <c r="T137" s="12"/>
    </row>
    <row r="138" spans="1:20" s="17" customFormat="1" x14ac:dyDescent="0.3">
      <c r="A138" s="69"/>
      <c r="B138" s="72"/>
      <c r="C138" s="131" t="s">
        <v>256</v>
      </c>
      <c r="D138" s="43"/>
      <c r="E138" s="108">
        <f>3*(1.36*2.4)</f>
        <v>9.7920000000000016</v>
      </c>
      <c r="F138" s="115" t="s">
        <v>86</v>
      </c>
      <c r="G138" s="124">
        <v>260</v>
      </c>
      <c r="H138" s="125">
        <f t="shared" si="6"/>
        <v>2545.9200000000005</v>
      </c>
      <c r="I138" s="46"/>
      <c r="J138" s="47"/>
      <c r="K138" s="47"/>
      <c r="L138" s="47" t="s">
        <v>130</v>
      </c>
      <c r="M138" s="16"/>
      <c r="N138" s="16"/>
      <c r="O138" s="12"/>
      <c r="P138" s="12"/>
      <c r="Q138" s="12"/>
      <c r="R138" s="12"/>
      <c r="S138" s="12"/>
      <c r="T138" s="12"/>
    </row>
    <row r="139" spans="1:20" s="17" customFormat="1" x14ac:dyDescent="0.3">
      <c r="A139" s="69"/>
      <c r="B139" s="72"/>
      <c r="C139" s="131" t="s">
        <v>257</v>
      </c>
      <c r="D139" s="43"/>
      <c r="E139" s="108">
        <f>1*(1.36*2.4)</f>
        <v>3.2640000000000002</v>
      </c>
      <c r="F139" s="115" t="s">
        <v>86</v>
      </c>
      <c r="G139" s="124">
        <v>260</v>
      </c>
      <c r="H139" s="125">
        <f t="shared" si="6"/>
        <v>848.6400000000001</v>
      </c>
      <c r="I139" s="46"/>
      <c r="J139" s="47"/>
      <c r="K139" s="47"/>
      <c r="L139" s="47" t="s">
        <v>130</v>
      </c>
      <c r="M139" s="16"/>
      <c r="N139" s="16"/>
      <c r="O139" s="12"/>
      <c r="P139" s="12"/>
      <c r="Q139" s="12"/>
      <c r="R139" s="12"/>
      <c r="S139" s="12"/>
      <c r="T139" s="12"/>
    </row>
    <row r="140" spans="1:20" s="17" customFormat="1" x14ac:dyDescent="0.3">
      <c r="A140" s="69"/>
      <c r="B140" s="72"/>
      <c r="C140" s="131" t="s">
        <v>258</v>
      </c>
      <c r="D140" s="43"/>
      <c r="E140" s="108">
        <f>1*(1.36*2.4)</f>
        <v>3.2640000000000002</v>
      </c>
      <c r="F140" s="115" t="s">
        <v>86</v>
      </c>
      <c r="G140" s="124">
        <v>260</v>
      </c>
      <c r="H140" s="125">
        <f t="shared" si="6"/>
        <v>848.6400000000001</v>
      </c>
      <c r="I140" s="46"/>
      <c r="J140" s="47"/>
      <c r="K140" s="47"/>
      <c r="L140" s="47" t="s">
        <v>130</v>
      </c>
      <c r="M140" s="16"/>
      <c r="N140" s="16"/>
      <c r="O140" s="12"/>
      <c r="P140" s="12"/>
      <c r="Q140" s="12"/>
      <c r="R140" s="12"/>
      <c r="S140" s="12"/>
      <c r="T140" s="12"/>
    </row>
    <row r="141" spans="1:20" s="17" customFormat="1" x14ac:dyDescent="0.3">
      <c r="A141" s="69"/>
      <c r="B141" s="72"/>
      <c r="C141" s="131" t="s">
        <v>259</v>
      </c>
      <c r="D141" s="43"/>
      <c r="E141" s="108">
        <f>7*(1.36*3.225)</f>
        <v>30.702000000000002</v>
      </c>
      <c r="F141" s="115" t="s">
        <v>86</v>
      </c>
      <c r="G141" s="124">
        <v>260</v>
      </c>
      <c r="H141" s="125">
        <f t="shared" si="6"/>
        <v>7982.52</v>
      </c>
      <c r="I141" s="46"/>
      <c r="J141" s="47"/>
      <c r="K141" s="47"/>
      <c r="L141" s="47"/>
      <c r="M141" s="16"/>
      <c r="N141" s="16"/>
      <c r="O141" s="12"/>
      <c r="P141" s="12"/>
      <c r="Q141" s="12"/>
      <c r="R141" s="12"/>
      <c r="S141" s="12"/>
      <c r="T141" s="12"/>
    </row>
    <row r="142" spans="1:20" s="17" customFormat="1" x14ac:dyDescent="0.3">
      <c r="A142" s="69"/>
      <c r="B142" s="72"/>
      <c r="C142" s="131" t="s">
        <v>260</v>
      </c>
      <c r="D142" s="43"/>
      <c r="E142" s="108">
        <f>3*(1.36*3.225)</f>
        <v>13.158000000000001</v>
      </c>
      <c r="F142" s="115" t="s">
        <v>86</v>
      </c>
      <c r="G142" s="124">
        <v>260</v>
      </c>
      <c r="H142" s="125">
        <f t="shared" si="6"/>
        <v>3421.0800000000004</v>
      </c>
      <c r="I142" s="46"/>
      <c r="J142" s="47"/>
      <c r="K142" s="47"/>
      <c r="L142" s="47"/>
      <c r="M142" s="16"/>
      <c r="N142" s="16"/>
      <c r="O142" s="12"/>
      <c r="P142" s="12"/>
      <c r="Q142" s="12"/>
      <c r="R142" s="12"/>
      <c r="S142" s="12"/>
      <c r="T142" s="12"/>
    </row>
    <row r="143" spans="1:20" s="17" customFormat="1" x14ac:dyDescent="0.3">
      <c r="A143" s="69"/>
      <c r="B143" s="72"/>
      <c r="C143" s="131" t="s">
        <v>261</v>
      </c>
      <c r="D143" s="43"/>
      <c r="E143" s="108">
        <f>4*(3.45*3.265)</f>
        <v>45.057000000000002</v>
      </c>
      <c r="F143" s="115" t="s">
        <v>86</v>
      </c>
      <c r="G143" s="124">
        <v>260</v>
      </c>
      <c r="H143" s="125">
        <f t="shared" si="6"/>
        <v>11714.82</v>
      </c>
      <c r="I143" s="46"/>
      <c r="J143" s="47"/>
      <c r="K143" s="47"/>
      <c r="L143" s="47"/>
      <c r="M143" s="16"/>
      <c r="N143" s="16"/>
      <c r="O143" s="12"/>
      <c r="P143" s="12"/>
      <c r="Q143" s="12"/>
      <c r="R143" s="12"/>
      <c r="S143" s="12"/>
      <c r="T143" s="12"/>
    </row>
    <row r="144" spans="1:20" s="17" customFormat="1" x14ac:dyDescent="0.3">
      <c r="A144" s="69"/>
      <c r="B144" s="72"/>
      <c r="C144" s="131"/>
      <c r="D144" s="43"/>
      <c r="E144" s="108"/>
      <c r="F144" s="115"/>
      <c r="G144" s="124"/>
      <c r="H144" s="125"/>
      <c r="I144" s="46"/>
      <c r="J144" s="47"/>
      <c r="K144" s="47"/>
      <c r="L144" s="47"/>
      <c r="M144" s="16"/>
      <c r="N144" s="16"/>
      <c r="O144" s="12"/>
      <c r="P144" s="12"/>
      <c r="Q144" s="12"/>
      <c r="R144" s="12"/>
      <c r="S144" s="12"/>
      <c r="T144" s="12"/>
    </row>
    <row r="145" spans="1:20" ht="41.4" x14ac:dyDescent="0.3">
      <c r="A145" s="69" t="s">
        <v>283</v>
      </c>
      <c r="B145" s="71"/>
      <c r="C145" s="86" t="s">
        <v>284</v>
      </c>
      <c r="D145" s="48"/>
      <c r="E145" s="108"/>
      <c r="F145" s="115"/>
      <c r="G145" s="126"/>
      <c r="H145" s="125"/>
      <c r="I145" s="50"/>
      <c r="J145" s="171"/>
      <c r="K145" s="171"/>
      <c r="L145" s="171"/>
      <c r="M145" s="11"/>
      <c r="N145" s="11"/>
      <c r="O145" s="12"/>
      <c r="P145" s="12"/>
      <c r="Q145" s="12"/>
      <c r="R145" s="12"/>
      <c r="S145" s="12"/>
      <c r="T145" s="12"/>
    </row>
    <row r="146" spans="1:20" x14ac:dyDescent="0.3">
      <c r="A146" s="69"/>
      <c r="B146" s="71"/>
      <c r="C146" s="133" t="s">
        <v>290</v>
      </c>
      <c r="D146" s="48"/>
      <c r="E146" s="108"/>
      <c r="F146" s="115"/>
      <c r="G146" s="126"/>
      <c r="H146" s="125"/>
      <c r="I146" s="50"/>
      <c r="J146" s="171"/>
      <c r="K146" s="171"/>
      <c r="L146" s="171"/>
      <c r="M146" s="11"/>
      <c r="N146" s="11"/>
      <c r="O146" s="12"/>
      <c r="P146" s="12"/>
      <c r="Q146" s="12"/>
      <c r="R146" s="12"/>
      <c r="S146" s="12"/>
      <c r="T146" s="12"/>
    </row>
    <row r="147" spans="1:20" ht="55.2" x14ac:dyDescent="0.3">
      <c r="A147" s="70"/>
      <c r="B147" s="71"/>
      <c r="C147" s="133" t="s">
        <v>285</v>
      </c>
      <c r="D147" s="53"/>
      <c r="E147" s="108">
        <v>4</v>
      </c>
      <c r="F147" s="115" t="s">
        <v>86</v>
      </c>
      <c r="G147" s="126">
        <v>2075</v>
      </c>
      <c r="H147" s="125">
        <f t="shared" ref="H147" si="7">E147*G147</f>
        <v>8300</v>
      </c>
      <c r="I147" s="50"/>
      <c r="J147" s="171" t="s">
        <v>288</v>
      </c>
      <c r="K147" s="171" t="s">
        <v>287</v>
      </c>
      <c r="L147" s="93" t="s">
        <v>286</v>
      </c>
      <c r="M147" s="11"/>
      <c r="N147" s="11"/>
      <c r="O147" s="12"/>
      <c r="P147" s="12"/>
      <c r="Q147" s="12"/>
      <c r="R147" s="12"/>
      <c r="S147" s="12"/>
      <c r="T147" s="12"/>
    </row>
    <row r="148" spans="1:20" ht="27.6" x14ac:dyDescent="0.3">
      <c r="A148" s="69" t="s">
        <v>291</v>
      </c>
      <c r="B148" s="71"/>
      <c r="C148" s="86" t="s">
        <v>292</v>
      </c>
      <c r="D148" s="53"/>
      <c r="E148" s="108"/>
      <c r="F148" s="115"/>
      <c r="G148" s="126"/>
      <c r="H148" s="125"/>
      <c r="I148" s="50"/>
      <c r="J148" s="171"/>
      <c r="K148" s="171"/>
      <c r="L148" s="93"/>
      <c r="M148" s="11"/>
      <c r="N148" s="11"/>
      <c r="O148" s="12"/>
      <c r="P148" s="12"/>
      <c r="Q148" s="12"/>
      <c r="R148" s="12"/>
      <c r="S148" s="12"/>
      <c r="T148" s="12"/>
    </row>
    <row r="149" spans="1:20" ht="96.6" x14ac:dyDescent="0.3">
      <c r="A149" s="70"/>
      <c r="B149" s="71"/>
      <c r="C149" s="133" t="s">
        <v>293</v>
      </c>
      <c r="D149" s="53"/>
      <c r="E149" s="108">
        <v>2</v>
      </c>
      <c r="F149" s="115" t="s">
        <v>86</v>
      </c>
      <c r="G149" s="126">
        <v>54000</v>
      </c>
      <c r="H149" s="125">
        <f t="shared" ref="H149" si="8">E149*G149</f>
        <v>108000</v>
      </c>
      <c r="I149" s="50"/>
      <c r="J149" s="171" t="s">
        <v>294</v>
      </c>
      <c r="K149" s="171" t="str">
        <f>K147</f>
        <v>As document titled "Technical Elevations Sheet 1" and "Technical Elevations Sheet 2"</v>
      </c>
      <c r="L149" s="93" t="s">
        <v>295</v>
      </c>
      <c r="M149" s="11"/>
      <c r="N149" s="11"/>
      <c r="O149" s="12"/>
      <c r="P149" s="12"/>
      <c r="Q149" s="12"/>
      <c r="R149" s="12"/>
      <c r="S149" s="12"/>
      <c r="T149" s="12"/>
    </row>
    <row r="150" spans="1:20" x14ac:dyDescent="0.3">
      <c r="A150" s="70"/>
      <c r="B150" s="71"/>
      <c r="C150" s="133"/>
      <c r="D150" s="53"/>
      <c r="E150" s="108"/>
      <c r="F150" s="115"/>
      <c r="G150" s="126"/>
      <c r="H150" s="125"/>
      <c r="I150" s="50"/>
      <c r="J150" s="171"/>
      <c r="K150" s="171"/>
      <c r="L150" s="93"/>
      <c r="M150" s="11"/>
      <c r="N150" s="11"/>
      <c r="O150" s="12"/>
      <c r="P150" s="12"/>
      <c r="Q150" s="12"/>
      <c r="R150" s="12"/>
      <c r="S150" s="12"/>
      <c r="T150" s="12"/>
    </row>
    <row r="151" spans="1:20" ht="27.6" x14ac:dyDescent="0.3">
      <c r="A151" s="70"/>
      <c r="B151" s="71"/>
      <c r="C151" s="143" t="s">
        <v>289</v>
      </c>
      <c r="D151" s="43"/>
      <c r="E151" s="108"/>
      <c r="F151" s="115"/>
      <c r="G151" s="126"/>
      <c r="H151" s="125"/>
      <c r="I151" s="50"/>
      <c r="J151" s="171"/>
      <c r="K151" s="171"/>
      <c r="L151" s="171"/>
      <c r="M151" s="11"/>
      <c r="N151" s="11"/>
      <c r="O151" s="12"/>
      <c r="P151" s="12"/>
      <c r="Q151" s="12"/>
      <c r="R151" s="12"/>
      <c r="S151" s="12"/>
      <c r="T151" s="12"/>
    </row>
    <row r="152" spans="1:20" x14ac:dyDescent="0.3">
      <c r="A152" s="70"/>
      <c r="B152" s="71"/>
      <c r="C152" s="131"/>
      <c r="D152" s="43"/>
      <c r="E152" s="108"/>
      <c r="F152" s="115"/>
      <c r="G152" s="126"/>
      <c r="H152" s="125"/>
      <c r="I152" s="50"/>
      <c r="J152" s="171"/>
      <c r="K152" s="171"/>
      <c r="L152" s="171"/>
      <c r="M152" s="11"/>
      <c r="N152" s="11"/>
      <c r="O152" s="12"/>
      <c r="P152" s="12"/>
      <c r="Q152" s="12"/>
      <c r="R152" s="12"/>
      <c r="S152" s="12"/>
      <c r="T152" s="12"/>
    </row>
    <row r="153" spans="1:20" s="17" customFormat="1" x14ac:dyDescent="0.3">
      <c r="A153" s="69">
        <v>2.7</v>
      </c>
      <c r="B153" s="72"/>
      <c r="C153" s="142" t="s">
        <v>296</v>
      </c>
      <c r="D153" s="42"/>
      <c r="E153" s="109"/>
      <c r="F153" s="116"/>
      <c r="G153" s="129"/>
      <c r="H153" s="125"/>
      <c r="I153" s="50"/>
      <c r="J153" s="171"/>
      <c r="K153" s="171"/>
      <c r="L153" s="171"/>
      <c r="M153" s="16"/>
      <c r="N153" s="16"/>
      <c r="O153" s="12"/>
      <c r="P153" s="12"/>
      <c r="Q153" s="12"/>
      <c r="R153" s="12"/>
      <c r="S153" s="12"/>
      <c r="T153" s="12"/>
    </row>
    <row r="154" spans="1:20" s="17" customFormat="1" x14ac:dyDescent="0.3">
      <c r="A154" s="69"/>
      <c r="B154" s="72"/>
      <c r="C154" s="86" t="s">
        <v>297</v>
      </c>
      <c r="D154" s="48"/>
      <c r="E154" s="109"/>
      <c r="F154" s="116"/>
      <c r="G154" s="129"/>
      <c r="H154" s="125"/>
      <c r="I154" s="50"/>
      <c r="J154" s="171"/>
      <c r="K154" s="171"/>
      <c r="L154" s="171"/>
      <c r="M154" s="16"/>
      <c r="N154" s="16"/>
      <c r="O154" s="12"/>
      <c r="P154" s="12"/>
      <c r="Q154" s="12"/>
      <c r="R154" s="12"/>
      <c r="S154" s="12"/>
      <c r="T154" s="12"/>
    </row>
    <row r="155" spans="1:20" s="17" customFormat="1" ht="27.6" x14ac:dyDescent="0.3">
      <c r="A155" s="69"/>
      <c r="B155" s="72"/>
      <c r="C155" s="133" t="s">
        <v>298</v>
      </c>
      <c r="D155" s="43"/>
      <c r="E155" s="108"/>
      <c r="F155" s="115"/>
      <c r="G155" s="126"/>
      <c r="H155" s="125"/>
      <c r="I155" s="50"/>
      <c r="J155" s="171"/>
      <c r="K155" s="171"/>
      <c r="L155" s="171"/>
      <c r="M155" s="16"/>
      <c r="N155" s="16"/>
      <c r="O155" s="12"/>
      <c r="P155" s="12"/>
      <c r="Q155" s="12"/>
      <c r="R155" s="12"/>
      <c r="S155" s="12"/>
      <c r="T155" s="12"/>
    </row>
    <row r="156" spans="1:20" s="17" customFormat="1" x14ac:dyDescent="0.3">
      <c r="A156" s="69" t="s">
        <v>303</v>
      </c>
      <c r="B156" s="72"/>
      <c r="C156" s="133" t="s">
        <v>300</v>
      </c>
      <c r="D156" s="43"/>
      <c r="E156" s="108"/>
      <c r="F156" s="115"/>
      <c r="G156" s="126"/>
      <c r="H156" s="125"/>
      <c r="I156" s="50"/>
      <c r="J156" s="171"/>
      <c r="K156" s="171"/>
      <c r="L156" s="171"/>
      <c r="M156" s="16"/>
      <c r="N156" s="16"/>
      <c r="O156" s="12"/>
      <c r="P156" s="12"/>
      <c r="Q156" s="12"/>
      <c r="R156" s="12"/>
      <c r="S156" s="12"/>
      <c r="T156" s="12"/>
    </row>
    <row r="157" spans="1:20" s="17" customFormat="1" ht="55.2" x14ac:dyDescent="0.3">
      <c r="A157" s="69"/>
      <c r="B157" s="72"/>
      <c r="C157" s="131" t="s">
        <v>299</v>
      </c>
      <c r="D157" s="43"/>
      <c r="E157" s="108">
        <f>(155274.78/1000)*(10.925-7.2)</f>
        <v>578.39855550000004</v>
      </c>
      <c r="F157" s="115" t="s">
        <v>80</v>
      </c>
      <c r="G157" s="126">
        <v>46.5</v>
      </c>
      <c r="H157" s="125">
        <f t="shared" ref="H157" si="9">E157*G157</f>
        <v>26895.532830750002</v>
      </c>
      <c r="I157" s="50"/>
      <c r="J157" s="171" t="s">
        <v>302</v>
      </c>
      <c r="K157" s="171" t="s">
        <v>301</v>
      </c>
      <c r="L157" s="93" t="s">
        <v>295</v>
      </c>
      <c r="M157" s="16"/>
      <c r="N157" s="16"/>
      <c r="O157" s="12"/>
      <c r="P157" s="12"/>
      <c r="Q157" s="12"/>
      <c r="R157" s="12"/>
      <c r="S157" s="12"/>
      <c r="T157" s="12"/>
    </row>
    <row r="158" spans="1:20" s="17" customFormat="1" x14ac:dyDescent="0.3">
      <c r="A158" s="69" t="s">
        <v>303</v>
      </c>
      <c r="B158" s="72"/>
      <c r="C158" s="133" t="s">
        <v>172</v>
      </c>
      <c r="D158" s="43"/>
      <c r="E158" s="108"/>
      <c r="F158" s="115"/>
      <c r="G158" s="126"/>
      <c r="H158" s="125"/>
      <c r="I158" s="50"/>
      <c r="J158" s="171"/>
      <c r="K158" s="171"/>
      <c r="L158" s="171"/>
      <c r="M158" s="16"/>
      <c r="N158" s="16"/>
      <c r="O158" s="12"/>
      <c r="P158" s="12"/>
      <c r="Q158" s="12"/>
      <c r="R158" s="12"/>
      <c r="S158" s="12"/>
      <c r="T158" s="12"/>
    </row>
    <row r="159" spans="1:20" s="17" customFormat="1" ht="55.2" x14ac:dyDescent="0.3">
      <c r="A159" s="69"/>
      <c r="B159" s="72"/>
      <c r="C159" s="131" t="s">
        <v>299</v>
      </c>
      <c r="D159" s="43"/>
      <c r="E159" s="108">
        <f>(108984.88/1000)*(14.9-11.175)</f>
        <v>405.96867799999995</v>
      </c>
      <c r="F159" s="115" t="s">
        <v>80</v>
      </c>
      <c r="G159" s="126">
        <v>46.5</v>
      </c>
      <c r="H159" s="125">
        <f t="shared" ref="H159" si="10">E159*G159</f>
        <v>18877.543526999998</v>
      </c>
      <c r="I159" s="50"/>
      <c r="J159" s="171" t="s">
        <v>120</v>
      </c>
      <c r="K159" s="171" t="s">
        <v>304</v>
      </c>
      <c r="L159" s="93" t="s">
        <v>120</v>
      </c>
      <c r="M159" s="16"/>
      <c r="N159" s="16"/>
      <c r="O159" s="12"/>
      <c r="P159" s="12"/>
      <c r="Q159" s="12"/>
      <c r="R159" s="12"/>
      <c r="S159" s="12"/>
      <c r="T159" s="12"/>
    </row>
    <row r="160" spans="1:20" s="17" customFormat="1" x14ac:dyDescent="0.3">
      <c r="A160" s="69" t="s">
        <v>303</v>
      </c>
      <c r="B160" s="72"/>
      <c r="C160" s="133" t="s">
        <v>173</v>
      </c>
      <c r="D160" s="43"/>
      <c r="E160" s="108"/>
      <c r="F160" s="115"/>
      <c r="G160" s="126"/>
      <c r="H160" s="125"/>
      <c r="I160" s="50"/>
      <c r="J160" s="171"/>
      <c r="K160" s="171"/>
      <c r="L160" s="171"/>
      <c r="M160" s="16"/>
      <c r="N160" s="16"/>
      <c r="O160" s="12"/>
      <c r="P160" s="12"/>
      <c r="Q160" s="12"/>
      <c r="R160" s="12"/>
      <c r="S160" s="12"/>
      <c r="T160" s="12"/>
    </row>
    <row r="161" spans="1:20" s="17" customFormat="1" ht="55.2" x14ac:dyDescent="0.3">
      <c r="A161" s="69"/>
      <c r="B161" s="72"/>
      <c r="C161" s="131" t="s">
        <v>299</v>
      </c>
      <c r="D161" s="43"/>
      <c r="E161" s="108">
        <f>(156290.64/1000)*(17.85-15.15)</f>
        <v>421.98472800000025</v>
      </c>
      <c r="F161" s="115" t="s">
        <v>80</v>
      </c>
      <c r="G161" s="126">
        <v>46.5</v>
      </c>
      <c r="H161" s="125">
        <f t="shared" ref="H161:H163" si="11">E161*G161</f>
        <v>19622.289852000013</v>
      </c>
      <c r="I161" s="50"/>
      <c r="J161" s="171" t="s">
        <v>120</v>
      </c>
      <c r="K161" s="171" t="s">
        <v>305</v>
      </c>
      <c r="L161" s="93" t="s">
        <v>120</v>
      </c>
      <c r="M161" s="16"/>
      <c r="N161" s="16"/>
      <c r="O161" s="12"/>
      <c r="P161" s="12"/>
      <c r="Q161" s="12"/>
      <c r="R161" s="12"/>
      <c r="S161" s="12"/>
      <c r="T161" s="12"/>
    </row>
    <row r="162" spans="1:20" s="17" customFormat="1" x14ac:dyDescent="0.3">
      <c r="A162" s="69" t="s">
        <v>306</v>
      </c>
      <c r="B162" s="72"/>
      <c r="C162" s="86" t="s">
        <v>307</v>
      </c>
      <c r="D162" s="43"/>
      <c r="E162" s="108"/>
      <c r="F162" s="115"/>
      <c r="G162" s="126"/>
      <c r="H162" s="125"/>
      <c r="I162" s="50"/>
      <c r="J162" s="171"/>
      <c r="K162" s="171"/>
      <c r="L162" s="171"/>
      <c r="M162" s="16"/>
      <c r="N162" s="16"/>
      <c r="O162" s="12"/>
      <c r="P162" s="12"/>
      <c r="Q162" s="12"/>
      <c r="R162" s="12"/>
      <c r="S162" s="12"/>
      <c r="T162" s="12"/>
    </row>
    <row r="163" spans="1:20" s="17" customFormat="1" ht="55.2" x14ac:dyDescent="0.3">
      <c r="A163" s="69"/>
      <c r="B163" s="72"/>
      <c r="C163" s="131" t="s">
        <v>308</v>
      </c>
      <c r="D163" s="43"/>
      <c r="E163" s="108">
        <v>15</v>
      </c>
      <c r="F163" s="115" t="s">
        <v>86</v>
      </c>
      <c r="G163" s="126">
        <v>485</v>
      </c>
      <c r="H163" s="125">
        <f t="shared" si="11"/>
        <v>7275</v>
      </c>
      <c r="I163" s="50"/>
      <c r="J163" s="171" t="s">
        <v>309</v>
      </c>
      <c r="K163" s="171"/>
      <c r="L163" s="93" t="s">
        <v>310</v>
      </c>
      <c r="M163" s="16"/>
      <c r="N163" s="16"/>
      <c r="O163" s="12"/>
      <c r="P163" s="12"/>
      <c r="Q163" s="12"/>
      <c r="R163" s="12"/>
      <c r="S163" s="12"/>
      <c r="T163" s="12"/>
    </row>
    <row r="164" spans="1:20" x14ac:dyDescent="0.3">
      <c r="A164" s="70"/>
      <c r="B164" s="71"/>
      <c r="C164" s="131"/>
      <c r="D164" s="43"/>
      <c r="E164" s="108"/>
      <c r="F164" s="115"/>
      <c r="G164" s="126"/>
      <c r="H164" s="125"/>
      <c r="I164" s="50"/>
      <c r="J164" s="171"/>
      <c r="K164" s="171"/>
      <c r="L164" s="171"/>
      <c r="M164" s="11"/>
      <c r="N164" s="11"/>
      <c r="O164" s="12"/>
      <c r="P164" s="12"/>
      <c r="Q164" s="12"/>
      <c r="R164" s="12"/>
      <c r="S164" s="12"/>
      <c r="T164" s="12"/>
    </row>
    <row r="165" spans="1:20" s="17" customFormat="1" x14ac:dyDescent="0.3">
      <c r="A165" s="69">
        <v>2.8</v>
      </c>
      <c r="B165" s="72"/>
      <c r="C165" s="142" t="s">
        <v>29</v>
      </c>
      <c r="D165" s="42"/>
      <c r="E165" s="109"/>
      <c r="F165" s="116"/>
      <c r="G165" s="128"/>
      <c r="H165" s="125"/>
      <c r="I165" s="46"/>
      <c r="J165" s="47"/>
      <c r="K165" s="47"/>
      <c r="L165" s="47"/>
      <c r="M165" s="16"/>
      <c r="N165" s="16"/>
      <c r="O165" s="12"/>
      <c r="P165" s="12"/>
      <c r="Q165" s="12"/>
      <c r="R165" s="12"/>
      <c r="S165" s="12"/>
      <c r="T165" s="12"/>
    </row>
    <row r="166" spans="1:20" s="17" customFormat="1" ht="41.4" x14ac:dyDescent="0.3">
      <c r="A166" s="69" t="s">
        <v>319</v>
      </c>
      <c r="B166" s="72"/>
      <c r="C166" s="86" t="s">
        <v>30</v>
      </c>
      <c r="D166" s="48"/>
      <c r="E166" s="109"/>
      <c r="F166" s="116"/>
      <c r="G166" s="128"/>
      <c r="H166" s="125"/>
      <c r="I166" s="46"/>
      <c r="J166" s="47"/>
      <c r="K166" s="47"/>
      <c r="L166" s="47"/>
      <c r="M166" s="16"/>
      <c r="N166" s="16"/>
      <c r="O166" s="12"/>
      <c r="P166" s="12"/>
      <c r="Q166" s="12"/>
      <c r="R166" s="12"/>
      <c r="S166" s="12"/>
      <c r="T166" s="12"/>
    </row>
    <row r="167" spans="1:20" ht="41.4" x14ac:dyDescent="0.3">
      <c r="A167" s="70"/>
      <c r="B167" s="71"/>
      <c r="C167" s="131" t="s">
        <v>311</v>
      </c>
      <c r="D167" s="43"/>
      <c r="E167" s="108">
        <f>65-E169-E170-E171</f>
        <v>38</v>
      </c>
      <c r="F167" s="115" t="s">
        <v>86</v>
      </c>
      <c r="G167" s="126">
        <v>310</v>
      </c>
      <c r="H167" s="125">
        <f t="shared" ref="H167" si="12">E167*G167</f>
        <v>11780</v>
      </c>
      <c r="I167" s="46"/>
      <c r="J167" s="171" t="s">
        <v>313</v>
      </c>
      <c r="K167" s="47"/>
      <c r="L167" s="93" t="s">
        <v>312</v>
      </c>
      <c r="M167" s="11"/>
      <c r="N167" s="11"/>
      <c r="O167" s="12"/>
      <c r="P167" s="12"/>
      <c r="Q167" s="12"/>
      <c r="R167" s="12"/>
      <c r="S167" s="12"/>
      <c r="T167" s="12"/>
    </row>
    <row r="168" spans="1:20" ht="41.4" x14ac:dyDescent="0.3">
      <c r="A168" s="69" t="s">
        <v>320</v>
      </c>
      <c r="B168" s="71"/>
      <c r="C168" s="86" t="s">
        <v>31</v>
      </c>
      <c r="D168" s="43"/>
      <c r="E168" s="108"/>
      <c r="F168" s="115"/>
      <c r="G168" s="126"/>
      <c r="H168" s="125"/>
      <c r="I168" s="46"/>
      <c r="J168" s="171"/>
      <c r="K168" s="47"/>
      <c r="L168" s="93"/>
      <c r="M168" s="11"/>
      <c r="N168" s="11"/>
      <c r="O168" s="12"/>
      <c r="P168" s="12"/>
      <c r="Q168" s="12"/>
      <c r="R168" s="12"/>
      <c r="S168" s="12"/>
      <c r="T168" s="12"/>
    </row>
    <row r="169" spans="1:20" ht="55.2" x14ac:dyDescent="0.3">
      <c r="A169" s="70"/>
      <c r="B169" s="71"/>
      <c r="C169" s="131" t="s">
        <v>315</v>
      </c>
      <c r="D169" s="48"/>
      <c r="E169" s="108">
        <v>15</v>
      </c>
      <c r="F169" s="115" t="s">
        <v>86</v>
      </c>
      <c r="G169" s="126">
        <v>500</v>
      </c>
      <c r="H169" s="125">
        <f t="shared" ref="H169:H171" si="13">E169*G169</f>
        <v>7500</v>
      </c>
      <c r="I169" s="46"/>
      <c r="J169" s="171" t="s">
        <v>130</v>
      </c>
      <c r="K169" s="47"/>
      <c r="L169" s="93" t="s">
        <v>314</v>
      </c>
      <c r="M169" s="11"/>
      <c r="N169" s="11"/>
      <c r="O169" s="12"/>
      <c r="P169" s="12"/>
      <c r="Q169" s="12"/>
      <c r="R169" s="12"/>
      <c r="S169" s="12"/>
      <c r="T169" s="12"/>
    </row>
    <row r="170" spans="1:20" ht="55.2" x14ac:dyDescent="0.3">
      <c r="A170" s="70"/>
      <c r="B170" s="71"/>
      <c r="C170" s="131" t="s">
        <v>316</v>
      </c>
      <c r="D170" s="48"/>
      <c r="E170" s="108">
        <v>9</v>
      </c>
      <c r="F170" s="115" t="s">
        <v>86</v>
      </c>
      <c r="G170" s="126">
        <v>780</v>
      </c>
      <c r="H170" s="125">
        <f t="shared" si="13"/>
        <v>7020</v>
      </c>
      <c r="I170" s="46"/>
      <c r="J170" s="171" t="s">
        <v>130</v>
      </c>
      <c r="K170" s="47"/>
      <c r="L170" s="93" t="s">
        <v>314</v>
      </c>
      <c r="M170" s="11"/>
      <c r="N170" s="11"/>
      <c r="O170" s="12"/>
      <c r="P170" s="12"/>
      <c r="Q170" s="12"/>
      <c r="R170" s="12"/>
      <c r="S170" s="12"/>
      <c r="T170" s="12"/>
    </row>
    <row r="171" spans="1:20" ht="55.2" x14ac:dyDescent="0.3">
      <c r="A171" s="70"/>
      <c r="B171" s="71"/>
      <c r="C171" s="131" t="s">
        <v>317</v>
      </c>
      <c r="D171" s="48"/>
      <c r="E171" s="108">
        <v>3</v>
      </c>
      <c r="F171" s="115" t="s">
        <v>86</v>
      </c>
      <c r="G171" s="126">
        <v>1450</v>
      </c>
      <c r="H171" s="125">
        <f t="shared" si="13"/>
        <v>4350</v>
      </c>
      <c r="I171" s="46"/>
      <c r="J171" s="171" t="s">
        <v>318</v>
      </c>
      <c r="K171" s="47"/>
      <c r="L171" s="93" t="s">
        <v>314</v>
      </c>
      <c r="M171" s="11"/>
      <c r="N171" s="11"/>
      <c r="O171" s="12"/>
      <c r="P171" s="12"/>
      <c r="Q171" s="12"/>
      <c r="R171" s="12"/>
      <c r="S171" s="12"/>
      <c r="T171" s="12"/>
    </row>
    <row r="172" spans="1:20" s="15" customFormat="1" x14ac:dyDescent="0.3">
      <c r="A172" s="79">
        <v>3</v>
      </c>
      <c r="B172" s="80"/>
      <c r="C172" s="138" t="s">
        <v>32</v>
      </c>
      <c r="D172" s="81"/>
      <c r="E172" s="104"/>
      <c r="F172" s="82"/>
      <c r="G172" s="123"/>
      <c r="H172" s="123"/>
      <c r="I172" s="83">
        <f>SUM(H172:H196)</f>
        <v>273238.90800857695</v>
      </c>
      <c r="J172" s="94"/>
      <c r="K172" s="94"/>
      <c r="L172" s="94"/>
      <c r="M172" s="13"/>
      <c r="N172" s="13"/>
      <c r="O172" s="14"/>
      <c r="P172" s="14"/>
      <c r="Q172" s="14"/>
      <c r="R172" s="14"/>
      <c r="S172" s="14"/>
      <c r="T172" s="14"/>
    </row>
    <row r="173" spans="1:20" x14ac:dyDescent="0.3">
      <c r="A173" s="70"/>
      <c r="B173" s="71"/>
      <c r="C173" s="131"/>
      <c r="D173" s="43"/>
      <c r="E173" s="108"/>
      <c r="F173" s="115"/>
      <c r="G173" s="126"/>
      <c r="H173" s="125"/>
      <c r="I173" s="50"/>
      <c r="J173" s="171"/>
      <c r="K173" s="171"/>
      <c r="L173" s="171"/>
      <c r="M173" s="11"/>
      <c r="N173" s="11"/>
      <c r="O173" s="12"/>
      <c r="P173" s="12"/>
      <c r="Q173" s="12"/>
      <c r="R173" s="12"/>
      <c r="S173" s="12"/>
      <c r="T173" s="12"/>
    </row>
    <row r="174" spans="1:20" x14ac:dyDescent="0.3">
      <c r="A174" s="69">
        <v>3.1</v>
      </c>
      <c r="B174" s="71"/>
      <c r="C174" s="141" t="s">
        <v>33</v>
      </c>
      <c r="D174" s="42"/>
      <c r="E174" s="108"/>
      <c r="F174" s="115"/>
      <c r="G174" s="126"/>
      <c r="H174" s="125"/>
      <c r="I174" s="50"/>
      <c r="J174" s="77"/>
      <c r="K174" s="77"/>
      <c r="L174" s="77"/>
      <c r="M174" s="11"/>
      <c r="N174" s="11"/>
      <c r="O174" s="12"/>
      <c r="P174" s="12"/>
      <c r="Q174" s="12"/>
      <c r="R174" s="12"/>
      <c r="S174" s="12"/>
      <c r="T174" s="12"/>
    </row>
    <row r="175" spans="1:20" x14ac:dyDescent="0.3">
      <c r="A175" s="69"/>
      <c r="B175" s="71"/>
      <c r="C175" s="86" t="s">
        <v>34</v>
      </c>
      <c r="D175" s="48"/>
      <c r="E175" s="108"/>
      <c r="F175" s="115"/>
      <c r="G175" s="126"/>
      <c r="H175" s="125"/>
      <c r="I175" s="50"/>
      <c r="J175" s="77"/>
      <c r="K175" s="77"/>
      <c r="L175" s="77"/>
      <c r="M175" s="11"/>
      <c r="N175" s="11"/>
      <c r="O175" s="12"/>
      <c r="P175" s="12"/>
      <c r="Q175" s="12"/>
      <c r="R175" s="12"/>
      <c r="S175" s="12"/>
      <c r="T175" s="12"/>
    </row>
    <row r="176" spans="1:20" x14ac:dyDescent="0.3">
      <c r="A176" s="69"/>
      <c r="B176" s="71"/>
      <c r="C176" s="131" t="s">
        <v>35</v>
      </c>
      <c r="D176" s="43"/>
      <c r="E176" s="108">
        <v>0</v>
      </c>
      <c r="F176" s="115" t="s">
        <v>80</v>
      </c>
      <c r="G176" s="126">
        <v>0</v>
      </c>
      <c r="H176" s="125">
        <f t="shared" ref="H176:H183" si="14">E176*G176</f>
        <v>0</v>
      </c>
      <c r="I176" s="50"/>
      <c r="J176" s="171" t="s">
        <v>321</v>
      </c>
      <c r="K176" s="171"/>
      <c r="L176" s="171"/>
      <c r="M176" s="11"/>
      <c r="N176" s="11"/>
      <c r="O176" s="12"/>
      <c r="P176" s="12"/>
      <c r="Q176" s="12"/>
      <c r="R176" s="12"/>
      <c r="S176" s="12"/>
      <c r="T176" s="12"/>
    </row>
    <row r="177" spans="1:20" x14ac:dyDescent="0.3">
      <c r="A177" s="70"/>
      <c r="B177" s="71"/>
      <c r="C177" s="131"/>
      <c r="D177" s="43"/>
      <c r="E177" s="108"/>
      <c r="F177" s="115"/>
      <c r="G177" s="126"/>
      <c r="H177" s="125"/>
      <c r="I177" s="50"/>
      <c r="J177" s="171"/>
      <c r="K177" s="171"/>
      <c r="L177" s="171"/>
      <c r="M177" s="11"/>
      <c r="N177" s="11"/>
      <c r="O177" s="12"/>
      <c r="P177" s="12"/>
      <c r="Q177" s="12"/>
      <c r="R177" s="12"/>
      <c r="S177" s="12"/>
      <c r="T177" s="12"/>
    </row>
    <row r="178" spans="1:20" x14ac:dyDescent="0.3">
      <c r="A178" s="69">
        <v>3.2</v>
      </c>
      <c r="B178" s="71"/>
      <c r="C178" s="141" t="s">
        <v>36</v>
      </c>
      <c r="D178" s="42"/>
      <c r="E178" s="108"/>
      <c r="F178" s="115"/>
      <c r="G178" s="126"/>
      <c r="H178" s="125"/>
      <c r="I178" s="50"/>
      <c r="J178" s="171"/>
      <c r="K178" s="171"/>
      <c r="L178" s="171"/>
      <c r="M178" s="11"/>
      <c r="N178" s="11"/>
      <c r="O178" s="12"/>
      <c r="P178" s="12"/>
      <c r="Q178" s="12"/>
      <c r="R178" s="12"/>
      <c r="S178" s="12"/>
      <c r="T178" s="12"/>
    </row>
    <row r="179" spans="1:20" x14ac:dyDescent="0.3">
      <c r="A179" s="69"/>
      <c r="B179" s="71"/>
      <c r="C179" s="86" t="s">
        <v>37</v>
      </c>
      <c r="D179" s="48"/>
      <c r="E179" s="108"/>
      <c r="F179" s="115"/>
      <c r="G179" s="126"/>
      <c r="H179" s="125"/>
      <c r="I179" s="50"/>
      <c r="J179" s="171"/>
      <c r="K179" s="171"/>
      <c r="L179" s="171"/>
      <c r="M179" s="11"/>
      <c r="N179" s="11"/>
      <c r="O179" s="12"/>
      <c r="P179" s="12"/>
      <c r="Q179" s="12"/>
      <c r="R179" s="12"/>
      <c r="S179" s="12"/>
      <c r="T179" s="12"/>
    </row>
    <row r="180" spans="1:20" x14ac:dyDescent="0.3">
      <c r="A180" s="69"/>
      <c r="B180" s="71"/>
      <c r="C180" s="133" t="s">
        <v>300</v>
      </c>
      <c r="D180" s="48"/>
      <c r="E180" s="108"/>
      <c r="F180" s="115"/>
      <c r="G180" s="126"/>
      <c r="H180" s="125"/>
      <c r="I180" s="50"/>
      <c r="J180" s="171"/>
      <c r="K180" s="171"/>
      <c r="L180" s="171"/>
      <c r="M180" s="11"/>
      <c r="N180" s="11"/>
      <c r="O180" s="12"/>
      <c r="P180" s="12"/>
      <c r="Q180" s="12"/>
      <c r="R180" s="12"/>
      <c r="S180" s="12"/>
      <c r="T180" s="12"/>
    </row>
    <row r="181" spans="1:20" ht="41.4" x14ac:dyDescent="0.3">
      <c r="A181" s="73"/>
      <c r="B181" s="71"/>
      <c r="C181" s="131" t="s">
        <v>322</v>
      </c>
      <c r="D181" s="43"/>
      <c r="E181" s="108">
        <f>915832227.14/1000000</f>
        <v>915.83222713999999</v>
      </c>
      <c r="F181" s="115" t="s">
        <v>80</v>
      </c>
      <c r="G181" s="126">
        <v>62</v>
      </c>
      <c r="H181" s="125">
        <f t="shared" si="14"/>
        <v>56781.598082680001</v>
      </c>
      <c r="I181" s="49"/>
      <c r="J181" s="171" t="s">
        <v>325</v>
      </c>
      <c r="K181" s="171" t="s">
        <v>324</v>
      </c>
      <c r="L181" s="93" t="s">
        <v>323</v>
      </c>
      <c r="M181" s="11"/>
      <c r="N181" s="11"/>
      <c r="O181" s="18"/>
      <c r="P181" s="18"/>
      <c r="Q181" s="18"/>
      <c r="R181" s="18"/>
      <c r="S181" s="18"/>
      <c r="T181" s="18"/>
    </row>
    <row r="182" spans="1:20" ht="27.6" x14ac:dyDescent="0.3">
      <c r="A182" s="73"/>
      <c r="B182" s="71"/>
      <c r="C182" s="131" t="s">
        <v>327</v>
      </c>
      <c r="D182" s="43"/>
      <c r="E182" s="108">
        <f>15639128.35/1000000</f>
        <v>15.63912835</v>
      </c>
      <c r="F182" s="115" t="s">
        <v>80</v>
      </c>
      <c r="G182" s="126">
        <v>15.5</v>
      </c>
      <c r="H182" s="125">
        <f t="shared" si="14"/>
        <v>242.40648942499999</v>
      </c>
      <c r="I182" s="49"/>
      <c r="J182" s="171" t="s">
        <v>314</v>
      </c>
      <c r="K182" s="171" t="s">
        <v>326</v>
      </c>
      <c r="L182" s="171" t="s">
        <v>153</v>
      </c>
      <c r="M182" s="11"/>
      <c r="N182" s="11"/>
      <c r="O182" s="18"/>
      <c r="P182" s="18"/>
      <c r="Q182" s="18"/>
      <c r="R182" s="18"/>
      <c r="S182" s="18"/>
      <c r="T182" s="18"/>
    </row>
    <row r="183" spans="1:20" ht="27.6" x14ac:dyDescent="0.3">
      <c r="A183" s="70"/>
      <c r="B183" s="71"/>
      <c r="C183" s="131" t="s">
        <v>328</v>
      </c>
      <c r="D183" s="43"/>
      <c r="E183" s="108">
        <f>E182</f>
        <v>15.63912835</v>
      </c>
      <c r="F183" s="115" t="s">
        <v>80</v>
      </c>
      <c r="G183" s="126">
        <v>10.8</v>
      </c>
      <c r="H183" s="125">
        <f t="shared" si="14"/>
        <v>168.90258618000001</v>
      </c>
      <c r="I183" s="49"/>
      <c r="J183" s="171" t="s">
        <v>329</v>
      </c>
      <c r="K183" s="171" t="s">
        <v>153</v>
      </c>
      <c r="L183" s="171" t="s">
        <v>153</v>
      </c>
      <c r="M183" s="11"/>
      <c r="N183" s="11"/>
      <c r="O183" s="18"/>
      <c r="P183" s="18"/>
      <c r="Q183" s="18"/>
      <c r="R183" s="18"/>
      <c r="S183" s="18"/>
      <c r="T183" s="18"/>
    </row>
    <row r="184" spans="1:20" x14ac:dyDescent="0.3">
      <c r="A184" s="70"/>
      <c r="B184" s="71"/>
      <c r="C184" s="133" t="s">
        <v>172</v>
      </c>
      <c r="D184" s="48"/>
      <c r="E184" s="108"/>
      <c r="F184" s="115"/>
      <c r="G184" s="126"/>
      <c r="H184" s="125"/>
      <c r="I184" s="50"/>
      <c r="J184" s="171"/>
      <c r="K184" s="171"/>
      <c r="L184" s="171"/>
      <c r="M184" s="11"/>
      <c r="N184" s="11"/>
      <c r="O184" s="18"/>
      <c r="P184" s="18"/>
      <c r="Q184" s="18"/>
      <c r="R184" s="18"/>
      <c r="S184" s="18"/>
      <c r="T184" s="18"/>
    </row>
    <row r="185" spans="1:20" ht="41.4" x14ac:dyDescent="0.3">
      <c r="A185" s="70"/>
      <c r="B185" s="71"/>
      <c r="C185" s="131" t="s">
        <v>322</v>
      </c>
      <c r="D185" s="43"/>
      <c r="E185" s="108">
        <f>906193219.24/1000000</f>
        <v>906.19321923999996</v>
      </c>
      <c r="F185" s="115" t="s">
        <v>80</v>
      </c>
      <c r="G185" s="126">
        <v>62</v>
      </c>
      <c r="H185" s="125">
        <f t="shared" ref="H185:H187" si="15">E185*G185</f>
        <v>56183.979592880001</v>
      </c>
      <c r="I185" s="49"/>
      <c r="J185" s="171" t="s">
        <v>325</v>
      </c>
      <c r="K185" s="171" t="s">
        <v>330</v>
      </c>
      <c r="L185" s="93" t="s">
        <v>323</v>
      </c>
      <c r="M185" s="11"/>
      <c r="N185" s="11"/>
      <c r="O185" s="18"/>
      <c r="P185" s="18"/>
      <c r="Q185" s="18"/>
      <c r="R185" s="18"/>
      <c r="S185" s="18"/>
      <c r="T185" s="18"/>
    </row>
    <row r="186" spans="1:20" ht="27.6" x14ac:dyDescent="0.3">
      <c r="A186" s="70"/>
      <c r="B186" s="71"/>
      <c r="C186" s="131" t="s">
        <v>327</v>
      </c>
      <c r="D186" s="43"/>
      <c r="E186" s="108">
        <f>14231687.38/1000000</f>
        <v>14.23168738</v>
      </c>
      <c r="F186" s="115" t="s">
        <v>80</v>
      </c>
      <c r="G186" s="126">
        <v>15.5</v>
      </c>
      <c r="H186" s="125">
        <f t="shared" si="15"/>
        <v>220.59115439000001</v>
      </c>
      <c r="I186" s="49"/>
      <c r="J186" s="171" t="s">
        <v>314</v>
      </c>
      <c r="K186" s="171" t="s">
        <v>331</v>
      </c>
      <c r="L186" s="171" t="s">
        <v>153</v>
      </c>
      <c r="M186" s="11"/>
      <c r="N186" s="11"/>
      <c r="O186" s="18"/>
      <c r="P186" s="18"/>
      <c r="Q186" s="18"/>
      <c r="R186" s="18"/>
      <c r="S186" s="18"/>
      <c r="T186" s="18"/>
    </row>
    <row r="187" spans="1:20" ht="27.6" x14ac:dyDescent="0.3">
      <c r="A187" s="70"/>
      <c r="B187" s="71"/>
      <c r="C187" s="131" t="s">
        <v>328</v>
      </c>
      <c r="D187" s="43"/>
      <c r="E187" s="108">
        <f>E186</f>
        <v>14.23168738</v>
      </c>
      <c r="F187" s="115" t="s">
        <v>80</v>
      </c>
      <c r="G187" s="126">
        <v>10.8</v>
      </c>
      <c r="H187" s="125">
        <f t="shared" si="15"/>
        <v>153.70222370400001</v>
      </c>
      <c r="I187" s="49"/>
      <c r="J187" s="171" t="s">
        <v>329</v>
      </c>
      <c r="K187" s="171" t="s">
        <v>153</v>
      </c>
      <c r="L187" s="171" t="s">
        <v>153</v>
      </c>
      <c r="M187" s="11"/>
      <c r="N187" s="11"/>
      <c r="O187" s="18"/>
      <c r="P187" s="18"/>
      <c r="Q187" s="18"/>
      <c r="R187" s="18"/>
      <c r="S187" s="18"/>
      <c r="T187" s="18"/>
    </row>
    <row r="188" spans="1:20" x14ac:dyDescent="0.3">
      <c r="A188" s="70"/>
      <c r="B188" s="71"/>
      <c r="C188" s="133" t="s">
        <v>173</v>
      </c>
      <c r="D188" s="48"/>
      <c r="E188" s="108"/>
      <c r="F188" s="115"/>
      <c r="G188" s="126"/>
      <c r="H188" s="125"/>
      <c r="I188" s="50"/>
      <c r="J188" s="171"/>
      <c r="K188" s="171"/>
      <c r="L188" s="171"/>
      <c r="M188" s="11"/>
      <c r="N188" s="11"/>
      <c r="O188" s="18"/>
      <c r="P188" s="18"/>
      <c r="Q188" s="18"/>
      <c r="R188" s="18"/>
      <c r="S188" s="18"/>
      <c r="T188" s="18"/>
    </row>
    <row r="189" spans="1:20" ht="41.4" x14ac:dyDescent="0.3">
      <c r="A189" s="70"/>
      <c r="B189" s="71"/>
      <c r="C189" s="131" t="s">
        <v>322</v>
      </c>
      <c r="D189" s="43"/>
      <c r="E189" s="108">
        <f>937232968.69/1000000</f>
        <v>937.23296869000001</v>
      </c>
      <c r="F189" s="115" t="s">
        <v>80</v>
      </c>
      <c r="G189" s="126">
        <v>62</v>
      </c>
      <c r="H189" s="125">
        <f t="shared" ref="H189:H191" si="16">E189*G189</f>
        <v>58108.444058779998</v>
      </c>
      <c r="I189" s="49"/>
      <c r="J189" s="171" t="s">
        <v>325</v>
      </c>
      <c r="K189" s="171" t="s">
        <v>332</v>
      </c>
      <c r="L189" s="93" t="s">
        <v>323</v>
      </c>
      <c r="M189" s="11"/>
      <c r="N189" s="11"/>
      <c r="O189" s="18"/>
      <c r="P189" s="18"/>
      <c r="Q189" s="18"/>
      <c r="R189" s="18"/>
      <c r="S189" s="18"/>
      <c r="T189" s="18"/>
    </row>
    <row r="190" spans="1:20" ht="27.6" x14ac:dyDescent="0.3">
      <c r="A190" s="70"/>
      <c r="B190" s="71"/>
      <c r="C190" s="131" t="s">
        <v>327</v>
      </c>
      <c r="D190" s="43"/>
      <c r="E190" s="108">
        <f>15579960.06/1000000</f>
        <v>15.579960060000001</v>
      </c>
      <c r="F190" s="115" t="s">
        <v>80</v>
      </c>
      <c r="G190" s="126">
        <v>15.5</v>
      </c>
      <c r="H190" s="125">
        <f t="shared" si="16"/>
        <v>241.48938093000001</v>
      </c>
      <c r="I190" s="49"/>
      <c r="J190" s="171" t="s">
        <v>314</v>
      </c>
      <c r="K190" s="171" t="s">
        <v>333</v>
      </c>
      <c r="L190" s="171" t="s">
        <v>153</v>
      </c>
      <c r="M190" s="11"/>
      <c r="N190" s="11"/>
      <c r="O190" s="18"/>
      <c r="P190" s="18"/>
      <c r="Q190" s="18"/>
      <c r="R190" s="18"/>
      <c r="S190" s="18"/>
      <c r="T190" s="18"/>
    </row>
    <row r="191" spans="1:20" ht="27.6" x14ac:dyDescent="0.3">
      <c r="A191" s="70"/>
      <c r="B191" s="71"/>
      <c r="C191" s="131" t="s">
        <v>328</v>
      </c>
      <c r="D191" s="43"/>
      <c r="E191" s="108">
        <f>E190</f>
        <v>15.579960060000001</v>
      </c>
      <c r="F191" s="115" t="s">
        <v>80</v>
      </c>
      <c r="G191" s="126">
        <v>10.8</v>
      </c>
      <c r="H191" s="125">
        <f t="shared" si="16"/>
        <v>168.26356864800002</v>
      </c>
      <c r="I191" s="49"/>
      <c r="J191" s="171" t="s">
        <v>329</v>
      </c>
      <c r="K191" s="171" t="s">
        <v>153</v>
      </c>
      <c r="L191" s="171" t="s">
        <v>153</v>
      </c>
      <c r="M191" s="11"/>
      <c r="N191" s="11"/>
      <c r="O191" s="18"/>
      <c r="P191" s="18"/>
      <c r="Q191" s="18"/>
      <c r="R191" s="18"/>
      <c r="S191" s="18"/>
      <c r="T191" s="18"/>
    </row>
    <row r="192" spans="1:20" x14ac:dyDescent="0.3">
      <c r="A192" s="70"/>
      <c r="B192" s="71"/>
      <c r="C192" s="131"/>
      <c r="D192" s="43"/>
      <c r="E192" s="108"/>
      <c r="F192" s="115"/>
      <c r="G192" s="126"/>
      <c r="H192" s="125"/>
      <c r="I192" s="49"/>
      <c r="J192" s="171"/>
      <c r="K192" s="171"/>
      <c r="L192" s="171"/>
      <c r="M192" s="11"/>
      <c r="N192" s="11"/>
      <c r="O192" s="18"/>
      <c r="P192" s="18"/>
      <c r="Q192" s="18"/>
      <c r="R192" s="18"/>
      <c r="S192" s="18"/>
      <c r="T192" s="18"/>
    </row>
    <row r="193" spans="1:20" x14ac:dyDescent="0.3">
      <c r="A193" s="69">
        <v>3.3</v>
      </c>
      <c r="B193" s="71"/>
      <c r="C193" s="141" t="s">
        <v>38</v>
      </c>
      <c r="D193" s="42"/>
      <c r="E193" s="108"/>
      <c r="F193" s="115"/>
      <c r="G193" s="126"/>
      <c r="H193" s="125"/>
      <c r="I193" s="50"/>
      <c r="J193" s="171"/>
      <c r="K193" s="171"/>
      <c r="L193" s="171"/>
      <c r="M193" s="11"/>
      <c r="N193" s="11"/>
      <c r="O193" s="12"/>
      <c r="P193" s="12"/>
      <c r="Q193" s="12"/>
      <c r="R193" s="12"/>
      <c r="S193" s="12"/>
      <c r="T193" s="12"/>
    </row>
    <row r="194" spans="1:20" x14ac:dyDescent="0.3">
      <c r="A194" s="69"/>
      <c r="B194" s="71"/>
      <c r="C194" s="86" t="s">
        <v>39</v>
      </c>
      <c r="D194" s="48"/>
      <c r="E194" s="108"/>
      <c r="F194" s="115"/>
      <c r="G194" s="126"/>
      <c r="H194" s="125"/>
      <c r="I194" s="50"/>
      <c r="J194" s="171"/>
      <c r="K194" s="171"/>
      <c r="L194" s="171"/>
      <c r="M194" s="11"/>
      <c r="N194" s="11"/>
      <c r="O194" s="12"/>
      <c r="P194" s="12"/>
      <c r="Q194" s="12"/>
      <c r="R194" s="12"/>
      <c r="S194" s="12"/>
      <c r="T194" s="12"/>
    </row>
    <row r="195" spans="1:20" x14ac:dyDescent="0.3">
      <c r="A195" s="69"/>
      <c r="B195" s="71"/>
      <c r="C195" s="86" t="s">
        <v>338</v>
      </c>
      <c r="D195" s="43"/>
      <c r="E195" s="108"/>
      <c r="F195" s="115"/>
      <c r="G195" s="126"/>
      <c r="H195" s="127"/>
      <c r="I195" s="50"/>
      <c r="J195" s="171"/>
      <c r="K195" s="171"/>
      <c r="L195" s="171"/>
      <c r="M195" s="11"/>
      <c r="N195" s="11"/>
      <c r="O195" s="12"/>
      <c r="P195" s="12"/>
      <c r="Q195" s="12"/>
      <c r="R195" s="12"/>
      <c r="S195" s="12"/>
      <c r="T195" s="12"/>
    </row>
    <row r="196" spans="1:20" ht="41.4" x14ac:dyDescent="0.3">
      <c r="A196" s="70"/>
      <c r="B196" s="71"/>
      <c r="C196" s="131" t="s">
        <v>334</v>
      </c>
      <c r="D196" s="43"/>
      <c r="E196" s="108">
        <f>E181+E182+E185+E186+E189+E190</f>
        <v>2804.70919086</v>
      </c>
      <c r="F196" s="115" t="s">
        <v>80</v>
      </c>
      <c r="G196" s="124">
        <v>36</v>
      </c>
      <c r="H196" s="125">
        <f t="shared" ref="H196" si="17">E196*G196</f>
        <v>100969.53087096001</v>
      </c>
      <c r="I196" s="46"/>
      <c r="J196" s="47" t="s">
        <v>335</v>
      </c>
      <c r="K196" s="47" t="s">
        <v>336</v>
      </c>
      <c r="L196" s="93" t="s">
        <v>337</v>
      </c>
      <c r="M196" s="11"/>
      <c r="N196" s="11"/>
      <c r="O196" s="12"/>
      <c r="P196" s="12"/>
      <c r="Q196" s="12"/>
      <c r="R196" s="12"/>
      <c r="S196" s="12"/>
      <c r="T196" s="12"/>
    </row>
    <row r="197" spans="1:20" x14ac:dyDescent="0.3">
      <c r="A197" s="70"/>
      <c r="B197" s="71"/>
      <c r="C197" s="131"/>
      <c r="D197" s="43"/>
      <c r="E197" s="108"/>
      <c r="F197" s="115"/>
      <c r="G197" s="124"/>
      <c r="H197" s="127"/>
      <c r="I197" s="46"/>
      <c r="J197" s="47"/>
      <c r="K197" s="47"/>
      <c r="L197" s="47"/>
      <c r="M197" s="11"/>
      <c r="N197" s="11"/>
      <c r="O197" s="12"/>
      <c r="P197" s="12"/>
      <c r="Q197" s="12"/>
      <c r="R197" s="12"/>
      <c r="S197" s="12"/>
      <c r="T197" s="12"/>
    </row>
    <row r="198" spans="1:20" s="15" customFormat="1" x14ac:dyDescent="0.3">
      <c r="A198" s="79">
        <v>4</v>
      </c>
      <c r="B198" s="80"/>
      <c r="C198" s="138" t="s">
        <v>40</v>
      </c>
      <c r="D198" s="81"/>
      <c r="E198" s="104"/>
      <c r="F198" s="82"/>
      <c r="G198" s="123"/>
      <c r="H198" s="123"/>
      <c r="I198" s="83">
        <f>SUM(H198:H203)</f>
        <v>0</v>
      </c>
      <c r="J198" s="94"/>
      <c r="K198" s="94"/>
      <c r="L198" s="94"/>
      <c r="M198" s="13"/>
      <c r="N198" s="13"/>
      <c r="O198" s="14"/>
      <c r="P198" s="14"/>
      <c r="Q198" s="14"/>
      <c r="R198" s="14"/>
      <c r="S198" s="14"/>
      <c r="T198" s="14"/>
    </row>
    <row r="199" spans="1:20" x14ac:dyDescent="0.3">
      <c r="A199" s="67"/>
      <c r="B199" s="71"/>
      <c r="C199" s="141"/>
      <c r="D199" s="42"/>
      <c r="E199" s="108"/>
      <c r="F199" s="115"/>
      <c r="G199" s="124"/>
      <c r="H199" s="125"/>
      <c r="I199" s="46"/>
      <c r="J199" s="47"/>
      <c r="K199" s="47"/>
      <c r="L199" s="47"/>
      <c r="M199" s="11"/>
      <c r="N199" s="11"/>
      <c r="O199" s="12"/>
      <c r="P199" s="12"/>
      <c r="Q199" s="12"/>
      <c r="R199" s="12"/>
      <c r="S199" s="12"/>
      <c r="T199" s="12"/>
    </row>
    <row r="200" spans="1:20" x14ac:dyDescent="0.3">
      <c r="A200" s="69"/>
      <c r="B200" s="71"/>
      <c r="C200" s="141" t="s">
        <v>340</v>
      </c>
      <c r="D200" s="42"/>
      <c r="E200" s="108"/>
      <c r="F200" s="115"/>
      <c r="G200" s="124"/>
      <c r="H200" s="125"/>
      <c r="I200" s="46"/>
      <c r="J200" s="47"/>
      <c r="K200" s="47"/>
      <c r="L200" s="47"/>
      <c r="M200" s="11"/>
      <c r="N200" s="11"/>
      <c r="O200" s="12"/>
      <c r="P200" s="12"/>
      <c r="Q200" s="12"/>
      <c r="R200" s="12"/>
      <c r="S200" s="12"/>
      <c r="T200" s="12"/>
    </row>
    <row r="201" spans="1:20" x14ac:dyDescent="0.3">
      <c r="A201" s="69"/>
      <c r="B201" s="71"/>
      <c r="C201" s="141" t="s">
        <v>341</v>
      </c>
      <c r="D201" s="48"/>
      <c r="E201" s="108"/>
      <c r="F201" s="115"/>
      <c r="G201" s="124"/>
      <c r="H201" s="125"/>
      <c r="I201" s="46"/>
      <c r="J201" s="47"/>
      <c r="K201" s="47"/>
      <c r="L201" s="47"/>
      <c r="M201" s="11"/>
      <c r="N201" s="11"/>
      <c r="O201" s="12"/>
      <c r="P201" s="12"/>
      <c r="Q201" s="12"/>
      <c r="R201" s="12"/>
      <c r="S201" s="12"/>
      <c r="T201" s="12"/>
    </row>
    <row r="202" spans="1:20" x14ac:dyDescent="0.3">
      <c r="A202" s="73"/>
      <c r="B202" s="71"/>
      <c r="C202" s="141" t="s">
        <v>342</v>
      </c>
      <c r="D202" s="43"/>
      <c r="E202" s="108"/>
      <c r="F202" s="115"/>
      <c r="G202" s="124"/>
      <c r="H202" s="125"/>
      <c r="I202" s="45"/>
      <c r="J202" s="47"/>
      <c r="K202" s="47"/>
      <c r="L202" s="47"/>
      <c r="M202" s="11"/>
      <c r="N202" s="11"/>
      <c r="O202" s="18"/>
      <c r="P202" s="18"/>
      <c r="Q202" s="18"/>
      <c r="R202" s="18"/>
      <c r="S202" s="18"/>
      <c r="T202" s="18"/>
    </row>
    <row r="203" spans="1:20" x14ac:dyDescent="0.3">
      <c r="A203" s="70"/>
      <c r="B203" s="71"/>
      <c r="C203" s="131"/>
      <c r="D203" s="43"/>
      <c r="E203" s="108"/>
      <c r="F203" s="115"/>
      <c r="G203" s="124"/>
      <c r="H203" s="125"/>
      <c r="I203" s="46"/>
      <c r="J203" s="47"/>
      <c r="K203" s="47"/>
      <c r="L203" s="47"/>
      <c r="M203" s="11"/>
      <c r="N203" s="11"/>
      <c r="O203" s="12"/>
      <c r="P203" s="12"/>
      <c r="Q203" s="12"/>
      <c r="R203" s="12"/>
      <c r="S203" s="12"/>
      <c r="T203" s="12"/>
    </row>
    <row r="204" spans="1:20" s="15" customFormat="1" x14ac:dyDescent="0.3">
      <c r="A204" s="79">
        <v>5</v>
      </c>
      <c r="B204" s="80"/>
      <c r="C204" s="138" t="s">
        <v>41</v>
      </c>
      <c r="D204" s="81"/>
      <c r="E204" s="104"/>
      <c r="F204" s="82"/>
      <c r="G204" s="123"/>
      <c r="H204" s="123"/>
      <c r="I204" s="83">
        <f>SUM(H204:H210)</f>
        <v>0</v>
      </c>
      <c r="J204" s="94"/>
      <c r="K204" s="94"/>
      <c r="L204" s="94"/>
      <c r="M204" s="13"/>
      <c r="N204" s="13"/>
      <c r="O204" s="14"/>
      <c r="P204" s="14"/>
      <c r="Q204" s="14"/>
      <c r="R204" s="14"/>
      <c r="S204" s="14"/>
      <c r="T204" s="14"/>
    </row>
    <row r="205" spans="1:20" x14ac:dyDescent="0.3">
      <c r="A205" s="70"/>
      <c r="B205" s="71"/>
      <c r="C205" s="131"/>
      <c r="D205" s="43"/>
      <c r="E205" s="108"/>
      <c r="F205" s="115"/>
      <c r="G205" s="124"/>
      <c r="H205" s="125"/>
      <c r="I205" s="46"/>
      <c r="J205" s="47"/>
      <c r="K205" s="47"/>
      <c r="L205" s="47"/>
      <c r="M205" s="11"/>
      <c r="N205" s="11"/>
      <c r="O205" s="12"/>
      <c r="P205" s="12"/>
      <c r="Q205" s="12"/>
      <c r="R205" s="12"/>
      <c r="S205" s="12"/>
      <c r="T205" s="12"/>
    </row>
    <row r="206" spans="1:20" x14ac:dyDescent="0.3">
      <c r="A206" s="69"/>
      <c r="B206" s="71"/>
      <c r="C206" s="141" t="s">
        <v>343</v>
      </c>
      <c r="D206" s="42"/>
      <c r="E206" s="108"/>
      <c r="F206" s="115"/>
      <c r="G206" s="124"/>
      <c r="H206" s="125"/>
      <c r="I206" s="46"/>
      <c r="J206" s="47"/>
      <c r="K206" s="47"/>
      <c r="L206" s="47"/>
      <c r="M206" s="11"/>
      <c r="N206" s="11"/>
      <c r="O206" s="12"/>
      <c r="P206" s="12"/>
      <c r="Q206" s="12"/>
      <c r="R206" s="12"/>
      <c r="S206" s="12"/>
      <c r="T206" s="12"/>
    </row>
    <row r="207" spans="1:20" x14ac:dyDescent="0.3">
      <c r="A207" s="69"/>
      <c r="B207" s="71"/>
      <c r="C207" s="141" t="s">
        <v>341</v>
      </c>
      <c r="D207" s="48"/>
      <c r="E207" s="108"/>
      <c r="F207" s="115"/>
      <c r="G207" s="124"/>
      <c r="H207" s="125"/>
      <c r="I207" s="46"/>
      <c r="J207" s="47"/>
      <c r="K207" s="47"/>
      <c r="L207" s="47"/>
      <c r="M207" s="11"/>
      <c r="N207" s="11"/>
      <c r="O207" s="12"/>
      <c r="P207" s="12"/>
      <c r="Q207" s="12"/>
      <c r="R207" s="12"/>
      <c r="S207" s="12"/>
      <c r="T207" s="12"/>
    </row>
    <row r="208" spans="1:20" x14ac:dyDescent="0.3">
      <c r="A208" s="73"/>
      <c r="B208" s="71"/>
      <c r="C208" s="141" t="s">
        <v>342</v>
      </c>
      <c r="D208" s="43"/>
      <c r="E208" s="108"/>
      <c r="F208" s="115"/>
      <c r="G208" s="124"/>
      <c r="H208" s="125"/>
      <c r="I208" s="45"/>
      <c r="J208" s="47"/>
      <c r="K208" s="47"/>
      <c r="L208" s="47"/>
      <c r="M208" s="11"/>
      <c r="N208" s="11"/>
      <c r="O208" s="18"/>
      <c r="P208" s="18"/>
      <c r="Q208" s="18"/>
      <c r="R208" s="18"/>
      <c r="S208" s="18"/>
      <c r="T208" s="18"/>
    </row>
    <row r="209" spans="1:20" s="17" customFormat="1" x14ac:dyDescent="0.3">
      <c r="A209" s="69"/>
      <c r="B209" s="72"/>
      <c r="C209" s="141" t="s">
        <v>344</v>
      </c>
      <c r="D209" s="43"/>
      <c r="E209" s="108"/>
      <c r="F209" s="115"/>
      <c r="G209" s="124"/>
      <c r="H209" s="125"/>
      <c r="I209" s="50"/>
      <c r="J209" s="171"/>
      <c r="K209" s="171"/>
      <c r="L209" s="171"/>
      <c r="M209" s="16"/>
      <c r="N209" s="16"/>
      <c r="O209" s="12"/>
      <c r="P209" s="12"/>
      <c r="Q209" s="12"/>
      <c r="R209" s="12"/>
      <c r="S209" s="12"/>
      <c r="T209" s="12"/>
    </row>
    <row r="210" spans="1:20" x14ac:dyDescent="0.3">
      <c r="A210" s="74"/>
      <c r="B210" s="71"/>
      <c r="C210" s="131"/>
      <c r="D210" s="54"/>
      <c r="E210" s="108"/>
      <c r="F210" s="115"/>
      <c r="G210" s="126"/>
      <c r="H210" s="127"/>
      <c r="I210" s="50"/>
      <c r="J210" s="171"/>
      <c r="K210" s="171"/>
      <c r="L210" s="171"/>
      <c r="M210" s="11"/>
      <c r="N210" s="11"/>
      <c r="O210" s="12"/>
      <c r="P210" s="12"/>
      <c r="Q210" s="12"/>
      <c r="R210" s="12"/>
      <c r="S210" s="12"/>
      <c r="T210" s="12"/>
    </row>
    <row r="211" spans="1:20" s="15" customFormat="1" x14ac:dyDescent="0.3">
      <c r="A211" s="79">
        <v>8</v>
      </c>
      <c r="B211" s="80"/>
      <c r="C211" s="138" t="s">
        <v>42</v>
      </c>
      <c r="D211" s="81"/>
      <c r="E211" s="104"/>
      <c r="F211" s="82"/>
      <c r="G211" s="123"/>
      <c r="H211" s="123"/>
      <c r="I211" s="83">
        <f>SUM(H217:H218)</f>
        <v>0</v>
      </c>
      <c r="J211" s="94"/>
      <c r="K211" s="94"/>
      <c r="L211" s="94"/>
      <c r="M211" s="13"/>
      <c r="N211" s="13"/>
      <c r="O211" s="14"/>
      <c r="P211" s="14"/>
      <c r="Q211" s="14"/>
      <c r="R211" s="14"/>
      <c r="S211" s="14"/>
      <c r="T211" s="14"/>
    </row>
    <row r="212" spans="1:20" x14ac:dyDescent="0.3">
      <c r="A212" s="70"/>
      <c r="B212" s="71"/>
      <c r="C212" s="131"/>
      <c r="D212" s="43"/>
      <c r="E212" s="108"/>
      <c r="F212" s="115"/>
      <c r="G212" s="124"/>
      <c r="H212" s="125"/>
      <c r="I212" s="46"/>
      <c r="J212" s="47"/>
      <c r="K212" s="47"/>
      <c r="L212" s="47"/>
      <c r="M212" s="11"/>
      <c r="N212" s="11"/>
      <c r="O212" s="12"/>
      <c r="P212" s="12"/>
      <c r="Q212" s="12"/>
      <c r="R212" s="12"/>
      <c r="S212" s="12"/>
      <c r="T212" s="12"/>
    </row>
    <row r="213" spans="1:20" x14ac:dyDescent="0.3">
      <c r="A213" s="69"/>
      <c r="B213" s="71"/>
      <c r="C213" s="141" t="s">
        <v>343</v>
      </c>
      <c r="D213" s="42"/>
      <c r="E213" s="108"/>
      <c r="F213" s="115"/>
      <c r="G213" s="124"/>
      <c r="H213" s="125"/>
      <c r="I213" s="46"/>
      <c r="J213" s="47"/>
      <c r="K213" s="47"/>
      <c r="L213" s="47"/>
      <c r="M213" s="11"/>
      <c r="N213" s="11"/>
      <c r="O213" s="12"/>
      <c r="P213" s="12"/>
      <c r="Q213" s="12"/>
      <c r="R213" s="12"/>
      <c r="S213" s="12"/>
      <c r="T213" s="12"/>
    </row>
    <row r="214" spans="1:20" x14ac:dyDescent="0.3">
      <c r="A214" s="69"/>
      <c r="B214" s="71"/>
      <c r="C214" s="141" t="s">
        <v>341</v>
      </c>
      <c r="D214" s="48"/>
      <c r="E214" s="108"/>
      <c r="F214" s="115"/>
      <c r="G214" s="124"/>
      <c r="H214" s="125"/>
      <c r="I214" s="46"/>
      <c r="J214" s="47"/>
      <c r="K214" s="47"/>
      <c r="L214" s="47"/>
      <c r="M214" s="11"/>
      <c r="N214" s="11"/>
      <c r="O214" s="12"/>
      <c r="P214" s="12"/>
      <c r="Q214" s="12"/>
      <c r="R214" s="12"/>
      <c r="S214" s="12"/>
      <c r="T214" s="12"/>
    </row>
    <row r="215" spans="1:20" x14ac:dyDescent="0.3">
      <c r="A215" s="73"/>
      <c r="B215" s="71"/>
      <c r="C215" s="141" t="s">
        <v>342</v>
      </c>
      <c r="D215" s="43"/>
      <c r="E215" s="108"/>
      <c r="F215" s="115"/>
      <c r="G215" s="124"/>
      <c r="H215" s="125"/>
      <c r="I215" s="45"/>
      <c r="J215" s="47"/>
      <c r="K215" s="47"/>
      <c r="L215" s="47"/>
      <c r="M215" s="11"/>
      <c r="N215" s="11"/>
      <c r="O215" s="18"/>
      <c r="P215" s="18"/>
      <c r="Q215" s="18"/>
      <c r="R215" s="18"/>
      <c r="S215" s="18"/>
      <c r="T215" s="18"/>
    </row>
    <row r="216" spans="1:20" s="17" customFormat="1" x14ac:dyDescent="0.3">
      <c r="A216" s="69"/>
      <c r="B216" s="72"/>
      <c r="C216" s="141" t="s">
        <v>344</v>
      </c>
      <c r="D216" s="43"/>
      <c r="E216" s="108"/>
      <c r="F216" s="115"/>
      <c r="G216" s="124"/>
      <c r="H216" s="125"/>
      <c r="I216" s="50"/>
      <c r="J216" s="171"/>
      <c r="K216" s="171"/>
      <c r="L216" s="171"/>
      <c r="M216" s="16"/>
      <c r="N216" s="16"/>
      <c r="O216" s="12"/>
      <c r="P216" s="12"/>
      <c r="Q216" s="12"/>
      <c r="R216" s="12"/>
      <c r="S216" s="12"/>
      <c r="T216" s="12"/>
    </row>
    <row r="217" spans="1:20" x14ac:dyDescent="0.3">
      <c r="A217" s="75"/>
      <c r="B217" s="78"/>
      <c r="C217" s="131"/>
      <c r="D217" s="56"/>
      <c r="E217" s="110"/>
      <c r="F217" s="118"/>
      <c r="G217" s="127"/>
      <c r="H217" s="127"/>
      <c r="I217" s="50"/>
      <c r="J217" s="97"/>
      <c r="K217" s="97"/>
      <c r="L217" s="97"/>
      <c r="M217" s="11"/>
      <c r="N217" s="11"/>
      <c r="O217" s="12"/>
      <c r="P217" s="12"/>
      <c r="Q217" s="12"/>
      <c r="R217" s="12"/>
      <c r="S217" s="12"/>
      <c r="T217" s="12"/>
    </row>
    <row r="218" spans="1:20" s="15" customFormat="1" x14ac:dyDescent="0.3">
      <c r="A218" s="79">
        <v>9</v>
      </c>
      <c r="B218" s="80"/>
      <c r="C218" s="138" t="s">
        <v>43</v>
      </c>
      <c r="D218" s="81"/>
      <c r="E218" s="104"/>
      <c r="F218" s="82"/>
      <c r="G218" s="123"/>
      <c r="H218" s="123"/>
      <c r="I218" s="83">
        <f>H220</f>
        <v>155358.4723595322</v>
      </c>
      <c r="J218" s="94"/>
      <c r="K218" s="94"/>
      <c r="L218" s="94"/>
      <c r="M218" s="13"/>
      <c r="N218" s="13"/>
      <c r="O218" s="14"/>
      <c r="P218" s="14"/>
      <c r="Q218" s="14"/>
      <c r="R218" s="14"/>
      <c r="S218" s="14"/>
      <c r="T218" s="14"/>
    </row>
    <row r="219" spans="1:20" x14ac:dyDescent="0.3">
      <c r="A219" s="76"/>
      <c r="B219" s="78"/>
      <c r="C219" s="144"/>
      <c r="D219" s="55"/>
      <c r="E219" s="110"/>
      <c r="F219" s="118"/>
      <c r="G219" s="127"/>
      <c r="H219" s="127"/>
      <c r="I219" s="57"/>
      <c r="J219" s="98"/>
      <c r="K219" s="98"/>
      <c r="L219" s="98"/>
      <c r="M219" s="11"/>
      <c r="N219" s="11"/>
      <c r="O219" s="12"/>
      <c r="P219" s="12"/>
      <c r="Q219" s="12"/>
      <c r="R219" s="12"/>
      <c r="S219" s="12"/>
      <c r="T219" s="12"/>
    </row>
    <row r="220" spans="1:20" x14ac:dyDescent="0.3">
      <c r="A220" s="67"/>
      <c r="B220" s="71"/>
      <c r="C220" s="131" t="s">
        <v>44</v>
      </c>
      <c r="D220" s="54"/>
      <c r="E220" s="108">
        <v>10</v>
      </c>
      <c r="F220" s="117" t="s">
        <v>45</v>
      </c>
      <c r="G220" s="126">
        <f>SUM(H14:H218)</f>
        <v>1553584.7235953219</v>
      </c>
      <c r="H220" s="127">
        <f>E220*G220/100</f>
        <v>155358.4723595322</v>
      </c>
      <c r="I220" s="50"/>
      <c r="J220" s="97"/>
      <c r="K220" s="97"/>
      <c r="L220" s="97"/>
      <c r="M220" s="11"/>
      <c r="N220" s="11"/>
      <c r="O220" s="12"/>
      <c r="P220" s="12"/>
      <c r="Q220" s="12"/>
      <c r="R220" s="12"/>
      <c r="S220" s="12"/>
      <c r="T220" s="12"/>
    </row>
    <row r="221" spans="1:20" x14ac:dyDescent="0.3">
      <c r="A221" s="76"/>
      <c r="B221" s="78"/>
      <c r="C221" s="144"/>
      <c r="D221" s="55"/>
      <c r="E221" s="110"/>
      <c r="F221" s="118"/>
      <c r="G221" s="127"/>
      <c r="H221" s="127"/>
      <c r="I221" s="57"/>
      <c r="J221" s="98"/>
      <c r="K221" s="98"/>
      <c r="L221" s="98"/>
      <c r="M221" s="11"/>
      <c r="N221" s="11"/>
      <c r="O221" s="12"/>
      <c r="P221" s="12"/>
      <c r="Q221" s="12"/>
      <c r="R221" s="12"/>
      <c r="S221" s="12"/>
      <c r="T221" s="12"/>
    </row>
    <row r="222" spans="1:20" s="15" customFormat="1" x14ac:dyDescent="0.3">
      <c r="A222" s="79">
        <v>10</v>
      </c>
      <c r="B222" s="80"/>
      <c r="C222" s="138" t="s">
        <v>371</v>
      </c>
      <c r="D222" s="81"/>
      <c r="E222" s="104"/>
      <c r="F222" s="82"/>
      <c r="G222" s="123"/>
      <c r="H222" s="123"/>
      <c r="I222" s="83">
        <f>H224</f>
        <v>170894.3195954854</v>
      </c>
      <c r="J222" s="94"/>
      <c r="K222" s="94"/>
      <c r="L222" s="94"/>
      <c r="M222" s="13"/>
      <c r="N222" s="13"/>
      <c r="O222" s="14"/>
      <c r="P222" s="14"/>
      <c r="Q222" s="14"/>
      <c r="R222" s="14"/>
      <c r="S222" s="14"/>
      <c r="T222" s="14"/>
    </row>
    <row r="223" spans="1:20" x14ac:dyDescent="0.3">
      <c r="A223" s="76"/>
      <c r="B223" s="78"/>
      <c r="C223" s="144"/>
      <c r="D223" s="55"/>
      <c r="E223" s="110"/>
      <c r="F223" s="118"/>
      <c r="G223" s="127"/>
      <c r="H223" s="127"/>
      <c r="I223" s="57"/>
      <c r="J223" s="98"/>
      <c r="K223" s="98"/>
      <c r="L223" s="98"/>
      <c r="M223" s="11"/>
      <c r="N223" s="11"/>
      <c r="O223" s="12"/>
      <c r="P223" s="12"/>
      <c r="Q223" s="12"/>
      <c r="R223" s="12"/>
      <c r="S223" s="12"/>
      <c r="T223" s="12"/>
    </row>
    <row r="224" spans="1:20" x14ac:dyDescent="0.3">
      <c r="A224" s="67"/>
      <c r="B224" s="71"/>
      <c r="C224" s="131" t="s">
        <v>372</v>
      </c>
      <c r="D224" s="54"/>
      <c r="E224" s="108">
        <v>10</v>
      </c>
      <c r="F224" s="117" t="s">
        <v>45</v>
      </c>
      <c r="G224" s="126">
        <f>SUM(H14:H221)</f>
        <v>1708943.1959548541</v>
      </c>
      <c r="H224" s="127">
        <f>E224*G224/100</f>
        <v>170894.3195954854</v>
      </c>
      <c r="I224" s="50"/>
      <c r="J224" s="97"/>
      <c r="K224" s="97"/>
      <c r="L224" s="97"/>
      <c r="M224" s="11"/>
      <c r="N224" s="11"/>
      <c r="O224" s="12"/>
      <c r="P224" s="12"/>
      <c r="Q224" s="12"/>
      <c r="R224" s="12"/>
      <c r="S224" s="12"/>
      <c r="T224" s="12"/>
    </row>
    <row r="225" spans="1:20" x14ac:dyDescent="0.3">
      <c r="A225" s="76"/>
      <c r="B225" s="78"/>
      <c r="C225" s="144"/>
      <c r="D225" s="55"/>
      <c r="E225" s="110"/>
      <c r="F225" s="118"/>
      <c r="G225" s="127"/>
      <c r="H225" s="127"/>
      <c r="I225" s="57"/>
      <c r="J225" s="98"/>
      <c r="K225" s="98"/>
      <c r="L225" s="98"/>
      <c r="M225" s="11"/>
      <c r="N225" s="11"/>
      <c r="O225" s="12"/>
      <c r="P225" s="12"/>
      <c r="Q225" s="12"/>
      <c r="R225" s="12"/>
      <c r="S225" s="12"/>
      <c r="T225" s="12"/>
    </row>
    <row r="226" spans="1:20" ht="14.4" thickBot="1" x14ac:dyDescent="0.35">
      <c r="A226" s="76"/>
      <c r="B226" s="78"/>
      <c r="C226" s="145" t="s">
        <v>46</v>
      </c>
      <c r="D226" s="58"/>
      <c r="E226" s="110"/>
      <c r="F226" s="118"/>
      <c r="G226" s="125"/>
      <c r="H226" s="125"/>
      <c r="I226" s="59">
        <f>SUM(I18:I225)</f>
        <v>1879837.5155503389</v>
      </c>
      <c r="J226" s="98"/>
      <c r="K226" s="98"/>
      <c r="L226" s="98"/>
      <c r="M226" s="11"/>
      <c r="N226" s="11"/>
    </row>
    <row r="227" spans="1:20" ht="14.4" thickTop="1" x14ac:dyDescent="0.3">
      <c r="A227" s="159"/>
      <c r="B227" s="160"/>
      <c r="C227" s="161"/>
      <c r="D227" s="162"/>
      <c r="E227" s="163"/>
      <c r="F227" s="164"/>
      <c r="G227" s="165"/>
      <c r="H227" s="165"/>
      <c r="I227" s="166"/>
      <c r="J227" s="167"/>
      <c r="K227" s="167"/>
      <c r="L227" s="167"/>
      <c r="M227" s="11"/>
      <c r="N227" s="11"/>
    </row>
  </sheetData>
  <mergeCells count="8">
    <mergeCell ref="A10:B10"/>
    <mergeCell ref="D10:F10"/>
    <mergeCell ref="F2:J2"/>
    <mergeCell ref="F3:J3"/>
    <mergeCell ref="F4:J4"/>
    <mergeCell ref="F5:J5"/>
    <mergeCell ref="F6:J6"/>
    <mergeCell ref="F7:J7"/>
  </mergeCells>
  <dataValidations count="1">
    <dataValidation type="list" errorStyle="warning" allowBlank="1" sqref="F217:F218 F220 F222 F224" xr:uid="{75FA4636-FFD9-465B-B54B-F7A665A9FD39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39" firstPageNumber="3" fitToHeight="0" orientation="portrait" useFirstPageNumber="1" r:id="rId1"/>
  <headerFooter alignWithMargins="0">
    <oddFooter>&amp;L&amp;"Arial,Regular"&amp;8&amp;P                    &amp;F&amp;R&amp;G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Check Box 1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Check Box 2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7" name="Check Box 3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8" name="Check Box 4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9" name="Check Box 5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10" name="Check Box 6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1" name="Check Box 7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2" name="Check Box 8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3" name="Check Box 9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4" name="Check Box 10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5" name="Check Box 11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6" name="Check Box 12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7" name="Check Box 13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8" name="Check Box 14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9" name="Check Box 15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20" name="Check Box 16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21" name="Check Box 17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2" name="Check Box 18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23" name="Check Box 19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24" name="Check Box 20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25" name="Check Box 21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6" name="Check Box 22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7" name="Check Box 23">
              <controlPr defaultSize="0" autoFill="0" autoLine="0" autoPict="0">
                <anchor moveWithCells="1">
                  <from>
                    <xdr:col>24</xdr:col>
                    <xdr:colOff>373380</xdr:colOff>
                    <xdr:row>221</xdr:row>
                    <xdr:rowOff>0</xdr:rowOff>
                  </from>
                  <to>
                    <xdr:col>25</xdr:col>
                    <xdr:colOff>30480</xdr:colOff>
                    <xdr:row>284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EBC25-42E8-40AC-811F-FA41DE42890F}">
  <dimension ref="A1:M80"/>
  <sheetViews>
    <sheetView topLeftCell="A46" zoomScale="130" zoomScaleNormal="130" workbookViewId="0">
      <selection activeCell="M10" sqref="M10"/>
    </sheetView>
  </sheetViews>
  <sheetFormatPr defaultRowHeight="14.4" x14ac:dyDescent="0.3"/>
  <cols>
    <col min="1" max="1" width="10.88671875" customWidth="1"/>
  </cols>
  <sheetData>
    <row r="1" spans="1:10" x14ac:dyDescent="0.3">
      <c r="A1" s="187"/>
      <c r="B1" s="188"/>
      <c r="C1" s="188"/>
      <c r="D1" s="188"/>
      <c r="E1" s="188"/>
      <c r="F1" s="188"/>
      <c r="G1" s="188"/>
      <c r="H1" s="188"/>
      <c r="I1" s="188"/>
      <c r="J1" s="189"/>
    </row>
    <row r="2" spans="1:10" x14ac:dyDescent="0.3">
      <c r="A2" s="190"/>
      <c r="J2" s="191"/>
    </row>
    <row r="3" spans="1:10" x14ac:dyDescent="0.3">
      <c r="A3" s="192" t="s">
        <v>390</v>
      </c>
      <c r="C3" t="s">
        <v>391</v>
      </c>
      <c r="J3" s="191"/>
    </row>
    <row r="4" spans="1:10" x14ac:dyDescent="0.3">
      <c r="A4" s="192"/>
      <c r="J4" s="191"/>
    </row>
    <row r="5" spans="1:10" x14ac:dyDescent="0.3">
      <c r="A5" s="192" t="s">
        <v>392</v>
      </c>
      <c r="C5" s="193" t="s">
        <v>393</v>
      </c>
      <c r="J5" s="191"/>
    </row>
    <row r="6" spans="1:10" x14ac:dyDescent="0.3">
      <c r="A6" s="190"/>
      <c r="J6" s="191"/>
    </row>
    <row r="7" spans="1:10" x14ac:dyDescent="0.3">
      <c r="A7" s="190"/>
      <c r="J7" s="191"/>
    </row>
    <row r="8" spans="1:10" x14ac:dyDescent="0.3">
      <c r="A8" s="190"/>
      <c r="J8" s="191"/>
    </row>
    <row r="9" spans="1:10" ht="15.6" x14ac:dyDescent="0.3">
      <c r="A9" s="190"/>
      <c r="C9" s="194" t="s">
        <v>394</v>
      </c>
      <c r="J9" s="191"/>
    </row>
    <row r="10" spans="1:10" x14ac:dyDescent="0.3">
      <c r="A10" s="190"/>
      <c r="J10" s="191"/>
    </row>
    <row r="11" spans="1:10" x14ac:dyDescent="0.3">
      <c r="A11" s="190"/>
      <c r="J11" s="191"/>
    </row>
    <row r="12" spans="1:10" x14ac:dyDescent="0.3">
      <c r="A12" s="190"/>
      <c r="G12" t="s">
        <v>395</v>
      </c>
      <c r="J12" s="191"/>
    </row>
    <row r="13" spans="1:10" x14ac:dyDescent="0.3">
      <c r="A13" s="190"/>
      <c r="J13" s="191"/>
    </row>
    <row r="14" spans="1:10" x14ac:dyDescent="0.3">
      <c r="A14" s="190"/>
      <c r="G14" t="s">
        <v>396</v>
      </c>
      <c r="H14" s="195">
        <v>44614</v>
      </c>
      <c r="J14" s="191"/>
    </row>
    <row r="15" spans="1:10" ht="15" thickBot="1" x14ac:dyDescent="0.35">
      <c r="A15" s="196"/>
      <c r="B15" s="197"/>
      <c r="C15" s="197"/>
      <c r="D15" s="197"/>
      <c r="E15" s="197"/>
      <c r="F15" s="197"/>
      <c r="G15" s="197"/>
      <c r="H15" s="197"/>
      <c r="I15" s="197"/>
      <c r="J15" s="198"/>
    </row>
    <row r="16" spans="1:10" x14ac:dyDescent="0.3">
      <c r="A16" s="219" t="s">
        <v>397</v>
      </c>
      <c r="B16" s="220"/>
      <c r="C16" s="220"/>
      <c r="D16" s="220"/>
      <c r="E16" s="221"/>
      <c r="F16" s="219" t="s">
        <v>398</v>
      </c>
      <c r="G16" s="220"/>
      <c r="H16" s="220"/>
      <c r="I16" s="220"/>
      <c r="J16" s="221"/>
    </row>
    <row r="17" spans="1:10" ht="3.6" customHeight="1" x14ac:dyDescent="0.3">
      <c r="A17" s="222"/>
      <c r="B17" s="223"/>
      <c r="C17" s="223"/>
      <c r="D17" s="223"/>
      <c r="E17" s="224"/>
      <c r="F17" s="222"/>
      <c r="G17" s="223"/>
      <c r="H17" s="223"/>
      <c r="I17" s="223"/>
      <c r="J17" s="224"/>
    </row>
    <row r="18" spans="1:10" x14ac:dyDescent="0.3">
      <c r="A18" s="222"/>
      <c r="B18" s="223"/>
      <c r="C18" s="223"/>
      <c r="D18" s="223"/>
      <c r="E18" s="224"/>
      <c r="F18" s="222"/>
      <c r="G18" s="223"/>
      <c r="H18" s="223"/>
      <c r="I18" s="223"/>
      <c r="J18" s="224"/>
    </row>
    <row r="19" spans="1:10" ht="5.0999999999999996" customHeight="1" x14ac:dyDescent="0.3">
      <c r="A19" s="222"/>
      <c r="B19" s="223"/>
      <c r="C19" s="223"/>
      <c r="D19" s="223"/>
      <c r="E19" s="224"/>
      <c r="F19" s="222"/>
      <c r="G19" s="223"/>
      <c r="H19" s="223"/>
      <c r="I19" s="223"/>
      <c r="J19" s="224"/>
    </row>
    <row r="20" spans="1:10" ht="11.7" customHeight="1" thickBot="1" x14ac:dyDescent="0.35">
      <c r="A20" s="225"/>
      <c r="B20" s="226"/>
      <c r="C20" s="226"/>
      <c r="D20" s="226"/>
      <c r="E20" s="227"/>
      <c r="F20" s="225"/>
      <c r="G20" s="226"/>
      <c r="H20" s="226"/>
      <c r="I20" s="226"/>
      <c r="J20" s="227"/>
    </row>
    <row r="21" spans="1:10" x14ac:dyDescent="0.3">
      <c r="A21" s="187"/>
      <c r="B21" s="188"/>
      <c r="C21" s="188"/>
      <c r="D21" s="188"/>
      <c r="E21" s="188"/>
      <c r="F21" s="187"/>
      <c r="G21" s="188"/>
      <c r="H21" s="188"/>
      <c r="I21" s="188"/>
      <c r="J21" s="189"/>
    </row>
    <row r="22" spans="1:10" x14ac:dyDescent="0.3">
      <c r="A22" s="190"/>
      <c r="F22" s="190"/>
      <c r="J22" s="191"/>
    </row>
    <row r="23" spans="1:10" x14ac:dyDescent="0.3">
      <c r="A23" s="190" t="s">
        <v>399</v>
      </c>
      <c r="F23" s="190"/>
      <c r="J23" s="191"/>
    </row>
    <row r="24" spans="1:10" x14ac:dyDescent="0.3">
      <c r="A24" s="190"/>
      <c r="F24" s="190"/>
      <c r="J24" s="191"/>
    </row>
    <row r="25" spans="1:10" x14ac:dyDescent="0.3">
      <c r="A25" s="190" t="s">
        <v>400</v>
      </c>
      <c r="F25" s="190"/>
      <c r="J25" s="191"/>
    </row>
    <row r="26" spans="1:10" x14ac:dyDescent="0.3">
      <c r="A26" s="190"/>
      <c r="F26" s="190"/>
      <c r="J26" s="191"/>
    </row>
    <row r="27" spans="1:10" x14ac:dyDescent="0.3">
      <c r="A27" s="190" t="s">
        <v>401</v>
      </c>
      <c r="F27" s="190"/>
      <c r="J27" s="191"/>
    </row>
    <row r="28" spans="1:10" x14ac:dyDescent="0.3">
      <c r="A28" s="190" t="s">
        <v>402</v>
      </c>
      <c r="F28" s="190"/>
      <c r="J28" s="191"/>
    </row>
    <row r="29" spans="1:10" x14ac:dyDescent="0.3">
      <c r="A29" s="190"/>
      <c r="F29" s="190"/>
      <c r="J29" s="191"/>
    </row>
    <row r="30" spans="1:10" x14ac:dyDescent="0.3">
      <c r="A30" s="190" t="s">
        <v>403</v>
      </c>
      <c r="F30" s="190"/>
      <c r="J30" s="191"/>
    </row>
    <row r="31" spans="1:10" x14ac:dyDescent="0.3">
      <c r="A31" s="190" t="s">
        <v>404</v>
      </c>
      <c r="F31" s="190"/>
      <c r="J31" s="191"/>
    </row>
    <row r="32" spans="1:10" x14ac:dyDescent="0.3">
      <c r="A32" s="190" t="s">
        <v>402</v>
      </c>
      <c r="F32" s="190"/>
      <c r="J32" s="191"/>
    </row>
    <row r="33" spans="1:13" x14ac:dyDescent="0.3">
      <c r="A33" s="190"/>
      <c r="F33" s="190"/>
      <c r="J33" s="191"/>
    </row>
    <row r="34" spans="1:13" x14ac:dyDescent="0.3">
      <c r="A34" s="190" t="s">
        <v>405</v>
      </c>
      <c r="F34" s="190"/>
      <c r="J34" s="191"/>
    </row>
    <row r="35" spans="1:13" x14ac:dyDescent="0.3">
      <c r="A35" s="190" t="s">
        <v>406</v>
      </c>
      <c r="F35" s="190"/>
      <c r="J35" s="191"/>
    </row>
    <row r="36" spans="1:13" x14ac:dyDescent="0.3">
      <c r="A36" s="190"/>
      <c r="F36" s="190"/>
      <c r="J36" s="191"/>
    </row>
    <row r="37" spans="1:13" x14ac:dyDescent="0.3">
      <c r="A37" s="190" t="s">
        <v>407</v>
      </c>
      <c r="F37" s="190"/>
      <c r="J37" s="191"/>
    </row>
    <row r="38" spans="1:13" x14ac:dyDescent="0.3">
      <c r="A38" s="190"/>
      <c r="F38" s="190"/>
      <c r="J38" s="191"/>
    </row>
    <row r="39" spans="1:13" x14ac:dyDescent="0.3">
      <c r="A39" s="190" t="s">
        <v>408</v>
      </c>
      <c r="F39" s="190"/>
      <c r="J39" s="191"/>
    </row>
    <row r="40" spans="1:13" x14ac:dyDescent="0.3">
      <c r="A40" s="190"/>
      <c r="F40" s="190"/>
      <c r="J40" s="191"/>
    </row>
    <row r="41" spans="1:13" x14ac:dyDescent="0.3">
      <c r="A41" s="190" t="s">
        <v>409</v>
      </c>
      <c r="F41" s="190"/>
      <c r="J41" s="191"/>
    </row>
    <row r="42" spans="1:13" x14ac:dyDescent="0.3">
      <c r="A42" s="190" t="s">
        <v>410</v>
      </c>
      <c r="F42" s="190"/>
      <c r="J42" s="191"/>
    </row>
    <row r="43" spans="1:13" x14ac:dyDescent="0.3">
      <c r="A43" s="190" t="s">
        <v>411</v>
      </c>
      <c r="F43" s="190"/>
      <c r="J43" s="191"/>
    </row>
    <row r="44" spans="1:13" x14ac:dyDescent="0.3">
      <c r="A44" s="190"/>
      <c r="F44" s="190"/>
      <c r="J44" s="191"/>
    </row>
    <row r="45" spans="1:13" x14ac:dyDescent="0.3">
      <c r="A45" s="190" t="s">
        <v>412</v>
      </c>
      <c r="F45" s="190"/>
      <c r="J45" s="191"/>
    </row>
    <row r="46" spans="1:13" x14ac:dyDescent="0.3">
      <c r="A46" s="190" t="s">
        <v>413</v>
      </c>
      <c r="F46" s="190"/>
      <c r="J46" s="191"/>
      <c r="M46" t="s">
        <v>414</v>
      </c>
    </row>
    <row r="47" spans="1:13" x14ac:dyDescent="0.3">
      <c r="A47" s="190" t="s">
        <v>415</v>
      </c>
      <c r="F47" s="190"/>
      <c r="J47" s="191"/>
    </row>
    <row r="48" spans="1:13" x14ac:dyDescent="0.3">
      <c r="A48" s="190"/>
      <c r="F48" s="190"/>
      <c r="J48" s="191"/>
    </row>
    <row r="49" spans="1:10" x14ac:dyDescent="0.3">
      <c r="A49" s="190" t="s">
        <v>416</v>
      </c>
      <c r="F49" s="190"/>
      <c r="J49" s="191"/>
    </row>
    <row r="50" spans="1:10" x14ac:dyDescent="0.3">
      <c r="A50" s="190" t="s">
        <v>417</v>
      </c>
      <c r="F50" s="190"/>
      <c r="J50" s="191"/>
    </row>
    <row r="51" spans="1:10" x14ac:dyDescent="0.3">
      <c r="A51" s="190" t="s">
        <v>418</v>
      </c>
      <c r="F51" s="190"/>
      <c r="J51" s="191"/>
    </row>
    <row r="52" spans="1:10" x14ac:dyDescent="0.3">
      <c r="A52" s="190"/>
      <c r="F52" s="190"/>
      <c r="J52" s="191"/>
    </row>
    <row r="53" spans="1:10" x14ac:dyDescent="0.3">
      <c r="A53" s="190" t="s">
        <v>419</v>
      </c>
      <c r="F53" s="190"/>
      <c r="J53" s="191"/>
    </row>
    <row r="54" spans="1:10" x14ac:dyDescent="0.3">
      <c r="A54" s="190" t="s">
        <v>420</v>
      </c>
      <c r="F54" s="190"/>
      <c r="J54" s="191"/>
    </row>
    <row r="55" spans="1:10" x14ac:dyDescent="0.3">
      <c r="A55" s="190" t="s">
        <v>421</v>
      </c>
      <c r="F55" s="190"/>
      <c r="J55" s="191"/>
    </row>
    <row r="56" spans="1:10" x14ac:dyDescent="0.3">
      <c r="A56" s="190"/>
      <c r="F56" s="190"/>
      <c r="J56" s="191"/>
    </row>
    <row r="57" spans="1:10" x14ac:dyDescent="0.3">
      <c r="A57" s="190"/>
      <c r="F57" s="190"/>
      <c r="J57" s="191"/>
    </row>
    <row r="58" spans="1:10" x14ac:dyDescent="0.3">
      <c r="A58" s="190"/>
      <c r="F58" s="190"/>
      <c r="J58" s="191"/>
    </row>
    <row r="59" spans="1:10" x14ac:dyDescent="0.3">
      <c r="A59" s="190"/>
      <c r="F59" s="190"/>
      <c r="J59" s="191"/>
    </row>
    <row r="60" spans="1:10" x14ac:dyDescent="0.3">
      <c r="A60" s="190"/>
      <c r="F60" s="190"/>
      <c r="J60" s="191"/>
    </row>
    <row r="61" spans="1:10" x14ac:dyDescent="0.3">
      <c r="A61" s="190"/>
      <c r="F61" s="190"/>
      <c r="J61" s="191"/>
    </row>
    <row r="62" spans="1:10" x14ac:dyDescent="0.3">
      <c r="A62" s="190"/>
      <c r="F62" s="190"/>
      <c r="J62" s="191"/>
    </row>
    <row r="63" spans="1:10" x14ac:dyDescent="0.3">
      <c r="A63" s="190"/>
      <c r="F63" s="190"/>
      <c r="J63" s="191"/>
    </row>
    <row r="64" spans="1:10" x14ac:dyDescent="0.3">
      <c r="A64" s="190"/>
      <c r="F64" s="190"/>
      <c r="J64" s="191"/>
    </row>
    <row r="65" spans="1:10" x14ac:dyDescent="0.3">
      <c r="A65" s="190"/>
      <c r="F65" s="190"/>
      <c r="J65" s="191"/>
    </row>
    <row r="66" spans="1:10" x14ac:dyDescent="0.3">
      <c r="A66" s="190"/>
      <c r="F66" s="190"/>
      <c r="J66" s="191"/>
    </row>
    <row r="67" spans="1:10" x14ac:dyDescent="0.3">
      <c r="A67" s="190"/>
      <c r="F67" s="190"/>
      <c r="J67" s="191"/>
    </row>
    <row r="68" spans="1:10" x14ac:dyDescent="0.3">
      <c r="A68" s="190"/>
      <c r="F68" s="190"/>
      <c r="J68" s="191"/>
    </row>
    <row r="69" spans="1:10" x14ac:dyDescent="0.3">
      <c r="A69" s="190"/>
      <c r="F69" s="190"/>
      <c r="J69" s="191"/>
    </row>
    <row r="70" spans="1:10" x14ac:dyDescent="0.3">
      <c r="A70" s="190"/>
      <c r="F70" s="190"/>
      <c r="J70" s="191"/>
    </row>
    <row r="71" spans="1:10" x14ac:dyDescent="0.3">
      <c r="A71" s="190"/>
      <c r="F71" s="190"/>
      <c r="J71" s="191"/>
    </row>
    <row r="72" spans="1:10" x14ac:dyDescent="0.3">
      <c r="A72" s="190"/>
      <c r="F72" s="190"/>
      <c r="J72" s="191"/>
    </row>
    <row r="73" spans="1:10" x14ac:dyDescent="0.3">
      <c r="A73" s="190"/>
      <c r="F73" s="190"/>
      <c r="J73" s="191"/>
    </row>
    <row r="74" spans="1:10" x14ac:dyDescent="0.3">
      <c r="A74" s="190"/>
      <c r="F74" s="190"/>
      <c r="J74" s="191"/>
    </row>
    <row r="75" spans="1:10" x14ac:dyDescent="0.3">
      <c r="A75" s="190"/>
      <c r="F75" s="190"/>
      <c r="J75" s="191"/>
    </row>
    <row r="76" spans="1:10" x14ac:dyDescent="0.3">
      <c r="A76" s="190"/>
      <c r="F76" s="190"/>
      <c r="J76" s="191"/>
    </row>
    <row r="77" spans="1:10" x14ac:dyDescent="0.3">
      <c r="A77" s="190"/>
      <c r="F77" s="190"/>
      <c r="J77" s="191"/>
    </row>
    <row r="78" spans="1:10" x14ac:dyDescent="0.3">
      <c r="A78" s="190"/>
      <c r="F78" s="190"/>
      <c r="J78" s="191"/>
    </row>
    <row r="79" spans="1:10" x14ac:dyDescent="0.3">
      <c r="A79" s="190"/>
      <c r="F79" s="190"/>
      <c r="J79" s="191"/>
    </row>
    <row r="80" spans="1:10" ht="15" thickBot="1" x14ac:dyDescent="0.35">
      <c r="A80" s="196"/>
      <c r="B80" s="197"/>
      <c r="C80" s="197"/>
      <c r="D80" s="197"/>
      <c r="E80" s="197"/>
      <c r="F80" s="196"/>
      <c r="G80" s="197"/>
      <c r="H80" s="197"/>
      <c r="I80" s="197"/>
      <c r="J80" s="198"/>
    </row>
  </sheetData>
  <mergeCells count="2">
    <mergeCell ref="A16:E20"/>
    <mergeCell ref="F16:J20"/>
  </mergeCells>
  <hyperlinks>
    <hyperlink ref="C5" r:id="rId1" xr:uid="{A54F11B3-4B2B-4C30-8256-FFC67A4B9598}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Cover</vt:lpstr>
      <vt:lpstr>Information Used</vt:lpstr>
      <vt:lpstr>Summary of Cost Plan</vt:lpstr>
      <vt:lpstr>NRM1 Elemental Cost Plan -  JA</vt:lpstr>
      <vt:lpstr>Query Sheet</vt:lpstr>
      <vt:lpstr>Cover!Print_Area</vt:lpstr>
      <vt:lpstr>'Information Used'!Print_Area</vt:lpstr>
      <vt:lpstr>'NRM1 Elemental Cost Plan -  JA'!Print_Area</vt:lpstr>
      <vt:lpstr>'Summary of Cost Plan'!Print_Area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Jack  Arthurs</dc:creator>
  <cp:keywords/>
  <dc:description/>
  <cp:lastModifiedBy>Jack Arthurs</cp:lastModifiedBy>
  <cp:revision/>
  <cp:lastPrinted>2022-04-27T11:22:48Z</cp:lastPrinted>
  <dcterms:created xsi:type="dcterms:W3CDTF">2018-02-14T10:41:56Z</dcterms:created>
  <dcterms:modified xsi:type="dcterms:W3CDTF">2022-05-03T17:13:59Z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