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kd\Documents\Exam\"/>
    </mc:Choice>
  </mc:AlternateContent>
  <xr:revisionPtr revIDLastSave="0" documentId="13_ncr:1_{FBAD78DA-B060-4CCB-A498-F529EAAE2513}" xr6:coauthVersionLast="45" xr6:coauthVersionMax="45" xr10:uidLastSave="{00000000-0000-0000-0000-000000000000}"/>
  <bookViews>
    <workbookView xWindow="-120" yWindow="-120" windowWidth="19545" windowHeight="11760" firstSheet="2" activeTab="8" xr2:uid="{00000000-000D-0000-FFFF-FFFF00000000}"/>
  </bookViews>
  <sheets>
    <sheet name="Load Spliits" sheetId="8" r:id="rId1"/>
    <sheet name="Spring Rate Conversion" sheetId="2" r:id="rId2"/>
    <sheet name="Live calc" sheetId="7" r:id="rId3"/>
    <sheet name="Exam Q1" sheetId="9" r:id="rId4"/>
    <sheet name="Exam Q2" sheetId="10" r:id="rId5"/>
    <sheet name="Exam Q3" sheetId="11" r:id="rId6"/>
    <sheet name="Exam Q4" sheetId="12" r:id="rId7"/>
    <sheet name="Exam Q5" sheetId="13" r:id="rId8"/>
    <sheet name="Exam Q6" sheetId="14" r:id="rId9"/>
  </sheets>
  <definedNames>
    <definedName name="Left_front__corner_sprung_mass__kg" comment="FL" localSheetId="3">#REF!</definedName>
    <definedName name="Left_front__corner_sprung_mass__kg" comment="FL" localSheetId="4">#REF!</definedName>
    <definedName name="Left_front__corner_sprung_mass__kg" comment="FL" localSheetId="5">#REF!</definedName>
    <definedName name="Left_front__corner_sprung_mass__kg" comment="FL" localSheetId="6">#REF!</definedName>
    <definedName name="Left_front__corner_sprung_mass__kg" comment="FL" localSheetId="7">#REF!</definedName>
    <definedName name="Left_front__corner_sprung_mass__kg" comment="FL" localSheetId="8">#REF!</definedName>
    <definedName name="Left_front__corner_sprung_mass__kg" comment="FL" localSheetId="2">#REF!</definedName>
    <definedName name="Left_front__corner_sprung_mass__kg" comment="FL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4" i="14" l="1"/>
  <c r="G16" i="14"/>
  <c r="G20" i="14" s="1"/>
  <c r="J15" i="14"/>
  <c r="G15" i="14"/>
  <c r="G19" i="14" s="1"/>
  <c r="G22" i="14" s="1"/>
  <c r="J5" i="14" s="1"/>
  <c r="J14" i="14"/>
  <c r="G14" i="14"/>
  <c r="G18" i="14" s="1"/>
  <c r="G13" i="14"/>
  <c r="G17" i="14" s="1"/>
  <c r="G12" i="14"/>
  <c r="G11" i="14"/>
  <c r="J27" i="14" s="1"/>
  <c r="G7" i="14"/>
  <c r="G9" i="14" s="1"/>
  <c r="G6" i="14"/>
  <c r="G5" i="14"/>
  <c r="G4" i="14"/>
  <c r="G8" i="14" s="1"/>
  <c r="J27" i="13"/>
  <c r="G24" i="13"/>
  <c r="G16" i="13"/>
  <c r="G20" i="13" s="1"/>
  <c r="J15" i="13"/>
  <c r="G15" i="13"/>
  <c r="G19" i="13" s="1"/>
  <c r="J14" i="13"/>
  <c r="G14" i="13"/>
  <c r="G18" i="13" s="1"/>
  <c r="G13" i="13"/>
  <c r="G17" i="13" s="1"/>
  <c r="G12" i="13"/>
  <c r="G11" i="13"/>
  <c r="G7" i="13"/>
  <c r="G6" i="13"/>
  <c r="G9" i="13" s="1"/>
  <c r="G5" i="13"/>
  <c r="G4" i="13"/>
  <c r="G8" i="13" s="1"/>
  <c r="G17" i="12"/>
  <c r="G12" i="12"/>
  <c r="G9" i="12"/>
  <c r="G7" i="12"/>
  <c r="G6" i="12"/>
  <c r="G4" i="12"/>
  <c r="G24" i="12"/>
  <c r="G16" i="12"/>
  <c r="G20" i="12" s="1"/>
  <c r="J15" i="12"/>
  <c r="G15" i="12"/>
  <c r="G19" i="12" s="1"/>
  <c r="G22" i="12" s="1"/>
  <c r="J5" i="12" s="1"/>
  <c r="J14" i="12"/>
  <c r="G14" i="12"/>
  <c r="G18" i="12" s="1"/>
  <c r="G13" i="12"/>
  <c r="G11" i="12"/>
  <c r="J27" i="12" s="1"/>
  <c r="G5" i="12"/>
  <c r="G8" i="12"/>
  <c r="G24" i="11"/>
  <c r="G16" i="11"/>
  <c r="G20" i="11" s="1"/>
  <c r="J15" i="11"/>
  <c r="G15" i="11"/>
  <c r="G19" i="11" s="1"/>
  <c r="G22" i="11" s="1"/>
  <c r="J5" i="11" s="1"/>
  <c r="J14" i="11"/>
  <c r="G14" i="11"/>
  <c r="G18" i="11" s="1"/>
  <c r="G13" i="11"/>
  <c r="G17" i="11" s="1"/>
  <c r="G12" i="11"/>
  <c r="G11" i="11"/>
  <c r="J27" i="11" s="1"/>
  <c r="G9" i="11"/>
  <c r="G7" i="11"/>
  <c r="G6" i="11"/>
  <c r="G5" i="11"/>
  <c r="G4" i="11"/>
  <c r="G8" i="11" s="1"/>
  <c r="G24" i="10"/>
  <c r="G16" i="10"/>
  <c r="G20" i="10" s="1"/>
  <c r="J15" i="10"/>
  <c r="G15" i="10"/>
  <c r="G19" i="10" s="1"/>
  <c r="G22" i="10" s="1"/>
  <c r="J5" i="10" s="1"/>
  <c r="J14" i="10"/>
  <c r="G14" i="10"/>
  <c r="G18" i="10" s="1"/>
  <c r="G13" i="10"/>
  <c r="G17" i="10" s="1"/>
  <c r="G12" i="10"/>
  <c r="G11" i="10"/>
  <c r="J27" i="10" s="1"/>
  <c r="G9" i="10"/>
  <c r="G43" i="10" s="1"/>
  <c r="G7" i="10"/>
  <c r="G6" i="10"/>
  <c r="G5" i="10"/>
  <c r="G4" i="10"/>
  <c r="G8" i="10" s="1"/>
  <c r="D32" i="9"/>
  <c r="D30" i="9"/>
  <c r="D29" i="9"/>
  <c r="D31" i="9"/>
  <c r="G24" i="9"/>
  <c r="G16" i="9"/>
  <c r="G20" i="9" s="1"/>
  <c r="J15" i="9"/>
  <c r="G15" i="9"/>
  <c r="G19" i="9" s="1"/>
  <c r="G22" i="9" s="1"/>
  <c r="J5" i="9" s="1"/>
  <c r="J14" i="9"/>
  <c r="G14" i="9"/>
  <c r="G18" i="9" s="1"/>
  <c r="G13" i="9"/>
  <c r="G17" i="9" s="1"/>
  <c r="G12" i="9"/>
  <c r="G11" i="9"/>
  <c r="J27" i="9" s="1"/>
  <c r="G9" i="9"/>
  <c r="G43" i="9" s="1"/>
  <c r="G7" i="9"/>
  <c r="G6" i="9"/>
  <c r="G5" i="9"/>
  <c r="G4" i="9"/>
  <c r="G8" i="9" s="1"/>
  <c r="J12" i="14" l="1"/>
  <c r="G10" i="14"/>
  <c r="G23" i="14" s="1"/>
  <c r="G25" i="14" s="1"/>
  <c r="G26" i="14" s="1"/>
  <c r="G21" i="14"/>
  <c r="J4" i="14" s="1"/>
  <c r="J6" i="14" s="1"/>
  <c r="J13" i="14"/>
  <c r="J24" i="14"/>
  <c r="D26" i="14"/>
  <c r="G22" i="13"/>
  <c r="J5" i="13" s="1"/>
  <c r="G21" i="13"/>
  <c r="J4" i="13" s="1"/>
  <c r="J12" i="13"/>
  <c r="G10" i="13"/>
  <c r="J13" i="13"/>
  <c r="G23" i="13"/>
  <c r="G25" i="13"/>
  <c r="G26" i="13" s="1"/>
  <c r="J24" i="13"/>
  <c r="J12" i="12"/>
  <c r="G10" i="12"/>
  <c r="G21" i="12"/>
  <c r="J4" i="12" s="1"/>
  <c r="J6" i="12" s="1"/>
  <c r="J13" i="12"/>
  <c r="J24" i="12"/>
  <c r="D26" i="12"/>
  <c r="G21" i="11"/>
  <c r="J4" i="11" s="1"/>
  <c r="J6" i="11" s="1"/>
  <c r="J12" i="11"/>
  <c r="G10" i="11"/>
  <c r="J13" i="11"/>
  <c r="J24" i="11"/>
  <c r="D26" i="11"/>
  <c r="G23" i="11"/>
  <c r="G25" i="11" s="1"/>
  <c r="G26" i="11" s="1"/>
  <c r="G40" i="10"/>
  <c r="J12" i="10"/>
  <c r="G10" i="10"/>
  <c r="G21" i="10"/>
  <c r="J4" i="10" s="1"/>
  <c r="J6" i="10" s="1"/>
  <c r="J13" i="10"/>
  <c r="J24" i="10"/>
  <c r="D26" i="10"/>
  <c r="G23" i="10"/>
  <c r="G25" i="10" s="1"/>
  <c r="G26" i="10" s="1"/>
  <c r="G40" i="9"/>
  <c r="J12" i="9"/>
  <c r="G10" i="9"/>
  <c r="G21" i="9"/>
  <c r="J4" i="9" s="1"/>
  <c r="J6" i="9" s="1"/>
  <c r="J13" i="9"/>
  <c r="J24" i="9"/>
  <c r="D26" i="9"/>
  <c r="G23" i="9"/>
  <c r="G25" i="9" s="1"/>
  <c r="G26" i="9" s="1"/>
  <c r="G4" i="7"/>
  <c r="G5" i="7"/>
  <c r="G8" i="7"/>
  <c r="G40" i="7" s="1"/>
  <c r="G6" i="7"/>
  <c r="G7" i="7"/>
  <c r="G9" i="7"/>
  <c r="G10" i="7"/>
  <c r="G11" i="7"/>
  <c r="D26" i="7"/>
  <c r="G24" i="7"/>
  <c r="G23" i="7"/>
  <c r="G25" i="7"/>
  <c r="G27" i="7"/>
  <c r="J7" i="7"/>
  <c r="G13" i="7"/>
  <c r="G17" i="7"/>
  <c r="G14" i="7"/>
  <c r="G18" i="7"/>
  <c r="G21" i="7"/>
  <c r="J4" i="7" s="1"/>
  <c r="G15" i="7"/>
  <c r="G19" i="7"/>
  <c r="G16" i="7"/>
  <c r="G20" i="7"/>
  <c r="G22" i="7"/>
  <c r="J5" i="7"/>
  <c r="J6" i="7"/>
  <c r="J8" i="7"/>
  <c r="K8" i="7"/>
  <c r="G49" i="7"/>
  <c r="G46" i="7"/>
  <c r="G43" i="7"/>
  <c r="J27" i="7"/>
  <c r="J9" i="7"/>
  <c r="J12" i="7"/>
  <c r="J14" i="7"/>
  <c r="J16" i="7"/>
  <c r="J10" i="7"/>
  <c r="G26" i="7"/>
  <c r="J15" i="7"/>
  <c r="J13" i="7"/>
  <c r="J20" i="7"/>
  <c r="J24" i="7"/>
  <c r="J19" i="7"/>
  <c r="G12" i="7"/>
  <c r="J17" i="7"/>
  <c r="J9" i="8"/>
  <c r="F9" i="8"/>
  <c r="J22" i="7"/>
  <c r="J13" i="8"/>
  <c r="J11" i="8"/>
  <c r="J21" i="7"/>
  <c r="J18" i="7"/>
  <c r="J14" i="8"/>
  <c r="J23" i="7"/>
  <c r="F13" i="8"/>
  <c r="H7" i="8"/>
  <c r="F11" i="8"/>
  <c r="E9" i="8"/>
  <c r="F14" i="8"/>
  <c r="H14" i="8"/>
  <c r="E13" i="8"/>
  <c r="E12" i="8"/>
  <c r="F16" i="8"/>
  <c r="H11" i="8"/>
  <c r="H5" i="8"/>
  <c r="E11" i="8"/>
  <c r="J12" i="8"/>
  <c r="J8" i="8"/>
  <c r="F15" i="8"/>
  <c r="F12" i="8"/>
  <c r="K11" i="8"/>
  <c r="H16" i="8"/>
  <c r="F8" i="8"/>
  <c r="G27" i="14" l="1"/>
  <c r="J7" i="14" s="1"/>
  <c r="J8" i="14" s="1"/>
  <c r="J6" i="13"/>
  <c r="D26" i="13"/>
  <c r="G27" i="13" s="1"/>
  <c r="J7" i="13" s="1"/>
  <c r="G23" i="12"/>
  <c r="G25" i="12" s="1"/>
  <c r="G26" i="12" s="1"/>
  <c r="G27" i="11"/>
  <c r="J7" i="11" s="1"/>
  <c r="J8" i="11" s="1"/>
  <c r="G27" i="10"/>
  <c r="J7" i="10" s="1"/>
  <c r="J8" i="10" s="1"/>
  <c r="G27" i="9"/>
  <c r="J7" i="9"/>
  <c r="J8" i="9" s="1"/>
  <c r="J10" i="14" l="1"/>
  <c r="J17" i="14" s="1"/>
  <c r="D32" i="14" s="1"/>
  <c r="J9" i="14"/>
  <c r="J16" i="14" s="1"/>
  <c r="K8" i="14"/>
  <c r="J8" i="13"/>
  <c r="J10" i="13" s="1"/>
  <c r="J17" i="13" s="1"/>
  <c r="J9" i="13"/>
  <c r="J16" i="13" s="1"/>
  <c r="G27" i="12"/>
  <c r="J7" i="12" s="1"/>
  <c r="J8" i="12" s="1"/>
  <c r="J10" i="11"/>
  <c r="J17" i="11" s="1"/>
  <c r="J9" i="11"/>
  <c r="J16" i="11" s="1"/>
  <c r="K8" i="11"/>
  <c r="G49" i="10"/>
  <c r="J10" i="10"/>
  <c r="J17" i="10" s="1"/>
  <c r="J9" i="10"/>
  <c r="J16" i="10" s="1"/>
  <c r="K8" i="10"/>
  <c r="G46" i="10"/>
  <c r="G49" i="9"/>
  <c r="J10" i="9"/>
  <c r="J17" i="9" s="1"/>
  <c r="J9" i="9"/>
  <c r="J16" i="9" s="1"/>
  <c r="K8" i="9"/>
  <c r="G46" i="9"/>
  <c r="J20" i="14" l="1"/>
  <c r="J19" i="14"/>
  <c r="J18" i="14"/>
  <c r="J22" i="14"/>
  <c r="J21" i="14"/>
  <c r="K8" i="13"/>
  <c r="J20" i="13"/>
  <c r="J19" i="13"/>
  <c r="J18" i="13"/>
  <c r="J22" i="13"/>
  <c r="J21" i="13"/>
  <c r="D32" i="13"/>
  <c r="J10" i="12"/>
  <c r="J17" i="12" s="1"/>
  <c r="J9" i="12"/>
  <c r="J16" i="12" s="1"/>
  <c r="K8" i="12"/>
  <c r="D32" i="11"/>
  <c r="J22" i="11"/>
  <c r="J21" i="11"/>
  <c r="J20" i="11"/>
  <c r="J19" i="11"/>
  <c r="J18" i="11"/>
  <c r="D32" i="10"/>
  <c r="J22" i="10"/>
  <c r="J21" i="10"/>
  <c r="J20" i="10"/>
  <c r="J19" i="10"/>
  <c r="J18" i="10"/>
  <c r="J22" i="9"/>
  <c r="J21" i="9"/>
  <c r="J20" i="9"/>
  <c r="J19" i="9"/>
  <c r="J23" i="9" s="1"/>
  <c r="J18" i="9"/>
  <c r="D30" i="14" l="1"/>
  <c r="D29" i="14"/>
  <c r="J23" i="14"/>
  <c r="D29" i="13"/>
  <c r="J23" i="13"/>
  <c r="D30" i="13"/>
  <c r="J20" i="12"/>
  <c r="J19" i="12"/>
  <c r="J18" i="12"/>
  <c r="D32" i="12"/>
  <c r="J22" i="12"/>
  <c r="J21" i="12"/>
  <c r="D29" i="11"/>
  <c r="J23" i="11"/>
  <c r="D30" i="11"/>
  <c r="D29" i="10"/>
  <c r="J23" i="10"/>
  <c r="D30" i="10"/>
  <c r="D31" i="14" l="1"/>
  <c r="D31" i="13"/>
  <c r="D30" i="12"/>
  <c r="D29" i="12"/>
  <c r="J23" i="12"/>
  <c r="D31" i="11"/>
  <c r="D31" i="10"/>
  <c r="D31" i="12" l="1"/>
</calcChain>
</file>

<file path=xl/sharedStrings.xml><?xml version="1.0" encoding="utf-8"?>
<sst xmlns="http://schemas.openxmlformats.org/spreadsheetml/2006/main" count="1179" uniqueCount="218">
  <si>
    <t xml:space="preserve">Lateral Acceleration </t>
  </si>
  <si>
    <t xml:space="preserve">Insert  the Lat acc in m/s^2 in  here  and then read it into the calculations </t>
  </si>
  <si>
    <t>Measured Suspension  Data</t>
  </si>
  <si>
    <t xml:space="preserve">Calculated Suspension Data </t>
  </si>
  <si>
    <t xml:space="preserve">Results </t>
  </si>
  <si>
    <t>MR fl</t>
  </si>
  <si>
    <t>Motion Ratio front left</t>
  </si>
  <si>
    <t>Ms fl</t>
  </si>
  <si>
    <t>Front Left   corner sprung mass [kg]</t>
  </si>
  <si>
    <t>Kϕf</t>
  </si>
  <si>
    <t>Front Roll Stiffness [Nm/rad]</t>
  </si>
  <si>
    <t>MR fr</t>
  </si>
  <si>
    <t>Motion Ratio front right</t>
  </si>
  <si>
    <t>Ms fr</t>
  </si>
  <si>
    <t>Front Right corner sprung mass [kg]</t>
  </si>
  <si>
    <t>Kϕr</t>
  </si>
  <si>
    <t>Rear Roll Stiffness [Nm/rad]</t>
  </si>
  <si>
    <t>MR rl</t>
  </si>
  <si>
    <t xml:space="preserve">Motion Ratio rear left </t>
  </si>
  <si>
    <t>Ms rl</t>
  </si>
  <si>
    <t>Rear Left   corner sprung mass [kg]</t>
  </si>
  <si>
    <t>Kϕt</t>
  </si>
  <si>
    <t>Total Roll Stiffness [Nm/rad]</t>
  </si>
  <si>
    <r>
      <rPr>
        <sz val="11"/>
        <color rgb="FF000000"/>
        <rFont val="Calibri"/>
        <family val="2"/>
      </rPr>
      <t>M</t>
    </r>
    <r>
      <rPr>
        <vertAlign val="subscript"/>
        <sz val="11"/>
        <color rgb="FF000000"/>
        <rFont val="Calibri"/>
        <family val="2"/>
      </rPr>
      <t>ot</t>
    </r>
    <r>
      <rPr>
        <sz val="11"/>
        <color rgb="FF000000"/>
        <rFont val="Calibri"/>
        <family val="2"/>
      </rPr>
      <t xml:space="preserve"> = M</t>
    </r>
    <r>
      <rPr>
        <vertAlign val="subscript"/>
        <sz val="11"/>
        <color rgb="FF000000"/>
        <rFont val="Calibri"/>
        <family val="2"/>
      </rPr>
      <t>s</t>
    </r>
    <r>
      <rPr>
        <sz val="11"/>
        <color rgb="FF000000"/>
        <rFont val="Calibri"/>
        <family val="2"/>
      </rPr>
      <t xml:space="preserve"> x a</t>
    </r>
    <r>
      <rPr>
        <vertAlign val="subscript"/>
        <sz val="11"/>
        <color rgb="FF000000"/>
        <rFont val="Calibri"/>
        <family val="2"/>
      </rPr>
      <t>y</t>
    </r>
    <r>
      <rPr>
        <sz val="11"/>
        <color rgb="FF000000"/>
        <rFont val="Calibri"/>
        <family val="2"/>
      </rPr>
      <t xml:space="preserve"> x Hsra</t>
    </r>
    <r>
      <rPr>
        <sz val="28"/>
        <color rgb="FF000000"/>
        <rFont val="Calibri"/>
        <family val="2"/>
      </rPr>
      <t xml:space="preserve">      </t>
    </r>
  </si>
  <si>
    <t>MR rr</t>
  </si>
  <si>
    <t xml:space="preserve">Motion Ratio rear right </t>
  </si>
  <si>
    <t>Ms rr</t>
  </si>
  <si>
    <t>Rear Right corner sprung  mass [kg]</t>
  </si>
  <si>
    <t>Mot</t>
  </si>
  <si>
    <t>Overturning moment [Nm]</t>
  </si>
  <si>
    <t>M fl</t>
  </si>
  <si>
    <t>Front Left total measured static corner mass [kg]</t>
  </si>
  <si>
    <t>Ms f</t>
  </si>
  <si>
    <t>Total front sprung mass [kg]</t>
  </si>
  <si>
    <t>ϕ</t>
  </si>
  <si>
    <t>Roll angle  (Radians)</t>
  </si>
  <si>
    <t>deg</t>
  </si>
  <si>
    <t>M fr</t>
  </si>
  <si>
    <t>Front Right  measured static corner mass [kg]</t>
  </si>
  <si>
    <t>Ms r</t>
  </si>
  <si>
    <t>Total rear sprung mass  [kg]</t>
  </si>
  <si>
    <t>WTsf</t>
  </si>
  <si>
    <t>Front weight transfer due to spung mass [N]</t>
  </si>
  <si>
    <t>M rl</t>
  </si>
  <si>
    <t>Rear Left  total measured static corner mass [kg]</t>
  </si>
  <si>
    <t>Mstot</t>
  </si>
  <si>
    <t xml:space="preserve">Total  sprung mass </t>
  </si>
  <si>
    <t>WTsr</t>
  </si>
  <si>
    <t>Rear  weight transfer due to spung mass [N]</t>
  </si>
  <si>
    <t xml:space="preserve">Wtf = (ϕ x Kwf x Tf)/2 </t>
  </si>
  <si>
    <t>M rr</t>
  </si>
  <si>
    <t>Rear Right   total measured static corner mass [kg]</t>
  </si>
  <si>
    <t>Mtot</t>
  </si>
  <si>
    <t xml:space="preserve">Total Mass </t>
  </si>
  <si>
    <t>Mus fl</t>
  </si>
  <si>
    <t>Front Left  unsprung mass  [kg]</t>
  </si>
  <si>
    <t>Mustot</t>
  </si>
  <si>
    <t>Total unsprung mass</t>
  </si>
  <si>
    <t>WTsrcf</t>
  </si>
  <si>
    <t>Front WT due to sprung mass at RC Height</t>
  </si>
  <si>
    <t xml:space="preserve">WTsr=(ϕ x Kwr x Tr)/2 </t>
  </si>
  <si>
    <t>Mus fr</t>
  </si>
  <si>
    <t>Front Right total unsprung mass  [kg]</t>
  </si>
  <si>
    <t>Ks fl</t>
  </si>
  <si>
    <t>Front Left Spring rate [N/mm]</t>
  </si>
  <si>
    <t>WTsrcr</t>
  </si>
  <si>
    <t>Rear WT due to sprung mass at RC Height</t>
  </si>
  <si>
    <t>Mus rl</t>
  </si>
  <si>
    <t>Rear Left unsprung mass  [kg]</t>
  </si>
  <si>
    <t>Ks fr</t>
  </si>
  <si>
    <t>Front Right rspring rate [N/mm]</t>
  </si>
  <si>
    <t>Wtusf</t>
  </si>
  <si>
    <t>Front WT due to Unsprung mass at wheel centre height</t>
  </si>
  <si>
    <t>Mus rr</t>
  </si>
  <si>
    <t>Rear Right unsprung mass  [kg]</t>
  </si>
  <si>
    <t>Ks rl</t>
  </si>
  <si>
    <t>Rear Left  Spring rate [N/mm]</t>
  </si>
  <si>
    <t>Wtusr</t>
  </si>
  <si>
    <t>Rear WT due to Unsprung mass at wheel centre height</t>
  </si>
  <si>
    <t xml:space="preserve">Ks fl  </t>
  </si>
  <si>
    <t>Front Left Spring rate [lb/in]</t>
  </si>
  <si>
    <t>Ks rr</t>
  </si>
  <si>
    <t>Rear Right  Spring Rate [N/mm]</t>
  </si>
  <si>
    <t xml:space="preserve">Total front WT </t>
  </si>
  <si>
    <t xml:space="preserve">Ks fr </t>
  </si>
  <si>
    <t>Front Right Spring rate [lb/in]</t>
  </si>
  <si>
    <t>Kw fl</t>
  </si>
  <si>
    <t>Front Left   wheel rate  [N/mm]</t>
  </si>
  <si>
    <t>Total Rear WT</t>
  </si>
  <si>
    <t>Rear Left   Spring rate [lb/in]</t>
  </si>
  <si>
    <t>Kw fr</t>
  </si>
  <si>
    <t>Front Right wheel rate  [N/mm]</t>
  </si>
  <si>
    <t xml:space="preserve">Total WT calculated by adding all Weight Transfers </t>
  </si>
  <si>
    <t>Rear Right  Spring rate [lb/in]</t>
  </si>
  <si>
    <t>Kw rl</t>
  </si>
  <si>
    <t>Rear Left Wheel Rate [N/mm]</t>
  </si>
  <si>
    <t>Fz fl</t>
  </si>
  <si>
    <t>Left front  vertical force [N]</t>
  </si>
  <si>
    <t xml:space="preserve">            From static +/- WT</t>
  </si>
  <si>
    <t>Tf</t>
  </si>
  <si>
    <t xml:space="preserve">Front Track </t>
  </si>
  <si>
    <t>Kw rr</t>
  </si>
  <si>
    <t>Rear  Right wheel  rate [N/mm]</t>
  </si>
  <si>
    <t>Fz fr</t>
  </si>
  <si>
    <t>Front Rightvertical force  [N]</t>
  </si>
  <si>
    <t xml:space="preserve">Read vertical wheel load values  into correct </t>
  </si>
  <si>
    <t>Tr</t>
  </si>
  <si>
    <t xml:space="preserve">Rear track </t>
  </si>
  <si>
    <t>Kw f</t>
  </si>
  <si>
    <t>Wheel Rate front Average</t>
  </si>
  <si>
    <t>Fz rl</t>
  </si>
  <si>
    <t>Rear Left vertical force [N]</t>
  </si>
  <si>
    <t xml:space="preserve"> cells of  Rowley Load Split Calculator on </t>
  </si>
  <si>
    <t xml:space="preserve">L </t>
  </si>
  <si>
    <t xml:space="preserve">Wheel base  </t>
  </si>
  <si>
    <t>Kw r</t>
  </si>
  <si>
    <t>Wheel Rate rear Average</t>
  </si>
  <si>
    <t>Fz rr</t>
  </si>
  <si>
    <t>Rear Right  vertical force [N]</t>
  </si>
  <si>
    <t xml:space="preserve">another sheet </t>
  </si>
  <si>
    <t>Rrf</t>
  </si>
  <si>
    <t>Rolling  Radius front, Husf</t>
  </si>
  <si>
    <t>b</t>
  </si>
  <si>
    <t>distance of cg of sprung mass from front axle [m]</t>
  </si>
  <si>
    <t xml:space="preserve">Total wheel loads  by individual wheel load check </t>
  </si>
  <si>
    <t>Rrr</t>
  </si>
  <si>
    <t>Rolling Radius rear, Husr</t>
  </si>
  <si>
    <t>hr -hf</t>
  </si>
  <si>
    <t>Rear -Front RC Height [m]</t>
  </si>
  <si>
    <t xml:space="preserve">Total  wheel load  by static corner weight check </t>
  </si>
  <si>
    <t xml:space="preserve">Ht </t>
  </si>
  <si>
    <t xml:space="preserve">Height of CG of total mass above ground </t>
  </si>
  <si>
    <t>z</t>
  </si>
  <si>
    <t>Depth  of triangle at CG [m]</t>
  </si>
  <si>
    <t xml:space="preserve">Hs </t>
  </si>
  <si>
    <t xml:space="preserve">Height of CG of sprung mass  above ground </t>
  </si>
  <si>
    <t>z+hf</t>
  </si>
  <si>
    <t>Height of roll axis at CG [m]</t>
  </si>
  <si>
    <t xml:space="preserve">hf </t>
  </si>
  <si>
    <t xml:space="preserve">Height of Front roll centre above ground  </t>
  </si>
  <si>
    <t>Hsra</t>
  </si>
  <si>
    <t>Height of CG above roll axis [m]</t>
  </si>
  <si>
    <t xml:space="preserve">WT </t>
  </si>
  <si>
    <t xml:space="preserve">Total WT calculated for 'solid' car </t>
  </si>
  <si>
    <t>Use Htot and Mtot to calculate total WT</t>
  </si>
  <si>
    <t xml:space="preserve">hr </t>
  </si>
  <si>
    <t xml:space="preserve">Height of Rear roll centre above ground  </t>
  </si>
  <si>
    <t xml:space="preserve">These may not match exactly due to different tracks </t>
  </si>
  <si>
    <t>b x Mstot = Msr * L</t>
  </si>
  <si>
    <t>Ht x Mt  = (Musf x Rrf) + (Musr x Rrr) + (Mstot x  Hs)</t>
  </si>
  <si>
    <r>
      <rPr>
        <sz val="11"/>
        <color rgb="FF000000"/>
        <rFont val="Calibri"/>
        <family val="2"/>
      </rPr>
      <t xml:space="preserve">              </t>
    </r>
    <r>
      <rPr>
        <u/>
        <sz val="11"/>
        <color rgb="FF000000"/>
        <rFont val="Calibri"/>
        <family val="2"/>
      </rPr>
      <t xml:space="preserve"> hr-hf  </t>
    </r>
    <r>
      <rPr>
        <sz val="11"/>
        <color rgb="FF000000"/>
        <rFont val="Calibri"/>
        <family val="2"/>
      </rPr>
      <t xml:space="preserve">   =      </t>
    </r>
    <r>
      <rPr>
        <u/>
        <sz val="11"/>
        <color rgb="FF000000"/>
        <rFont val="Calibri"/>
        <family val="2"/>
      </rPr>
      <t xml:space="preserve"> Z   </t>
    </r>
    <r>
      <rPr>
        <sz val="11"/>
        <color rgb="FF000000"/>
        <rFont val="Calibri"/>
        <family val="2"/>
      </rPr>
      <t xml:space="preserve">   </t>
    </r>
  </si>
  <si>
    <t xml:space="preserve">                          L              b</t>
  </si>
  <si>
    <t>(D12*C23)+(D14*C24)+(G10*</t>
  </si>
  <si>
    <t xml:space="preserve">Wheel load distribution 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</si>
  <si>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</si>
  <si>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</si>
  <si>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</si>
  <si>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</si>
  <si>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</si>
  <si>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</si>
  <si>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</si>
  <si>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 (LR-RR) -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</si>
  <si>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</si>
  <si>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</si>
  <si>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</si>
  <si>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</si>
  <si>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</si>
  <si>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</si>
  <si>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</si>
  <si>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</si>
  <si>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</si>
  <si>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</si>
  <si>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>Spring Rate Conversions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</si>
  <si>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</si>
  <si>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</si>
  <si>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</si>
  <si>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</si>
  <si>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</si>
  <si>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</si>
  <si>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</si>
  <si>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</si>
  <si>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</si>
  <si>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</si>
  <si>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</si>
  <si>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</si>
  <si>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</si>
  <si>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</si>
  <si>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</si>
  <si>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t>FLS</t>
  </si>
  <si>
    <t>RLS</t>
  </si>
  <si>
    <t>FRLSD</t>
  </si>
  <si>
    <t>Front Rear Load Split Difference</t>
  </si>
  <si>
    <t>Rear split</t>
  </si>
  <si>
    <t>Front split</t>
  </si>
  <si>
    <t>Rear WT Percentage [%]</t>
  </si>
  <si>
    <t>Q3 i: Compared to Q2 the car would be expected to understeer more</t>
  </si>
  <si>
    <t>Q3 ii: More understeer is expected when turning right due to the increased stiffness of the front spring rates. The weight transfer is more</t>
  </si>
  <si>
    <t>biased toward the rear of the car, meaning the front wheels have less vertical load, and therefore less mechanical grip, and increased slip, causing</t>
  </si>
  <si>
    <t>increased understeer. The front load split would cause the front split to increase, placing more proportional load on the front right corner.</t>
  </si>
  <si>
    <t>As the right side of the car is on the inside on a right turn, the decreased travel will decrease the grip of the right corner during the turn.</t>
  </si>
  <si>
    <t>Q3 iii: if the wheel load increases on the front right corner, the front load split would increase. This would mean that the FRLSD would decrease and</t>
  </si>
  <si>
    <t>the Rear WT percentage would become smaller. This means that there would be less load on the rear wheels, and less proportional load on the front</t>
  </si>
  <si>
    <t>Q4 ii: the decrease in motion ratio at both front corners has decreased the front wheel rate average. This in turn has decreased the front roll stiffness</t>
  </si>
  <si>
    <t>and raised the roll angle. These factors all contribute to a lower front WT value, meaning the front end is more stiff. This increases the rear weight</t>
  </si>
  <si>
    <t>transfer percentage, and this means the front of the vehicle has less vertical travel, meaning increased understeer.</t>
  </si>
  <si>
    <t>Q4 iii: the angle of the rocker on each corner could be adjusted to change the travel of the pushrod, changing the motion ratio of the front suspension.</t>
  </si>
  <si>
    <t>Q6:Before mass change FRLSD: -1620.23 Rear WT per 70.19233%</t>
  </si>
  <si>
    <t>Q6ii: The Rear WT percentage has not changed. This is because the front WT and Rear WT have not changed.  However, the FRLSD has changed.</t>
  </si>
  <si>
    <t xml:space="preserve">This is because the weight of each corner has changed, the individual corner weights on each end of the car swapping to bias the car in favour of </t>
  </si>
  <si>
    <t xml:space="preserve">right hand turns. This is because the front end is now heavier on the left not the right, giving more grip to the loaded tyre on right turns. The rear </t>
  </si>
  <si>
    <t>right corner is now heavier than the left, opposite to the previous setup. This means that the rear left will not pitch as much during right hand turns,</t>
  </si>
  <si>
    <t>as the tyre is unloaded during right hand cornering and the weight will reduce travel, increasing road surface contact. The weight of the car has not</t>
  </si>
  <si>
    <t>changed, only the weight distribution to each corner</t>
  </si>
  <si>
    <t>Q6iii: The spring rates, and the wheel loads can both be used on an oval circuit as there are only turns in one direction. This means that the stability</t>
  </si>
  <si>
    <t>of the car is only needed for one direction of turn. Changing the wheel loads to bias one direction of turn would mean that the stability if the car during</t>
  </si>
  <si>
    <t>the opposite direction of turn would be inversely proportionate, as there would be a significant difference in the pitch and yaw of the car when turning</t>
  </si>
  <si>
    <t xml:space="preserve">left or right. As spring rate only affects the stiffness, as opposed to the weight distribution. This means that it would be possible to set the car up to </t>
  </si>
  <si>
    <t xml:space="preserve">be more stable in both left and right turns.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</si>
</sst>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"/>
    <numFmt numFmtId="167" formatCode="0.0%"/>
    <numFmt numFmtId="168" formatCode="0.000000"/>
  </numFmts>
  <fonts count="24" x14ac:knownFonts="1">
    <font>
      <sz val="10"/>
      <name val="Arial"/>
    </font>
    <font>
      <sz val="8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u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24"/>
      <color rgb="FFFF0000"/>
      <name val="Arial"/>
      <family val="2"/>
    </font>
    <font>
      <sz val="11"/>
      <color rgb="FFFF0000"/>
      <name val="Arial"/>
      <family val="2"/>
    </font>
    <font>
      <sz val="13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theme="0"/>
      <name val="Arial"/>
      <family val="2"/>
    </font>
    <font>
      <sz val="28"/>
      <color rgb="FF000000"/>
      <name val="Calibri"/>
      <family val="2"/>
    </font>
    <font>
      <vertAlign val="subscript"/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240">
    <xf numFmtId="0" fontId="0" fillId="0" borderId="0" xfId="0"/>
    <xf numFmtId="2" fontId="0" fillId="4" borderId="7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3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2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0" fontId="5" fillId="0" borderId="0" xfId="0" applyFont="1"/>
    <xf numFmtId="0" fontId="0" fillId="0" borderId="7" xfId="0" applyBorder="1"/>
    <xf numFmtId="0" fontId="6" fillId="0" borderId="7" xfId="0" applyFont="1" applyBorder="1"/>
    <xf numFmtId="0" fontId="9" fillId="0" borderId="7" xfId="0" applyFont="1" applyBorder="1"/>
    <xf numFmtId="0" fontId="10" fillId="6" borderId="13" xfId="0" applyFont="1" applyFill="1" applyBorder="1"/>
    <xf numFmtId="0" fontId="0" fillId="0" borderId="7" xfId="0" applyBorder="1" applyAlignment="1">
      <alignment horizontal="center" vertical="center"/>
    </xf>
    <xf numFmtId="164" fontId="0" fillId="3" borderId="5" xfId="0" applyNumberFormat="1" applyFill="1" applyBorder="1" applyAlignment="1" applyProtection="1">
      <alignment horizontal="center"/>
    </xf>
    <xf numFmtId="2" fontId="0" fillId="7" borderId="5" xfId="0" applyNumberFormat="1" applyFill="1" applyBorder="1" applyAlignment="1" applyProtection="1">
      <alignment horizontal="center"/>
    </xf>
    <xf numFmtId="2" fontId="0" fillId="0" borderId="7" xfId="0" applyNumberFormat="1" applyBorder="1" applyAlignment="1">
      <alignment horizontal="center" vertical="center"/>
    </xf>
    <xf numFmtId="0" fontId="0" fillId="0" borderId="0" xfId="0" applyBorder="1"/>
    <xf numFmtId="0" fontId="8" fillId="0" borderId="15" xfId="0" applyFont="1" applyBorder="1"/>
    <xf numFmtId="0" fontId="8" fillId="0" borderId="16" xfId="0" applyFont="1" applyBorder="1"/>
    <xf numFmtId="0" fontId="13" fillId="0" borderId="0" xfId="0" applyFont="1"/>
    <xf numFmtId="0" fontId="12" fillId="0" borderId="0" xfId="0" applyFont="1"/>
    <xf numFmtId="0" fontId="15" fillId="0" borderId="0" xfId="0" applyFont="1" applyAlignment="1">
      <alignment horizontal="left" vertical="center" indent="3" readingOrder="1"/>
    </xf>
    <xf numFmtId="0" fontId="16" fillId="0" borderId="0" xfId="0" applyFont="1" applyAlignment="1">
      <alignment horizontal="left" vertical="center" indent="3" readingOrder="1"/>
    </xf>
    <xf numFmtId="165" fontId="0" fillId="9" borderId="7" xfId="0" applyNumberFormat="1" applyFill="1" applyBorder="1" applyAlignment="1">
      <alignment horizontal="center" vertical="center"/>
    </xf>
    <xf numFmtId="0" fontId="0" fillId="8" borderId="18" xfId="0" applyFill="1" applyBorder="1"/>
    <xf numFmtId="0" fontId="9" fillId="8" borderId="17" xfId="0" applyFont="1" applyFill="1" applyBorder="1"/>
    <xf numFmtId="0" fontId="0" fillId="9" borderId="0" xfId="0" applyFill="1" applyBorder="1"/>
    <xf numFmtId="0" fontId="0" fillId="0" borderId="0" xfId="0" applyAlignment="1"/>
    <xf numFmtId="0" fontId="0" fillId="7" borderId="7" xfId="0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7" borderId="0" xfId="0" applyFill="1" applyBorder="1"/>
    <xf numFmtId="0" fontId="10" fillId="6" borderId="13" xfId="0" applyFont="1" applyFill="1" applyBorder="1" applyAlignment="1">
      <alignment horizontal="left"/>
    </xf>
    <xf numFmtId="166" fontId="0" fillId="0" borderId="5" xfId="0" applyNumberForma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17" xfId="0" applyBorder="1"/>
    <xf numFmtId="0" fontId="9" fillId="0" borderId="18" xfId="0" applyFont="1" applyBorder="1"/>
    <xf numFmtId="166" fontId="0" fillId="9" borderId="5" xfId="0" applyNumberFormat="1" applyFill="1" applyBorder="1" applyAlignment="1">
      <alignment horizontal="center" vertical="center"/>
    </xf>
    <xf numFmtId="0" fontId="9" fillId="0" borderId="17" xfId="0" applyFont="1" applyBorder="1"/>
    <xf numFmtId="0" fontId="0" fillId="0" borderId="24" xfId="0" applyBorder="1"/>
    <xf numFmtId="1" fontId="0" fillId="9" borderId="5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8" fillId="0" borderId="1" xfId="0" applyFont="1" applyFill="1" applyBorder="1" applyAlignment="1">
      <alignment horizontal="left"/>
    </xf>
    <xf numFmtId="0" fontId="0" fillId="0" borderId="2" xfId="0" applyFill="1" applyBorder="1"/>
    <xf numFmtId="167" fontId="19" fillId="12" borderId="28" xfId="1" applyNumberFormat="1" applyFont="1" applyFill="1" applyBorder="1" applyAlignment="1">
      <alignment horizontal="center"/>
    </xf>
    <xf numFmtId="0" fontId="19" fillId="0" borderId="2" xfId="0" applyFont="1" applyFill="1" applyBorder="1"/>
    <xf numFmtId="0" fontId="19" fillId="0" borderId="2" xfId="0" applyFont="1" applyFill="1" applyBorder="1" applyAlignment="1">
      <alignment horizontal="center"/>
    </xf>
    <xf numFmtId="0" fontId="19" fillId="0" borderId="3" xfId="0" applyFont="1" applyFill="1" applyBorder="1"/>
    <xf numFmtId="0" fontId="19" fillId="0" borderId="4" xfId="0" applyFont="1" applyFill="1" applyBorder="1"/>
    <xf numFmtId="0" fontId="8" fillId="0" borderId="0" xfId="0" applyFont="1" applyFill="1" applyBorder="1"/>
    <xf numFmtId="0" fontId="19" fillId="0" borderId="0" xfId="0" applyFont="1" applyFill="1" applyBorder="1"/>
    <xf numFmtId="0" fontId="8" fillId="12" borderId="29" xfId="0" applyFont="1" applyFill="1" applyBorder="1" applyAlignment="1">
      <alignment horizontal="center"/>
    </xf>
    <xf numFmtId="0" fontId="19" fillId="0" borderId="6" xfId="0" applyFont="1" applyFill="1" applyBorder="1"/>
    <xf numFmtId="166" fontId="19" fillId="12" borderId="30" xfId="0" applyNumberFormat="1" applyFont="1" applyFill="1" applyBorder="1" applyAlignment="1">
      <alignment horizontal="center"/>
    </xf>
    <xf numFmtId="167" fontId="19" fillId="0" borderId="0" xfId="1" applyNumberFormat="1" applyFont="1" applyFill="1" applyBorder="1" applyAlignment="1">
      <alignment horizontal="center"/>
    </xf>
    <xf numFmtId="167" fontId="19" fillId="6" borderId="31" xfId="1" applyNumberFormat="1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166" fontId="7" fillId="13" borderId="2" xfId="0" applyNumberFormat="1" applyFont="1" applyFill="1" applyBorder="1" applyAlignment="1">
      <alignment horizontal="center"/>
    </xf>
    <xf numFmtId="0" fontId="8" fillId="13" borderId="3" xfId="0" applyFont="1" applyFill="1" applyBorder="1" applyAlignment="1">
      <alignment horizontal="center"/>
    </xf>
    <xf numFmtId="167" fontId="19" fillId="6" borderId="32" xfId="1" applyNumberFormat="1" applyFont="1" applyFill="1" applyBorder="1" applyAlignment="1">
      <alignment horizontal="center"/>
    </xf>
    <xf numFmtId="0" fontId="8" fillId="12" borderId="21" xfId="0" applyFont="1" applyFill="1" applyBorder="1"/>
    <xf numFmtId="0" fontId="8" fillId="12" borderId="11" xfId="0" applyFont="1" applyFill="1" applyBorder="1" applyAlignment="1">
      <alignment horizontal="right"/>
    </xf>
    <xf numFmtId="166" fontId="19" fillId="12" borderId="23" xfId="0" applyNumberFormat="1" applyFont="1" applyFill="1" applyBorder="1" applyAlignment="1">
      <alignment horizontal="center"/>
    </xf>
    <xf numFmtId="166" fontId="19" fillId="4" borderId="33" xfId="0" applyNumberFormat="1" applyFont="1" applyFill="1" applyBorder="1" applyAlignment="1">
      <alignment horizontal="center"/>
    </xf>
    <xf numFmtId="0" fontId="7" fillId="13" borderId="4" xfId="0" applyFont="1" applyFill="1" applyBorder="1"/>
    <xf numFmtId="0" fontId="8" fillId="13" borderId="0" xfId="0" applyFont="1" applyFill="1" applyBorder="1"/>
    <xf numFmtId="0" fontId="7" fillId="13" borderId="6" xfId="0" applyFont="1" applyFill="1" applyBorder="1"/>
    <xf numFmtId="166" fontId="19" fillId="4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8" fillId="13" borderId="4" xfId="0" applyFont="1" applyFill="1" applyBorder="1" applyAlignment="1">
      <alignment horizontal="center"/>
    </xf>
    <xf numFmtId="0" fontId="8" fillId="13" borderId="6" xfId="0" applyFont="1" applyFill="1" applyBorder="1" applyAlignment="1">
      <alignment horizontal="center"/>
    </xf>
    <xf numFmtId="166" fontId="19" fillId="0" borderId="0" xfId="0" applyNumberFormat="1" applyFont="1" applyFill="1" applyBorder="1" applyAlignment="1">
      <alignment horizontal="center"/>
    </xf>
    <xf numFmtId="166" fontId="8" fillId="12" borderId="35" xfId="0" applyNumberFormat="1" applyFont="1" applyFill="1" applyBorder="1" applyAlignment="1">
      <alignment horizontal="center"/>
    </xf>
    <xf numFmtId="167" fontId="19" fillId="12" borderId="11" xfId="0" applyNumberFormat="1" applyFont="1" applyFill="1" applyBorder="1" applyAlignment="1">
      <alignment horizontal="center"/>
    </xf>
    <xf numFmtId="0" fontId="19" fillId="12" borderId="12" xfId="0" applyFont="1" applyFill="1" applyBorder="1" applyAlignment="1">
      <alignment horizontal="center"/>
    </xf>
    <xf numFmtId="0" fontId="8" fillId="13" borderId="0" xfId="0" applyFont="1" applyFill="1" applyBorder="1" applyAlignment="1">
      <alignment horizontal="center"/>
    </xf>
    <xf numFmtId="166" fontId="19" fillId="0" borderId="13" xfId="0" applyNumberFormat="1" applyFont="1" applyFill="1" applyBorder="1" applyAlignment="1">
      <alignment horizontal="center"/>
    </xf>
    <xf numFmtId="166" fontId="19" fillId="12" borderId="35" xfId="0" applyNumberFormat="1" applyFont="1" applyFill="1" applyBorder="1" applyAlignment="1">
      <alignment horizontal="center"/>
    </xf>
    <xf numFmtId="167" fontId="19" fillId="12" borderId="36" xfId="0" applyNumberFormat="1" applyFont="1" applyFill="1" applyBorder="1" applyAlignment="1">
      <alignment horizontal="center"/>
    </xf>
    <xf numFmtId="0" fontId="8" fillId="12" borderId="23" xfId="0" applyFont="1" applyFill="1" applyBorder="1" applyAlignment="1">
      <alignment horizontal="left"/>
    </xf>
    <xf numFmtId="0" fontId="8" fillId="14" borderId="37" xfId="0" applyFont="1" applyFill="1" applyBorder="1" applyAlignment="1">
      <alignment horizontal="right"/>
    </xf>
    <xf numFmtId="0" fontId="8" fillId="14" borderId="20" xfId="0" applyFont="1" applyFill="1" applyBorder="1" applyAlignment="1"/>
    <xf numFmtId="166" fontId="8" fillId="14" borderId="0" xfId="0" applyNumberFormat="1" applyFont="1" applyFill="1" applyBorder="1" applyAlignment="1">
      <alignment horizontal="center"/>
    </xf>
    <xf numFmtId="167" fontId="19" fillId="6" borderId="38" xfId="1" applyNumberFormat="1" applyFont="1" applyFill="1" applyBorder="1" applyAlignment="1">
      <alignment horizontal="center"/>
    </xf>
    <xf numFmtId="167" fontId="19" fillId="6" borderId="39" xfId="1" applyNumberFormat="1" applyFont="1" applyFill="1" applyBorder="1" applyAlignment="1">
      <alignment horizontal="center"/>
    </xf>
    <xf numFmtId="0" fontId="8" fillId="12" borderId="40" xfId="0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8" fillId="13" borderId="27" xfId="0" applyFont="1" applyFill="1" applyBorder="1"/>
    <xf numFmtId="0" fontId="8" fillId="13" borderId="41" xfId="0" applyFont="1" applyFill="1" applyBorder="1" applyAlignment="1">
      <alignment horizontal="center"/>
    </xf>
    <xf numFmtId="166" fontId="19" fillId="4" borderId="42" xfId="0" applyNumberFormat="1" applyFont="1" applyFill="1" applyBorder="1" applyAlignment="1">
      <alignment horizontal="center"/>
    </xf>
    <xf numFmtId="0" fontId="19" fillId="0" borderId="21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right"/>
    </xf>
    <xf numFmtId="166" fontId="19" fillId="0" borderId="23" xfId="0" applyNumberFormat="1" applyFont="1" applyFill="1" applyBorder="1" applyAlignment="1">
      <alignment horizontal="center"/>
    </xf>
    <xf numFmtId="166" fontId="19" fillId="12" borderId="43" xfId="0" applyNumberFormat="1" applyFont="1" applyFill="1" applyBorder="1" applyAlignment="1">
      <alignment horizontal="center"/>
    </xf>
    <xf numFmtId="166" fontId="19" fillId="12" borderId="21" xfId="0" applyNumberFormat="1" applyFont="1" applyFill="1" applyBorder="1" applyAlignment="1">
      <alignment horizontal="center"/>
    </xf>
    <xf numFmtId="0" fontId="8" fillId="12" borderId="22" xfId="0" applyFont="1" applyFill="1" applyBorder="1" applyAlignment="1">
      <alignment horizontal="left"/>
    </xf>
    <xf numFmtId="0" fontId="8" fillId="12" borderId="4" xfId="0" applyFont="1" applyFill="1" applyBorder="1" applyAlignment="1">
      <alignment horizontal="right"/>
    </xf>
    <xf numFmtId="167" fontId="19" fillId="12" borderId="6" xfId="1" applyNumberFormat="1" applyFont="1" applyFill="1" applyBorder="1" applyAlignment="1">
      <alignment horizontal="center"/>
    </xf>
    <xf numFmtId="0" fontId="8" fillId="12" borderId="44" xfId="0" applyFont="1" applyFill="1" applyBorder="1" applyAlignment="1">
      <alignment horizontal="center"/>
    </xf>
    <xf numFmtId="0" fontId="19" fillId="0" borderId="8" xfId="0" applyFont="1" applyFill="1" applyBorder="1"/>
    <xf numFmtId="166" fontId="19" fillId="0" borderId="23" xfId="1" applyNumberFormat="1" applyFont="1" applyFill="1" applyBorder="1" applyAlignment="1">
      <alignment horizontal="center"/>
    </xf>
    <xf numFmtId="0" fontId="19" fillId="0" borderId="27" xfId="0" applyFont="1" applyFill="1" applyBorder="1"/>
    <xf numFmtId="167" fontId="19" fillId="12" borderId="45" xfId="1" applyNumberFormat="1" applyFont="1" applyFill="1" applyBorder="1" applyAlignment="1">
      <alignment horizontal="center"/>
    </xf>
    <xf numFmtId="2" fontId="8" fillId="7" borderId="27" xfId="0" applyNumberFormat="1" applyFont="1" applyFill="1" applyBorder="1"/>
    <xf numFmtId="0" fontId="7" fillId="7" borderId="41" xfId="0" applyFont="1" applyFill="1" applyBorder="1"/>
    <xf numFmtId="0" fontId="20" fillId="0" borderId="0" xfId="0" applyFont="1"/>
    <xf numFmtId="166" fontId="0" fillId="0" borderId="0" xfId="0" applyNumberFormat="1"/>
    <xf numFmtId="2" fontId="0" fillId="0" borderId="17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" fontId="0" fillId="9" borderId="47" xfId="0" applyNumberFormat="1" applyFill="1" applyBorder="1" applyAlignment="1">
      <alignment horizontal="center" vertical="center"/>
    </xf>
    <xf numFmtId="0" fontId="9" fillId="0" borderId="19" xfId="0" applyFont="1" applyFill="1" applyBorder="1"/>
    <xf numFmtId="1" fontId="0" fillId="9" borderId="46" xfId="0" applyNumberFormat="1" applyFill="1" applyBorder="1" applyAlignment="1">
      <alignment horizontal="center" vertical="center"/>
    </xf>
    <xf numFmtId="1" fontId="0" fillId="11" borderId="28" xfId="0" applyNumberFormat="1" applyFill="1" applyBorder="1" applyAlignment="1">
      <alignment horizontal="center"/>
    </xf>
    <xf numFmtId="0" fontId="0" fillId="11" borderId="30" xfId="0" applyFill="1" applyBorder="1" applyAlignment="1">
      <alignment horizontal="center" vertical="center"/>
    </xf>
    <xf numFmtId="0" fontId="21" fillId="0" borderId="0" xfId="0" applyFont="1" applyBorder="1"/>
    <xf numFmtId="0" fontId="21" fillId="7" borderId="0" xfId="0" applyFont="1" applyFill="1" applyBorder="1"/>
    <xf numFmtId="1" fontId="0" fillId="15" borderId="13" xfId="0" applyNumberFormat="1" applyFill="1" applyBorder="1" applyAlignment="1">
      <alignment horizontal="center" vertical="center"/>
    </xf>
    <xf numFmtId="0" fontId="5" fillId="0" borderId="7" xfId="0" applyFont="1" applyBorder="1"/>
    <xf numFmtId="0" fontId="9" fillId="7" borderId="0" xfId="0" applyFont="1" applyFill="1" applyBorder="1"/>
    <xf numFmtId="0" fontId="9" fillId="9" borderId="21" xfId="0" applyFont="1" applyFill="1" applyBorder="1"/>
    <xf numFmtId="0" fontId="0" fillId="9" borderId="23" xfId="0" applyFill="1" applyBorder="1"/>
    <xf numFmtId="0" fontId="9" fillId="8" borderId="21" xfId="0" applyFont="1" applyFill="1" applyBorder="1"/>
    <xf numFmtId="0" fontId="0" fillId="8" borderId="23" xfId="0" applyFill="1" applyBorder="1"/>
    <xf numFmtId="0" fontId="9" fillId="9" borderId="1" xfId="0" applyFont="1" applyFill="1" applyBorder="1" applyAlignment="1">
      <alignment horizontal="center"/>
    </xf>
    <xf numFmtId="0" fontId="0" fillId="9" borderId="2" xfId="0" applyFill="1" applyBorder="1" applyAlignment="1">
      <alignment horizontal="left"/>
    </xf>
    <xf numFmtId="0" fontId="0" fillId="9" borderId="2" xfId="0" applyFill="1" applyBorder="1"/>
    <xf numFmtId="0" fontId="0" fillId="9" borderId="3" xfId="0" applyFill="1" applyBorder="1"/>
    <xf numFmtId="0" fontId="9" fillId="9" borderId="4" xfId="0" applyFont="1" applyFill="1" applyBorder="1"/>
    <xf numFmtId="0" fontId="0" fillId="9" borderId="6" xfId="0" applyFill="1" applyBorder="1"/>
    <xf numFmtId="0" fontId="0" fillId="9" borderId="4" xfId="0" applyFill="1" applyBorder="1"/>
    <xf numFmtId="0" fontId="0" fillId="9" borderId="8" xfId="0" applyFill="1" applyBorder="1"/>
    <xf numFmtId="0" fontId="0" fillId="9" borderId="27" xfId="0" applyFill="1" applyBorder="1"/>
    <xf numFmtId="0" fontId="0" fillId="9" borderId="41" xfId="0" applyFill="1" applyBorder="1"/>
    <xf numFmtId="0" fontId="9" fillId="9" borderId="1" xfId="0" applyFont="1" applyFill="1" applyBorder="1"/>
    <xf numFmtId="0" fontId="0" fillId="9" borderId="48" xfId="0" applyFill="1" applyBorder="1"/>
    <xf numFmtId="0" fontId="9" fillId="9" borderId="8" xfId="0" applyFont="1" applyFill="1" applyBorder="1"/>
    <xf numFmtId="0" fontId="0" fillId="9" borderId="49" xfId="0" applyFill="1" applyBorder="1"/>
    <xf numFmtId="0" fontId="11" fillId="9" borderId="28" xfId="0" applyFont="1" applyFill="1" applyBorder="1" applyAlignment="1">
      <alignment horizontal="left" vertical="center" indent="4" readingOrder="1"/>
    </xf>
    <xf numFmtId="0" fontId="13" fillId="9" borderId="45" xfId="0" applyFont="1" applyFill="1" applyBorder="1"/>
    <xf numFmtId="0" fontId="17" fillId="9" borderId="13" xfId="0" applyFont="1" applyFill="1" applyBorder="1" applyAlignment="1">
      <alignment horizontal="center" vertical="center" readingOrder="1"/>
    </xf>
    <xf numFmtId="0" fontId="9" fillId="7" borderId="25" xfId="0" applyFont="1" applyFill="1" applyBorder="1"/>
    <xf numFmtId="0" fontId="9" fillId="7" borderId="7" xfId="0" applyFont="1" applyFill="1" applyBorder="1"/>
    <xf numFmtId="0" fontId="0" fillId="7" borderId="26" xfId="0" applyFont="1" applyFill="1" applyBorder="1"/>
    <xf numFmtId="0" fontId="9" fillId="7" borderId="14" xfId="0" applyFont="1" applyFill="1" applyBorder="1"/>
    <xf numFmtId="0" fontId="0" fillId="10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14" fillId="7" borderId="7" xfId="0" applyFont="1" applyFill="1" applyBorder="1"/>
    <xf numFmtId="0" fontId="9" fillId="7" borderId="17" xfId="0" applyFont="1" applyFill="1" applyBorder="1"/>
    <xf numFmtId="166" fontId="0" fillId="7" borderId="5" xfId="0" applyNumberFormat="1" applyFill="1" applyBorder="1" applyAlignment="1">
      <alignment horizontal="center"/>
    </xf>
    <xf numFmtId="166" fontId="0" fillId="7" borderId="46" xfId="0" applyNumberFormat="1" applyFill="1" applyBorder="1" applyAlignment="1">
      <alignment horizontal="center"/>
    </xf>
    <xf numFmtId="0" fontId="8" fillId="0" borderId="50" xfId="0" applyFont="1" applyBorder="1"/>
    <xf numFmtId="0" fontId="0" fillId="0" borderId="51" xfId="0" applyBorder="1"/>
    <xf numFmtId="0" fontId="0" fillId="0" borderId="52" xfId="0" applyBorder="1"/>
    <xf numFmtId="0" fontId="0" fillId="10" borderId="52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9" fillId="0" borderId="52" xfId="0" applyFont="1" applyBorder="1"/>
    <xf numFmtId="166" fontId="0" fillId="0" borderId="53" xfId="0" applyNumberFormat="1" applyBorder="1" applyAlignment="1">
      <alignment horizontal="center" vertical="center"/>
    </xf>
    <xf numFmtId="0" fontId="0" fillId="0" borderId="54" xfId="0" applyBorder="1"/>
    <xf numFmtId="0" fontId="0" fillId="1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9" fillId="0" borderId="25" xfId="0" applyFont="1" applyBorder="1"/>
    <xf numFmtId="0" fontId="9" fillId="0" borderId="9" xfId="0" applyFont="1" applyBorder="1"/>
    <xf numFmtId="168" fontId="0" fillId="0" borderId="5" xfId="0" applyNumberFormat="1" applyBorder="1" applyAlignment="1">
      <alignment horizontal="center" vertical="center"/>
    </xf>
    <xf numFmtId="0" fontId="22" fillId="9" borderId="21" xfId="0" applyFont="1" applyFill="1" applyBorder="1" applyAlignment="1">
      <alignment vertical="center"/>
    </xf>
    <xf numFmtId="0" fontId="0" fillId="9" borderId="23" xfId="0" applyFill="1" applyBorder="1" applyAlignment="1">
      <alignment vertical="center"/>
    </xf>
    <xf numFmtId="168" fontId="13" fillId="0" borderId="0" xfId="0" applyNumberFormat="1" applyFont="1"/>
    <xf numFmtId="0" fontId="0" fillId="0" borderId="14" xfId="0" applyFill="1" applyBorder="1"/>
    <xf numFmtId="2" fontId="0" fillId="7" borderId="7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9" fillId="0" borderId="14" xfId="0" applyFont="1" applyFill="1" applyBorder="1"/>
    <xf numFmtId="2" fontId="0" fillId="9" borderId="7" xfId="0" applyNumberForma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6" fontId="0" fillId="0" borderId="52" xfId="0" applyNumberFormat="1" applyBorder="1" applyAlignment="1">
      <alignment horizontal="center" vertical="center"/>
    </xf>
    <xf numFmtId="1" fontId="9" fillId="15" borderId="13" xfId="0" applyNumberFormat="1" applyFont="1" applyFill="1" applyBorder="1" applyAlignment="1">
      <alignment horizontal="center" vertical="center"/>
    </xf>
    <xf numFmtId="165" fontId="0" fillId="6" borderId="7" xfId="0" applyNumberFormat="1" applyFill="1" applyBorder="1" applyAlignment="1">
      <alignment horizontal="center" vertical="center"/>
    </xf>
    <xf numFmtId="0" fontId="0" fillId="0" borderId="26" xfId="0" applyFill="1" applyBorder="1"/>
    <xf numFmtId="1" fontId="0" fillId="0" borderId="0" xfId="0" applyNumberFormat="1"/>
    <xf numFmtId="165" fontId="9" fillId="10" borderId="7" xfId="0" applyNumberFormat="1" applyFont="1" applyFill="1" applyBorder="1" applyAlignment="1">
      <alignment horizontal="center" vertical="center"/>
    </xf>
    <xf numFmtId="166" fontId="0" fillId="6" borderId="5" xfId="0" applyNumberForma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left" vertical="center" indent="4" readingOrder="1"/>
    </xf>
    <xf numFmtId="0" fontId="13" fillId="7" borderId="45" xfId="0" applyFont="1" applyFill="1" applyBorder="1"/>
    <xf numFmtId="0" fontId="9" fillId="7" borderId="21" xfId="0" applyFont="1" applyFill="1" applyBorder="1"/>
    <xf numFmtId="0" fontId="0" fillId="7" borderId="23" xfId="0" applyFill="1" applyBorder="1"/>
    <xf numFmtId="0" fontId="0" fillId="16" borderId="0" xfId="0" applyFill="1"/>
    <xf numFmtId="0" fontId="9" fillId="16" borderId="0" xfId="0" applyFont="1" applyFill="1"/>
    <xf numFmtId="0" fontId="9" fillId="7" borderId="0" xfId="0" applyFont="1" applyFill="1"/>
    <xf numFmtId="0" fontId="0" fillId="7" borderId="0" xfId="0" applyFill="1"/>
    <xf numFmtId="2" fontId="0" fillId="6" borderId="5" xfId="0" applyNumberFormat="1" applyFill="1" applyBorder="1" applyAlignment="1" applyProtection="1">
      <alignment horizontal="center"/>
    </xf>
    <xf numFmtId="2" fontId="0" fillId="6" borderId="17" xfId="0" applyNumberFormat="1" applyFill="1" applyBorder="1" applyAlignment="1">
      <alignment horizontal="center" vertical="center"/>
    </xf>
    <xf numFmtId="2" fontId="0" fillId="6" borderId="0" xfId="0" applyNumberFormat="1" applyFill="1" applyAlignment="1">
      <alignment horizontal="center"/>
    </xf>
    <xf numFmtId="166" fontId="0" fillId="6" borderId="5" xfId="0" applyNumberFormat="1" applyFill="1" applyBorder="1" applyAlignment="1">
      <alignment horizontal="center"/>
    </xf>
    <xf numFmtId="166" fontId="0" fillId="6" borderId="53" xfId="0" applyNumberFormat="1" applyFill="1" applyBorder="1" applyAlignment="1">
      <alignment horizontal="center" vertical="center"/>
    </xf>
    <xf numFmtId="1" fontId="0" fillId="6" borderId="13" xfId="0" applyNumberFormat="1" applyFill="1" applyBorder="1" applyAlignment="1">
      <alignment horizontal="center" vertical="center"/>
    </xf>
    <xf numFmtId="1" fontId="0" fillId="6" borderId="47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68" fontId="0" fillId="6" borderId="5" xfId="0" applyNumberFormat="1" applyFill="1" applyBorder="1" applyAlignment="1">
      <alignment horizontal="center" vertical="center"/>
    </xf>
    <xf numFmtId="0" fontId="0" fillId="6" borderId="24" xfId="0" applyFill="1" applyBorder="1"/>
    <xf numFmtId="0" fontId="9" fillId="6" borderId="18" xfId="0" applyFont="1" applyFill="1" applyBorder="1"/>
    <xf numFmtId="166" fontId="0" fillId="6" borderId="46" xfId="0" applyNumberFormat="1" applyFill="1" applyBorder="1" applyAlignment="1">
      <alignment horizontal="center"/>
    </xf>
    <xf numFmtId="1" fontId="0" fillId="6" borderId="28" xfId="0" applyNumberFormat="1" applyFill="1" applyBorder="1" applyAlignment="1">
      <alignment horizontal="center"/>
    </xf>
    <xf numFmtId="1" fontId="0" fillId="6" borderId="0" xfId="0" applyNumberFormat="1" applyFill="1"/>
    <xf numFmtId="0" fontId="0" fillId="6" borderId="0" xfId="0" applyFill="1"/>
    <xf numFmtId="1" fontId="0" fillId="7" borderId="0" xfId="0" applyNumberFormat="1" applyFill="1"/>
    <xf numFmtId="2" fontId="0" fillId="7" borderId="0" xfId="0" applyNumberFormat="1" applyFill="1" applyAlignment="1">
      <alignment horizontal="center"/>
    </xf>
    <xf numFmtId="2" fontId="0" fillId="7" borderId="17" xfId="0" applyNumberFormat="1" applyFill="1" applyBorder="1" applyAlignment="1">
      <alignment horizontal="center" vertical="center"/>
    </xf>
    <xf numFmtId="166" fontId="0" fillId="7" borderId="53" xfId="0" applyNumberFormat="1" applyFill="1" applyBorder="1" applyAlignment="1">
      <alignment horizontal="center" vertical="center"/>
    </xf>
    <xf numFmtId="166" fontId="0" fillId="7" borderId="5" xfId="0" applyNumberFormat="1" applyFill="1" applyBorder="1" applyAlignment="1">
      <alignment horizontal="center" vertical="center"/>
    </xf>
    <xf numFmtId="168" fontId="0" fillId="7" borderId="5" xfId="0" applyNumberFormat="1" applyFill="1" applyBorder="1" applyAlignment="1">
      <alignment horizontal="center" vertical="center"/>
    </xf>
    <xf numFmtId="0" fontId="9" fillId="7" borderId="18" xfId="0" applyFont="1" applyFill="1" applyBorder="1"/>
    <xf numFmtId="0" fontId="0" fillId="7" borderId="24" xfId="0" applyFill="1" applyBorder="1"/>
    <xf numFmtId="1" fontId="0" fillId="7" borderId="13" xfId="0" applyNumberFormat="1" applyFill="1" applyBorder="1" applyAlignment="1">
      <alignment horizontal="center" vertical="center"/>
    </xf>
    <xf numFmtId="1" fontId="0" fillId="7" borderId="47" xfId="0" applyNumberFormat="1" applyFill="1" applyBorder="1" applyAlignment="1">
      <alignment horizontal="center" vertical="center"/>
    </xf>
    <xf numFmtId="1" fontId="0" fillId="7" borderId="5" xfId="0" applyNumberFormat="1" applyFill="1" applyBorder="1" applyAlignment="1">
      <alignment horizontal="center" vertical="center"/>
    </xf>
    <xf numFmtId="1" fontId="0" fillId="7" borderId="28" xfId="0" applyNumberForma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1533526</xdr:colOff>
      <xdr:row>23</xdr:row>
      <xdr:rowOff>138546</xdr:rowOff>
    </xdr:from>
    <xdr:to>
      <xdr:col>6</xdr:col>
      <xdr:colOff>103909</xdr:colOff>
      <xdr:row>31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7404390" y="4173682"/>
          <a:ext cx="1349951" cy="128154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14052</xdr:rowOff>
    </xdr:to>
    <xdr:pic>
      <xdr:nvPicPr>
        <xdr:cNvPr id="7" name="Content Placeholder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18156" y="5223856"/>
          <a:ext cx="4488408" cy="145784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22</xdr:row>
      <xdr:rowOff>43295</xdr:rowOff>
    </xdr:from>
    <xdr:to>
      <xdr:col>6</xdr:col>
      <xdr:colOff>77932</xdr:colOff>
      <xdr:row>29</xdr:row>
      <xdr:rowOff>9525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>
          <a:off x="5388554" y="3913909"/>
          <a:ext cx="3339810" cy="116118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31</xdr:row>
      <xdr:rowOff>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>
          <a:off x="3295650" y="4411980"/>
          <a:ext cx="1436370" cy="130302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5295900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14964833" y="3401485"/>
          <a:ext cx="529167" cy="63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4592300" y="4448175"/>
          <a:ext cx="51435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CxnSpPr/>
      </xdr:nvCxnSpPr>
      <xdr:spPr>
        <a:xfrm>
          <a:off x="14787154" y="1506583"/>
          <a:ext cx="679632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CxnSpPr/>
      </xdr:nvCxnSpPr>
      <xdr:spPr>
        <a:xfrm>
          <a:off x="14810528" y="1728258"/>
          <a:ext cx="672133" cy="32793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E4B4DBE-E3D3-44A7-A824-1A18EDF48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73469" y="602016"/>
          <a:ext cx="2330534" cy="14517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C443886E-86DD-4062-BA67-31C5E32B19D2}"/>
            </a:ext>
          </a:extLst>
        </xdr:cNvPr>
        <xdr:cNvCxnSpPr/>
      </xdr:nvCxnSpPr>
      <xdr:spPr>
        <a:xfrm flipV="1">
          <a:off x="14916727" y="727364"/>
          <a:ext cx="2072409" cy="5772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827C3CF-5472-4E37-8D6B-19662F333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87361" y="1173655"/>
          <a:ext cx="444499" cy="40461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2E340281-E16D-48F0-A504-49059DB7C39B}"/>
            </a:ext>
          </a:extLst>
        </xdr:cNvPr>
        <xdr:cNvCxnSpPr/>
      </xdr:nvCxnSpPr>
      <xdr:spPr>
        <a:xfrm flipV="1">
          <a:off x="14905182" y="1050637"/>
          <a:ext cx="577273" cy="178954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EC55E190-487F-430F-ACAA-73BA4CD10C61}"/>
            </a:ext>
          </a:extLst>
        </xdr:cNvPr>
        <xdr:cNvCxnSpPr>
          <a:endCxn id="18" idx="3"/>
        </xdr:cNvCxnSpPr>
      </xdr:nvCxnSpPr>
      <xdr:spPr>
        <a:xfrm flipH="1" flipV="1">
          <a:off x="13431860" y="1375772"/>
          <a:ext cx="488979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EE16931-3C10-486B-A2AD-22EE27E9D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546918" y="2778125"/>
          <a:ext cx="812223" cy="22754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EB300C3-B6A1-41F1-B7E5-D848D17D6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499414" y="2756959"/>
          <a:ext cx="868889" cy="243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3498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AB34D77-546B-4629-BF60-F79103117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84896" y="4516695"/>
          <a:ext cx="3460502" cy="931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31</xdr:row>
      <xdr:rowOff>131609</xdr:rowOff>
    </xdr:from>
    <xdr:to>
      <xdr:col>16</xdr:col>
      <xdr:colOff>102419</xdr:colOff>
      <xdr:row>36</xdr:row>
      <xdr:rowOff>133040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B429BFE7-0A55-48B8-B37D-FD99C5363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060594" y="5590561"/>
          <a:ext cx="3395373" cy="91296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13DBBB59-FC90-4FD2-B0D8-AF4194927F83}"/>
            </a:ext>
          </a:extLst>
        </xdr:cNvPr>
        <xdr:cNvCxnSpPr/>
      </xdr:nvCxnSpPr>
      <xdr:spPr>
        <a:xfrm>
          <a:off x="14564032" y="2171290"/>
          <a:ext cx="564252" cy="44740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B78742AA-67BD-4BDF-9CD8-6D6264779AC9}"/>
            </a:ext>
          </a:extLst>
        </xdr:cNvPr>
        <xdr:cNvCxnSpPr>
          <a:endCxn id="16" idx="1"/>
        </xdr:cNvCxnSpPr>
      </xdr:nvCxnSpPr>
      <xdr:spPr>
        <a:xfrm>
          <a:off x="14574274" y="2529758"/>
          <a:ext cx="565015" cy="45218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CC0F3FA-D357-462E-9645-B2E0B7AE74F2}"/>
            </a:ext>
          </a:extLst>
        </xdr:cNvPr>
        <xdr:cNvSpPr txBox="1"/>
      </xdr:nvSpPr>
      <xdr:spPr>
        <a:xfrm>
          <a:off x="11509375" y="5386917"/>
          <a:ext cx="418041" cy="24870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F264DC-0551-49A6-B3CC-1C7DACFD79ED}"/>
            </a:ext>
          </a:extLst>
        </xdr:cNvPr>
        <xdr:cNvSpPr txBox="1"/>
      </xdr:nvSpPr>
      <xdr:spPr>
        <a:xfrm>
          <a:off x="12755418" y="5756564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232800</xdr:colOff>
      <xdr:row>37</xdr:row>
      <xdr:rowOff>148788</xdr:rowOff>
    </xdr:from>
    <xdr:to>
      <xdr:col>5</xdr:col>
      <xdr:colOff>1588989</xdr:colOff>
      <xdr:row>45</xdr:row>
      <xdr:rowOff>102419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5115D5A2-C2C1-4400-957C-66D15DBADCA5}"/>
            </a:ext>
          </a:extLst>
        </xdr:cNvPr>
        <xdr:cNvCxnSpPr/>
      </xdr:nvCxnSpPr>
      <xdr:spPr>
        <a:xfrm flipH="1">
          <a:off x="6142397" y="6672901"/>
          <a:ext cx="1356189" cy="126459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34536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7FB38DEE-05F6-41DF-8772-DA8891CC2CE2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12070" y="5170170"/>
          <a:ext cx="4364583" cy="146375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2</xdr:col>
      <xdr:colOff>3134957</xdr:colOff>
      <xdr:row>33</xdr:row>
      <xdr:rowOff>155956</xdr:rowOff>
    </xdr:from>
    <xdr:to>
      <xdr:col>5</xdr:col>
      <xdr:colOff>1808819</xdr:colOff>
      <xdr:row>40</xdr:row>
      <xdr:rowOff>142669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ABA1A9B-B93A-4197-A32E-ABCAEC08DD5F}"/>
            </a:ext>
          </a:extLst>
        </xdr:cNvPr>
        <xdr:cNvCxnSpPr/>
      </xdr:nvCxnSpPr>
      <xdr:spPr>
        <a:xfrm flipH="1">
          <a:off x="4363989" y="6004101"/>
          <a:ext cx="3354427" cy="115429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1769192</xdr:colOff>
      <xdr:row>36</xdr:row>
      <xdr:rowOff>22369</xdr:rowOff>
    </xdr:from>
    <xdr:to>
      <xdr:col>2</xdr:col>
      <xdr:colOff>3235715</xdr:colOff>
      <xdr:row>42</xdr:row>
      <xdr:rowOff>20484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3308E7FE-47FA-48A5-A913-59079041BAF2}"/>
            </a:ext>
          </a:extLst>
        </xdr:cNvPr>
        <xdr:cNvCxnSpPr/>
      </xdr:nvCxnSpPr>
      <xdr:spPr>
        <a:xfrm flipH="1">
          <a:off x="2998224" y="6382611"/>
          <a:ext cx="1466523" cy="98134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18CC5920-854B-40D5-A65C-0F77EE9994AA}"/>
            </a:ext>
          </a:extLst>
        </xdr:cNvPr>
        <xdr:cNvCxnSpPr/>
      </xdr:nvCxnSpPr>
      <xdr:spPr>
        <a:xfrm flipH="1">
          <a:off x="515302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187869A2-1057-47AB-BF9F-E78F4A3A0AB8}"/>
            </a:ext>
          </a:extLst>
        </xdr:cNvPr>
        <xdr:cNvCxnSpPr/>
      </xdr:nvCxnSpPr>
      <xdr:spPr>
        <a:xfrm flipV="1">
          <a:off x="14561608" y="3486152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AD8AF000-CFE9-4D59-87A2-D7DA8E8A8B99}"/>
            </a:ext>
          </a:extLst>
        </xdr:cNvPr>
        <xdr:cNvCxnSpPr/>
      </xdr:nvCxnSpPr>
      <xdr:spPr>
        <a:xfrm>
          <a:off x="14344650" y="4581525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402296CD-A401-4ACD-A57E-9EACB9879D2C}"/>
            </a:ext>
          </a:extLst>
        </xdr:cNvPr>
        <xdr:cNvCxnSpPr/>
      </xdr:nvCxnSpPr>
      <xdr:spPr>
        <a:xfrm>
          <a:off x="14417040" y="1586865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DED38F7C-1935-4130-80D5-6D73DE6E2A72}"/>
            </a:ext>
          </a:extLst>
        </xdr:cNvPr>
        <xdr:cNvCxnSpPr/>
      </xdr:nvCxnSpPr>
      <xdr:spPr>
        <a:xfrm>
          <a:off x="14435878" y="1765300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3496D81-669E-4B00-90C0-B9F487BD7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476149" y="620777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BD0CEE9A-44AF-4026-A8EF-D412A9C0A490}"/>
            </a:ext>
          </a:extLst>
        </xdr:cNvPr>
        <xdr:cNvCxnSpPr/>
      </xdr:nvCxnSpPr>
      <xdr:spPr>
        <a:xfrm flipV="1">
          <a:off x="14527645" y="746125"/>
          <a:ext cx="196417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4A78F2C-F35E-4F7E-BAF9-4BCE4479E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7659" y="1177649"/>
          <a:ext cx="444499" cy="4007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301EFF5B-1C88-4C4B-B045-E6A84D948F1B}"/>
            </a:ext>
          </a:extLst>
        </xdr:cNvPr>
        <xdr:cNvCxnSpPr/>
      </xdr:nvCxnSpPr>
      <xdr:spPr>
        <a:xfrm flipV="1">
          <a:off x="14516100" y="1077480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A054FFFC-8D0D-48F3-9303-139972E75897}"/>
            </a:ext>
          </a:extLst>
        </xdr:cNvPr>
        <xdr:cNvCxnSpPr>
          <a:endCxn id="13" idx="3"/>
        </xdr:cNvCxnSpPr>
      </xdr:nvCxnSpPr>
      <xdr:spPr>
        <a:xfrm flipH="1" flipV="1">
          <a:off x="13402158" y="1377820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C385FFBC-12A7-47AE-85DF-2CE972078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11943" y="2844800"/>
          <a:ext cx="786823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4C6EB28B-960F-4676-8F5B-A4CE6BDCB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39039" y="2820459"/>
          <a:ext cx="843489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23982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4264660-1A78-483C-A7E3-A9A936FAC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53863" y="4477980"/>
          <a:ext cx="3445037" cy="91666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31</xdr:row>
      <xdr:rowOff>131609</xdr:rowOff>
    </xdr:from>
    <xdr:to>
      <xdr:col>16</xdr:col>
      <xdr:colOff>102419</xdr:colOff>
      <xdr:row>36</xdr:row>
      <xdr:rowOff>143282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773D9498-6C27-44C1-AA21-1067DA803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029561" y="5522759"/>
          <a:ext cx="3379908" cy="90630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6430064B-3E85-4841-AC33-BD5D75121D67}"/>
            </a:ext>
          </a:extLst>
        </xdr:cNvPr>
        <xdr:cNvCxnSpPr/>
      </xdr:nvCxnSpPr>
      <xdr:spPr>
        <a:xfrm>
          <a:off x="14532487" y="2163404"/>
          <a:ext cx="568451" cy="440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F2246E1D-9D24-4DC5-A743-46B1238B734F}"/>
            </a:ext>
          </a:extLst>
        </xdr:cNvPr>
        <xdr:cNvCxnSpPr>
          <a:endCxn id="16" idx="1"/>
        </xdr:cNvCxnSpPr>
      </xdr:nvCxnSpPr>
      <xdr:spPr>
        <a:xfrm>
          <a:off x="14542729" y="2515317"/>
          <a:ext cx="569214" cy="4482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236D222-1DA0-4ABE-ABF0-F7F22D8BB78E}"/>
            </a:ext>
          </a:extLst>
        </xdr:cNvPr>
        <xdr:cNvSpPr txBox="1"/>
      </xdr:nvSpPr>
      <xdr:spPr>
        <a:xfrm>
          <a:off x="11308292" y="5534025"/>
          <a:ext cx="418041" cy="255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C2A1302-8114-429D-93D7-A2ED44BD2696}"/>
            </a:ext>
          </a:extLst>
        </xdr:cNvPr>
        <xdr:cNvSpPr txBox="1"/>
      </xdr:nvSpPr>
      <xdr:spPr>
        <a:xfrm>
          <a:off x="12549332" y="570980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232800</xdr:colOff>
      <xdr:row>37</xdr:row>
      <xdr:rowOff>148788</xdr:rowOff>
    </xdr:from>
    <xdr:to>
      <xdr:col>5</xdr:col>
      <xdr:colOff>1588989</xdr:colOff>
      <xdr:row>45</xdr:row>
      <xdr:rowOff>102419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84115E09-082B-4A67-8FC3-7AFA1D7E5FE3}"/>
            </a:ext>
          </a:extLst>
        </xdr:cNvPr>
        <xdr:cNvCxnSpPr/>
      </xdr:nvCxnSpPr>
      <xdr:spPr>
        <a:xfrm flipH="1">
          <a:off x="6119250" y="6568638"/>
          <a:ext cx="1356189" cy="12490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34536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D81A708E-20C5-405C-ACB0-EDD9EE9A537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12070" y="5160645"/>
          <a:ext cx="4364583" cy="145566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2</xdr:col>
      <xdr:colOff>3134957</xdr:colOff>
      <xdr:row>33</xdr:row>
      <xdr:rowOff>155956</xdr:rowOff>
    </xdr:from>
    <xdr:to>
      <xdr:col>5</xdr:col>
      <xdr:colOff>1808819</xdr:colOff>
      <xdr:row>40</xdr:row>
      <xdr:rowOff>142669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3D786006-26A1-4149-A2A8-2291D8C5289D}"/>
            </a:ext>
          </a:extLst>
        </xdr:cNvPr>
        <xdr:cNvCxnSpPr/>
      </xdr:nvCxnSpPr>
      <xdr:spPr>
        <a:xfrm flipH="1">
          <a:off x="4354157" y="5909056"/>
          <a:ext cx="3341112" cy="113923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1769192</xdr:colOff>
      <xdr:row>36</xdr:row>
      <xdr:rowOff>22369</xdr:rowOff>
    </xdr:from>
    <xdr:to>
      <xdr:col>2</xdr:col>
      <xdr:colOff>3235715</xdr:colOff>
      <xdr:row>42</xdr:row>
      <xdr:rowOff>20484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96578924-FF30-48EF-9CA3-4158D7EE0CF6}"/>
            </a:ext>
          </a:extLst>
        </xdr:cNvPr>
        <xdr:cNvCxnSpPr/>
      </xdr:nvCxnSpPr>
      <xdr:spPr>
        <a:xfrm flipH="1">
          <a:off x="2988392" y="6280294"/>
          <a:ext cx="1466523" cy="96966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7343B38D-AE00-47A7-856A-3FF88DDCBFAB}"/>
            </a:ext>
          </a:extLst>
        </xdr:cNvPr>
        <xdr:cNvCxnSpPr/>
      </xdr:nvCxnSpPr>
      <xdr:spPr>
        <a:xfrm flipH="1">
          <a:off x="515302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827B84F3-8B1D-4B26-8331-DAA88A7CAAC6}"/>
            </a:ext>
          </a:extLst>
        </xdr:cNvPr>
        <xdr:cNvCxnSpPr/>
      </xdr:nvCxnSpPr>
      <xdr:spPr>
        <a:xfrm flipV="1">
          <a:off x="14561608" y="3486152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5BCEEE10-A55B-4FAC-A9BC-A579D0A610DD}"/>
            </a:ext>
          </a:extLst>
        </xdr:cNvPr>
        <xdr:cNvCxnSpPr/>
      </xdr:nvCxnSpPr>
      <xdr:spPr>
        <a:xfrm>
          <a:off x="14344650" y="4581525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1FCDACF2-79C2-4CED-87CF-B01380FBA62E}"/>
            </a:ext>
          </a:extLst>
        </xdr:cNvPr>
        <xdr:cNvCxnSpPr/>
      </xdr:nvCxnSpPr>
      <xdr:spPr>
        <a:xfrm>
          <a:off x="14417040" y="1586865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7E565165-9199-4E1B-ACE7-4CBB9CC3C91C}"/>
            </a:ext>
          </a:extLst>
        </xdr:cNvPr>
        <xdr:cNvCxnSpPr/>
      </xdr:nvCxnSpPr>
      <xdr:spPr>
        <a:xfrm>
          <a:off x="14435878" y="1765300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AA92355-5B2E-4069-AB8D-15A533F7C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476149" y="620777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C18ED957-19FE-4B19-8E36-F59E4628F9A3}"/>
            </a:ext>
          </a:extLst>
        </xdr:cNvPr>
        <xdr:cNvCxnSpPr/>
      </xdr:nvCxnSpPr>
      <xdr:spPr>
        <a:xfrm flipV="1">
          <a:off x="14527645" y="746125"/>
          <a:ext cx="196417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B2B6770-269F-4CBB-84F8-ECB71C35F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7659" y="1177649"/>
          <a:ext cx="444499" cy="4007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5AA08CFB-1FA5-4D3D-A59F-7D5FD760623B}"/>
            </a:ext>
          </a:extLst>
        </xdr:cNvPr>
        <xdr:cNvCxnSpPr/>
      </xdr:nvCxnSpPr>
      <xdr:spPr>
        <a:xfrm flipV="1">
          <a:off x="14516100" y="1077480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340CA2F6-A1F4-4A31-9C69-C4498DD12249}"/>
            </a:ext>
          </a:extLst>
        </xdr:cNvPr>
        <xdr:cNvCxnSpPr>
          <a:endCxn id="13" idx="3"/>
        </xdr:cNvCxnSpPr>
      </xdr:nvCxnSpPr>
      <xdr:spPr>
        <a:xfrm flipH="1" flipV="1">
          <a:off x="13402158" y="1377820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DFFFDB39-239F-48FC-ACC1-9C8FAE96D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11943" y="2844800"/>
          <a:ext cx="786823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05A247F-BF6D-4581-B937-F27ADB6C8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39039" y="2820459"/>
          <a:ext cx="843489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23982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4A507314-09C9-4EA8-82A8-3571E05E6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53863" y="4477980"/>
          <a:ext cx="3445037" cy="9181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31</xdr:row>
      <xdr:rowOff>131609</xdr:rowOff>
    </xdr:from>
    <xdr:to>
      <xdr:col>16</xdr:col>
      <xdr:colOff>102419</xdr:colOff>
      <xdr:row>36</xdr:row>
      <xdr:rowOff>143282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53678873-6E13-41EC-BF47-FB5C8977A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029561" y="5503709"/>
          <a:ext cx="3379908" cy="8974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C80899C6-190A-4718-9058-48E33B8D21A8}"/>
            </a:ext>
          </a:extLst>
        </xdr:cNvPr>
        <xdr:cNvCxnSpPr/>
      </xdr:nvCxnSpPr>
      <xdr:spPr>
        <a:xfrm>
          <a:off x="14532487" y="2163404"/>
          <a:ext cx="568451" cy="440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F6219361-96FB-4398-97E6-7D653BEBB003}"/>
            </a:ext>
          </a:extLst>
        </xdr:cNvPr>
        <xdr:cNvCxnSpPr>
          <a:endCxn id="16" idx="1"/>
        </xdr:cNvCxnSpPr>
      </xdr:nvCxnSpPr>
      <xdr:spPr>
        <a:xfrm>
          <a:off x="14542729" y="2515317"/>
          <a:ext cx="569214" cy="4482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18039FA-CD51-43D2-B8AB-32290A0236C3}"/>
            </a:ext>
          </a:extLst>
        </xdr:cNvPr>
        <xdr:cNvSpPr txBox="1"/>
      </xdr:nvSpPr>
      <xdr:spPr>
        <a:xfrm>
          <a:off x="11308292" y="5514975"/>
          <a:ext cx="418041" cy="2169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C74167A-1312-4DBF-A26F-96D59F85C661}"/>
            </a:ext>
          </a:extLst>
        </xdr:cNvPr>
        <xdr:cNvSpPr txBox="1"/>
      </xdr:nvSpPr>
      <xdr:spPr>
        <a:xfrm>
          <a:off x="12549332" y="56526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34536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67F85CD7-8406-4DB5-97BC-BA3F6853BE9B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12070" y="5160645"/>
          <a:ext cx="4364583" cy="145566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2FF6CD8B-05B3-40A3-92D3-7B4367E05215}"/>
            </a:ext>
          </a:extLst>
        </xdr:cNvPr>
        <xdr:cNvCxnSpPr/>
      </xdr:nvCxnSpPr>
      <xdr:spPr>
        <a:xfrm flipH="1">
          <a:off x="515302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42279D4-E849-4E50-8B69-EAA9906FA223}"/>
            </a:ext>
          </a:extLst>
        </xdr:cNvPr>
        <xdr:cNvCxnSpPr/>
      </xdr:nvCxnSpPr>
      <xdr:spPr>
        <a:xfrm flipV="1">
          <a:off x="14561608" y="3486152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B29FB0B0-91B9-49BC-A8AA-8DDE5B2D51D9}"/>
            </a:ext>
          </a:extLst>
        </xdr:cNvPr>
        <xdr:cNvCxnSpPr/>
      </xdr:nvCxnSpPr>
      <xdr:spPr>
        <a:xfrm>
          <a:off x="14344650" y="4581525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91E43470-E410-489D-AC6A-03335F2C282C}"/>
            </a:ext>
          </a:extLst>
        </xdr:cNvPr>
        <xdr:cNvCxnSpPr/>
      </xdr:nvCxnSpPr>
      <xdr:spPr>
        <a:xfrm>
          <a:off x="14417040" y="1586865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C2735DF5-9F38-4E0F-B599-3F884AA29457}"/>
            </a:ext>
          </a:extLst>
        </xdr:cNvPr>
        <xdr:cNvCxnSpPr/>
      </xdr:nvCxnSpPr>
      <xdr:spPr>
        <a:xfrm>
          <a:off x="14435878" y="1765300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8C588EC-D75A-4595-97DC-AC1545FC4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476149" y="620777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C89D4C1D-6D82-4C00-8A9C-3BC0D1879D02}"/>
            </a:ext>
          </a:extLst>
        </xdr:cNvPr>
        <xdr:cNvCxnSpPr/>
      </xdr:nvCxnSpPr>
      <xdr:spPr>
        <a:xfrm flipV="1">
          <a:off x="14527645" y="746125"/>
          <a:ext cx="196417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7DE398F-81EE-4552-903A-7318733A5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7659" y="1177649"/>
          <a:ext cx="444499" cy="4007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E16FCE6C-5A09-4F16-96EE-D674450E129E}"/>
            </a:ext>
          </a:extLst>
        </xdr:cNvPr>
        <xdr:cNvCxnSpPr/>
      </xdr:nvCxnSpPr>
      <xdr:spPr>
        <a:xfrm flipV="1">
          <a:off x="14516100" y="1077480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1F422C80-DBED-40C0-935F-4BD4CA8C6964}"/>
            </a:ext>
          </a:extLst>
        </xdr:cNvPr>
        <xdr:cNvCxnSpPr>
          <a:endCxn id="13" idx="3"/>
        </xdr:cNvCxnSpPr>
      </xdr:nvCxnSpPr>
      <xdr:spPr>
        <a:xfrm flipH="1" flipV="1">
          <a:off x="13402158" y="1377820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21F7A04-E466-4D9E-9266-A6DAADD91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11943" y="2844800"/>
          <a:ext cx="786823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BA5D3FCD-90AC-46A7-A20A-8C78E89A7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39039" y="2820459"/>
          <a:ext cx="843489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23982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BE83CAC9-BA14-4BCE-A676-1FE97E3AE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53863" y="4477980"/>
          <a:ext cx="3445037" cy="9181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31</xdr:row>
      <xdr:rowOff>131609</xdr:rowOff>
    </xdr:from>
    <xdr:to>
      <xdr:col>16</xdr:col>
      <xdr:colOff>102419</xdr:colOff>
      <xdr:row>36</xdr:row>
      <xdr:rowOff>143282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988CB4F-FB41-4EC4-8C57-51E497FE9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029561" y="5503709"/>
          <a:ext cx="3379908" cy="8974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650DD671-6998-4563-8615-35AE2FAC3FEE}"/>
            </a:ext>
          </a:extLst>
        </xdr:cNvPr>
        <xdr:cNvCxnSpPr/>
      </xdr:nvCxnSpPr>
      <xdr:spPr>
        <a:xfrm>
          <a:off x="14532487" y="2163404"/>
          <a:ext cx="568451" cy="440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2C46E061-F8F6-46BE-9790-55923D94A158}"/>
            </a:ext>
          </a:extLst>
        </xdr:cNvPr>
        <xdr:cNvCxnSpPr>
          <a:endCxn id="16" idx="1"/>
        </xdr:cNvCxnSpPr>
      </xdr:nvCxnSpPr>
      <xdr:spPr>
        <a:xfrm>
          <a:off x="14542729" y="2515317"/>
          <a:ext cx="569214" cy="4482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1AC5507-7CE4-4A54-8711-83ED07BF2683}"/>
            </a:ext>
          </a:extLst>
        </xdr:cNvPr>
        <xdr:cNvSpPr txBox="1"/>
      </xdr:nvSpPr>
      <xdr:spPr>
        <a:xfrm>
          <a:off x="11308292" y="5514975"/>
          <a:ext cx="418041" cy="2169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4FDEC78-1AAC-45E2-9C53-7A101861A545}"/>
            </a:ext>
          </a:extLst>
        </xdr:cNvPr>
        <xdr:cNvSpPr txBox="1"/>
      </xdr:nvSpPr>
      <xdr:spPr>
        <a:xfrm>
          <a:off x="12549332" y="56526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34536</xdr:rowOff>
    </xdr:to>
    <xdr:pic>
      <xdr:nvPicPr>
        <xdr:cNvPr id="2" name="Content Placeholder 4">
          <a:extLst>
            <a:ext uri="{FF2B5EF4-FFF2-40B4-BE49-F238E27FC236}">
              <a16:creationId xmlns:a16="http://schemas.microsoft.com/office/drawing/2014/main" id="{E707FDB8-2950-4D67-9BA1-D7CCAAF971A5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12070" y="5160645"/>
          <a:ext cx="4364583" cy="145566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7812D663-AE45-422A-AE3D-914F7D73169F}"/>
            </a:ext>
          </a:extLst>
        </xdr:cNvPr>
        <xdr:cNvCxnSpPr/>
      </xdr:nvCxnSpPr>
      <xdr:spPr>
        <a:xfrm flipH="1">
          <a:off x="515302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21DEEAF-D88D-4110-B189-3C8555DAA452}"/>
            </a:ext>
          </a:extLst>
        </xdr:cNvPr>
        <xdr:cNvCxnSpPr/>
      </xdr:nvCxnSpPr>
      <xdr:spPr>
        <a:xfrm flipV="1">
          <a:off x="14561608" y="3486152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A9C9389A-1272-4A66-8EEB-C29E0D4C1FDA}"/>
            </a:ext>
          </a:extLst>
        </xdr:cNvPr>
        <xdr:cNvCxnSpPr/>
      </xdr:nvCxnSpPr>
      <xdr:spPr>
        <a:xfrm>
          <a:off x="14344650" y="4581525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34B2C2EB-DFAF-4201-9F11-E4F83F2DC584}"/>
            </a:ext>
          </a:extLst>
        </xdr:cNvPr>
        <xdr:cNvCxnSpPr/>
      </xdr:nvCxnSpPr>
      <xdr:spPr>
        <a:xfrm>
          <a:off x="14417040" y="1586865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DA51D1D7-F5D4-4AEE-925E-C405E8C80AD9}"/>
            </a:ext>
          </a:extLst>
        </xdr:cNvPr>
        <xdr:cNvCxnSpPr/>
      </xdr:nvCxnSpPr>
      <xdr:spPr>
        <a:xfrm>
          <a:off x="14435878" y="1765300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8EBCCD9-D501-4C96-854F-9409CF69B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476149" y="620777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DDE72A4D-1B49-4835-9C05-E3856E551835}"/>
            </a:ext>
          </a:extLst>
        </xdr:cNvPr>
        <xdr:cNvCxnSpPr/>
      </xdr:nvCxnSpPr>
      <xdr:spPr>
        <a:xfrm flipV="1">
          <a:off x="14527645" y="746125"/>
          <a:ext cx="196417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DE7E359-0EF4-48BB-B678-9646404AD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7659" y="1177649"/>
          <a:ext cx="444499" cy="4007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312CEDFC-B87D-4E04-9EBF-840511038920}"/>
            </a:ext>
          </a:extLst>
        </xdr:cNvPr>
        <xdr:cNvCxnSpPr/>
      </xdr:nvCxnSpPr>
      <xdr:spPr>
        <a:xfrm flipV="1">
          <a:off x="14516100" y="1077480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9C1FC7C9-D9FE-4E89-92BC-CFD8C72BAB26}"/>
            </a:ext>
          </a:extLst>
        </xdr:cNvPr>
        <xdr:cNvCxnSpPr>
          <a:endCxn id="10" idx="3"/>
        </xdr:cNvCxnSpPr>
      </xdr:nvCxnSpPr>
      <xdr:spPr>
        <a:xfrm flipH="1" flipV="1">
          <a:off x="13402158" y="1377820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346C19C-DF13-49BF-A1A9-B042C7172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11943" y="2844800"/>
          <a:ext cx="786823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2E0DF5F-1A54-4215-8C60-6C7017E6D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39039" y="2820459"/>
          <a:ext cx="843489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23982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F9B8B69F-BD72-408C-8CB5-51CDF28A8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53863" y="4477980"/>
          <a:ext cx="3445037" cy="9181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31</xdr:row>
      <xdr:rowOff>131609</xdr:rowOff>
    </xdr:from>
    <xdr:to>
      <xdr:col>16</xdr:col>
      <xdr:colOff>102419</xdr:colOff>
      <xdr:row>36</xdr:row>
      <xdr:rowOff>143282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7FCF6B7-DF1A-4B51-93D0-DE1D7D3F9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029561" y="5503709"/>
          <a:ext cx="3379908" cy="8974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12CCB8C9-2380-4BEF-A212-36749A8DE8DB}"/>
            </a:ext>
          </a:extLst>
        </xdr:cNvPr>
        <xdr:cNvCxnSpPr/>
      </xdr:nvCxnSpPr>
      <xdr:spPr>
        <a:xfrm>
          <a:off x="14532487" y="2163404"/>
          <a:ext cx="568451" cy="440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F1239D9B-D602-4258-AFCE-3603A012EA19}"/>
            </a:ext>
          </a:extLst>
        </xdr:cNvPr>
        <xdr:cNvCxnSpPr>
          <a:endCxn id="13" idx="1"/>
        </xdr:cNvCxnSpPr>
      </xdr:nvCxnSpPr>
      <xdr:spPr>
        <a:xfrm>
          <a:off x="14542729" y="2515317"/>
          <a:ext cx="569214" cy="4482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433F812-ECC3-41AC-B0D4-FAF8B5B34A3B}"/>
            </a:ext>
          </a:extLst>
        </xdr:cNvPr>
        <xdr:cNvSpPr txBox="1"/>
      </xdr:nvSpPr>
      <xdr:spPr>
        <a:xfrm>
          <a:off x="11308292" y="5514975"/>
          <a:ext cx="418041" cy="2169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7172AB8-7C8D-443B-9B84-B2EA87FDE4BD}"/>
            </a:ext>
          </a:extLst>
        </xdr:cNvPr>
        <xdr:cNvSpPr txBox="1"/>
      </xdr:nvSpPr>
      <xdr:spPr>
        <a:xfrm>
          <a:off x="12549332" y="56526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34536</xdr:rowOff>
    </xdr:to>
    <xdr:pic>
      <xdr:nvPicPr>
        <xdr:cNvPr id="2" name="Content Placeholder 4">
          <a:extLst>
            <a:ext uri="{FF2B5EF4-FFF2-40B4-BE49-F238E27FC236}">
              <a16:creationId xmlns:a16="http://schemas.microsoft.com/office/drawing/2014/main" id="{6F687151-DDF1-4292-BB59-1938197317FE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12070" y="5160645"/>
          <a:ext cx="4364583" cy="145566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79A7F153-1029-432A-B555-AAF6779C9A28}"/>
            </a:ext>
          </a:extLst>
        </xdr:cNvPr>
        <xdr:cNvCxnSpPr/>
      </xdr:nvCxnSpPr>
      <xdr:spPr>
        <a:xfrm flipH="1">
          <a:off x="515302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DF6C2159-1372-4A71-9864-30A67AEFA490}"/>
            </a:ext>
          </a:extLst>
        </xdr:cNvPr>
        <xdr:cNvCxnSpPr/>
      </xdr:nvCxnSpPr>
      <xdr:spPr>
        <a:xfrm flipV="1">
          <a:off x="14561608" y="3486152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E5FA7A62-E82D-4AD7-AF22-46A403E56517}"/>
            </a:ext>
          </a:extLst>
        </xdr:cNvPr>
        <xdr:cNvCxnSpPr/>
      </xdr:nvCxnSpPr>
      <xdr:spPr>
        <a:xfrm>
          <a:off x="14344650" y="4581525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7703D80C-EF35-43A7-A7EA-125C71C8CC4F}"/>
            </a:ext>
          </a:extLst>
        </xdr:cNvPr>
        <xdr:cNvCxnSpPr/>
      </xdr:nvCxnSpPr>
      <xdr:spPr>
        <a:xfrm>
          <a:off x="14417040" y="1586865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B7BB742D-9066-4C70-8BCA-8A59A276A859}"/>
            </a:ext>
          </a:extLst>
        </xdr:cNvPr>
        <xdr:cNvCxnSpPr/>
      </xdr:nvCxnSpPr>
      <xdr:spPr>
        <a:xfrm>
          <a:off x="14435878" y="1765300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9606531-A963-4E1B-A93B-34EFFACD4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476149" y="620777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C70B913A-68D8-431A-8984-ACA1786B2A0E}"/>
            </a:ext>
          </a:extLst>
        </xdr:cNvPr>
        <xdr:cNvCxnSpPr/>
      </xdr:nvCxnSpPr>
      <xdr:spPr>
        <a:xfrm flipV="1">
          <a:off x="14527645" y="746125"/>
          <a:ext cx="196417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60939CF-69EC-4BB7-A540-6D86EB2DD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7659" y="1177649"/>
          <a:ext cx="444499" cy="4007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DDEFE7F-1B25-4408-BC87-C82AB26E853E}"/>
            </a:ext>
          </a:extLst>
        </xdr:cNvPr>
        <xdr:cNvCxnSpPr/>
      </xdr:nvCxnSpPr>
      <xdr:spPr>
        <a:xfrm flipV="1">
          <a:off x="14516100" y="1077480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134080E3-FCC3-45A0-BEFD-686A1ACC9D8A}"/>
            </a:ext>
          </a:extLst>
        </xdr:cNvPr>
        <xdr:cNvCxnSpPr>
          <a:endCxn id="10" idx="3"/>
        </xdr:cNvCxnSpPr>
      </xdr:nvCxnSpPr>
      <xdr:spPr>
        <a:xfrm flipH="1" flipV="1">
          <a:off x="13402158" y="1377820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F0C25C29-E517-4A7A-AC1C-82A3AD86D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11943" y="2844800"/>
          <a:ext cx="786823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F59608E-561D-4B27-84A9-32A8D0C33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39039" y="2820459"/>
          <a:ext cx="843489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23982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28591AB-DC8C-4EE1-AD59-BAEE1EAFF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53863" y="4477980"/>
          <a:ext cx="3445037" cy="9181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31</xdr:row>
      <xdr:rowOff>131609</xdr:rowOff>
    </xdr:from>
    <xdr:to>
      <xdr:col>16</xdr:col>
      <xdr:colOff>102419</xdr:colOff>
      <xdr:row>36</xdr:row>
      <xdr:rowOff>143282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4F89D137-1765-46EA-A924-15C3F3C6C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029561" y="5503709"/>
          <a:ext cx="3379908" cy="8974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49290A99-52DE-45CC-9D52-3F1D6663A93C}"/>
            </a:ext>
          </a:extLst>
        </xdr:cNvPr>
        <xdr:cNvCxnSpPr/>
      </xdr:nvCxnSpPr>
      <xdr:spPr>
        <a:xfrm>
          <a:off x="14532487" y="2163404"/>
          <a:ext cx="568451" cy="440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40C3C1DC-7445-4E59-BBE4-5F083C933E7D}"/>
            </a:ext>
          </a:extLst>
        </xdr:cNvPr>
        <xdr:cNvCxnSpPr>
          <a:endCxn id="13" idx="1"/>
        </xdr:cNvCxnSpPr>
      </xdr:nvCxnSpPr>
      <xdr:spPr>
        <a:xfrm>
          <a:off x="14542729" y="2515317"/>
          <a:ext cx="569214" cy="4482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ACED7D7-425C-498A-B6B2-4ADB2BFDEE80}"/>
            </a:ext>
          </a:extLst>
        </xdr:cNvPr>
        <xdr:cNvSpPr txBox="1"/>
      </xdr:nvSpPr>
      <xdr:spPr>
        <a:xfrm>
          <a:off x="11308292" y="5514975"/>
          <a:ext cx="418041" cy="2169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11139A4-9B45-4854-BE86-9B90CCBFDCE6}"/>
            </a:ext>
          </a:extLst>
        </xdr:cNvPr>
        <xdr:cNvSpPr txBox="1"/>
      </xdr:nvSpPr>
      <xdr:spPr>
        <a:xfrm>
          <a:off x="12549332" y="56526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34536</xdr:rowOff>
    </xdr:to>
    <xdr:pic>
      <xdr:nvPicPr>
        <xdr:cNvPr id="2" name="Content Placeholder 4">
          <a:extLst>
            <a:ext uri="{FF2B5EF4-FFF2-40B4-BE49-F238E27FC236}">
              <a16:creationId xmlns:a16="http://schemas.microsoft.com/office/drawing/2014/main" id="{F33B593A-7148-4619-86CA-F5E09363EDCA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12070" y="5160645"/>
          <a:ext cx="4364583" cy="145566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C4BC05AA-9FF9-4595-BB71-68300FDBA839}"/>
            </a:ext>
          </a:extLst>
        </xdr:cNvPr>
        <xdr:cNvCxnSpPr/>
      </xdr:nvCxnSpPr>
      <xdr:spPr>
        <a:xfrm flipH="1">
          <a:off x="515302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FF173B8-7653-4A08-876A-DE66F3B11150}"/>
            </a:ext>
          </a:extLst>
        </xdr:cNvPr>
        <xdr:cNvCxnSpPr/>
      </xdr:nvCxnSpPr>
      <xdr:spPr>
        <a:xfrm flipV="1">
          <a:off x="14561608" y="3486152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32A64A20-4ECB-4B8C-8204-525DBDC377B1}"/>
            </a:ext>
          </a:extLst>
        </xdr:cNvPr>
        <xdr:cNvCxnSpPr/>
      </xdr:nvCxnSpPr>
      <xdr:spPr>
        <a:xfrm>
          <a:off x="14344650" y="4581525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BD2828F2-1C85-40AC-BE07-78EFF710FE4F}"/>
            </a:ext>
          </a:extLst>
        </xdr:cNvPr>
        <xdr:cNvCxnSpPr/>
      </xdr:nvCxnSpPr>
      <xdr:spPr>
        <a:xfrm>
          <a:off x="14417040" y="1586865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A87396A3-F454-4232-AD35-78D592C30375}"/>
            </a:ext>
          </a:extLst>
        </xdr:cNvPr>
        <xdr:cNvCxnSpPr/>
      </xdr:nvCxnSpPr>
      <xdr:spPr>
        <a:xfrm>
          <a:off x="14435878" y="1765300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41CE29F-7525-4F62-80F3-9C497C453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476149" y="620777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6ECA3B3D-BE29-4D55-BD0C-7C5F08A9463E}"/>
            </a:ext>
          </a:extLst>
        </xdr:cNvPr>
        <xdr:cNvCxnSpPr/>
      </xdr:nvCxnSpPr>
      <xdr:spPr>
        <a:xfrm flipV="1">
          <a:off x="14527645" y="746125"/>
          <a:ext cx="196417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3F5905A-BDE1-43A6-AFF6-C5956A8AD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7659" y="1177649"/>
          <a:ext cx="444499" cy="4007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E7D86504-1157-4BFC-A035-0F1A57796491}"/>
            </a:ext>
          </a:extLst>
        </xdr:cNvPr>
        <xdr:cNvCxnSpPr/>
      </xdr:nvCxnSpPr>
      <xdr:spPr>
        <a:xfrm flipV="1">
          <a:off x="14516100" y="1077480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2B30F0C5-9338-4B78-BCAD-D09074297744}"/>
            </a:ext>
          </a:extLst>
        </xdr:cNvPr>
        <xdr:cNvCxnSpPr>
          <a:endCxn id="10" idx="3"/>
        </xdr:cNvCxnSpPr>
      </xdr:nvCxnSpPr>
      <xdr:spPr>
        <a:xfrm flipH="1" flipV="1">
          <a:off x="13402158" y="1377820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F867E80D-9B0E-4C81-903B-0B5B30956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11943" y="2844800"/>
          <a:ext cx="786823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AD0D815-264B-4E3E-BEBE-7F4684319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39039" y="2820459"/>
          <a:ext cx="843489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23982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FC31725-0736-4396-BF3A-30DED3AC8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53863" y="4477980"/>
          <a:ext cx="3445037" cy="9181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31</xdr:row>
      <xdr:rowOff>131609</xdr:rowOff>
    </xdr:from>
    <xdr:to>
      <xdr:col>16</xdr:col>
      <xdr:colOff>102419</xdr:colOff>
      <xdr:row>36</xdr:row>
      <xdr:rowOff>143282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96EFBA9C-4075-4B83-89D5-2E876CFD5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029561" y="5503709"/>
          <a:ext cx="3379908" cy="8974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7CAA3E4B-1D7C-4E3A-B662-197C14A1D69C}"/>
            </a:ext>
          </a:extLst>
        </xdr:cNvPr>
        <xdr:cNvCxnSpPr/>
      </xdr:nvCxnSpPr>
      <xdr:spPr>
        <a:xfrm>
          <a:off x="14532487" y="2163404"/>
          <a:ext cx="568451" cy="440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538744EC-8B6B-409C-B860-CCA6987A019E}"/>
            </a:ext>
          </a:extLst>
        </xdr:cNvPr>
        <xdr:cNvCxnSpPr>
          <a:endCxn id="13" idx="1"/>
        </xdr:cNvCxnSpPr>
      </xdr:nvCxnSpPr>
      <xdr:spPr>
        <a:xfrm>
          <a:off x="14542729" y="2515317"/>
          <a:ext cx="569214" cy="4482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85B2DE0B-3FE0-421C-9D27-90FFBDD87A3A}"/>
            </a:ext>
          </a:extLst>
        </xdr:cNvPr>
        <xdr:cNvSpPr txBox="1"/>
      </xdr:nvSpPr>
      <xdr:spPr>
        <a:xfrm>
          <a:off x="11308292" y="5514975"/>
          <a:ext cx="418041" cy="2169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3E23C2B-B4E4-4296-8E4F-6950CDC169FD}"/>
            </a:ext>
          </a:extLst>
        </xdr:cNvPr>
        <xdr:cNvSpPr txBox="1"/>
      </xdr:nvSpPr>
      <xdr:spPr>
        <a:xfrm>
          <a:off x="12549332" y="56526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L23"/>
  <sheetViews>
    <sheetView workbookViewId="0">
      <selection activeCell="H7" sqref="H7"/>
    </sheetView>
  </sheetViews>
  <sheetFormatPr defaultRowHeight="12.75" x14ac:dyDescent="0.2"/>
  <cols>
    <col min="2" max="2" width="3.85546875" customWidth="1"/>
    <col min="3" max="3" width="19.7109375" customWidth="1"/>
    <col min="8" max="8" width="12.28515625" customWidth="1"/>
    <col min="12" max="12" width="21.140625" customWidth="1"/>
  </cols>
  <sheetData>
    <row r="2" spans="3:12" ht="26.25" x14ac:dyDescent="0.4">
      <c r="C2" s="128" t="s">
        <v>153</v>
      </c>
      <c r="D2" s="128"/>
      <c r="E2" s="128"/>
    </row>
    <row r="4" spans="3:12" ht="13.5" thickBot="1" x14ac:dyDescent="0.25"/>
    <row r="5" spans="3:12" ht="15.75" x14ac:dyDescent="0.25">
      <c r="C5" s="65"/>
      <c r="D5" s="66"/>
      <c r="E5" s="66"/>
      <c r="F5" s="66"/>
      <c r="G5" s="66"/>
      <c r="H5" s="67">
        <f>H7/H11</f>
        <v>0.5</v>
      </c>
      <c r="I5" s="68"/>
      <c r="J5" s="69"/>
      <c r="K5" s="68"/>
      <c r="L5" s="70"/>
    </row>
    <row r="6" spans="3:12" ht="15.75" x14ac:dyDescent="0.25">
      <c r="C6" s="71"/>
      <c r="D6" s="72"/>
      <c r="E6" s="73"/>
      <c r="F6" s="73"/>
      <c r="G6" s="73"/>
      <c r="H6" s="74" t="s">
        <v>154</v>
      </c>
      <c r="I6" s="73"/>
      <c r="J6" s="73"/>
      <c r="K6" s="73"/>
      <c r="L6" s="75"/>
    </row>
    <row r="7" spans="3:12" ht="15.75" thickBot="1" x14ac:dyDescent="0.25">
      <c r="C7" s="71"/>
      <c r="D7" s="73"/>
      <c r="E7" s="73"/>
      <c r="F7" s="73"/>
      <c r="G7" s="73"/>
      <c r="H7" s="76">
        <f>F9+J9</f>
        <v>4905</v>
      </c>
      <c r="I7" s="73"/>
      <c r="J7" s="73"/>
      <c r="K7" s="73"/>
      <c r="L7" s="75"/>
    </row>
    <row r="8" spans="3:12" ht="16.5" thickBot="1" x14ac:dyDescent="0.3">
      <c r="C8" s="71"/>
      <c r="D8" s="73"/>
      <c r="E8" s="77"/>
      <c r="F8" s="78">
        <f>F9/H11</f>
        <v>0.31036357458375807</v>
      </c>
      <c r="G8" s="79" t="s">
        <v>155</v>
      </c>
      <c r="H8" s="80"/>
      <c r="I8" s="81" t="s">
        <v>156</v>
      </c>
      <c r="J8" s="82">
        <f>J9/H11</f>
        <v>0.18963642541624195</v>
      </c>
      <c r="K8" s="73"/>
      <c r="L8" s="75"/>
    </row>
    <row r="9" spans="3:12" ht="16.5" thickBot="1" x14ac:dyDescent="0.3">
      <c r="C9" s="83" t="s">
        <v>157</v>
      </c>
      <c r="D9" s="84" t="s">
        <v>158</v>
      </c>
      <c r="E9" s="85">
        <f>F9-J9</f>
        <v>1184.333333333333</v>
      </c>
      <c r="F9" s="86">
        <f>'Live calc'!J19</f>
        <v>3044.6666666666665</v>
      </c>
      <c r="G9" s="87"/>
      <c r="H9" s="88"/>
      <c r="I9" s="89"/>
      <c r="J9" s="90">
        <f>'Live calc'!J20</f>
        <v>1860.3333333333335</v>
      </c>
      <c r="K9" s="73"/>
      <c r="L9" s="75"/>
    </row>
    <row r="10" spans="3:12" ht="16.5" thickBot="1" x14ac:dyDescent="0.3">
      <c r="C10" s="71"/>
      <c r="D10" s="91"/>
      <c r="E10" s="73"/>
      <c r="F10" s="91"/>
      <c r="G10" s="92"/>
      <c r="H10" s="88"/>
      <c r="I10" s="93"/>
      <c r="J10" s="94"/>
      <c r="K10" s="73"/>
      <c r="L10" s="75"/>
    </row>
    <row r="11" spans="3:12" ht="16.5" thickBot="1" x14ac:dyDescent="0.3">
      <c r="C11" s="71"/>
      <c r="D11" s="95" t="s">
        <v>159</v>
      </c>
      <c r="E11" s="96">
        <f>F11/H11</f>
        <v>0.63601766904519197</v>
      </c>
      <c r="F11" s="97">
        <f>F9+F13</f>
        <v>6239.333333333333</v>
      </c>
      <c r="G11" s="98"/>
      <c r="H11" s="99">
        <f>H7+H14</f>
        <v>9810</v>
      </c>
      <c r="I11" s="98"/>
      <c r="J11" s="100">
        <f>J9+J13</f>
        <v>3570.666666666667</v>
      </c>
      <c r="K11" s="101">
        <f>J11/H11</f>
        <v>0.36398233095480803</v>
      </c>
      <c r="L11" s="102" t="s">
        <v>160</v>
      </c>
    </row>
    <row r="12" spans="3:12" ht="16.5" thickBot="1" x14ac:dyDescent="0.3">
      <c r="C12" s="103" t="s">
        <v>161</v>
      </c>
      <c r="D12" s="104" t="s">
        <v>162</v>
      </c>
      <c r="E12" s="105">
        <f>E13-E9</f>
        <v>300</v>
      </c>
      <c r="F12" s="106">
        <f>F13/H11</f>
        <v>0.3256540944614339</v>
      </c>
      <c r="G12" s="92"/>
      <c r="H12" s="88"/>
      <c r="I12" s="93"/>
      <c r="J12" s="107">
        <f>J13/H11</f>
        <v>0.1743459055385661</v>
      </c>
      <c r="K12" s="73"/>
      <c r="L12" s="75"/>
    </row>
    <row r="13" spans="3:12" ht="16.5" thickBot="1" x14ac:dyDescent="0.3">
      <c r="C13" s="83" t="s">
        <v>163</v>
      </c>
      <c r="D13" s="108" t="s">
        <v>164</v>
      </c>
      <c r="E13" s="85">
        <f>F13-J13</f>
        <v>1484.333333333333</v>
      </c>
      <c r="F13" s="86">
        <f>'Live calc'!J21</f>
        <v>3194.6666666666665</v>
      </c>
      <c r="G13" s="109" t="s">
        <v>165</v>
      </c>
      <c r="H13" s="110"/>
      <c r="I13" s="111" t="s">
        <v>166</v>
      </c>
      <c r="J13" s="112">
        <f>'Live calc'!J22</f>
        <v>1710.3333333333335</v>
      </c>
      <c r="K13" s="73"/>
      <c r="L13" s="75"/>
    </row>
    <row r="14" spans="3:12" ht="16.5" thickBot="1" x14ac:dyDescent="0.3">
      <c r="C14" s="71"/>
      <c r="D14" s="113"/>
      <c r="E14" s="114" t="s">
        <v>167</v>
      </c>
      <c r="F14" s="115">
        <f>F13-F9</f>
        <v>150</v>
      </c>
      <c r="G14" s="77"/>
      <c r="H14" s="116">
        <f>F13+J13</f>
        <v>4905</v>
      </c>
      <c r="I14" s="77"/>
      <c r="J14" s="117">
        <f>J13-J9</f>
        <v>-150</v>
      </c>
      <c r="K14" s="118" t="s">
        <v>168</v>
      </c>
      <c r="L14" s="102"/>
    </row>
    <row r="15" spans="3:12" ht="16.5" thickBot="1" x14ac:dyDescent="0.3">
      <c r="C15" s="71"/>
      <c r="D15" s="91"/>
      <c r="E15" s="119" t="s">
        <v>169</v>
      </c>
      <c r="F15" s="120">
        <f>(F13+J9)/H11</f>
        <v>0.51529051987767582</v>
      </c>
      <c r="G15" s="73"/>
      <c r="H15" s="121" t="s">
        <v>170</v>
      </c>
      <c r="I15" s="73"/>
      <c r="J15" s="73"/>
      <c r="K15" s="73"/>
      <c r="L15" s="75"/>
    </row>
    <row r="16" spans="3:12" ht="16.5" thickBot="1" x14ac:dyDescent="0.3">
      <c r="C16" s="122"/>
      <c r="D16" s="113"/>
      <c r="E16" s="114" t="s">
        <v>171</v>
      </c>
      <c r="F16" s="123">
        <f>F13-J9</f>
        <v>1334.333333333333</v>
      </c>
      <c r="G16" s="124"/>
      <c r="H16" s="125">
        <f>H14/H11</f>
        <v>0.5</v>
      </c>
      <c r="I16" s="124"/>
      <c r="J16" s="124"/>
      <c r="K16" s="126"/>
      <c r="L16" s="127"/>
    </row>
    <row r="19" spans="5:10" x14ac:dyDescent="0.2">
      <c r="E19">
        <v>156</v>
      </c>
    </row>
    <row r="23" spans="5:10" x14ac:dyDescent="0.2">
      <c r="J23" s="5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H23"/>
  <sheetViews>
    <sheetView topLeftCell="B1" workbookViewId="0">
      <selection activeCell="J16" sqref="J16"/>
    </sheetView>
  </sheetViews>
  <sheetFormatPr defaultRowHeight="12.75" x14ac:dyDescent="0.2"/>
  <cols>
    <col min="6" max="6" width="12.140625" customWidth="1"/>
  </cols>
  <sheetData>
    <row r="4" spans="3:8" ht="13.5" thickBot="1" x14ac:dyDescent="0.25"/>
    <row r="5" spans="3:8" ht="18" x14ac:dyDescent="0.25">
      <c r="C5" s="2" t="s">
        <v>172</v>
      </c>
      <c r="D5" s="3"/>
      <c r="E5" s="3"/>
      <c r="F5" s="3"/>
      <c r="G5" s="4"/>
      <c r="H5" s="5"/>
    </row>
    <row r="6" spans="3:8" ht="18" x14ac:dyDescent="0.25">
      <c r="C6" s="17"/>
      <c r="D6" s="7"/>
      <c r="E6" s="7"/>
      <c r="F6" s="7"/>
      <c r="G6" s="18"/>
      <c r="H6" s="19"/>
    </row>
    <row r="7" spans="3:8" x14ac:dyDescent="0.2">
      <c r="C7" s="6" t="s">
        <v>173</v>
      </c>
      <c r="D7" s="7"/>
      <c r="E7" s="7"/>
      <c r="F7" s="7"/>
      <c r="G7" s="7"/>
      <c r="H7" s="8">
        <v>1</v>
      </c>
    </row>
    <row r="8" spans="3:8" x14ac:dyDescent="0.2">
      <c r="C8" s="6"/>
      <c r="D8" s="7"/>
      <c r="E8" s="11"/>
      <c r="F8" s="7"/>
      <c r="G8" s="9" t="s">
        <v>174</v>
      </c>
      <c r="H8" s="25">
        <v>9806.65</v>
      </c>
    </row>
    <row r="9" spans="3:8" x14ac:dyDescent="0.2">
      <c r="C9" s="6"/>
      <c r="D9" s="7"/>
      <c r="E9" s="7"/>
      <c r="F9" s="7"/>
      <c r="G9" s="9" t="s">
        <v>175</v>
      </c>
      <c r="H9" s="33">
        <v>0.17512678000000001</v>
      </c>
    </row>
    <row r="10" spans="3:8" x14ac:dyDescent="0.2">
      <c r="C10" s="6"/>
      <c r="D10" s="7"/>
      <c r="E10" s="7"/>
      <c r="F10" s="7"/>
      <c r="G10" s="9"/>
      <c r="H10" s="25"/>
    </row>
    <row r="11" spans="3:8" x14ac:dyDescent="0.2">
      <c r="C11" s="12"/>
      <c r="D11" s="7"/>
      <c r="E11" s="7"/>
      <c r="F11" s="7"/>
      <c r="G11" s="9" t="s">
        <v>176</v>
      </c>
      <c r="H11" s="25">
        <v>175.126777258</v>
      </c>
    </row>
    <row r="12" spans="3:8" x14ac:dyDescent="0.2">
      <c r="C12" s="6"/>
      <c r="D12" s="7"/>
      <c r="E12" s="7"/>
      <c r="F12" s="7"/>
      <c r="G12" s="9" t="s">
        <v>177</v>
      </c>
      <c r="H12" s="25">
        <v>1.7857959999999999E-2</v>
      </c>
    </row>
    <row r="13" spans="3:8" x14ac:dyDescent="0.2">
      <c r="C13" s="6"/>
      <c r="D13" s="7"/>
      <c r="E13" s="7"/>
      <c r="F13" s="7"/>
      <c r="G13" s="9" t="s">
        <v>178</v>
      </c>
      <c r="H13" s="25">
        <v>0.10197162</v>
      </c>
    </row>
    <row r="14" spans="3:8" x14ac:dyDescent="0.2">
      <c r="C14" s="10"/>
      <c r="D14" s="9"/>
      <c r="E14" s="13"/>
      <c r="F14" s="7"/>
      <c r="G14" s="9" t="s">
        <v>179</v>
      </c>
      <c r="H14" s="25">
        <v>5.7101490500000001</v>
      </c>
    </row>
    <row r="15" spans="3:8" x14ac:dyDescent="0.2">
      <c r="C15" s="10"/>
      <c r="D15" s="7"/>
      <c r="E15" s="7"/>
      <c r="F15" s="7"/>
      <c r="G15" s="9" t="s">
        <v>180</v>
      </c>
      <c r="H15" s="25">
        <v>1000</v>
      </c>
    </row>
    <row r="16" spans="3:8" x14ac:dyDescent="0.2">
      <c r="C16" s="10"/>
      <c r="D16" s="7"/>
      <c r="E16" s="7"/>
      <c r="F16" s="7"/>
      <c r="G16" s="9" t="s">
        <v>181</v>
      </c>
      <c r="H16" s="25">
        <v>1E-3</v>
      </c>
    </row>
    <row r="17" spans="3:8" x14ac:dyDescent="0.2">
      <c r="C17" s="10"/>
      <c r="D17" s="7"/>
      <c r="E17" s="7"/>
      <c r="F17" s="7"/>
      <c r="G17" s="9" t="s">
        <v>182</v>
      </c>
      <c r="H17" s="25">
        <v>1.0197E-4</v>
      </c>
    </row>
    <row r="18" spans="3:8" x14ac:dyDescent="0.2">
      <c r="C18" s="10"/>
      <c r="D18" s="7"/>
      <c r="E18" s="7"/>
      <c r="F18" s="7"/>
      <c r="G18" s="9" t="s">
        <v>183</v>
      </c>
      <c r="H18" s="26">
        <v>5.7101499999999998E-3</v>
      </c>
    </row>
    <row r="19" spans="3:8" x14ac:dyDescent="0.2">
      <c r="C19" s="10"/>
      <c r="D19" s="7"/>
      <c r="E19" s="13" t="s">
        <v>184</v>
      </c>
      <c r="F19" s="13" t="s">
        <v>185</v>
      </c>
      <c r="G19" s="13" t="s">
        <v>186</v>
      </c>
      <c r="H19" s="14" t="s">
        <v>187</v>
      </c>
    </row>
    <row r="20" spans="3:8" x14ac:dyDescent="0.2">
      <c r="C20" s="15" t="s">
        <v>184</v>
      </c>
      <c r="D20" s="1">
        <v>148.85776300000003</v>
      </c>
      <c r="E20" s="20">
        <v>148.85776300000003</v>
      </c>
      <c r="F20" s="20">
        <v>148857.76300000004</v>
      </c>
      <c r="G20" s="20">
        <v>15.179267242686063</v>
      </c>
      <c r="H20" s="21">
        <v>850.00001397957533</v>
      </c>
    </row>
    <row r="21" spans="3:8" x14ac:dyDescent="0.2">
      <c r="C21" s="15" t="s">
        <v>185</v>
      </c>
      <c r="D21" s="1">
        <v>100</v>
      </c>
      <c r="E21" s="20">
        <v>0.1</v>
      </c>
      <c r="F21" s="20">
        <v>100</v>
      </c>
      <c r="G21" s="20">
        <v>1.0196999999999999E-2</v>
      </c>
      <c r="H21" s="21">
        <v>0.57101499999999994</v>
      </c>
    </row>
    <row r="22" spans="3:8" x14ac:dyDescent="0.2">
      <c r="C22" s="15" t="s">
        <v>186</v>
      </c>
      <c r="D22" s="1">
        <v>1.0197162000000001E-2</v>
      </c>
      <c r="E22" s="20">
        <v>9.9999998727300005E-2</v>
      </c>
      <c r="F22" s="20">
        <v>99.99999872730001</v>
      </c>
      <c r="G22" s="20">
        <v>1.0197162000000001E-2</v>
      </c>
      <c r="H22" s="21">
        <v>0.57101489731274868</v>
      </c>
    </row>
    <row r="23" spans="3:8" ht="13.5" thickBot="1" x14ac:dyDescent="0.25">
      <c r="C23" s="16" t="s">
        <v>187</v>
      </c>
      <c r="D23" s="22">
        <v>900</v>
      </c>
      <c r="E23" s="23">
        <v>157.614102</v>
      </c>
      <c r="F23" s="23">
        <v>157614.09953219999</v>
      </c>
      <c r="G23" s="23">
        <v>16.072164000000001</v>
      </c>
      <c r="H23" s="24">
        <v>900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49"/>
  <sheetViews>
    <sheetView zoomScale="93" zoomScaleNormal="93" workbookViewId="0">
      <selection activeCell="D2" sqref="D2"/>
    </sheetView>
  </sheetViews>
  <sheetFormatPr defaultRowHeight="12.75" x14ac:dyDescent="0.2"/>
  <cols>
    <col min="3" max="3" width="51.7109375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18.75" thickBot="1" x14ac:dyDescent="0.3">
      <c r="C1" s="31" t="s">
        <v>0</v>
      </c>
      <c r="D1" s="51">
        <v>5</v>
      </c>
      <c r="F1" s="45" t="s">
        <v>1</v>
      </c>
      <c r="G1" s="44"/>
    </row>
    <row r="2" spans="2:16" ht="13.5" thickBot="1" x14ac:dyDescent="0.25"/>
    <row r="3" spans="2:16" ht="16.5" thickBot="1" x14ac:dyDescent="0.3">
      <c r="B3" s="37" t="s">
        <v>2</v>
      </c>
      <c r="C3" s="38"/>
      <c r="D3" s="38"/>
      <c r="E3" s="38" t="s">
        <v>3</v>
      </c>
      <c r="F3" s="38"/>
      <c r="G3" s="38"/>
      <c r="H3" s="38" t="s">
        <v>4</v>
      </c>
      <c r="I3" s="38"/>
      <c r="J3" s="175"/>
    </row>
    <row r="4" spans="2:16" ht="15" thickBot="1" x14ac:dyDescent="0.25">
      <c r="B4" s="176" t="s">
        <v>5</v>
      </c>
      <c r="C4" s="180" t="s">
        <v>6</v>
      </c>
      <c r="D4" s="178">
        <v>1</v>
      </c>
      <c r="E4" s="177" t="s">
        <v>7</v>
      </c>
      <c r="F4" s="177" t="s">
        <v>8</v>
      </c>
      <c r="G4" s="198">
        <f>D8-D12</f>
        <v>225</v>
      </c>
      <c r="H4" s="180" t="s">
        <v>9</v>
      </c>
      <c r="I4" s="180" t="s">
        <v>10</v>
      </c>
      <c r="J4" s="181">
        <f>((D20^2*G21)/2)*1000</f>
        <v>49255.691768826626</v>
      </c>
      <c r="M4" s="42"/>
    </row>
    <row r="5" spans="2:16" ht="12" customHeight="1" thickBot="1" x14ac:dyDescent="0.25">
      <c r="B5" s="63" t="s">
        <v>11</v>
      </c>
      <c r="C5" s="180" t="s">
        <v>12</v>
      </c>
      <c r="D5" s="61">
        <v>1</v>
      </c>
      <c r="E5" s="28" t="s">
        <v>13</v>
      </c>
      <c r="F5" s="28" t="s">
        <v>14</v>
      </c>
      <c r="G5" s="179">
        <f>D9-D13</f>
        <v>225</v>
      </c>
      <c r="H5" s="28" t="s">
        <v>15</v>
      </c>
      <c r="I5" s="28" t="s">
        <v>16</v>
      </c>
      <c r="J5" s="181">
        <f>((D21^2*G22)/2)*1000</f>
        <v>49255.691768826626</v>
      </c>
      <c r="M5" s="41"/>
    </row>
    <row r="6" spans="2:16" ht="16.5" customHeight="1" thickBot="1" x14ac:dyDescent="0.25">
      <c r="B6" s="63" t="s">
        <v>17</v>
      </c>
      <c r="C6" s="180" t="s">
        <v>18</v>
      </c>
      <c r="D6" s="61">
        <v>1</v>
      </c>
      <c r="E6" s="28" t="s">
        <v>19</v>
      </c>
      <c r="F6" s="28" t="s">
        <v>20</v>
      </c>
      <c r="G6" s="179">
        <f>D10-D14</f>
        <v>225</v>
      </c>
      <c r="H6" s="28" t="s">
        <v>21</v>
      </c>
      <c r="I6" s="28" t="s">
        <v>22</v>
      </c>
      <c r="J6" s="52">
        <f>J4+J5</f>
        <v>98511.383537653252</v>
      </c>
      <c r="L6" s="189" t="s">
        <v>23</v>
      </c>
      <c r="M6" s="190"/>
    </row>
    <row r="7" spans="2:16" x14ac:dyDescent="0.2">
      <c r="B7" s="63" t="s">
        <v>24</v>
      </c>
      <c r="C7" s="180" t="s">
        <v>25</v>
      </c>
      <c r="D7" s="61">
        <v>1</v>
      </c>
      <c r="E7" s="28" t="s">
        <v>26</v>
      </c>
      <c r="F7" s="28" t="s">
        <v>27</v>
      </c>
      <c r="G7" s="179">
        <f>D11-D15</f>
        <v>225</v>
      </c>
      <c r="H7" s="28" t="s">
        <v>28</v>
      </c>
      <c r="I7" s="28" t="s">
        <v>29</v>
      </c>
      <c r="J7" s="52">
        <f>G10*G27*D1+D20</f>
        <v>1188.9999999999998</v>
      </c>
    </row>
    <row r="8" spans="2:16" x14ac:dyDescent="0.2">
      <c r="B8" s="63" t="s">
        <v>30</v>
      </c>
      <c r="C8" s="28" t="s">
        <v>31</v>
      </c>
      <c r="D8" s="61">
        <v>250</v>
      </c>
      <c r="E8" s="30" t="s">
        <v>32</v>
      </c>
      <c r="F8" s="28" t="s">
        <v>33</v>
      </c>
      <c r="G8" s="32">
        <f>G4+G5</f>
        <v>450</v>
      </c>
      <c r="H8" s="171" t="s">
        <v>34</v>
      </c>
      <c r="I8" s="30" t="s">
        <v>35</v>
      </c>
      <c r="J8" s="188">
        <f>J7/J6</f>
        <v>1.2069671111111107E-2</v>
      </c>
      <c r="K8" s="59">
        <f>J8*180/3.142</f>
        <v>0.6914515595162315</v>
      </c>
      <c r="L8" s="56" t="s">
        <v>36</v>
      </c>
      <c r="P8" s="47"/>
    </row>
    <row r="9" spans="2:16" ht="13.5" thickBot="1" x14ac:dyDescent="0.25">
      <c r="B9" s="63" t="s">
        <v>37</v>
      </c>
      <c r="C9" s="28" t="s">
        <v>38</v>
      </c>
      <c r="D9" s="61">
        <v>250</v>
      </c>
      <c r="E9" s="28" t="s">
        <v>39</v>
      </c>
      <c r="F9" s="28" t="s">
        <v>40</v>
      </c>
      <c r="G9" s="32">
        <f>G6+G7</f>
        <v>450</v>
      </c>
      <c r="H9" s="28" t="s">
        <v>41</v>
      </c>
      <c r="I9" s="28" t="s">
        <v>42</v>
      </c>
      <c r="J9" s="57">
        <f>J8*AVERAGE(G17,G18)*D20*1000/2</f>
        <v>396.3333333333332</v>
      </c>
      <c r="P9" s="36"/>
    </row>
    <row r="10" spans="2:16" ht="13.5" thickBot="1" x14ac:dyDescent="0.25">
      <c r="B10" s="63" t="s">
        <v>43</v>
      </c>
      <c r="C10" s="28" t="s">
        <v>44</v>
      </c>
      <c r="D10" s="61">
        <v>250</v>
      </c>
      <c r="E10" s="165" t="s">
        <v>45</v>
      </c>
      <c r="F10" s="165" t="s">
        <v>46</v>
      </c>
      <c r="G10" s="48">
        <f>G8+G9</f>
        <v>900</v>
      </c>
      <c r="H10" s="141" t="s">
        <v>47</v>
      </c>
      <c r="I10" s="30" t="s">
        <v>48</v>
      </c>
      <c r="J10" s="57">
        <f>(J8*G22*D21)/2*1000</f>
        <v>396.3333333333332</v>
      </c>
      <c r="L10" s="143" t="s">
        <v>49</v>
      </c>
      <c r="M10" s="144"/>
      <c r="P10" s="36"/>
    </row>
    <row r="11" spans="2:16" ht="13.5" thickBot="1" x14ac:dyDescent="0.25">
      <c r="B11" s="63" t="s">
        <v>50</v>
      </c>
      <c r="C11" s="28" t="s">
        <v>51</v>
      </c>
      <c r="D11" s="61">
        <v>250</v>
      </c>
      <c r="E11" s="165" t="s">
        <v>52</v>
      </c>
      <c r="F11" s="165" t="s">
        <v>53</v>
      </c>
      <c r="G11" s="169">
        <f>D8+D9+D10+D11</f>
        <v>1000</v>
      </c>
      <c r="H11" s="29"/>
      <c r="I11" s="29"/>
      <c r="J11" s="53"/>
      <c r="K11" s="27"/>
      <c r="P11" s="50"/>
    </row>
    <row r="12" spans="2:16" ht="13.5" thickBot="1" x14ac:dyDescent="0.25">
      <c r="B12" s="63" t="s">
        <v>54</v>
      </c>
      <c r="C12" s="28" t="s">
        <v>55</v>
      </c>
      <c r="D12" s="62">
        <v>25</v>
      </c>
      <c r="E12" s="170" t="s">
        <v>56</v>
      </c>
      <c r="F12" s="170" t="s">
        <v>57</v>
      </c>
      <c r="G12" s="169">
        <f>D12+D13+D14+D15</f>
        <v>100</v>
      </c>
      <c r="H12" s="28" t="s">
        <v>58</v>
      </c>
      <c r="I12" s="30" t="s">
        <v>59</v>
      </c>
      <c r="J12" s="52">
        <f>((G8)*D1*D27)/D20</f>
        <v>150</v>
      </c>
      <c r="L12" s="143" t="s">
        <v>60</v>
      </c>
      <c r="M12" s="144"/>
      <c r="P12" s="36"/>
    </row>
    <row r="13" spans="2:16" x14ac:dyDescent="0.2">
      <c r="B13" s="63" t="s">
        <v>61</v>
      </c>
      <c r="C13" s="28" t="s">
        <v>62</v>
      </c>
      <c r="D13" s="61">
        <v>25</v>
      </c>
      <c r="E13" s="30" t="s">
        <v>63</v>
      </c>
      <c r="F13" s="28" t="s">
        <v>64</v>
      </c>
      <c r="G13" s="34">
        <f>D16/5.71</f>
        <v>43.782837127845887</v>
      </c>
      <c r="H13" s="28" t="s">
        <v>65</v>
      </c>
      <c r="I13" s="30" t="s">
        <v>66</v>
      </c>
      <c r="J13" s="52">
        <f>J11+G9*D1*D28/D21</f>
        <v>300</v>
      </c>
      <c r="P13" s="36"/>
    </row>
    <row r="14" spans="2:16" x14ac:dyDescent="0.2">
      <c r="B14" s="63" t="s">
        <v>67</v>
      </c>
      <c r="C14" s="28" t="s">
        <v>68</v>
      </c>
      <c r="D14" s="61">
        <v>25</v>
      </c>
      <c r="E14" s="30" t="s">
        <v>69</v>
      </c>
      <c r="F14" s="28" t="s">
        <v>70</v>
      </c>
      <c r="G14" s="34">
        <f>D17/5.71</f>
        <v>43.782837127845887</v>
      </c>
      <c r="H14" s="28" t="s">
        <v>71</v>
      </c>
      <c r="I14" s="30" t="s">
        <v>72</v>
      </c>
      <c r="J14" s="52">
        <f>(D12+D13)*D1*D23/D20</f>
        <v>45.833333333333336</v>
      </c>
    </row>
    <row r="15" spans="2:16" x14ac:dyDescent="0.2">
      <c r="B15" s="63" t="s">
        <v>73</v>
      </c>
      <c r="C15" s="28" t="s">
        <v>74</v>
      </c>
      <c r="D15" s="61">
        <v>25</v>
      </c>
      <c r="E15" s="28" t="s">
        <v>75</v>
      </c>
      <c r="F15" s="28" t="s">
        <v>76</v>
      </c>
      <c r="G15" s="34">
        <f>D18/5.71</f>
        <v>43.782837127845887</v>
      </c>
      <c r="H15" s="28" t="s">
        <v>77</v>
      </c>
      <c r="I15" s="30" t="s">
        <v>78</v>
      </c>
      <c r="J15" s="52">
        <f>(D14+D15)*D1*D24/D21</f>
        <v>45.833333333333336</v>
      </c>
      <c r="L15" s="129"/>
    </row>
    <row r="16" spans="2:16" x14ac:dyDescent="0.2">
      <c r="B16" s="63" t="s">
        <v>79</v>
      </c>
      <c r="C16" s="28" t="s">
        <v>80</v>
      </c>
      <c r="D16" s="61">
        <v>250</v>
      </c>
      <c r="E16" s="28" t="s">
        <v>81</v>
      </c>
      <c r="F16" s="28" t="s">
        <v>82</v>
      </c>
      <c r="G16" s="34">
        <f>D19/5.71</f>
        <v>43.782837127845887</v>
      </c>
      <c r="H16" s="28"/>
      <c r="I16" s="165" t="s">
        <v>83</v>
      </c>
      <c r="J16" s="173">
        <f>J9+J12+J14</f>
        <v>592.16666666666663</v>
      </c>
    </row>
    <row r="17" spans="2:16" ht="13.5" thickBot="1" x14ac:dyDescent="0.25">
      <c r="B17" s="63" t="s">
        <v>84</v>
      </c>
      <c r="C17" s="28" t="s">
        <v>85</v>
      </c>
      <c r="D17" s="61">
        <v>250</v>
      </c>
      <c r="E17" s="28" t="s">
        <v>86</v>
      </c>
      <c r="F17" s="28" t="s">
        <v>87</v>
      </c>
      <c r="G17" s="34">
        <f>G13*D5^2</f>
        <v>43.782837127845887</v>
      </c>
      <c r="H17" s="28"/>
      <c r="I17" s="165" t="s">
        <v>88</v>
      </c>
      <c r="J17" s="174">
        <f>J10+J13+J15</f>
        <v>742.16666666666663</v>
      </c>
      <c r="L17" s="129"/>
      <c r="P17" s="50"/>
    </row>
    <row r="18" spans="2:16" ht="13.5" thickBot="1" x14ac:dyDescent="0.25">
      <c r="B18" s="63" t="s">
        <v>75</v>
      </c>
      <c r="C18" s="28" t="s">
        <v>89</v>
      </c>
      <c r="D18" s="61">
        <v>250</v>
      </c>
      <c r="E18" s="28" t="s">
        <v>90</v>
      </c>
      <c r="F18" s="28" t="s">
        <v>91</v>
      </c>
      <c r="G18" s="130">
        <f>G14*D5^2</f>
        <v>43.782837127845887</v>
      </c>
      <c r="H18" s="28"/>
      <c r="I18" s="172" t="s">
        <v>92</v>
      </c>
      <c r="J18" s="140">
        <f>J16+J17</f>
        <v>1334.3333333333333</v>
      </c>
      <c r="P18" s="50"/>
    </row>
    <row r="19" spans="2:16" x14ac:dyDescent="0.2">
      <c r="B19" s="63" t="s">
        <v>81</v>
      </c>
      <c r="C19" s="28" t="s">
        <v>93</v>
      </c>
      <c r="D19" s="61">
        <v>250</v>
      </c>
      <c r="E19" s="28" t="s">
        <v>94</v>
      </c>
      <c r="F19" s="28" t="s">
        <v>95</v>
      </c>
      <c r="G19" s="35">
        <f>G15*D6^2</f>
        <v>43.782837127845887</v>
      </c>
      <c r="H19" s="28" t="s">
        <v>96</v>
      </c>
      <c r="I19" s="28" t="s">
        <v>97</v>
      </c>
      <c r="J19" s="133">
        <f>(D8*9.81)+J16</f>
        <v>3044.6666666666665</v>
      </c>
      <c r="L19" s="147" t="s">
        <v>98</v>
      </c>
      <c r="M19" s="148"/>
      <c r="N19" s="149"/>
      <c r="O19" s="150"/>
      <c r="P19" s="50"/>
    </row>
    <row r="20" spans="2:16" x14ac:dyDescent="0.2">
      <c r="B20" s="63" t="s">
        <v>99</v>
      </c>
      <c r="C20" s="28" t="s">
        <v>100</v>
      </c>
      <c r="D20" s="61">
        <v>1.5</v>
      </c>
      <c r="E20" s="28" t="s">
        <v>101</v>
      </c>
      <c r="F20" s="28" t="s">
        <v>102</v>
      </c>
      <c r="G20" s="35">
        <f>G16*D7^2</f>
        <v>43.782837127845887</v>
      </c>
      <c r="H20" s="30" t="s">
        <v>103</v>
      </c>
      <c r="I20" s="28" t="s">
        <v>104</v>
      </c>
      <c r="J20" s="60">
        <f>(D9*9.81)-J16</f>
        <v>1860.3333333333335</v>
      </c>
      <c r="L20" s="151" t="s">
        <v>105</v>
      </c>
      <c r="M20" s="46"/>
      <c r="N20" s="46"/>
      <c r="O20" s="152"/>
      <c r="P20" s="50"/>
    </row>
    <row r="21" spans="2:16" x14ac:dyDescent="0.2">
      <c r="B21" s="63" t="s">
        <v>106</v>
      </c>
      <c r="C21" s="28" t="s">
        <v>107</v>
      </c>
      <c r="D21" s="61">
        <v>1.5</v>
      </c>
      <c r="E21" s="195" t="s">
        <v>108</v>
      </c>
      <c r="F21" s="192" t="s">
        <v>109</v>
      </c>
      <c r="G21" s="194">
        <f>(G17+G18)/2</f>
        <v>43.782837127845887</v>
      </c>
      <c r="H21" s="30" t="s">
        <v>110</v>
      </c>
      <c r="I21" s="28" t="s">
        <v>111</v>
      </c>
      <c r="J21" s="60">
        <f>(D10*9.81)+J17</f>
        <v>3194.6666666666665</v>
      </c>
      <c r="L21" s="153" t="s">
        <v>112</v>
      </c>
      <c r="M21" s="46"/>
      <c r="N21" s="46"/>
      <c r="O21" s="152"/>
    </row>
    <row r="22" spans="2:16" ht="13.5" thickBot="1" x14ac:dyDescent="0.25">
      <c r="B22" s="63" t="s">
        <v>113</v>
      </c>
      <c r="C22" s="28" t="s">
        <v>114</v>
      </c>
      <c r="D22" s="61">
        <v>2.5</v>
      </c>
      <c r="E22" s="195" t="s">
        <v>115</v>
      </c>
      <c r="F22" s="192" t="s">
        <v>116</v>
      </c>
      <c r="G22" s="193">
        <f>(G19+G20)/2</f>
        <v>43.782837127845887</v>
      </c>
      <c r="H22" s="28" t="s">
        <v>117</v>
      </c>
      <c r="I22" s="28" t="s">
        <v>118</v>
      </c>
      <c r="J22" s="135">
        <f>(D11*9.81)-J17</f>
        <v>1710.3333333333335</v>
      </c>
      <c r="L22" s="154" t="s">
        <v>119</v>
      </c>
      <c r="M22" s="155"/>
      <c r="N22" s="155"/>
      <c r="O22" s="156"/>
    </row>
    <row r="23" spans="2:16" x14ac:dyDescent="0.2">
      <c r="B23" s="164" t="s">
        <v>120</v>
      </c>
      <c r="C23" s="165" t="s">
        <v>121</v>
      </c>
      <c r="D23" s="61">
        <v>0.27500000000000002</v>
      </c>
      <c r="E23" s="28" t="s">
        <v>122</v>
      </c>
      <c r="F23" s="30" t="s">
        <v>123</v>
      </c>
      <c r="G23" s="196">
        <f>(G9*D22)/G10</f>
        <v>1.25</v>
      </c>
      <c r="H23" s="28"/>
      <c r="I23" s="134" t="s">
        <v>124</v>
      </c>
      <c r="J23" s="136">
        <f>SUM(J19, J20, J21, J22)</f>
        <v>9810</v>
      </c>
    </row>
    <row r="24" spans="2:16" ht="13.5" thickBot="1" x14ac:dyDescent="0.25">
      <c r="B24" s="166" t="s">
        <v>125</v>
      </c>
      <c r="C24" s="167" t="s">
        <v>126</v>
      </c>
      <c r="D24" s="168">
        <v>0.27500000000000002</v>
      </c>
      <c r="E24" s="28" t="s">
        <v>127</v>
      </c>
      <c r="F24" s="28" t="s">
        <v>128</v>
      </c>
      <c r="G24" s="49">
        <f>D28-D27</f>
        <v>0.1</v>
      </c>
      <c r="H24" s="28"/>
      <c r="I24" s="58" t="s">
        <v>129</v>
      </c>
      <c r="J24" s="137">
        <f>G11*9.81</f>
        <v>9810</v>
      </c>
    </row>
    <row r="25" spans="2:16" x14ac:dyDescent="0.2">
      <c r="B25" s="186" t="s">
        <v>130</v>
      </c>
      <c r="C25" s="28" t="s">
        <v>131</v>
      </c>
      <c r="D25" s="61">
        <v>0.4</v>
      </c>
      <c r="E25" s="28" t="s">
        <v>132</v>
      </c>
      <c r="F25" s="28" t="s">
        <v>133</v>
      </c>
      <c r="G25" s="49">
        <f>G24/D22*G23</f>
        <v>0.05</v>
      </c>
      <c r="H25" s="28"/>
      <c r="I25" s="28"/>
      <c r="J25" s="132"/>
    </row>
    <row r="26" spans="2:16" ht="13.5" thickBot="1" x14ac:dyDescent="0.25">
      <c r="B26" s="63" t="s">
        <v>134</v>
      </c>
      <c r="C26" s="28" t="s">
        <v>135</v>
      </c>
      <c r="D26" s="43">
        <f>((D25*G11)-((D12+D13)*D23)-((D14+D15)*D24))/G10</f>
        <v>0.41388888888888886</v>
      </c>
      <c r="E26" s="28" t="s">
        <v>136</v>
      </c>
      <c r="F26" s="28" t="s">
        <v>137</v>
      </c>
      <c r="G26" s="197">
        <f>G25+D27</f>
        <v>0.15000000000000002</v>
      </c>
      <c r="H26" s="28"/>
      <c r="I26" s="28"/>
      <c r="J26" s="131"/>
    </row>
    <row r="27" spans="2:16" ht="13.5" thickBot="1" x14ac:dyDescent="0.25">
      <c r="B27" s="63" t="s">
        <v>138</v>
      </c>
      <c r="C27" s="30" t="s">
        <v>139</v>
      </c>
      <c r="D27" s="61">
        <v>0.1</v>
      </c>
      <c r="E27" s="28" t="s">
        <v>140</v>
      </c>
      <c r="F27" s="28" t="s">
        <v>141</v>
      </c>
      <c r="G27" s="197">
        <f>D26-G25-D27</f>
        <v>0.26388888888888884</v>
      </c>
      <c r="H27" s="28" t="s">
        <v>142</v>
      </c>
      <c r="I27" s="55" t="s">
        <v>143</v>
      </c>
      <c r="J27" s="199">
        <f>G11*D1*D25 /AVERAGE(D20,D21)</f>
        <v>1333.3333333333333</v>
      </c>
      <c r="L27" s="157" t="s">
        <v>144</v>
      </c>
      <c r="M27" s="149"/>
      <c r="N27" s="149"/>
      <c r="O27" s="158"/>
      <c r="P27" s="150"/>
    </row>
    <row r="28" spans="2:16" ht="13.5" thickBot="1" x14ac:dyDescent="0.25">
      <c r="B28" s="182" t="s">
        <v>145</v>
      </c>
      <c r="C28" s="187" t="s">
        <v>146</v>
      </c>
      <c r="D28" s="183">
        <v>0.2</v>
      </c>
      <c r="E28" s="64"/>
      <c r="F28" s="64"/>
      <c r="G28" s="184"/>
      <c r="H28" s="64"/>
      <c r="I28" s="64"/>
      <c r="J28" s="185"/>
      <c r="L28" s="159" t="s">
        <v>147</v>
      </c>
      <c r="M28" s="155"/>
      <c r="N28" s="155"/>
      <c r="O28" s="160"/>
      <c r="P28" s="156"/>
    </row>
    <row r="29" spans="2:16" ht="13.5" thickBot="1" x14ac:dyDescent="0.25">
      <c r="L29" s="139"/>
      <c r="M29" s="139"/>
      <c r="N29" s="139"/>
      <c r="O29" s="139"/>
    </row>
    <row r="30" spans="2:16" ht="15" thickBot="1" x14ac:dyDescent="0.25">
      <c r="D30" s="145" t="s">
        <v>148</v>
      </c>
      <c r="E30" s="146"/>
      <c r="G30" s="191"/>
      <c r="H30" s="39"/>
      <c r="I30" s="39"/>
      <c r="L30" s="138"/>
      <c r="M30" s="138"/>
      <c r="N30" s="138"/>
      <c r="O30" s="138"/>
    </row>
    <row r="31" spans="2:16" ht="15" thickBot="1" x14ac:dyDescent="0.25">
      <c r="G31" s="39"/>
      <c r="I31" s="39"/>
    </row>
    <row r="32" spans="2:16" ht="18" thickBot="1" x14ac:dyDescent="0.3">
      <c r="C32" s="163" t="s">
        <v>149</v>
      </c>
      <c r="F32" s="161" t="s">
        <v>150</v>
      </c>
      <c r="H32" s="40"/>
    </row>
    <row r="33" spans="2:7" ht="15" thickBot="1" x14ac:dyDescent="0.25">
      <c r="F33" s="162" t="s">
        <v>151</v>
      </c>
    </row>
    <row r="35" spans="2:7" x14ac:dyDescent="0.2">
      <c r="B35" s="54"/>
    </row>
    <row r="36" spans="2:7" x14ac:dyDescent="0.2">
      <c r="B36" s="50"/>
      <c r="C36" s="142"/>
      <c r="D36" s="50"/>
    </row>
    <row r="37" spans="2:7" x14ac:dyDescent="0.2">
      <c r="B37" s="50"/>
      <c r="C37" s="142"/>
      <c r="D37" s="50"/>
    </row>
    <row r="39" spans="2:7" x14ac:dyDescent="0.2">
      <c r="D39" t="s">
        <v>152</v>
      </c>
      <c r="G39" t="s">
        <v>58</v>
      </c>
    </row>
    <row r="40" spans="2:7" x14ac:dyDescent="0.2">
      <c r="G40">
        <f>(G8*D1*D27)/D20</f>
        <v>150</v>
      </c>
    </row>
    <row r="42" spans="2:7" x14ac:dyDescent="0.2">
      <c r="G42" t="s">
        <v>65</v>
      </c>
    </row>
    <row r="43" spans="2:7" x14ac:dyDescent="0.2">
      <c r="G43">
        <f>(G9*D1*D28)/D21</f>
        <v>300</v>
      </c>
    </row>
    <row r="45" spans="2:7" x14ac:dyDescent="0.2">
      <c r="G45" t="s">
        <v>41</v>
      </c>
    </row>
    <row r="46" spans="2:7" x14ac:dyDescent="0.2">
      <c r="G46">
        <f>(J8*D20*G21)/2</f>
        <v>0.3963333333333332</v>
      </c>
    </row>
    <row r="48" spans="2:7" x14ac:dyDescent="0.2">
      <c r="G48" t="s">
        <v>47</v>
      </c>
    </row>
    <row r="49" spans="7:7" x14ac:dyDescent="0.2">
      <c r="G49">
        <f>(J8*D21*G22)/2</f>
        <v>0.3963333333333332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2693B-7F6C-4F12-ABD6-A4C7E4BDB503}">
  <dimension ref="B1:P49"/>
  <sheetViews>
    <sheetView topLeftCell="B15" zoomScale="93" zoomScaleNormal="93" workbookViewId="0">
      <selection activeCell="D33" sqref="D33"/>
    </sheetView>
  </sheetViews>
  <sheetFormatPr defaultRowHeight="12.75" x14ac:dyDescent="0.2"/>
  <cols>
    <col min="3" max="3" width="51.7109375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18.75" thickBot="1" x14ac:dyDescent="0.3">
      <c r="C1" s="31" t="s">
        <v>0</v>
      </c>
      <c r="D1" s="51">
        <v>7</v>
      </c>
      <c r="F1" s="45" t="s">
        <v>1</v>
      </c>
      <c r="G1" s="44"/>
    </row>
    <row r="2" spans="2:16" ht="13.5" thickBot="1" x14ac:dyDescent="0.25"/>
    <row r="3" spans="2:16" ht="16.5" thickBot="1" x14ac:dyDescent="0.3">
      <c r="B3" s="37" t="s">
        <v>2</v>
      </c>
      <c r="C3" s="38"/>
      <c r="D3" s="38"/>
      <c r="E3" s="38" t="s">
        <v>3</v>
      </c>
      <c r="F3" s="38"/>
      <c r="G3" s="38"/>
      <c r="H3" s="38" t="s">
        <v>4</v>
      </c>
      <c r="I3" s="38"/>
      <c r="J3" s="175"/>
    </row>
    <row r="4" spans="2:16" ht="15" thickBot="1" x14ac:dyDescent="0.25">
      <c r="B4" s="176" t="s">
        <v>5</v>
      </c>
      <c r="C4" s="180" t="s">
        <v>6</v>
      </c>
      <c r="D4" s="178">
        <v>1</v>
      </c>
      <c r="E4" s="177" t="s">
        <v>7</v>
      </c>
      <c r="F4" s="177" t="s">
        <v>8</v>
      </c>
      <c r="G4" s="198">
        <f>D8-D12</f>
        <v>225</v>
      </c>
      <c r="H4" s="180" t="s">
        <v>9</v>
      </c>
      <c r="I4" s="180" t="s">
        <v>10</v>
      </c>
      <c r="J4" s="181">
        <f>((D20^2*G21)/2)*1000</f>
        <v>49255.691768826626</v>
      </c>
      <c r="M4" s="42"/>
    </row>
    <row r="5" spans="2:16" ht="12" customHeight="1" thickBot="1" x14ac:dyDescent="0.25">
      <c r="B5" s="63" t="s">
        <v>11</v>
      </c>
      <c r="C5" s="180" t="s">
        <v>12</v>
      </c>
      <c r="D5" s="61">
        <v>1</v>
      </c>
      <c r="E5" s="28" t="s">
        <v>13</v>
      </c>
      <c r="F5" s="28" t="s">
        <v>14</v>
      </c>
      <c r="G5" s="179">
        <f>D9-D13</f>
        <v>225</v>
      </c>
      <c r="H5" s="28" t="s">
        <v>15</v>
      </c>
      <c r="I5" s="28" t="s">
        <v>16</v>
      </c>
      <c r="J5" s="181">
        <f>((D21^2*G22)/2)*1000</f>
        <v>49255.691768826626</v>
      </c>
      <c r="M5" s="41"/>
    </row>
    <row r="6" spans="2:16" ht="16.5" customHeight="1" thickBot="1" x14ac:dyDescent="0.25">
      <c r="B6" s="63" t="s">
        <v>17</v>
      </c>
      <c r="C6" s="180" t="s">
        <v>18</v>
      </c>
      <c r="D6" s="61">
        <v>1</v>
      </c>
      <c r="E6" s="28" t="s">
        <v>19</v>
      </c>
      <c r="F6" s="28" t="s">
        <v>20</v>
      </c>
      <c r="G6" s="179">
        <f>D10-D14</f>
        <v>225</v>
      </c>
      <c r="H6" s="28" t="s">
        <v>21</v>
      </c>
      <c r="I6" s="28" t="s">
        <v>22</v>
      </c>
      <c r="J6" s="52">
        <f>J4+J5</f>
        <v>98511.383537653252</v>
      </c>
      <c r="L6" s="189" t="s">
        <v>23</v>
      </c>
      <c r="M6" s="190"/>
    </row>
    <row r="7" spans="2:16" x14ac:dyDescent="0.2">
      <c r="B7" s="63" t="s">
        <v>24</v>
      </c>
      <c r="C7" s="180" t="s">
        <v>25</v>
      </c>
      <c r="D7" s="61">
        <v>1</v>
      </c>
      <c r="E7" s="28" t="s">
        <v>26</v>
      </c>
      <c r="F7" s="28" t="s">
        <v>27</v>
      </c>
      <c r="G7" s="179">
        <f>D11-D15</f>
        <v>225</v>
      </c>
      <c r="H7" s="28" t="s">
        <v>28</v>
      </c>
      <c r="I7" s="28" t="s">
        <v>29</v>
      </c>
      <c r="J7" s="52">
        <f>G10*G27*D1+D20</f>
        <v>1663.9999999999995</v>
      </c>
    </row>
    <row r="8" spans="2:16" x14ac:dyDescent="0.2">
      <c r="B8" s="63" t="s">
        <v>30</v>
      </c>
      <c r="C8" s="28" t="s">
        <v>31</v>
      </c>
      <c r="D8" s="61">
        <v>250</v>
      </c>
      <c r="E8" s="30" t="s">
        <v>32</v>
      </c>
      <c r="F8" s="28" t="s">
        <v>33</v>
      </c>
      <c r="G8" s="32">
        <f>G4+G5</f>
        <v>450</v>
      </c>
      <c r="H8" s="171" t="s">
        <v>34</v>
      </c>
      <c r="I8" s="30" t="s">
        <v>35</v>
      </c>
      <c r="J8" s="188">
        <f>J7/J6</f>
        <v>1.6891448888888883E-2</v>
      </c>
      <c r="K8" s="59">
        <f>J8*180/3.142</f>
        <v>0.96768325907065533</v>
      </c>
      <c r="L8" s="56" t="s">
        <v>36</v>
      </c>
      <c r="P8" s="47"/>
    </row>
    <row r="9" spans="2:16" ht="13.5" thickBot="1" x14ac:dyDescent="0.25">
      <c r="B9" s="63" t="s">
        <v>37</v>
      </c>
      <c r="C9" s="28" t="s">
        <v>38</v>
      </c>
      <c r="D9" s="61">
        <v>250</v>
      </c>
      <c r="E9" s="28" t="s">
        <v>39</v>
      </c>
      <c r="F9" s="28" t="s">
        <v>40</v>
      </c>
      <c r="G9" s="32">
        <f>G6+G7</f>
        <v>450</v>
      </c>
      <c r="H9" s="28" t="s">
        <v>41</v>
      </c>
      <c r="I9" s="28" t="s">
        <v>42</v>
      </c>
      <c r="J9" s="57">
        <f>J8*AVERAGE(G17,G18)*D20*1000/2</f>
        <v>554.6666666666664</v>
      </c>
      <c r="P9" s="36"/>
    </row>
    <row r="10" spans="2:16" ht="13.5" thickBot="1" x14ac:dyDescent="0.25">
      <c r="B10" s="63" t="s">
        <v>43</v>
      </c>
      <c r="C10" s="28" t="s">
        <v>44</v>
      </c>
      <c r="D10" s="61">
        <v>250</v>
      </c>
      <c r="E10" s="165" t="s">
        <v>45</v>
      </c>
      <c r="F10" s="165" t="s">
        <v>46</v>
      </c>
      <c r="G10" s="48">
        <f>G8+G9</f>
        <v>900</v>
      </c>
      <c r="H10" s="141" t="s">
        <v>47</v>
      </c>
      <c r="I10" s="30" t="s">
        <v>48</v>
      </c>
      <c r="J10" s="57">
        <f>(J8*G22*D21)/2*1000</f>
        <v>554.6666666666664</v>
      </c>
      <c r="L10" s="143" t="s">
        <v>49</v>
      </c>
      <c r="M10" s="144"/>
      <c r="P10" s="36"/>
    </row>
    <row r="11" spans="2:16" ht="13.5" thickBot="1" x14ac:dyDescent="0.25">
      <c r="B11" s="63" t="s">
        <v>50</v>
      </c>
      <c r="C11" s="28" t="s">
        <v>51</v>
      </c>
      <c r="D11" s="61">
        <v>250</v>
      </c>
      <c r="E11" s="165" t="s">
        <v>52</v>
      </c>
      <c r="F11" s="165" t="s">
        <v>53</v>
      </c>
      <c r="G11" s="169">
        <f>D8+D9+D10+D11</f>
        <v>1000</v>
      </c>
      <c r="H11" s="29"/>
      <c r="I11" s="29"/>
      <c r="J11" s="53"/>
      <c r="K11" s="27"/>
      <c r="P11" s="50"/>
    </row>
    <row r="12" spans="2:16" ht="13.5" thickBot="1" x14ac:dyDescent="0.25">
      <c r="B12" s="63" t="s">
        <v>54</v>
      </c>
      <c r="C12" s="28" t="s">
        <v>55</v>
      </c>
      <c r="D12" s="62">
        <v>25</v>
      </c>
      <c r="E12" s="170" t="s">
        <v>56</v>
      </c>
      <c r="F12" s="170" t="s">
        <v>57</v>
      </c>
      <c r="G12" s="169">
        <f>D12+D13+D14+D15</f>
        <v>100</v>
      </c>
      <c r="H12" s="28" t="s">
        <v>58</v>
      </c>
      <c r="I12" s="30" t="s">
        <v>59</v>
      </c>
      <c r="J12" s="52">
        <f>((G8)*D1*D27)/D20</f>
        <v>210</v>
      </c>
      <c r="L12" s="143" t="s">
        <v>60</v>
      </c>
      <c r="M12" s="144"/>
      <c r="P12" s="36"/>
    </row>
    <row r="13" spans="2:16" x14ac:dyDescent="0.2">
      <c r="B13" s="63" t="s">
        <v>61</v>
      </c>
      <c r="C13" s="28" t="s">
        <v>62</v>
      </c>
      <c r="D13" s="61">
        <v>25</v>
      </c>
      <c r="E13" s="30" t="s">
        <v>63</v>
      </c>
      <c r="F13" s="28" t="s">
        <v>64</v>
      </c>
      <c r="G13" s="34">
        <f>D16/5.71</f>
        <v>43.782837127845887</v>
      </c>
      <c r="H13" s="28" t="s">
        <v>65</v>
      </c>
      <c r="I13" s="30" t="s">
        <v>66</v>
      </c>
      <c r="J13" s="52">
        <f>J11+G9*D1*D28/D21</f>
        <v>420</v>
      </c>
      <c r="P13" s="36"/>
    </row>
    <row r="14" spans="2:16" x14ac:dyDescent="0.2">
      <c r="B14" s="63" t="s">
        <v>67</v>
      </c>
      <c r="C14" s="28" t="s">
        <v>68</v>
      </c>
      <c r="D14" s="61">
        <v>25</v>
      </c>
      <c r="E14" s="30" t="s">
        <v>69</v>
      </c>
      <c r="F14" s="28" t="s">
        <v>70</v>
      </c>
      <c r="G14" s="34">
        <f>D17/5.71</f>
        <v>43.782837127845887</v>
      </c>
      <c r="H14" s="28" t="s">
        <v>71</v>
      </c>
      <c r="I14" s="30" t="s">
        <v>72</v>
      </c>
      <c r="J14" s="52">
        <f>(D12+D13)*D1*D23/D20</f>
        <v>64.166666666666671</v>
      </c>
    </row>
    <row r="15" spans="2:16" x14ac:dyDescent="0.2">
      <c r="B15" s="63" t="s">
        <v>73</v>
      </c>
      <c r="C15" s="28" t="s">
        <v>74</v>
      </c>
      <c r="D15" s="61">
        <v>25</v>
      </c>
      <c r="E15" s="28" t="s">
        <v>75</v>
      </c>
      <c r="F15" s="28" t="s">
        <v>76</v>
      </c>
      <c r="G15" s="34">
        <f>D18/5.71</f>
        <v>43.782837127845887</v>
      </c>
      <c r="H15" s="28" t="s">
        <v>77</v>
      </c>
      <c r="I15" s="30" t="s">
        <v>78</v>
      </c>
      <c r="J15" s="52">
        <f>(D14+D15)*D1*D24/D21</f>
        <v>64.166666666666671</v>
      </c>
      <c r="L15" s="129"/>
    </row>
    <row r="16" spans="2:16" x14ac:dyDescent="0.2">
      <c r="B16" s="63" t="s">
        <v>79</v>
      </c>
      <c r="C16" s="28" t="s">
        <v>80</v>
      </c>
      <c r="D16" s="61">
        <v>250</v>
      </c>
      <c r="E16" s="28" t="s">
        <v>81</v>
      </c>
      <c r="F16" s="28" t="s">
        <v>82</v>
      </c>
      <c r="G16" s="34">
        <f>D19/5.71</f>
        <v>43.782837127845887</v>
      </c>
      <c r="H16" s="28"/>
      <c r="I16" s="165" t="s">
        <v>83</v>
      </c>
      <c r="J16" s="173">
        <f>J9+J12+J14</f>
        <v>828.83333333333303</v>
      </c>
    </row>
    <row r="17" spans="2:16" ht="13.5" thickBot="1" x14ac:dyDescent="0.25">
      <c r="B17" s="63" t="s">
        <v>84</v>
      </c>
      <c r="C17" s="28" t="s">
        <v>85</v>
      </c>
      <c r="D17" s="61">
        <v>250</v>
      </c>
      <c r="E17" s="28" t="s">
        <v>86</v>
      </c>
      <c r="F17" s="28" t="s">
        <v>87</v>
      </c>
      <c r="G17" s="34">
        <f>G13*D5^2</f>
        <v>43.782837127845887</v>
      </c>
      <c r="H17" s="28"/>
      <c r="I17" s="165" t="s">
        <v>88</v>
      </c>
      <c r="J17" s="174">
        <f>J10+J13+J15</f>
        <v>1038.833333333333</v>
      </c>
      <c r="L17" s="129"/>
      <c r="P17" s="50"/>
    </row>
    <row r="18" spans="2:16" ht="13.5" thickBot="1" x14ac:dyDescent="0.25">
      <c r="B18" s="63" t="s">
        <v>75</v>
      </c>
      <c r="C18" s="28" t="s">
        <v>89</v>
      </c>
      <c r="D18" s="61">
        <v>250</v>
      </c>
      <c r="E18" s="28" t="s">
        <v>90</v>
      </c>
      <c r="F18" s="28" t="s">
        <v>91</v>
      </c>
      <c r="G18" s="130">
        <f>G14*D5^2</f>
        <v>43.782837127845887</v>
      </c>
      <c r="H18" s="28"/>
      <c r="I18" s="172" t="s">
        <v>92</v>
      </c>
      <c r="J18" s="140">
        <f>J16+J17</f>
        <v>1867.6666666666661</v>
      </c>
      <c r="P18" s="50"/>
    </row>
    <row r="19" spans="2:16" x14ac:dyDescent="0.2">
      <c r="B19" s="63" t="s">
        <v>81</v>
      </c>
      <c r="C19" s="28" t="s">
        <v>93</v>
      </c>
      <c r="D19" s="61">
        <v>250</v>
      </c>
      <c r="E19" s="28" t="s">
        <v>94</v>
      </c>
      <c r="F19" s="28" t="s">
        <v>95</v>
      </c>
      <c r="G19" s="35">
        <f>G15*D6^2</f>
        <v>43.782837127845887</v>
      </c>
      <c r="H19" s="28" t="s">
        <v>96</v>
      </c>
      <c r="I19" s="28" t="s">
        <v>97</v>
      </c>
      <c r="J19" s="133">
        <f>(D8*9.81)+J16</f>
        <v>3281.333333333333</v>
      </c>
      <c r="L19" s="147" t="s">
        <v>98</v>
      </c>
      <c r="M19" s="148"/>
      <c r="N19" s="149"/>
      <c r="O19" s="150"/>
      <c r="P19" s="50"/>
    </row>
    <row r="20" spans="2:16" x14ac:dyDescent="0.2">
      <c r="B20" s="63" t="s">
        <v>99</v>
      </c>
      <c r="C20" s="28" t="s">
        <v>100</v>
      </c>
      <c r="D20" s="61">
        <v>1.5</v>
      </c>
      <c r="E20" s="28" t="s">
        <v>101</v>
      </c>
      <c r="F20" s="28" t="s">
        <v>102</v>
      </c>
      <c r="G20" s="35">
        <f>G16*D7^2</f>
        <v>43.782837127845887</v>
      </c>
      <c r="H20" s="30" t="s">
        <v>103</v>
      </c>
      <c r="I20" s="28" t="s">
        <v>104</v>
      </c>
      <c r="J20" s="60">
        <f>(D9*9.81)-J16</f>
        <v>1623.666666666667</v>
      </c>
      <c r="L20" s="151" t="s">
        <v>105</v>
      </c>
      <c r="M20" s="46"/>
      <c r="N20" s="46"/>
      <c r="O20" s="152"/>
      <c r="P20" s="50"/>
    </row>
    <row r="21" spans="2:16" x14ac:dyDescent="0.2">
      <c r="B21" s="63" t="s">
        <v>106</v>
      </c>
      <c r="C21" s="28" t="s">
        <v>107</v>
      </c>
      <c r="D21" s="61">
        <v>1.5</v>
      </c>
      <c r="E21" s="195" t="s">
        <v>108</v>
      </c>
      <c r="F21" s="192" t="s">
        <v>109</v>
      </c>
      <c r="G21" s="194">
        <f>(G17+G18)/2</f>
        <v>43.782837127845887</v>
      </c>
      <c r="H21" s="30" t="s">
        <v>110</v>
      </c>
      <c r="I21" s="28" t="s">
        <v>111</v>
      </c>
      <c r="J21" s="60">
        <f>(D10*9.81)+J17</f>
        <v>3491.333333333333</v>
      </c>
      <c r="L21" s="153" t="s">
        <v>112</v>
      </c>
      <c r="M21" s="46"/>
      <c r="N21" s="46"/>
      <c r="O21" s="152"/>
    </row>
    <row r="22" spans="2:16" ht="13.5" thickBot="1" x14ac:dyDescent="0.25">
      <c r="B22" s="63" t="s">
        <v>113</v>
      </c>
      <c r="C22" s="28" t="s">
        <v>114</v>
      </c>
      <c r="D22" s="61">
        <v>2.5</v>
      </c>
      <c r="E22" s="195" t="s">
        <v>115</v>
      </c>
      <c r="F22" s="192" t="s">
        <v>116</v>
      </c>
      <c r="G22" s="193">
        <f>(G19+G20)/2</f>
        <v>43.782837127845887</v>
      </c>
      <c r="H22" s="28" t="s">
        <v>117</v>
      </c>
      <c r="I22" s="28" t="s">
        <v>118</v>
      </c>
      <c r="J22" s="135">
        <f>(D11*9.81)-J17</f>
        <v>1413.666666666667</v>
      </c>
      <c r="L22" s="154" t="s">
        <v>119</v>
      </c>
      <c r="M22" s="155"/>
      <c r="N22" s="155"/>
      <c r="O22" s="156"/>
    </row>
    <row r="23" spans="2:16" x14ac:dyDescent="0.2">
      <c r="B23" s="164" t="s">
        <v>120</v>
      </c>
      <c r="C23" s="165" t="s">
        <v>121</v>
      </c>
      <c r="D23" s="61">
        <v>0.27500000000000002</v>
      </c>
      <c r="E23" s="28" t="s">
        <v>122</v>
      </c>
      <c r="F23" s="30" t="s">
        <v>123</v>
      </c>
      <c r="G23" s="196">
        <f>(G9*D22)/G10</f>
        <v>1.25</v>
      </c>
      <c r="H23" s="28"/>
      <c r="I23" s="134" t="s">
        <v>124</v>
      </c>
      <c r="J23" s="136">
        <f>SUM(J19, J20, J21, J22)</f>
        <v>9810</v>
      </c>
    </row>
    <row r="24" spans="2:16" ht="13.5" thickBot="1" x14ac:dyDescent="0.25">
      <c r="B24" s="166" t="s">
        <v>125</v>
      </c>
      <c r="C24" s="167" t="s">
        <v>126</v>
      </c>
      <c r="D24" s="168">
        <v>0.27500000000000002</v>
      </c>
      <c r="E24" s="28" t="s">
        <v>127</v>
      </c>
      <c r="F24" s="28" t="s">
        <v>128</v>
      </c>
      <c r="G24" s="49">
        <f>D28-D27</f>
        <v>0.1</v>
      </c>
      <c r="H24" s="28"/>
      <c r="I24" s="58" t="s">
        <v>129</v>
      </c>
      <c r="J24" s="137">
        <f>G11*9.81</f>
        <v>9810</v>
      </c>
    </row>
    <row r="25" spans="2:16" x14ac:dyDescent="0.2">
      <c r="B25" s="186" t="s">
        <v>130</v>
      </c>
      <c r="C25" s="28" t="s">
        <v>131</v>
      </c>
      <c r="D25" s="61">
        <v>0.4</v>
      </c>
      <c r="E25" s="28" t="s">
        <v>132</v>
      </c>
      <c r="F25" s="28" t="s">
        <v>133</v>
      </c>
      <c r="G25" s="49">
        <f>G24/D22*G23</f>
        <v>0.05</v>
      </c>
      <c r="H25" s="28"/>
      <c r="I25" s="28"/>
      <c r="J25" s="132"/>
    </row>
    <row r="26" spans="2:16" ht="13.5" thickBot="1" x14ac:dyDescent="0.25">
      <c r="B26" s="63" t="s">
        <v>134</v>
      </c>
      <c r="C26" s="28" t="s">
        <v>135</v>
      </c>
      <c r="D26" s="200">
        <f>((D25*G11)-((D12+D13)*D23)-((D14+D15)*D24))/G10</f>
        <v>0.41388888888888886</v>
      </c>
      <c r="E26" s="28" t="s">
        <v>136</v>
      </c>
      <c r="F26" s="28" t="s">
        <v>137</v>
      </c>
      <c r="G26" s="197">
        <f>G25+D27</f>
        <v>0.15000000000000002</v>
      </c>
      <c r="H26" s="28"/>
      <c r="I26" s="28"/>
      <c r="J26" s="131"/>
    </row>
    <row r="27" spans="2:16" ht="13.5" thickBot="1" x14ac:dyDescent="0.25">
      <c r="B27" s="63" t="s">
        <v>138</v>
      </c>
      <c r="C27" s="30" t="s">
        <v>139</v>
      </c>
      <c r="D27" s="61">
        <v>0.1</v>
      </c>
      <c r="E27" s="28" t="s">
        <v>140</v>
      </c>
      <c r="F27" s="28" t="s">
        <v>141</v>
      </c>
      <c r="G27" s="197">
        <f>D26-G25-D27</f>
        <v>0.26388888888888884</v>
      </c>
      <c r="H27" s="28" t="s">
        <v>142</v>
      </c>
      <c r="I27" s="55" t="s">
        <v>143</v>
      </c>
      <c r="J27" s="199">
        <f>G11*D1*D25 /AVERAGE(D20,D21)</f>
        <v>1866.6666666666667</v>
      </c>
      <c r="L27" s="157" t="s">
        <v>144</v>
      </c>
      <c r="M27" s="149"/>
      <c r="N27" s="149"/>
      <c r="O27" s="158"/>
      <c r="P27" s="150"/>
    </row>
    <row r="28" spans="2:16" ht="13.5" thickBot="1" x14ac:dyDescent="0.25">
      <c r="B28" s="182" t="s">
        <v>145</v>
      </c>
      <c r="C28" s="187" t="s">
        <v>146</v>
      </c>
      <c r="D28" s="183">
        <v>0.2</v>
      </c>
      <c r="E28" s="64"/>
      <c r="F28" s="64"/>
      <c r="G28" s="184"/>
      <c r="H28" s="64"/>
      <c r="I28" s="64"/>
      <c r="J28" s="185"/>
      <c r="L28" s="159" t="s">
        <v>147</v>
      </c>
      <c r="M28" s="155"/>
      <c r="N28" s="155"/>
      <c r="O28" s="160"/>
      <c r="P28" s="156"/>
    </row>
    <row r="29" spans="2:16" x14ac:dyDescent="0.2">
      <c r="B29" s="201" t="s">
        <v>188</v>
      </c>
      <c r="C29" s="195" t="s">
        <v>193</v>
      </c>
      <c r="D29" s="202">
        <f>J19-J20</f>
        <v>1657.6666666666661</v>
      </c>
      <c r="L29" s="139"/>
      <c r="M29" s="139"/>
      <c r="N29" s="139"/>
      <c r="O29" s="139"/>
    </row>
    <row r="30" spans="2:16" ht="14.25" x14ac:dyDescent="0.2">
      <c r="B30" s="201" t="s">
        <v>189</v>
      </c>
      <c r="C30" s="195" t="s">
        <v>192</v>
      </c>
      <c r="D30" s="202">
        <f>J21-J22</f>
        <v>2077.6666666666661</v>
      </c>
      <c r="G30" s="191"/>
      <c r="H30" s="39"/>
      <c r="I30" s="39"/>
      <c r="L30" s="138"/>
      <c r="M30" s="138"/>
      <c r="N30" s="138"/>
      <c r="O30" s="138"/>
    </row>
    <row r="31" spans="2:16" ht="15" thickBot="1" x14ac:dyDescent="0.25">
      <c r="B31" s="201" t="s">
        <v>190</v>
      </c>
      <c r="C31" s="195" t="s">
        <v>191</v>
      </c>
      <c r="D31">
        <f>D29-D30</f>
        <v>-420</v>
      </c>
      <c r="G31" s="39"/>
      <c r="I31" s="39"/>
    </row>
    <row r="32" spans="2:16" ht="15" x14ac:dyDescent="0.25">
      <c r="C32" s="195" t="s">
        <v>194</v>
      </c>
      <c r="D32">
        <f>(J17/J27)*100</f>
        <v>55.651785714285694</v>
      </c>
      <c r="F32" s="161" t="s">
        <v>150</v>
      </c>
      <c r="H32" s="40"/>
    </row>
    <row r="33" spans="2:7" ht="15" thickBot="1" x14ac:dyDescent="0.25">
      <c r="F33" s="162" t="s">
        <v>151</v>
      </c>
    </row>
    <row r="34" spans="2:7" ht="13.5" thickBot="1" x14ac:dyDescent="0.25"/>
    <row r="35" spans="2:7" ht="13.5" thickBot="1" x14ac:dyDescent="0.25">
      <c r="B35" s="54"/>
      <c r="C35" s="145" t="s">
        <v>148</v>
      </c>
      <c r="D35" s="146"/>
    </row>
    <row r="36" spans="2:7" x14ac:dyDescent="0.2">
      <c r="B36" s="50"/>
      <c r="C36" s="142"/>
      <c r="D36" s="50"/>
    </row>
    <row r="37" spans="2:7" x14ac:dyDescent="0.2">
      <c r="B37" s="50"/>
      <c r="C37" s="142"/>
      <c r="D37" s="50"/>
    </row>
    <row r="39" spans="2:7" x14ac:dyDescent="0.2">
      <c r="D39" t="s">
        <v>152</v>
      </c>
      <c r="G39" t="s">
        <v>58</v>
      </c>
    </row>
    <row r="40" spans="2:7" x14ac:dyDescent="0.2">
      <c r="G40">
        <f>(G8*D1*D27)/D20</f>
        <v>210</v>
      </c>
    </row>
    <row r="42" spans="2:7" x14ac:dyDescent="0.2">
      <c r="G42" t="s">
        <v>65</v>
      </c>
    </row>
    <row r="43" spans="2:7" x14ac:dyDescent="0.2">
      <c r="G43">
        <f>(G9*D1*D28)/D21</f>
        <v>420</v>
      </c>
    </row>
    <row r="45" spans="2:7" x14ac:dyDescent="0.2">
      <c r="G45" t="s">
        <v>41</v>
      </c>
    </row>
    <row r="46" spans="2:7" x14ac:dyDescent="0.2">
      <c r="G46">
        <f>(J8*D20*G21)/2</f>
        <v>0.55466666666666653</v>
      </c>
    </row>
    <row r="48" spans="2:7" x14ac:dyDescent="0.2">
      <c r="G48" t="s">
        <v>47</v>
      </c>
    </row>
    <row r="49" spans="7:7" x14ac:dyDescent="0.2">
      <c r="G49">
        <f>(J8*D21*G22)/2</f>
        <v>0.55466666666666653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AC082-D85A-401D-A7F6-8A0842414695}">
  <dimension ref="B1:P49"/>
  <sheetViews>
    <sheetView topLeftCell="A12" zoomScale="93" zoomScaleNormal="93" workbookViewId="0">
      <selection activeCell="E2" sqref="E2"/>
    </sheetView>
  </sheetViews>
  <sheetFormatPr defaultRowHeight="12.75" x14ac:dyDescent="0.2"/>
  <cols>
    <col min="3" max="3" width="51.7109375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18.75" thickBot="1" x14ac:dyDescent="0.3">
      <c r="C1" s="31" t="s">
        <v>0</v>
      </c>
      <c r="D1" s="51">
        <v>8.1</v>
      </c>
      <c r="F1" s="45" t="s">
        <v>1</v>
      </c>
      <c r="G1" s="44"/>
    </row>
    <row r="2" spans="2:16" ht="13.5" thickBot="1" x14ac:dyDescent="0.25"/>
    <row r="3" spans="2:16" ht="16.5" thickBot="1" x14ac:dyDescent="0.3">
      <c r="B3" s="37" t="s">
        <v>2</v>
      </c>
      <c r="C3" s="38"/>
      <c r="D3" s="38"/>
      <c r="E3" s="38" t="s">
        <v>3</v>
      </c>
      <c r="F3" s="38"/>
      <c r="G3" s="38"/>
      <c r="H3" s="38" t="s">
        <v>4</v>
      </c>
      <c r="I3" s="38"/>
      <c r="J3" s="175"/>
    </row>
    <row r="4" spans="2:16" ht="15" thickBot="1" x14ac:dyDescent="0.25">
      <c r="B4" s="176" t="s">
        <v>5</v>
      </c>
      <c r="C4" s="180" t="s">
        <v>6</v>
      </c>
      <c r="D4" s="178">
        <v>0.87</v>
      </c>
      <c r="E4" s="177" t="s">
        <v>7</v>
      </c>
      <c r="F4" s="177" t="s">
        <v>8</v>
      </c>
      <c r="G4" s="198">
        <f>D8-D12</f>
        <v>156.80000000000001</v>
      </c>
      <c r="H4" s="180" t="s">
        <v>9</v>
      </c>
      <c r="I4" s="180" t="s">
        <v>10</v>
      </c>
      <c r="J4" s="181">
        <f>((D20^2*G21)/2)*1000</f>
        <v>27164.026765323986</v>
      </c>
      <c r="M4" s="42"/>
    </row>
    <row r="5" spans="2:16" ht="12" customHeight="1" thickBot="1" x14ac:dyDescent="0.25">
      <c r="B5" s="63" t="s">
        <v>11</v>
      </c>
      <c r="C5" s="180" t="s">
        <v>12</v>
      </c>
      <c r="D5" s="61">
        <v>0.82</v>
      </c>
      <c r="E5" s="28" t="s">
        <v>13</v>
      </c>
      <c r="F5" s="28" t="s">
        <v>14</v>
      </c>
      <c r="G5" s="179">
        <f>D9-D13</f>
        <v>177.2</v>
      </c>
      <c r="H5" s="28" t="s">
        <v>15</v>
      </c>
      <c r="I5" s="28" t="s">
        <v>16</v>
      </c>
      <c r="J5" s="181">
        <f>((D21^2*G22)/2)*1000</f>
        <v>70828.245520140103</v>
      </c>
      <c r="M5" s="41"/>
    </row>
    <row r="6" spans="2:16" ht="16.5" customHeight="1" thickBot="1" x14ac:dyDescent="0.25">
      <c r="B6" s="63" t="s">
        <v>17</v>
      </c>
      <c r="C6" s="180" t="s">
        <v>18</v>
      </c>
      <c r="D6" s="61">
        <v>1.02</v>
      </c>
      <c r="E6" s="28" t="s">
        <v>19</v>
      </c>
      <c r="F6" s="28" t="s">
        <v>20</v>
      </c>
      <c r="G6" s="179">
        <f>D10-D14</f>
        <v>163.80000000000001</v>
      </c>
      <c r="H6" s="28" t="s">
        <v>21</v>
      </c>
      <c r="I6" s="28" t="s">
        <v>22</v>
      </c>
      <c r="J6" s="52">
        <f>J4+J5</f>
        <v>97992.272285464089</v>
      </c>
      <c r="L6" s="189" t="s">
        <v>23</v>
      </c>
      <c r="M6" s="190"/>
    </row>
    <row r="7" spans="2:16" x14ac:dyDescent="0.2">
      <c r="B7" s="63" t="s">
        <v>24</v>
      </c>
      <c r="C7" s="180" t="s">
        <v>25</v>
      </c>
      <c r="D7" s="61">
        <v>1.02</v>
      </c>
      <c r="E7" s="28" t="s">
        <v>26</v>
      </c>
      <c r="F7" s="28" t="s">
        <v>27</v>
      </c>
      <c r="G7" s="179">
        <f>D11-D15</f>
        <v>184.2</v>
      </c>
      <c r="H7" s="28" t="s">
        <v>28</v>
      </c>
      <c r="I7" s="28" t="s">
        <v>29</v>
      </c>
      <c r="J7" s="52">
        <f>G10*G27*D1+D20</f>
        <v>2022.0959999999998</v>
      </c>
    </row>
    <row r="8" spans="2:16" x14ac:dyDescent="0.2">
      <c r="B8" s="63" t="s">
        <v>30</v>
      </c>
      <c r="C8" s="28" t="s">
        <v>31</v>
      </c>
      <c r="D8" s="61">
        <v>185.8</v>
      </c>
      <c r="E8" s="30" t="s">
        <v>32</v>
      </c>
      <c r="F8" s="28" t="s">
        <v>33</v>
      </c>
      <c r="G8" s="32">
        <f>G4+G5</f>
        <v>334</v>
      </c>
      <c r="H8" s="171" t="s">
        <v>34</v>
      </c>
      <c r="I8" s="30" t="s">
        <v>35</v>
      </c>
      <c r="J8" s="188">
        <f>J7/J6</f>
        <v>2.0635259830585152E-2</v>
      </c>
      <c r="K8" s="59">
        <f>J8*180/3.142</f>
        <v>1.1821600157559922</v>
      </c>
      <c r="L8" s="56" t="s">
        <v>36</v>
      </c>
      <c r="P8" s="47"/>
    </row>
    <row r="9" spans="2:16" ht="13.5" thickBot="1" x14ac:dyDescent="0.25">
      <c r="B9" s="63" t="s">
        <v>37</v>
      </c>
      <c r="C9" s="28" t="s">
        <v>38</v>
      </c>
      <c r="D9" s="61">
        <v>206.2</v>
      </c>
      <c r="E9" s="28" t="s">
        <v>39</v>
      </c>
      <c r="F9" s="28" t="s">
        <v>40</v>
      </c>
      <c r="G9" s="32">
        <f>G6+G7</f>
        <v>348</v>
      </c>
      <c r="H9" s="28" t="s">
        <v>41</v>
      </c>
      <c r="I9" s="28" t="s">
        <v>42</v>
      </c>
      <c r="J9" s="204">
        <f>J8*AVERAGE(G17,G18)*D20*1000/2</f>
        <v>381.31751724314967</v>
      </c>
      <c r="P9" s="36"/>
    </row>
    <row r="10" spans="2:16" ht="13.5" thickBot="1" x14ac:dyDescent="0.25">
      <c r="B10" s="63" t="s">
        <v>43</v>
      </c>
      <c r="C10" s="28" t="s">
        <v>44</v>
      </c>
      <c r="D10" s="61">
        <v>198.8</v>
      </c>
      <c r="E10" s="165" t="s">
        <v>45</v>
      </c>
      <c r="F10" s="165" t="s">
        <v>46</v>
      </c>
      <c r="G10" s="48">
        <f>G8+G9</f>
        <v>682</v>
      </c>
      <c r="H10" s="141" t="s">
        <v>47</v>
      </c>
      <c r="I10" s="30" t="s">
        <v>48</v>
      </c>
      <c r="J10" s="57">
        <f>(J8*G22*D21)/2*1000</f>
        <v>961.55213792932227</v>
      </c>
      <c r="L10" s="143" t="s">
        <v>49</v>
      </c>
      <c r="M10" s="144"/>
      <c r="P10" s="36"/>
    </row>
    <row r="11" spans="2:16" ht="13.5" thickBot="1" x14ac:dyDescent="0.25">
      <c r="B11" s="63" t="s">
        <v>50</v>
      </c>
      <c r="C11" s="28" t="s">
        <v>51</v>
      </c>
      <c r="D11" s="61">
        <v>219.2</v>
      </c>
      <c r="E11" s="165" t="s">
        <v>52</v>
      </c>
      <c r="F11" s="165" t="s">
        <v>53</v>
      </c>
      <c r="G11" s="169">
        <f>D8+D9+D10+D11</f>
        <v>810</v>
      </c>
      <c r="H11" s="29"/>
      <c r="I11" s="29"/>
      <c r="J11" s="53"/>
      <c r="K11" s="27"/>
      <c r="P11" s="50"/>
    </row>
    <row r="12" spans="2:16" ht="13.5" thickBot="1" x14ac:dyDescent="0.25">
      <c r="B12" s="63" t="s">
        <v>54</v>
      </c>
      <c r="C12" s="28" t="s">
        <v>55</v>
      </c>
      <c r="D12" s="62">
        <v>29</v>
      </c>
      <c r="E12" s="170" t="s">
        <v>56</v>
      </c>
      <c r="F12" s="170" t="s">
        <v>57</v>
      </c>
      <c r="G12" s="169">
        <f>D12+D13+D14+D15</f>
        <v>128</v>
      </c>
      <c r="H12" s="28" t="s">
        <v>58</v>
      </c>
      <c r="I12" s="30" t="s">
        <v>59</v>
      </c>
      <c r="J12" s="52">
        <f>((G8)*D1*D27)/D20</f>
        <v>110.42448979591838</v>
      </c>
      <c r="L12" s="143" t="s">
        <v>60</v>
      </c>
      <c r="M12" s="144"/>
      <c r="P12" s="36"/>
    </row>
    <row r="13" spans="2:16" x14ac:dyDescent="0.2">
      <c r="B13" s="63" t="s">
        <v>61</v>
      </c>
      <c r="C13" s="28" t="s">
        <v>62</v>
      </c>
      <c r="D13" s="61">
        <v>29</v>
      </c>
      <c r="E13" s="30" t="s">
        <v>63</v>
      </c>
      <c r="F13" s="28" t="s">
        <v>64</v>
      </c>
      <c r="G13" s="34">
        <f>D16/5.71</f>
        <v>37.65323992994746</v>
      </c>
      <c r="H13" s="28" t="s">
        <v>65</v>
      </c>
      <c r="I13" s="30" t="s">
        <v>66</v>
      </c>
      <c r="J13" s="52">
        <f>J11+G9*D1*D28/D21</f>
        <v>315.26052631578943</v>
      </c>
      <c r="P13" s="36"/>
    </row>
    <row r="14" spans="2:16" x14ac:dyDescent="0.2">
      <c r="B14" s="63" t="s">
        <v>67</v>
      </c>
      <c r="C14" s="28" t="s">
        <v>68</v>
      </c>
      <c r="D14" s="61">
        <v>35</v>
      </c>
      <c r="E14" s="30" t="s">
        <v>69</v>
      </c>
      <c r="F14" s="28" t="s">
        <v>70</v>
      </c>
      <c r="G14" s="34">
        <f>D17/5.71</f>
        <v>37.127845884413311</v>
      </c>
      <c r="H14" s="28" t="s">
        <v>71</v>
      </c>
      <c r="I14" s="30" t="s">
        <v>72</v>
      </c>
      <c r="J14" s="52">
        <f>(D12+D13)*D1*D23/D20</f>
        <v>89.485714285714295</v>
      </c>
    </row>
    <row r="15" spans="2:16" x14ac:dyDescent="0.2">
      <c r="B15" s="63" t="s">
        <v>73</v>
      </c>
      <c r="C15" s="28" t="s">
        <v>74</v>
      </c>
      <c r="D15" s="61">
        <v>35</v>
      </c>
      <c r="E15" s="28" t="s">
        <v>75</v>
      </c>
      <c r="F15" s="28" t="s">
        <v>76</v>
      </c>
      <c r="G15" s="34">
        <f>D18/5.71</f>
        <v>58.844133099824866</v>
      </c>
      <c r="H15" s="28" t="s">
        <v>77</v>
      </c>
      <c r="I15" s="30" t="s">
        <v>78</v>
      </c>
      <c r="J15" s="52">
        <f>(D14+D15)*D1*D24/D21</f>
        <v>104.44736842105264</v>
      </c>
      <c r="L15" s="129"/>
    </row>
    <row r="16" spans="2:16" x14ac:dyDescent="0.2">
      <c r="B16" s="63" t="s">
        <v>79</v>
      </c>
      <c r="C16" s="28" t="s">
        <v>80</v>
      </c>
      <c r="D16" s="61">
        <v>215</v>
      </c>
      <c r="E16" s="28" t="s">
        <v>81</v>
      </c>
      <c r="F16" s="28" t="s">
        <v>82</v>
      </c>
      <c r="G16" s="34">
        <f>D19/5.71</f>
        <v>59.019264448336251</v>
      </c>
      <c r="H16" s="28"/>
      <c r="I16" s="165" t="s">
        <v>83</v>
      </c>
      <c r="J16" s="173">
        <f>J9+J12+J14</f>
        <v>581.22772132478235</v>
      </c>
    </row>
    <row r="17" spans="2:16" ht="13.5" thickBot="1" x14ac:dyDescent="0.25">
      <c r="B17" s="63" t="s">
        <v>84</v>
      </c>
      <c r="C17" s="28" t="s">
        <v>85</v>
      </c>
      <c r="D17" s="61">
        <v>212</v>
      </c>
      <c r="E17" s="28" t="s">
        <v>86</v>
      </c>
      <c r="F17" s="28" t="s">
        <v>87</v>
      </c>
      <c r="G17" s="34">
        <f>G13*D5^2</f>
        <v>25.318038528896668</v>
      </c>
      <c r="H17" s="28"/>
      <c r="I17" s="165" t="s">
        <v>88</v>
      </c>
      <c r="J17" s="174">
        <f>J10+J13+J15</f>
        <v>1381.2600326661643</v>
      </c>
      <c r="L17" s="129"/>
      <c r="P17" s="50"/>
    </row>
    <row r="18" spans="2:16" ht="13.5" thickBot="1" x14ac:dyDescent="0.25">
      <c r="B18" s="63" t="s">
        <v>75</v>
      </c>
      <c r="C18" s="28" t="s">
        <v>89</v>
      </c>
      <c r="D18" s="61">
        <v>336</v>
      </c>
      <c r="E18" s="28" t="s">
        <v>90</v>
      </c>
      <c r="F18" s="28" t="s">
        <v>91</v>
      </c>
      <c r="G18" s="130">
        <f>G14*D5^2</f>
        <v>24.964763572679505</v>
      </c>
      <c r="H18" s="28"/>
      <c r="I18" s="172" t="s">
        <v>92</v>
      </c>
      <c r="J18" s="140">
        <f>J16+J17</f>
        <v>1962.4877539909467</v>
      </c>
      <c r="P18" s="50"/>
    </row>
    <row r="19" spans="2:16" x14ac:dyDescent="0.2">
      <c r="B19" s="63" t="s">
        <v>81</v>
      </c>
      <c r="C19" s="28" t="s">
        <v>93</v>
      </c>
      <c r="D19" s="61">
        <v>337</v>
      </c>
      <c r="E19" s="28" t="s">
        <v>94</v>
      </c>
      <c r="F19" s="28" t="s">
        <v>95</v>
      </c>
      <c r="G19" s="35">
        <f>G15*D6^2</f>
        <v>61.221436077057788</v>
      </c>
      <c r="H19" s="28" t="s">
        <v>96</v>
      </c>
      <c r="I19" s="28" t="s">
        <v>97</v>
      </c>
      <c r="J19" s="133">
        <f>(D8*9.81)+J16</f>
        <v>2403.9257213247824</v>
      </c>
      <c r="L19" s="147" t="s">
        <v>98</v>
      </c>
      <c r="M19" s="148"/>
      <c r="N19" s="149"/>
      <c r="O19" s="150"/>
      <c r="P19" s="50"/>
    </row>
    <row r="20" spans="2:16" x14ac:dyDescent="0.2">
      <c r="B20" s="63" t="s">
        <v>99</v>
      </c>
      <c r="C20" s="28" t="s">
        <v>100</v>
      </c>
      <c r="D20" s="61">
        <v>1.47</v>
      </c>
      <c r="E20" s="28" t="s">
        <v>101</v>
      </c>
      <c r="F20" s="28" t="s">
        <v>102</v>
      </c>
      <c r="G20" s="35">
        <f>G16*D7^2</f>
        <v>61.403642732049036</v>
      </c>
      <c r="H20" s="30" t="s">
        <v>103</v>
      </c>
      <c r="I20" s="28" t="s">
        <v>104</v>
      </c>
      <c r="J20" s="60">
        <f>(D9*9.81)-J16</f>
        <v>1441.5942786752175</v>
      </c>
      <c r="L20" s="151" t="s">
        <v>105</v>
      </c>
      <c r="M20" s="46"/>
      <c r="N20" s="46"/>
      <c r="O20" s="152"/>
      <c r="P20" s="50"/>
    </row>
    <row r="21" spans="2:16" x14ac:dyDescent="0.2">
      <c r="B21" s="63" t="s">
        <v>106</v>
      </c>
      <c r="C21" s="28" t="s">
        <v>107</v>
      </c>
      <c r="D21" s="61">
        <v>1.52</v>
      </c>
      <c r="E21" s="195" t="s">
        <v>108</v>
      </c>
      <c r="F21" s="192" t="s">
        <v>109</v>
      </c>
      <c r="G21" s="194">
        <f>(G17+G18)/2</f>
        <v>25.141401050788087</v>
      </c>
      <c r="H21" s="30" t="s">
        <v>110</v>
      </c>
      <c r="I21" s="28" t="s">
        <v>111</v>
      </c>
      <c r="J21" s="60">
        <f>(D10*9.81)+J17</f>
        <v>3331.4880326661646</v>
      </c>
      <c r="L21" s="153" t="s">
        <v>112</v>
      </c>
      <c r="M21" s="46"/>
      <c r="N21" s="46"/>
      <c r="O21" s="152"/>
    </row>
    <row r="22" spans="2:16" ht="13.5" thickBot="1" x14ac:dyDescent="0.25">
      <c r="B22" s="63" t="s">
        <v>113</v>
      </c>
      <c r="C22" s="28" t="s">
        <v>114</v>
      </c>
      <c r="D22" s="61">
        <v>2.5499999999999998</v>
      </c>
      <c r="E22" s="195" t="s">
        <v>115</v>
      </c>
      <c r="F22" s="192" t="s">
        <v>116</v>
      </c>
      <c r="G22" s="193">
        <f>(G19+G20)/2</f>
        <v>61.312539404553412</v>
      </c>
      <c r="H22" s="28" t="s">
        <v>117</v>
      </c>
      <c r="I22" s="28" t="s">
        <v>118</v>
      </c>
      <c r="J22" s="135">
        <f>(D11*9.81)-J17</f>
        <v>769.09196733383556</v>
      </c>
      <c r="L22" s="154" t="s">
        <v>119</v>
      </c>
      <c r="M22" s="155"/>
      <c r="N22" s="155"/>
      <c r="O22" s="156"/>
    </row>
    <row r="23" spans="2:16" x14ac:dyDescent="0.2">
      <c r="B23" s="164" t="s">
        <v>120</v>
      </c>
      <c r="C23" s="165" t="s">
        <v>121</v>
      </c>
      <c r="D23" s="61">
        <v>0.28000000000000003</v>
      </c>
      <c r="E23" s="28" t="s">
        <v>122</v>
      </c>
      <c r="F23" s="30" t="s">
        <v>123</v>
      </c>
      <c r="G23" s="196">
        <f>(G9*D22)/G10</f>
        <v>1.3011730205278591</v>
      </c>
      <c r="H23" s="28"/>
      <c r="I23" s="134" t="s">
        <v>124</v>
      </c>
      <c r="J23" s="136">
        <f>SUM(J19, J20, J21, J22)</f>
        <v>7946.1</v>
      </c>
    </row>
    <row r="24" spans="2:16" ht="13.5" thickBot="1" x14ac:dyDescent="0.25">
      <c r="B24" s="166" t="s">
        <v>125</v>
      </c>
      <c r="C24" s="167" t="s">
        <v>126</v>
      </c>
      <c r="D24" s="168">
        <v>0.28000000000000003</v>
      </c>
      <c r="E24" s="28" t="s">
        <v>127</v>
      </c>
      <c r="F24" s="28" t="s">
        <v>128</v>
      </c>
      <c r="G24" s="49">
        <f>D28-D27</f>
        <v>0.11000000000000001</v>
      </c>
      <c r="H24" s="28"/>
      <c r="I24" s="58" t="s">
        <v>129</v>
      </c>
      <c r="J24" s="137">
        <f>G11*9.81</f>
        <v>7946.1</v>
      </c>
    </row>
    <row r="25" spans="2:16" x14ac:dyDescent="0.2">
      <c r="B25" s="186" t="s">
        <v>130</v>
      </c>
      <c r="C25" s="28" t="s">
        <v>131</v>
      </c>
      <c r="D25" s="61">
        <v>0.45</v>
      </c>
      <c r="E25" s="28" t="s">
        <v>132</v>
      </c>
      <c r="F25" s="28" t="s">
        <v>133</v>
      </c>
      <c r="G25" s="49">
        <f>G24/D22*G23</f>
        <v>5.6129032258064517E-2</v>
      </c>
      <c r="H25" s="28"/>
      <c r="I25" s="28"/>
      <c r="J25" s="132"/>
    </row>
    <row r="26" spans="2:16" ht="13.5" thickBot="1" x14ac:dyDescent="0.25">
      <c r="B26" s="63" t="s">
        <v>134</v>
      </c>
      <c r="C26" s="28" t="s">
        <v>135</v>
      </c>
      <c r="D26" s="203">
        <f>((D25*G11)-((D12+D13)*D23)-((D14+D15)*D24))/G10</f>
        <v>0.48190615835777123</v>
      </c>
      <c r="E26" s="28" t="s">
        <v>136</v>
      </c>
      <c r="F26" s="28" t="s">
        <v>137</v>
      </c>
      <c r="G26" s="197">
        <f>G25+D27</f>
        <v>0.11612903225806451</v>
      </c>
      <c r="H26" s="28"/>
      <c r="I26" s="28"/>
      <c r="J26" s="131"/>
    </row>
    <row r="27" spans="2:16" ht="13.5" thickBot="1" x14ac:dyDescent="0.25">
      <c r="B27" s="63" t="s">
        <v>138</v>
      </c>
      <c r="C27" s="30" t="s">
        <v>139</v>
      </c>
      <c r="D27" s="61">
        <v>0.06</v>
      </c>
      <c r="E27" s="28" t="s">
        <v>140</v>
      </c>
      <c r="F27" s="28" t="s">
        <v>141</v>
      </c>
      <c r="G27" s="197">
        <f>D26-G25-D27</f>
        <v>0.3657771260997067</v>
      </c>
      <c r="H27" s="28" t="s">
        <v>142</v>
      </c>
      <c r="I27" s="55" t="s">
        <v>143</v>
      </c>
      <c r="J27" s="199">
        <f>G11*D1*D25 /AVERAGE(D20,D21)</f>
        <v>1974.8829431438128</v>
      </c>
      <c r="L27" s="157" t="s">
        <v>144</v>
      </c>
      <c r="M27" s="149"/>
      <c r="N27" s="149"/>
      <c r="O27" s="158"/>
      <c r="P27" s="150"/>
    </row>
    <row r="28" spans="2:16" ht="13.5" thickBot="1" x14ac:dyDescent="0.25">
      <c r="B28" s="182" t="s">
        <v>145</v>
      </c>
      <c r="C28" s="187" t="s">
        <v>146</v>
      </c>
      <c r="D28" s="183">
        <v>0.17</v>
      </c>
      <c r="E28" s="64"/>
      <c r="F28" s="64"/>
      <c r="G28" s="184"/>
      <c r="H28" s="64"/>
      <c r="I28" s="64"/>
      <c r="J28" s="185"/>
      <c r="L28" s="159" t="s">
        <v>147</v>
      </c>
      <c r="M28" s="155"/>
      <c r="N28" s="155"/>
      <c r="O28" s="160"/>
      <c r="P28" s="156"/>
    </row>
    <row r="29" spans="2:16" x14ac:dyDescent="0.2">
      <c r="B29" s="201" t="s">
        <v>188</v>
      </c>
      <c r="C29" s="195" t="s">
        <v>193</v>
      </c>
      <c r="D29" s="202">
        <f>J19-J20</f>
        <v>962.33144264956491</v>
      </c>
      <c r="L29" s="139"/>
      <c r="M29" s="139"/>
      <c r="N29" s="139"/>
      <c r="O29" s="139"/>
    </row>
    <row r="30" spans="2:16" ht="14.25" x14ac:dyDescent="0.2">
      <c r="B30" s="201" t="s">
        <v>189</v>
      </c>
      <c r="C30" s="195" t="s">
        <v>192</v>
      </c>
      <c r="D30" s="202">
        <f>J21-J22</f>
        <v>2562.3960653323293</v>
      </c>
      <c r="G30" s="191"/>
      <c r="H30" s="39"/>
      <c r="I30" s="39"/>
      <c r="L30" s="138"/>
      <c r="M30" s="138"/>
      <c r="N30" s="138"/>
      <c r="O30" s="138"/>
    </row>
    <row r="31" spans="2:16" ht="15" thickBot="1" x14ac:dyDescent="0.25">
      <c r="B31" s="201" t="s">
        <v>190</v>
      </c>
      <c r="C31" s="195" t="s">
        <v>191</v>
      </c>
      <c r="D31">
        <f>D29-D30</f>
        <v>-1600.0646226827644</v>
      </c>
      <c r="G31" s="39"/>
      <c r="I31" s="39"/>
    </row>
    <row r="32" spans="2:16" ht="15" x14ac:dyDescent="0.25">
      <c r="C32" s="195" t="s">
        <v>194</v>
      </c>
      <c r="D32">
        <f>(J17/J27)*100</f>
        <v>69.941362219035568</v>
      </c>
      <c r="F32" s="161" t="s">
        <v>150</v>
      </c>
      <c r="H32" s="40"/>
    </row>
    <row r="33" spans="2:7" ht="15" thickBot="1" x14ac:dyDescent="0.25">
      <c r="F33" s="162" t="s">
        <v>151</v>
      </c>
    </row>
    <row r="34" spans="2:7" ht="13.5" thickBot="1" x14ac:dyDescent="0.25"/>
    <row r="35" spans="2:7" ht="13.5" thickBot="1" x14ac:dyDescent="0.25">
      <c r="B35" s="54"/>
      <c r="C35" s="145" t="s">
        <v>148</v>
      </c>
      <c r="D35" s="146"/>
    </row>
    <row r="36" spans="2:7" x14ac:dyDescent="0.2">
      <c r="B36" s="50"/>
      <c r="C36" s="142"/>
      <c r="D36" s="50"/>
    </row>
    <row r="37" spans="2:7" x14ac:dyDescent="0.2">
      <c r="B37" s="50"/>
      <c r="C37" s="142"/>
      <c r="D37" s="50"/>
    </row>
    <row r="39" spans="2:7" x14ac:dyDescent="0.2">
      <c r="D39" t="s">
        <v>152</v>
      </c>
      <c r="G39" t="s">
        <v>58</v>
      </c>
    </row>
    <row r="40" spans="2:7" x14ac:dyDescent="0.2">
      <c r="G40">
        <f>(G8*D1*D27)/D20</f>
        <v>110.42448979591838</v>
      </c>
    </row>
    <row r="42" spans="2:7" x14ac:dyDescent="0.2">
      <c r="G42" t="s">
        <v>65</v>
      </c>
    </row>
    <row r="43" spans="2:7" x14ac:dyDescent="0.2">
      <c r="G43">
        <f>(G9*D1*D28)/D21</f>
        <v>315.26052631578943</v>
      </c>
    </row>
    <row r="45" spans="2:7" x14ac:dyDescent="0.2">
      <c r="G45" t="s">
        <v>41</v>
      </c>
    </row>
    <row r="46" spans="2:7" x14ac:dyDescent="0.2">
      <c r="G46">
        <f>(J8*D20*G21)/2</f>
        <v>0.38131751724314966</v>
      </c>
    </row>
    <row r="48" spans="2:7" x14ac:dyDescent="0.2">
      <c r="G48" t="s">
        <v>47</v>
      </c>
    </row>
    <row r="49" spans="7:7" x14ac:dyDescent="0.2">
      <c r="G49">
        <f>(J8*D21*G22)/2</f>
        <v>0.96155213792932226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943DE-CA7A-4E69-A00A-21F2C18AAB69}">
  <dimension ref="B1:P48"/>
  <sheetViews>
    <sheetView topLeftCell="E3" zoomScale="93" zoomScaleNormal="93" workbookViewId="0">
      <selection activeCell="C48" sqref="C48"/>
    </sheetView>
  </sheetViews>
  <sheetFormatPr defaultRowHeight="12.75" x14ac:dyDescent="0.2"/>
  <cols>
    <col min="3" max="3" width="51.7109375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18.75" thickBot="1" x14ac:dyDescent="0.3">
      <c r="C1" s="31" t="s">
        <v>0</v>
      </c>
      <c r="D1" s="51">
        <v>8.1</v>
      </c>
      <c r="F1" s="45" t="s">
        <v>1</v>
      </c>
      <c r="G1" s="44"/>
    </row>
    <row r="2" spans="2:16" ht="13.5" thickBot="1" x14ac:dyDescent="0.25"/>
    <row r="3" spans="2:16" ht="16.5" thickBot="1" x14ac:dyDescent="0.3">
      <c r="B3" s="37" t="s">
        <v>2</v>
      </c>
      <c r="C3" s="38"/>
      <c r="D3" s="38"/>
      <c r="E3" s="38" t="s">
        <v>3</v>
      </c>
      <c r="F3" s="38"/>
      <c r="G3" s="38"/>
      <c r="H3" s="38" t="s">
        <v>4</v>
      </c>
      <c r="I3" s="38"/>
      <c r="J3" s="175"/>
    </row>
    <row r="4" spans="2:16" ht="15" thickBot="1" x14ac:dyDescent="0.25">
      <c r="B4" s="176" t="s">
        <v>5</v>
      </c>
      <c r="C4" s="180" t="s">
        <v>6</v>
      </c>
      <c r="D4" s="178">
        <v>0.87</v>
      </c>
      <c r="E4" s="177" t="s">
        <v>7</v>
      </c>
      <c r="F4" s="177" t="s">
        <v>8</v>
      </c>
      <c r="G4" s="198">
        <f>D8-D12</f>
        <v>156.80000000000001</v>
      </c>
      <c r="H4" s="180" t="s">
        <v>9</v>
      </c>
      <c r="I4" s="180" t="s">
        <v>10</v>
      </c>
      <c r="J4" s="181">
        <f>((D20^2*G21)/2)*1000</f>
        <v>29899.514238178628</v>
      </c>
      <c r="M4" s="42"/>
    </row>
    <row r="5" spans="2:16" ht="12" customHeight="1" thickBot="1" x14ac:dyDescent="0.25">
      <c r="B5" s="63" t="s">
        <v>11</v>
      </c>
      <c r="C5" s="180" t="s">
        <v>12</v>
      </c>
      <c r="D5" s="61">
        <v>0.82</v>
      </c>
      <c r="E5" s="28" t="s">
        <v>13</v>
      </c>
      <c r="F5" s="28" t="s">
        <v>14</v>
      </c>
      <c r="G5" s="179">
        <f>D9-D13</f>
        <v>177.2</v>
      </c>
      <c r="H5" s="28" t="s">
        <v>15</v>
      </c>
      <c r="I5" s="28" t="s">
        <v>16</v>
      </c>
      <c r="J5" s="181">
        <f>((D21^2*G22)/2)*1000</f>
        <v>70828.245520140103</v>
      </c>
      <c r="M5" s="41"/>
    </row>
    <row r="6" spans="2:16" ht="16.5" customHeight="1" thickBot="1" x14ac:dyDescent="0.25">
      <c r="B6" s="63" t="s">
        <v>17</v>
      </c>
      <c r="C6" s="180" t="s">
        <v>18</v>
      </c>
      <c r="D6" s="61">
        <v>1.02</v>
      </c>
      <c r="E6" s="28" t="s">
        <v>19</v>
      </c>
      <c r="F6" s="28" t="s">
        <v>20</v>
      </c>
      <c r="G6" s="179">
        <f>D10-D14</f>
        <v>163.80000000000001</v>
      </c>
      <c r="H6" s="28" t="s">
        <v>21</v>
      </c>
      <c r="I6" s="28" t="s">
        <v>22</v>
      </c>
      <c r="J6" s="52">
        <f>J4+J5</f>
        <v>100727.75975831873</v>
      </c>
      <c r="L6" s="189" t="s">
        <v>23</v>
      </c>
      <c r="M6" s="190"/>
    </row>
    <row r="7" spans="2:16" x14ac:dyDescent="0.2">
      <c r="B7" s="63" t="s">
        <v>24</v>
      </c>
      <c r="C7" s="180" t="s">
        <v>25</v>
      </c>
      <c r="D7" s="61">
        <v>1.02</v>
      </c>
      <c r="E7" s="28" t="s">
        <v>26</v>
      </c>
      <c r="F7" s="28" t="s">
        <v>27</v>
      </c>
      <c r="G7" s="179">
        <f>D11-D15</f>
        <v>184.2</v>
      </c>
      <c r="H7" s="28" t="s">
        <v>28</v>
      </c>
      <c r="I7" s="28" t="s">
        <v>29</v>
      </c>
      <c r="J7" s="52">
        <f>G10*G27*D1+D20</f>
        <v>2022.0959999999998</v>
      </c>
    </row>
    <row r="8" spans="2:16" x14ac:dyDescent="0.2">
      <c r="B8" s="63" t="s">
        <v>30</v>
      </c>
      <c r="C8" s="28" t="s">
        <v>31</v>
      </c>
      <c r="D8" s="61">
        <v>185.8</v>
      </c>
      <c r="E8" s="30" t="s">
        <v>32</v>
      </c>
      <c r="F8" s="28" t="s">
        <v>33</v>
      </c>
      <c r="G8" s="32">
        <f>G4+G5</f>
        <v>334</v>
      </c>
      <c r="H8" s="171" t="s">
        <v>34</v>
      </c>
      <c r="I8" s="30" t="s">
        <v>35</v>
      </c>
      <c r="J8" s="188">
        <f>J7/J6</f>
        <v>2.0074863223918792E-2</v>
      </c>
      <c r="K8" s="59">
        <f>J8*180/3.142</f>
        <v>1.1500558180475438</v>
      </c>
      <c r="L8" s="56" t="s">
        <v>36</v>
      </c>
      <c r="P8" s="47"/>
    </row>
    <row r="9" spans="2:16" ht="13.5" thickBot="1" x14ac:dyDescent="0.25">
      <c r="B9" s="63" t="s">
        <v>37</v>
      </c>
      <c r="C9" s="28" t="s">
        <v>38</v>
      </c>
      <c r="D9" s="61">
        <v>206.2</v>
      </c>
      <c r="E9" s="28" t="s">
        <v>39</v>
      </c>
      <c r="F9" s="28" t="s">
        <v>40</v>
      </c>
      <c r="G9" s="32">
        <f>G6+G7</f>
        <v>348</v>
      </c>
      <c r="H9" s="28" t="s">
        <v>41</v>
      </c>
      <c r="I9" s="28" t="s">
        <v>42</v>
      </c>
      <c r="J9" s="204">
        <f>J8*AVERAGE(G17,G18)*D20*1000/2</f>
        <v>408.31881550547524</v>
      </c>
      <c r="P9" s="36"/>
    </row>
    <row r="10" spans="2:16" ht="13.5" thickBot="1" x14ac:dyDescent="0.25">
      <c r="B10" s="63" t="s">
        <v>43</v>
      </c>
      <c r="C10" s="28" t="s">
        <v>44</v>
      </c>
      <c r="D10" s="61">
        <v>198.8</v>
      </c>
      <c r="E10" s="165" t="s">
        <v>45</v>
      </c>
      <c r="F10" s="165" t="s">
        <v>46</v>
      </c>
      <c r="G10" s="48">
        <f>G8+G9</f>
        <v>682</v>
      </c>
      <c r="H10" s="141" t="s">
        <v>47</v>
      </c>
      <c r="I10" s="30" t="s">
        <v>48</v>
      </c>
      <c r="J10" s="57">
        <f>(J8*G22*D21)/2*1000</f>
        <v>935.43904026773112</v>
      </c>
      <c r="L10" s="143" t="s">
        <v>49</v>
      </c>
      <c r="M10" s="144"/>
      <c r="P10" s="36"/>
    </row>
    <row r="11" spans="2:16" ht="13.5" thickBot="1" x14ac:dyDescent="0.25">
      <c r="B11" s="63" t="s">
        <v>50</v>
      </c>
      <c r="C11" s="28" t="s">
        <v>51</v>
      </c>
      <c r="D11" s="61">
        <v>219.2</v>
      </c>
      <c r="E11" s="165" t="s">
        <v>52</v>
      </c>
      <c r="F11" s="165" t="s">
        <v>53</v>
      </c>
      <c r="G11" s="169">
        <f>D8+D9+D10+D11</f>
        <v>810</v>
      </c>
      <c r="H11" s="29"/>
      <c r="I11" s="29"/>
      <c r="J11" s="53"/>
      <c r="K11" s="27"/>
      <c r="P11" s="50"/>
    </row>
    <row r="12" spans="2:16" ht="13.5" thickBot="1" x14ac:dyDescent="0.25">
      <c r="B12" s="63" t="s">
        <v>54</v>
      </c>
      <c r="C12" s="28" t="s">
        <v>55</v>
      </c>
      <c r="D12" s="62">
        <v>29</v>
      </c>
      <c r="E12" s="170" t="s">
        <v>56</v>
      </c>
      <c r="F12" s="170" t="s">
        <v>57</v>
      </c>
      <c r="G12" s="169">
        <f>D12+D13+D14+D15</f>
        <v>128</v>
      </c>
      <c r="H12" s="28" t="s">
        <v>58</v>
      </c>
      <c r="I12" s="30" t="s">
        <v>59</v>
      </c>
      <c r="J12" s="52">
        <f>((G8)*D1*D27)/D20</f>
        <v>110.42448979591838</v>
      </c>
      <c r="L12" s="143" t="s">
        <v>60</v>
      </c>
      <c r="M12" s="144"/>
      <c r="P12" s="36"/>
    </row>
    <row r="13" spans="2:16" x14ac:dyDescent="0.2">
      <c r="B13" s="63" t="s">
        <v>61</v>
      </c>
      <c r="C13" s="28" t="s">
        <v>62</v>
      </c>
      <c r="D13" s="61">
        <v>29</v>
      </c>
      <c r="E13" s="30" t="s">
        <v>63</v>
      </c>
      <c r="F13" s="28" t="s">
        <v>64</v>
      </c>
      <c r="G13" s="34">
        <f>D16/5.71</f>
        <v>41.155866900175134</v>
      </c>
      <c r="H13" s="28" t="s">
        <v>65</v>
      </c>
      <c r="I13" s="30" t="s">
        <v>66</v>
      </c>
      <c r="J13" s="52">
        <f>J11+G9*D1*D28/D21</f>
        <v>315.26052631578943</v>
      </c>
      <c r="P13" s="36"/>
    </row>
    <row r="14" spans="2:16" x14ac:dyDescent="0.2">
      <c r="B14" s="63" t="s">
        <v>67</v>
      </c>
      <c r="C14" s="28" t="s">
        <v>68</v>
      </c>
      <c r="D14" s="61">
        <v>35</v>
      </c>
      <c r="E14" s="30" t="s">
        <v>69</v>
      </c>
      <c r="F14" s="28" t="s">
        <v>70</v>
      </c>
      <c r="G14" s="34">
        <f>D17/5.71</f>
        <v>41.155866900175134</v>
      </c>
      <c r="H14" s="28" t="s">
        <v>71</v>
      </c>
      <c r="I14" s="30" t="s">
        <v>72</v>
      </c>
      <c r="J14" s="52">
        <f>(D12+D13)*D1*D23/D20</f>
        <v>89.485714285714295</v>
      </c>
    </row>
    <row r="15" spans="2:16" x14ac:dyDescent="0.2">
      <c r="B15" s="63" t="s">
        <v>73</v>
      </c>
      <c r="C15" s="28" t="s">
        <v>74</v>
      </c>
      <c r="D15" s="61">
        <v>35</v>
      </c>
      <c r="E15" s="28" t="s">
        <v>75</v>
      </c>
      <c r="F15" s="28" t="s">
        <v>76</v>
      </c>
      <c r="G15" s="34">
        <f>D18/5.71</f>
        <v>58.844133099824866</v>
      </c>
      <c r="H15" s="28" t="s">
        <v>77</v>
      </c>
      <c r="I15" s="30" t="s">
        <v>78</v>
      </c>
      <c r="J15" s="52">
        <f>(D14+D15)*D1*D24/D21</f>
        <v>104.44736842105264</v>
      </c>
      <c r="L15" s="129"/>
    </row>
    <row r="16" spans="2:16" x14ac:dyDescent="0.2">
      <c r="B16" s="63" t="s">
        <v>79</v>
      </c>
      <c r="C16" s="28" t="s">
        <v>80</v>
      </c>
      <c r="D16" s="61">
        <v>235</v>
      </c>
      <c r="E16" s="28" t="s">
        <v>81</v>
      </c>
      <c r="F16" s="28" t="s">
        <v>82</v>
      </c>
      <c r="G16" s="34">
        <f>D19/5.71</f>
        <v>59.019264448336251</v>
      </c>
      <c r="H16" s="28"/>
      <c r="I16" s="165" t="s">
        <v>83</v>
      </c>
      <c r="J16" s="173">
        <f>J9+J12+J14</f>
        <v>608.22901958710793</v>
      </c>
    </row>
    <row r="17" spans="2:16" ht="13.5" thickBot="1" x14ac:dyDescent="0.25">
      <c r="B17" s="63" t="s">
        <v>84</v>
      </c>
      <c r="C17" s="28" t="s">
        <v>85</v>
      </c>
      <c r="D17" s="61">
        <v>235</v>
      </c>
      <c r="E17" s="28" t="s">
        <v>86</v>
      </c>
      <c r="F17" s="28" t="s">
        <v>87</v>
      </c>
      <c r="G17" s="34">
        <f>G13*D5^2</f>
        <v>27.673204903677757</v>
      </c>
      <c r="H17" s="28"/>
      <c r="I17" s="165" t="s">
        <v>88</v>
      </c>
      <c r="J17" s="174">
        <f>J10+J13+J15</f>
        <v>1355.1469350045734</v>
      </c>
      <c r="L17" s="129"/>
      <c r="P17" s="50"/>
    </row>
    <row r="18" spans="2:16" ht="13.5" thickBot="1" x14ac:dyDescent="0.25">
      <c r="B18" s="63" t="s">
        <v>75</v>
      </c>
      <c r="C18" s="28" t="s">
        <v>89</v>
      </c>
      <c r="D18" s="61">
        <v>336</v>
      </c>
      <c r="E18" s="28" t="s">
        <v>90</v>
      </c>
      <c r="F18" s="28" t="s">
        <v>91</v>
      </c>
      <c r="G18" s="130">
        <f>G14*D5^2</f>
        <v>27.673204903677757</v>
      </c>
      <c r="H18" s="28"/>
      <c r="I18" s="172" t="s">
        <v>92</v>
      </c>
      <c r="J18" s="140">
        <f>J16+J17</f>
        <v>1963.3759545916814</v>
      </c>
      <c r="P18" s="50"/>
    </row>
    <row r="19" spans="2:16" x14ac:dyDescent="0.2">
      <c r="B19" s="63" t="s">
        <v>81</v>
      </c>
      <c r="C19" s="28" t="s">
        <v>93</v>
      </c>
      <c r="D19" s="61">
        <v>337</v>
      </c>
      <c r="E19" s="28" t="s">
        <v>94</v>
      </c>
      <c r="F19" s="28" t="s">
        <v>95</v>
      </c>
      <c r="G19" s="35">
        <f>G15*D6^2</f>
        <v>61.221436077057788</v>
      </c>
      <c r="H19" s="28" t="s">
        <v>96</v>
      </c>
      <c r="I19" s="28" t="s">
        <v>97</v>
      </c>
      <c r="J19" s="133">
        <f>(D8*9.81)+J16</f>
        <v>2430.9270195871081</v>
      </c>
      <c r="L19" s="147" t="s">
        <v>98</v>
      </c>
      <c r="M19" s="148"/>
      <c r="N19" s="149"/>
      <c r="O19" s="150"/>
      <c r="P19" s="50"/>
    </row>
    <row r="20" spans="2:16" x14ac:dyDescent="0.2">
      <c r="B20" s="63" t="s">
        <v>99</v>
      </c>
      <c r="C20" s="28" t="s">
        <v>100</v>
      </c>
      <c r="D20" s="61">
        <v>1.47</v>
      </c>
      <c r="E20" s="28" t="s">
        <v>101</v>
      </c>
      <c r="F20" s="28" t="s">
        <v>102</v>
      </c>
      <c r="G20" s="35">
        <f>G16*D7^2</f>
        <v>61.403642732049036</v>
      </c>
      <c r="H20" s="30" t="s">
        <v>103</v>
      </c>
      <c r="I20" s="28" t="s">
        <v>104</v>
      </c>
      <c r="J20" s="60">
        <f>(D9*9.81)-J16</f>
        <v>1414.5929804128918</v>
      </c>
      <c r="L20" s="151" t="s">
        <v>105</v>
      </c>
      <c r="M20" s="46"/>
      <c r="N20" s="46"/>
      <c r="O20" s="152"/>
      <c r="P20" s="50"/>
    </row>
    <row r="21" spans="2:16" x14ac:dyDescent="0.2">
      <c r="B21" s="63" t="s">
        <v>106</v>
      </c>
      <c r="C21" s="28" t="s">
        <v>107</v>
      </c>
      <c r="D21" s="61">
        <v>1.52</v>
      </c>
      <c r="E21" s="195" t="s">
        <v>108</v>
      </c>
      <c r="F21" s="192" t="s">
        <v>109</v>
      </c>
      <c r="G21" s="194">
        <f>(G17+G18)/2</f>
        <v>27.673204903677757</v>
      </c>
      <c r="H21" s="30" t="s">
        <v>110</v>
      </c>
      <c r="I21" s="28" t="s">
        <v>111</v>
      </c>
      <c r="J21" s="60">
        <f>(D10*9.81)+J17</f>
        <v>3305.3749350045737</v>
      </c>
      <c r="L21" s="153" t="s">
        <v>112</v>
      </c>
      <c r="M21" s="46"/>
      <c r="N21" s="46"/>
      <c r="O21" s="152"/>
    </row>
    <row r="22" spans="2:16" ht="13.5" thickBot="1" x14ac:dyDescent="0.25">
      <c r="B22" s="63" t="s">
        <v>113</v>
      </c>
      <c r="C22" s="28" t="s">
        <v>114</v>
      </c>
      <c r="D22" s="61">
        <v>2.5499999999999998</v>
      </c>
      <c r="E22" s="195" t="s">
        <v>115</v>
      </c>
      <c r="F22" s="192" t="s">
        <v>116</v>
      </c>
      <c r="G22" s="193">
        <f>(G19+G20)/2</f>
        <v>61.312539404553412</v>
      </c>
      <c r="H22" s="28" t="s">
        <v>117</v>
      </c>
      <c r="I22" s="28" t="s">
        <v>118</v>
      </c>
      <c r="J22" s="135">
        <f>(D11*9.81)-J17</f>
        <v>795.20506499542648</v>
      </c>
      <c r="L22" s="154" t="s">
        <v>119</v>
      </c>
      <c r="M22" s="155"/>
      <c r="N22" s="155"/>
      <c r="O22" s="156"/>
    </row>
    <row r="23" spans="2:16" x14ac:dyDescent="0.2">
      <c r="B23" s="164" t="s">
        <v>120</v>
      </c>
      <c r="C23" s="165" t="s">
        <v>121</v>
      </c>
      <c r="D23" s="61">
        <v>0.28000000000000003</v>
      </c>
      <c r="E23" s="28" t="s">
        <v>122</v>
      </c>
      <c r="F23" s="30" t="s">
        <v>123</v>
      </c>
      <c r="G23" s="196">
        <f>(G9*D22)/G10</f>
        <v>1.3011730205278591</v>
      </c>
      <c r="H23" s="28"/>
      <c r="I23" s="134" t="s">
        <v>124</v>
      </c>
      <c r="J23" s="136">
        <f>SUM(J19, J20, J21, J22)</f>
        <v>7946.0999999999995</v>
      </c>
    </row>
    <row r="24" spans="2:16" ht="13.5" thickBot="1" x14ac:dyDescent="0.25">
      <c r="B24" s="166" t="s">
        <v>125</v>
      </c>
      <c r="C24" s="167" t="s">
        <v>126</v>
      </c>
      <c r="D24" s="168">
        <v>0.28000000000000003</v>
      </c>
      <c r="E24" s="28" t="s">
        <v>127</v>
      </c>
      <c r="F24" s="28" t="s">
        <v>128</v>
      </c>
      <c r="G24" s="49">
        <f>D28-D27</f>
        <v>0.11000000000000001</v>
      </c>
      <c r="H24" s="28"/>
      <c r="I24" s="58" t="s">
        <v>129</v>
      </c>
      <c r="J24" s="137">
        <f>G11*9.81</f>
        <v>7946.1</v>
      </c>
    </row>
    <row r="25" spans="2:16" x14ac:dyDescent="0.2">
      <c r="B25" s="186" t="s">
        <v>130</v>
      </c>
      <c r="C25" s="28" t="s">
        <v>131</v>
      </c>
      <c r="D25" s="61">
        <v>0.45</v>
      </c>
      <c r="E25" s="28" t="s">
        <v>132</v>
      </c>
      <c r="F25" s="28" t="s">
        <v>133</v>
      </c>
      <c r="G25" s="49">
        <f>G24/D22*G23</f>
        <v>5.6129032258064517E-2</v>
      </c>
      <c r="H25" s="28"/>
      <c r="I25" s="28"/>
      <c r="J25" s="132"/>
    </row>
    <row r="26" spans="2:16" ht="13.5" thickBot="1" x14ac:dyDescent="0.25">
      <c r="B26" s="63" t="s">
        <v>134</v>
      </c>
      <c r="C26" s="28" t="s">
        <v>135</v>
      </c>
      <c r="D26" s="203">
        <f>((D25*G11)-((D12+D13)*D23)-((D14+D15)*D24))/G10</f>
        <v>0.48190615835777123</v>
      </c>
      <c r="E26" s="28" t="s">
        <v>136</v>
      </c>
      <c r="F26" s="28" t="s">
        <v>137</v>
      </c>
      <c r="G26" s="197">
        <f>G25+D27</f>
        <v>0.11612903225806451</v>
      </c>
      <c r="H26" s="28"/>
      <c r="I26" s="28"/>
      <c r="J26" s="131"/>
    </row>
    <row r="27" spans="2:16" ht="13.5" thickBot="1" x14ac:dyDescent="0.25">
      <c r="B27" s="63" t="s">
        <v>138</v>
      </c>
      <c r="C27" s="30" t="s">
        <v>139</v>
      </c>
      <c r="D27" s="61">
        <v>0.06</v>
      </c>
      <c r="E27" s="28" t="s">
        <v>140</v>
      </c>
      <c r="F27" s="28" t="s">
        <v>141</v>
      </c>
      <c r="G27" s="197">
        <f>D26-G25-D27</f>
        <v>0.3657771260997067</v>
      </c>
      <c r="H27" s="28" t="s">
        <v>142</v>
      </c>
      <c r="I27" s="55" t="s">
        <v>143</v>
      </c>
      <c r="J27" s="199">
        <f>G11*D1*D25 /AVERAGE(D20,D21)</f>
        <v>1974.8829431438128</v>
      </c>
      <c r="L27" s="157" t="s">
        <v>144</v>
      </c>
      <c r="M27" s="149"/>
      <c r="N27" s="149"/>
      <c r="O27" s="158"/>
      <c r="P27" s="150"/>
    </row>
    <row r="28" spans="2:16" ht="13.5" thickBot="1" x14ac:dyDescent="0.25">
      <c r="B28" s="182" t="s">
        <v>145</v>
      </c>
      <c r="C28" s="187" t="s">
        <v>146</v>
      </c>
      <c r="D28" s="183">
        <v>0.17</v>
      </c>
      <c r="E28" s="64"/>
      <c r="F28" s="64"/>
      <c r="G28" s="184"/>
      <c r="H28" s="64"/>
      <c r="I28" s="64"/>
      <c r="J28" s="185"/>
      <c r="L28" s="159" t="s">
        <v>147</v>
      </c>
      <c r="M28" s="155"/>
      <c r="N28" s="155"/>
      <c r="O28" s="160"/>
      <c r="P28" s="156"/>
    </row>
    <row r="29" spans="2:16" x14ac:dyDescent="0.2">
      <c r="B29" s="201" t="s">
        <v>188</v>
      </c>
      <c r="C29" s="195" t="s">
        <v>193</v>
      </c>
      <c r="D29" s="202">
        <f>J19-J20</f>
        <v>1016.3340391742163</v>
      </c>
      <c r="L29" s="139"/>
      <c r="M29" s="139"/>
      <c r="N29" s="139"/>
      <c r="O29" s="139"/>
    </row>
    <row r="30" spans="2:16" ht="14.25" x14ac:dyDescent="0.2">
      <c r="B30" s="201" t="s">
        <v>189</v>
      </c>
      <c r="C30" s="195" t="s">
        <v>192</v>
      </c>
      <c r="D30" s="202">
        <f>J21-J22</f>
        <v>2510.1698700091474</v>
      </c>
      <c r="G30" s="191"/>
      <c r="H30" s="39"/>
      <c r="I30" s="39"/>
      <c r="L30" s="138"/>
      <c r="M30" s="138"/>
      <c r="N30" s="138"/>
      <c r="O30" s="138"/>
    </row>
    <row r="31" spans="2:16" ht="15" thickBot="1" x14ac:dyDescent="0.25">
      <c r="B31" s="201" t="s">
        <v>190</v>
      </c>
      <c r="C31" s="195" t="s">
        <v>191</v>
      </c>
      <c r="D31">
        <f>D29-D30</f>
        <v>-1493.8358308349311</v>
      </c>
      <c r="G31" s="39"/>
      <c r="I31" s="39"/>
    </row>
    <row r="32" spans="2:16" ht="15" x14ac:dyDescent="0.25">
      <c r="C32" s="195" t="s">
        <v>194</v>
      </c>
      <c r="D32">
        <f>(J17/J27)*100</f>
        <v>68.619101689506579</v>
      </c>
      <c r="F32" s="205"/>
      <c r="H32" s="40"/>
    </row>
    <row r="33" spans="2:7" ht="15" thickBot="1" x14ac:dyDescent="0.25">
      <c r="F33" s="206"/>
    </row>
    <row r="34" spans="2:7" ht="13.5" thickBot="1" x14ac:dyDescent="0.25"/>
    <row r="35" spans="2:7" ht="13.5" thickBot="1" x14ac:dyDescent="0.25">
      <c r="B35" s="54"/>
      <c r="C35" s="207"/>
      <c r="D35" s="208"/>
    </row>
    <row r="36" spans="2:7" x14ac:dyDescent="0.2">
      <c r="B36" s="50"/>
      <c r="C36" s="142"/>
      <c r="D36" s="50"/>
    </row>
    <row r="37" spans="2:7" x14ac:dyDescent="0.2">
      <c r="B37" s="50"/>
      <c r="C37" s="142"/>
      <c r="D37" s="50"/>
    </row>
    <row r="39" spans="2:7" x14ac:dyDescent="0.2">
      <c r="C39" s="210" t="s">
        <v>195</v>
      </c>
      <c r="D39" s="209"/>
    </row>
    <row r="41" spans="2:7" x14ac:dyDescent="0.2">
      <c r="C41" s="210" t="s">
        <v>196</v>
      </c>
      <c r="D41" s="209"/>
      <c r="E41" s="209"/>
      <c r="F41" s="210"/>
      <c r="G41" s="210"/>
    </row>
    <row r="42" spans="2:7" x14ac:dyDescent="0.2">
      <c r="C42" s="210" t="s">
        <v>197</v>
      </c>
      <c r="D42" s="209"/>
      <c r="E42" s="209"/>
      <c r="F42" s="209"/>
      <c r="G42" s="210"/>
    </row>
    <row r="43" spans="2:7" x14ac:dyDescent="0.2">
      <c r="C43" s="210" t="s">
        <v>198</v>
      </c>
      <c r="D43" s="209"/>
      <c r="E43" s="209"/>
      <c r="F43" s="209"/>
      <c r="G43" s="209"/>
    </row>
    <row r="44" spans="2:7" x14ac:dyDescent="0.2">
      <c r="C44" s="210" t="s">
        <v>199</v>
      </c>
      <c r="D44" s="209"/>
      <c r="E44" s="210"/>
      <c r="F44" s="209"/>
      <c r="G44" s="209"/>
    </row>
    <row r="46" spans="2:7" x14ac:dyDescent="0.2">
      <c r="C46" s="210" t="s">
        <v>200</v>
      </c>
      <c r="D46" s="209"/>
      <c r="E46" s="210"/>
      <c r="F46" s="209"/>
      <c r="G46" s="209"/>
    </row>
    <row r="47" spans="2:7" x14ac:dyDescent="0.2">
      <c r="C47" s="210" t="s">
        <v>201</v>
      </c>
      <c r="D47" s="209"/>
      <c r="E47" s="209"/>
      <c r="F47" s="209"/>
      <c r="G47" s="209"/>
    </row>
    <row r="48" spans="2:7" x14ac:dyDescent="0.2">
      <c r="C48" s="209"/>
      <c r="D48" s="209"/>
      <c r="E48" s="209"/>
      <c r="F48" s="209"/>
      <c r="G48" s="209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965C5-7F08-41AE-8151-E08FFB491DF9}">
  <dimension ref="B1:P48"/>
  <sheetViews>
    <sheetView topLeftCell="A2" zoomScale="99" zoomScaleNormal="93" workbookViewId="0">
      <selection activeCell="C46" sqref="C46"/>
    </sheetView>
  </sheetViews>
  <sheetFormatPr defaultRowHeight="12.75" x14ac:dyDescent="0.2"/>
  <cols>
    <col min="3" max="3" width="51.7109375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18.75" thickBot="1" x14ac:dyDescent="0.3">
      <c r="C1" s="31" t="s">
        <v>0</v>
      </c>
      <c r="D1" s="51">
        <v>8.1</v>
      </c>
      <c r="F1" s="45" t="s">
        <v>1</v>
      </c>
      <c r="G1" s="44"/>
    </row>
    <row r="2" spans="2:16" ht="13.5" thickBot="1" x14ac:dyDescent="0.25"/>
    <row r="3" spans="2:16" ht="16.5" thickBot="1" x14ac:dyDescent="0.3">
      <c r="B3" s="37" t="s">
        <v>2</v>
      </c>
      <c r="C3" s="38"/>
      <c r="D3" s="38"/>
      <c r="E3" s="38" t="s">
        <v>3</v>
      </c>
      <c r="F3" s="38"/>
      <c r="G3" s="38"/>
      <c r="H3" s="38" t="s">
        <v>4</v>
      </c>
      <c r="I3" s="38"/>
      <c r="J3" s="175"/>
    </row>
    <row r="4" spans="2:16" ht="15" thickBot="1" x14ac:dyDescent="0.25">
      <c r="B4" s="176" t="s">
        <v>5</v>
      </c>
      <c r="C4" s="180" t="s">
        <v>6</v>
      </c>
      <c r="D4" s="178">
        <v>0.7</v>
      </c>
      <c r="E4" s="177" t="s">
        <v>7</v>
      </c>
      <c r="F4" s="177" t="s">
        <v>8</v>
      </c>
      <c r="G4" s="198">
        <f>D8-D12</f>
        <v>156.80000000000001</v>
      </c>
      <c r="H4" s="180" t="s">
        <v>9</v>
      </c>
      <c r="I4" s="180" t="s">
        <v>10</v>
      </c>
      <c r="J4" s="217">
        <f>((D20^2*G21)/2)*1000</f>
        <v>21788.759632224166</v>
      </c>
      <c r="M4" s="42"/>
    </row>
    <row r="5" spans="2:16" ht="12" customHeight="1" thickBot="1" x14ac:dyDescent="0.25">
      <c r="B5" s="63" t="s">
        <v>11</v>
      </c>
      <c r="C5" s="180" t="s">
        <v>12</v>
      </c>
      <c r="D5" s="61">
        <v>0.7</v>
      </c>
      <c r="E5" s="28" t="s">
        <v>13</v>
      </c>
      <c r="F5" s="28" t="s">
        <v>14</v>
      </c>
      <c r="G5" s="179">
        <f>D9-D13</f>
        <v>177.2</v>
      </c>
      <c r="H5" s="28" t="s">
        <v>15</v>
      </c>
      <c r="I5" s="28" t="s">
        <v>16</v>
      </c>
      <c r="J5" s="181">
        <f>((D21^2*G22)/2)*1000</f>
        <v>70828.245520140103</v>
      </c>
      <c r="M5" s="41"/>
    </row>
    <row r="6" spans="2:16" ht="16.5" customHeight="1" thickBot="1" x14ac:dyDescent="0.25">
      <c r="B6" s="63" t="s">
        <v>17</v>
      </c>
      <c r="C6" s="180" t="s">
        <v>18</v>
      </c>
      <c r="D6" s="61">
        <v>1.02</v>
      </c>
      <c r="E6" s="28" t="s">
        <v>19</v>
      </c>
      <c r="F6" s="28" t="s">
        <v>20</v>
      </c>
      <c r="G6" s="179">
        <f>D10-D14</f>
        <v>163.80000000000001</v>
      </c>
      <c r="H6" s="28" t="s">
        <v>21</v>
      </c>
      <c r="I6" s="28" t="s">
        <v>22</v>
      </c>
      <c r="J6" s="204">
        <f>J4+J5</f>
        <v>92617.005152364261</v>
      </c>
      <c r="L6" s="189" t="s">
        <v>23</v>
      </c>
      <c r="M6" s="190"/>
    </row>
    <row r="7" spans="2:16" x14ac:dyDescent="0.2">
      <c r="B7" s="63" t="s">
        <v>24</v>
      </c>
      <c r="C7" s="180" t="s">
        <v>25</v>
      </c>
      <c r="D7" s="61">
        <v>1.02</v>
      </c>
      <c r="E7" s="28" t="s">
        <v>26</v>
      </c>
      <c r="F7" s="28" t="s">
        <v>27</v>
      </c>
      <c r="G7" s="179">
        <f>D11-D15</f>
        <v>184.2</v>
      </c>
      <c r="H7" s="28" t="s">
        <v>28</v>
      </c>
      <c r="I7" s="28" t="s">
        <v>29</v>
      </c>
      <c r="J7" s="52">
        <f>G10*G27*D1+D20</f>
        <v>2022.0959999999998</v>
      </c>
    </row>
    <row r="8" spans="2:16" x14ac:dyDescent="0.2">
      <c r="B8" s="63" t="s">
        <v>30</v>
      </c>
      <c r="C8" s="28" t="s">
        <v>31</v>
      </c>
      <c r="D8" s="61">
        <v>185.8</v>
      </c>
      <c r="E8" s="30" t="s">
        <v>32</v>
      </c>
      <c r="F8" s="28" t="s">
        <v>33</v>
      </c>
      <c r="G8" s="32">
        <f>G4+G5</f>
        <v>334</v>
      </c>
      <c r="H8" s="171" t="s">
        <v>34</v>
      </c>
      <c r="I8" s="30" t="s">
        <v>35</v>
      </c>
      <c r="J8" s="221">
        <f>J7/J6</f>
        <v>2.1832880437814298E-2</v>
      </c>
      <c r="K8" s="222">
        <f>J8*180/3.142</f>
        <v>1.2507697259091579</v>
      </c>
      <c r="L8" s="223" t="s">
        <v>36</v>
      </c>
      <c r="P8" s="47"/>
    </row>
    <row r="9" spans="2:16" ht="13.5" thickBot="1" x14ac:dyDescent="0.25">
      <c r="B9" s="63" t="s">
        <v>37</v>
      </c>
      <c r="C9" s="28" t="s">
        <v>38</v>
      </c>
      <c r="D9" s="61">
        <v>206.2</v>
      </c>
      <c r="E9" s="28" t="s">
        <v>39</v>
      </c>
      <c r="F9" s="28" t="s">
        <v>40</v>
      </c>
      <c r="G9" s="32">
        <f>G6+G7</f>
        <v>348</v>
      </c>
      <c r="H9" s="28" t="s">
        <v>41</v>
      </c>
      <c r="I9" s="28" t="s">
        <v>42</v>
      </c>
      <c r="J9" s="204">
        <f>J8*AVERAGE(G17,G18)*D20*1000/2</f>
        <v>323.613186352806</v>
      </c>
      <c r="P9" s="36"/>
    </row>
    <row r="10" spans="2:16" ht="13.5" thickBot="1" x14ac:dyDescent="0.25">
      <c r="B10" s="63" t="s">
        <v>43</v>
      </c>
      <c r="C10" s="28" t="s">
        <v>44</v>
      </c>
      <c r="D10" s="61">
        <v>198.8</v>
      </c>
      <c r="E10" s="165" t="s">
        <v>45</v>
      </c>
      <c r="F10" s="165" t="s">
        <v>46</v>
      </c>
      <c r="G10" s="48">
        <f>G8+G9</f>
        <v>682</v>
      </c>
      <c r="H10" s="141" t="s">
        <v>47</v>
      </c>
      <c r="I10" s="30" t="s">
        <v>48</v>
      </c>
      <c r="J10" s="204">
        <f>(J8*G22*D21)/2*1000</f>
        <v>1017.3583000403783</v>
      </c>
      <c r="L10" s="143" t="s">
        <v>49</v>
      </c>
      <c r="M10" s="144"/>
      <c r="P10" s="36"/>
    </row>
    <row r="11" spans="2:16" ht="13.5" thickBot="1" x14ac:dyDescent="0.25">
      <c r="B11" s="63" t="s">
        <v>50</v>
      </c>
      <c r="C11" s="28" t="s">
        <v>51</v>
      </c>
      <c r="D11" s="61">
        <v>219.2</v>
      </c>
      <c r="E11" s="165" t="s">
        <v>52</v>
      </c>
      <c r="F11" s="165" t="s">
        <v>53</v>
      </c>
      <c r="G11" s="169">
        <f>D8+D9+D10+D11</f>
        <v>810</v>
      </c>
      <c r="H11" s="29"/>
      <c r="I11" s="29"/>
      <c r="J11" s="53"/>
      <c r="K11" s="27"/>
      <c r="P11" s="50"/>
    </row>
    <row r="12" spans="2:16" ht="13.5" thickBot="1" x14ac:dyDescent="0.25">
      <c r="B12" s="63" t="s">
        <v>54</v>
      </c>
      <c r="C12" s="28" t="s">
        <v>55</v>
      </c>
      <c r="D12" s="62">
        <v>29</v>
      </c>
      <c r="E12" s="170" t="s">
        <v>56</v>
      </c>
      <c r="F12" s="170" t="s">
        <v>57</v>
      </c>
      <c r="G12" s="169">
        <f>D12+D13+D14+D15</f>
        <v>128</v>
      </c>
      <c r="H12" s="28" t="s">
        <v>58</v>
      </c>
      <c r="I12" s="30" t="s">
        <v>59</v>
      </c>
      <c r="J12" s="52">
        <f>((G8)*D1*D27)/D20</f>
        <v>110.42448979591838</v>
      </c>
      <c r="L12" s="143" t="s">
        <v>60</v>
      </c>
      <c r="M12" s="144"/>
      <c r="P12" s="36"/>
    </row>
    <row r="13" spans="2:16" x14ac:dyDescent="0.2">
      <c r="B13" s="63" t="s">
        <v>61</v>
      </c>
      <c r="C13" s="28" t="s">
        <v>62</v>
      </c>
      <c r="D13" s="61">
        <v>29</v>
      </c>
      <c r="E13" s="30" t="s">
        <v>63</v>
      </c>
      <c r="F13" s="28" t="s">
        <v>64</v>
      </c>
      <c r="G13" s="34">
        <f>D16/5.71</f>
        <v>41.155866900175134</v>
      </c>
      <c r="H13" s="28" t="s">
        <v>65</v>
      </c>
      <c r="I13" s="30" t="s">
        <v>66</v>
      </c>
      <c r="J13" s="52">
        <f>J11+G9*D1*D28/D21</f>
        <v>315.26052631578943</v>
      </c>
      <c r="P13" s="36"/>
    </row>
    <row r="14" spans="2:16" x14ac:dyDescent="0.2">
      <c r="B14" s="63" t="s">
        <v>67</v>
      </c>
      <c r="C14" s="28" t="s">
        <v>68</v>
      </c>
      <c r="D14" s="61">
        <v>35</v>
      </c>
      <c r="E14" s="30" t="s">
        <v>69</v>
      </c>
      <c r="F14" s="28" t="s">
        <v>70</v>
      </c>
      <c r="G14" s="34">
        <f>D17/5.71</f>
        <v>41.155866900175134</v>
      </c>
      <c r="H14" s="28" t="s">
        <v>71</v>
      </c>
      <c r="I14" s="30" t="s">
        <v>72</v>
      </c>
      <c r="J14" s="52">
        <f>(D12+D13)*D1*D23/D20</f>
        <v>89.485714285714295</v>
      </c>
    </row>
    <row r="15" spans="2:16" x14ac:dyDescent="0.2">
      <c r="B15" s="63" t="s">
        <v>73</v>
      </c>
      <c r="C15" s="28" t="s">
        <v>74</v>
      </c>
      <c r="D15" s="61">
        <v>35</v>
      </c>
      <c r="E15" s="28" t="s">
        <v>75</v>
      </c>
      <c r="F15" s="28" t="s">
        <v>76</v>
      </c>
      <c r="G15" s="34">
        <f>D18/5.71</f>
        <v>58.844133099824866</v>
      </c>
      <c r="H15" s="28" t="s">
        <v>77</v>
      </c>
      <c r="I15" s="30" t="s">
        <v>78</v>
      </c>
      <c r="J15" s="52">
        <f>(D14+D15)*D1*D24/D21</f>
        <v>104.44736842105264</v>
      </c>
      <c r="L15" s="129"/>
    </row>
    <row r="16" spans="2:16" x14ac:dyDescent="0.2">
      <c r="B16" s="63" t="s">
        <v>79</v>
      </c>
      <c r="C16" s="28" t="s">
        <v>80</v>
      </c>
      <c r="D16" s="61">
        <v>235</v>
      </c>
      <c r="E16" s="28" t="s">
        <v>81</v>
      </c>
      <c r="F16" s="28" t="s">
        <v>82</v>
      </c>
      <c r="G16" s="34">
        <f>D19/5.71</f>
        <v>59.019264448336251</v>
      </c>
      <c r="H16" s="28"/>
      <c r="I16" s="165" t="s">
        <v>83</v>
      </c>
      <c r="J16" s="216">
        <f>J9+J12+J14</f>
        <v>523.52339043443862</v>
      </c>
    </row>
    <row r="17" spans="2:16" ht="13.5" thickBot="1" x14ac:dyDescent="0.25">
      <c r="B17" s="63" t="s">
        <v>84</v>
      </c>
      <c r="C17" s="28" t="s">
        <v>85</v>
      </c>
      <c r="D17" s="61">
        <v>235</v>
      </c>
      <c r="E17" s="28" t="s">
        <v>86</v>
      </c>
      <c r="F17" s="28" t="s">
        <v>87</v>
      </c>
      <c r="G17" s="213">
        <f>G13*D4^2</f>
        <v>20.166374781085814</v>
      </c>
      <c r="H17" s="28"/>
      <c r="I17" s="165" t="s">
        <v>88</v>
      </c>
      <c r="J17" s="224">
        <f>J10+J13+J15</f>
        <v>1437.0661947772203</v>
      </c>
      <c r="L17" s="129"/>
      <c r="P17" s="50"/>
    </row>
    <row r="18" spans="2:16" ht="13.5" thickBot="1" x14ac:dyDescent="0.25">
      <c r="B18" s="63" t="s">
        <v>75</v>
      </c>
      <c r="C18" s="28" t="s">
        <v>89</v>
      </c>
      <c r="D18" s="61">
        <v>336</v>
      </c>
      <c r="E18" s="28" t="s">
        <v>90</v>
      </c>
      <c r="F18" s="28" t="s">
        <v>91</v>
      </c>
      <c r="G18" s="214">
        <f>G14*D5^2</f>
        <v>20.166374781085814</v>
      </c>
      <c r="H18" s="28"/>
      <c r="I18" s="172" t="s">
        <v>92</v>
      </c>
      <c r="J18" s="218">
        <f>J16+J17</f>
        <v>1960.5895852116589</v>
      </c>
      <c r="P18" s="50"/>
    </row>
    <row r="19" spans="2:16" x14ac:dyDescent="0.2">
      <c r="B19" s="63" t="s">
        <v>81</v>
      </c>
      <c r="C19" s="28" t="s">
        <v>93</v>
      </c>
      <c r="D19" s="61">
        <v>337</v>
      </c>
      <c r="E19" s="28" t="s">
        <v>94</v>
      </c>
      <c r="F19" s="28" t="s">
        <v>95</v>
      </c>
      <c r="G19" s="35">
        <f>G15*D6^2</f>
        <v>61.221436077057788</v>
      </c>
      <c r="H19" s="28" t="s">
        <v>96</v>
      </c>
      <c r="I19" s="28" t="s">
        <v>97</v>
      </c>
      <c r="J19" s="219">
        <f>(D8*9.81)+J16</f>
        <v>2346.2213904344389</v>
      </c>
      <c r="L19" s="147" t="s">
        <v>98</v>
      </c>
      <c r="M19" s="148"/>
      <c r="N19" s="149"/>
      <c r="O19" s="150"/>
      <c r="P19" s="50"/>
    </row>
    <row r="20" spans="2:16" x14ac:dyDescent="0.2">
      <c r="B20" s="63" t="s">
        <v>99</v>
      </c>
      <c r="C20" s="28" t="s">
        <v>100</v>
      </c>
      <c r="D20" s="61">
        <v>1.47</v>
      </c>
      <c r="E20" s="28" t="s">
        <v>101</v>
      </c>
      <c r="F20" s="28" t="s">
        <v>102</v>
      </c>
      <c r="G20" s="35">
        <f>G16*D7^2</f>
        <v>61.403642732049036</v>
      </c>
      <c r="H20" s="30" t="s">
        <v>103</v>
      </c>
      <c r="I20" s="28" t="s">
        <v>104</v>
      </c>
      <c r="J20" s="220">
        <f>(D9*9.81)-J16</f>
        <v>1499.2986095655613</v>
      </c>
      <c r="L20" s="151" t="s">
        <v>105</v>
      </c>
      <c r="M20" s="46"/>
      <c r="N20" s="46"/>
      <c r="O20" s="152"/>
      <c r="P20" s="50"/>
    </row>
    <row r="21" spans="2:16" x14ac:dyDescent="0.2">
      <c r="B21" s="63" t="s">
        <v>106</v>
      </c>
      <c r="C21" s="28" t="s">
        <v>107</v>
      </c>
      <c r="D21" s="61">
        <v>1.52</v>
      </c>
      <c r="E21" s="195" t="s">
        <v>108</v>
      </c>
      <c r="F21" s="192" t="s">
        <v>109</v>
      </c>
      <c r="G21" s="215">
        <f>(G17+G18)/2</f>
        <v>20.166374781085814</v>
      </c>
      <c r="H21" s="30" t="s">
        <v>110</v>
      </c>
      <c r="I21" s="28" t="s">
        <v>111</v>
      </c>
      <c r="J21" s="60">
        <f>(D10*9.81)+J17</f>
        <v>3387.2941947772206</v>
      </c>
      <c r="L21" s="153" t="s">
        <v>112</v>
      </c>
      <c r="M21" s="46"/>
      <c r="N21" s="46"/>
      <c r="O21" s="152"/>
    </row>
    <row r="22" spans="2:16" ht="13.5" thickBot="1" x14ac:dyDescent="0.25">
      <c r="B22" s="63" t="s">
        <v>113</v>
      </c>
      <c r="C22" s="28" t="s">
        <v>114</v>
      </c>
      <c r="D22" s="61">
        <v>2.5499999999999998</v>
      </c>
      <c r="E22" s="195" t="s">
        <v>115</v>
      </c>
      <c r="F22" s="192" t="s">
        <v>116</v>
      </c>
      <c r="G22" s="193">
        <f>(G19+G20)/2</f>
        <v>61.312539404553412</v>
      </c>
      <c r="H22" s="28" t="s">
        <v>117</v>
      </c>
      <c r="I22" s="28" t="s">
        <v>118</v>
      </c>
      <c r="J22" s="135">
        <f>(D11*9.81)-J17</f>
        <v>713.28580522277957</v>
      </c>
      <c r="L22" s="154" t="s">
        <v>119</v>
      </c>
      <c r="M22" s="155"/>
      <c r="N22" s="155"/>
      <c r="O22" s="156"/>
    </row>
    <row r="23" spans="2:16" x14ac:dyDescent="0.2">
      <c r="B23" s="164" t="s">
        <v>120</v>
      </c>
      <c r="C23" s="165" t="s">
        <v>121</v>
      </c>
      <c r="D23" s="61">
        <v>0.28000000000000003</v>
      </c>
      <c r="E23" s="28" t="s">
        <v>122</v>
      </c>
      <c r="F23" s="30" t="s">
        <v>123</v>
      </c>
      <c r="G23" s="196">
        <f>(G9*D22)/G10</f>
        <v>1.3011730205278591</v>
      </c>
      <c r="H23" s="28"/>
      <c r="I23" s="134" t="s">
        <v>124</v>
      </c>
      <c r="J23" s="225">
        <f>SUM(J19, J20, J21, J22)</f>
        <v>7946.1</v>
      </c>
    </row>
    <row r="24" spans="2:16" ht="13.5" thickBot="1" x14ac:dyDescent="0.25">
      <c r="B24" s="166" t="s">
        <v>125</v>
      </c>
      <c r="C24" s="167" t="s">
        <v>126</v>
      </c>
      <c r="D24" s="168">
        <v>0.28000000000000003</v>
      </c>
      <c r="E24" s="28" t="s">
        <v>127</v>
      </c>
      <c r="F24" s="28" t="s">
        <v>128</v>
      </c>
      <c r="G24" s="49">
        <f>D28-D27</f>
        <v>0.11000000000000001</v>
      </c>
      <c r="H24" s="28"/>
      <c r="I24" s="58" t="s">
        <v>129</v>
      </c>
      <c r="J24" s="137">
        <f>G11*9.81</f>
        <v>7946.1</v>
      </c>
    </row>
    <row r="25" spans="2:16" x14ac:dyDescent="0.2">
      <c r="B25" s="186" t="s">
        <v>130</v>
      </c>
      <c r="C25" s="28" t="s">
        <v>131</v>
      </c>
      <c r="D25" s="61">
        <v>0.45</v>
      </c>
      <c r="E25" s="28" t="s">
        <v>132</v>
      </c>
      <c r="F25" s="28" t="s">
        <v>133</v>
      </c>
      <c r="G25" s="49">
        <f>G24/D22*G23</f>
        <v>5.6129032258064517E-2</v>
      </c>
      <c r="H25" s="28"/>
      <c r="I25" s="28"/>
      <c r="J25" s="132"/>
    </row>
    <row r="26" spans="2:16" ht="13.5" thickBot="1" x14ac:dyDescent="0.25">
      <c r="B26" s="63" t="s">
        <v>134</v>
      </c>
      <c r="C26" s="28" t="s">
        <v>135</v>
      </c>
      <c r="D26" s="203">
        <f>((D25*G11)-((D12+D13)*D23)-((D14+D15)*D24))/G10</f>
        <v>0.48190615835777123</v>
      </c>
      <c r="E26" s="28" t="s">
        <v>136</v>
      </c>
      <c r="F26" s="28" t="s">
        <v>137</v>
      </c>
      <c r="G26" s="197">
        <f>G25+D27</f>
        <v>0.11612903225806451</v>
      </c>
      <c r="H26" s="28"/>
      <c r="I26" s="28"/>
      <c r="J26" s="131"/>
    </row>
    <row r="27" spans="2:16" ht="13.5" thickBot="1" x14ac:dyDescent="0.25">
      <c r="B27" s="63" t="s">
        <v>138</v>
      </c>
      <c r="C27" s="30" t="s">
        <v>139</v>
      </c>
      <c r="D27" s="61">
        <v>0.06</v>
      </c>
      <c r="E27" s="28" t="s">
        <v>140</v>
      </c>
      <c r="F27" s="28" t="s">
        <v>141</v>
      </c>
      <c r="G27" s="197">
        <f>D26-G25-D27</f>
        <v>0.3657771260997067</v>
      </c>
      <c r="H27" s="28" t="s">
        <v>142</v>
      </c>
      <c r="I27" s="55" t="s">
        <v>143</v>
      </c>
      <c r="J27" s="199">
        <f>G11*D1*D25 /AVERAGE(D20,D21)</f>
        <v>1974.8829431438128</v>
      </c>
      <c r="L27" s="157" t="s">
        <v>144</v>
      </c>
      <c r="M27" s="149"/>
      <c r="N27" s="149"/>
      <c r="O27" s="158"/>
      <c r="P27" s="150"/>
    </row>
    <row r="28" spans="2:16" ht="13.5" thickBot="1" x14ac:dyDescent="0.25">
      <c r="B28" s="182" t="s">
        <v>145</v>
      </c>
      <c r="C28" s="187" t="s">
        <v>146</v>
      </c>
      <c r="D28" s="183">
        <v>0.17</v>
      </c>
      <c r="E28" s="64"/>
      <c r="F28" s="64"/>
      <c r="G28" s="184"/>
      <c r="H28" s="64"/>
      <c r="I28" s="64"/>
      <c r="J28" s="185"/>
      <c r="L28" s="159" t="s">
        <v>147</v>
      </c>
      <c r="M28" s="155"/>
      <c r="N28" s="155"/>
      <c r="O28" s="160"/>
      <c r="P28" s="156"/>
    </row>
    <row r="29" spans="2:16" x14ac:dyDescent="0.2">
      <c r="B29" s="201" t="s">
        <v>188</v>
      </c>
      <c r="C29" s="167" t="s">
        <v>193</v>
      </c>
      <c r="D29" s="226">
        <f>J19-J20</f>
        <v>846.92278086887768</v>
      </c>
      <c r="L29" s="139"/>
      <c r="M29" s="139"/>
      <c r="N29" s="139"/>
      <c r="O29" s="139"/>
    </row>
    <row r="30" spans="2:16" ht="14.25" x14ac:dyDescent="0.2">
      <c r="B30" s="201" t="s">
        <v>189</v>
      </c>
      <c r="C30" s="195" t="s">
        <v>192</v>
      </c>
      <c r="D30" s="202">
        <f>J21-J22</f>
        <v>2674.0083895544412</v>
      </c>
      <c r="G30" s="191"/>
      <c r="H30" s="39"/>
      <c r="I30" s="39"/>
      <c r="L30" s="138"/>
      <c r="M30" s="138"/>
      <c r="N30" s="138"/>
      <c r="O30" s="138"/>
    </row>
    <row r="31" spans="2:16" ht="15" thickBot="1" x14ac:dyDescent="0.25">
      <c r="B31" s="201" t="s">
        <v>190</v>
      </c>
      <c r="C31" s="195" t="s">
        <v>191</v>
      </c>
      <c r="D31" s="227">
        <f>D29-D30</f>
        <v>-1827.0856086855636</v>
      </c>
      <c r="G31" s="39"/>
      <c r="I31" s="39"/>
    </row>
    <row r="32" spans="2:16" ht="15" x14ac:dyDescent="0.25">
      <c r="C32" s="195" t="s">
        <v>194</v>
      </c>
      <c r="D32" s="227">
        <f>(J17/J27)*100</f>
        <v>72.767158163286226</v>
      </c>
      <c r="F32" s="205"/>
      <c r="H32" s="40"/>
    </row>
    <row r="33" spans="2:7" ht="15" thickBot="1" x14ac:dyDescent="0.25">
      <c r="F33" s="206"/>
    </row>
    <row r="34" spans="2:7" ht="13.5" thickBot="1" x14ac:dyDescent="0.25"/>
    <row r="35" spans="2:7" ht="13.5" thickBot="1" x14ac:dyDescent="0.25">
      <c r="B35" s="54"/>
      <c r="C35" s="207"/>
      <c r="D35" s="208"/>
    </row>
    <row r="36" spans="2:7" x14ac:dyDescent="0.2">
      <c r="B36" s="50"/>
      <c r="C36" s="142"/>
      <c r="D36" s="50"/>
    </row>
    <row r="37" spans="2:7" x14ac:dyDescent="0.2">
      <c r="B37" s="50"/>
      <c r="C37" s="142"/>
      <c r="D37" s="50"/>
    </row>
    <row r="39" spans="2:7" x14ac:dyDescent="0.2">
      <c r="C39" s="211"/>
      <c r="D39" s="212"/>
    </row>
    <row r="41" spans="2:7" x14ac:dyDescent="0.2">
      <c r="C41" s="210" t="s">
        <v>202</v>
      </c>
      <c r="D41" s="209"/>
      <c r="E41" s="209"/>
      <c r="F41" s="210"/>
      <c r="G41" s="210"/>
    </row>
    <row r="42" spans="2:7" x14ac:dyDescent="0.2">
      <c r="C42" s="210" t="s">
        <v>203</v>
      </c>
      <c r="D42" s="209"/>
      <c r="E42" s="209"/>
      <c r="F42" s="209"/>
      <c r="G42" s="210"/>
    </row>
    <row r="43" spans="2:7" x14ac:dyDescent="0.2">
      <c r="C43" s="210" t="s">
        <v>204</v>
      </c>
      <c r="D43" s="209"/>
      <c r="E43" s="209"/>
      <c r="F43" s="209"/>
      <c r="G43" s="209"/>
    </row>
    <row r="44" spans="2:7" x14ac:dyDescent="0.2">
      <c r="C44" s="210"/>
      <c r="D44" s="209"/>
      <c r="E44" s="210"/>
      <c r="F44" s="209"/>
      <c r="G44" s="209"/>
    </row>
    <row r="46" spans="2:7" x14ac:dyDescent="0.2">
      <c r="C46" s="210" t="s">
        <v>205</v>
      </c>
      <c r="D46" s="209"/>
      <c r="E46" s="210"/>
      <c r="F46" s="209"/>
      <c r="G46" s="209"/>
    </row>
    <row r="47" spans="2:7" x14ac:dyDescent="0.2">
      <c r="C47" s="210"/>
      <c r="D47" s="209"/>
      <c r="E47" s="209"/>
      <c r="F47" s="209"/>
      <c r="G47" s="209"/>
    </row>
    <row r="48" spans="2:7" x14ac:dyDescent="0.2">
      <c r="C48" s="210"/>
      <c r="D48" s="209"/>
      <c r="E48" s="209"/>
      <c r="F48" s="209"/>
      <c r="G48" s="209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04B7F-6A30-4F98-975A-35221783FA72}">
  <dimension ref="B1:P48"/>
  <sheetViews>
    <sheetView topLeftCell="D3" zoomScale="99" zoomScaleNormal="93" workbookViewId="0">
      <selection activeCell="D19" sqref="D19"/>
    </sheetView>
  </sheetViews>
  <sheetFormatPr defaultRowHeight="12.75" x14ac:dyDescent="0.2"/>
  <cols>
    <col min="3" max="3" width="51.7109375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18.75" thickBot="1" x14ac:dyDescent="0.3">
      <c r="C1" s="31" t="s">
        <v>0</v>
      </c>
      <c r="D1" s="51">
        <v>8.1</v>
      </c>
      <c r="F1" s="45" t="s">
        <v>1</v>
      </c>
      <c r="G1" s="44"/>
    </row>
    <row r="2" spans="2:16" ht="13.5" thickBot="1" x14ac:dyDescent="0.25"/>
    <row r="3" spans="2:16" ht="16.5" thickBot="1" x14ac:dyDescent="0.3">
      <c r="B3" s="37" t="s">
        <v>2</v>
      </c>
      <c r="C3" s="38"/>
      <c r="D3" s="38"/>
      <c r="E3" s="38" t="s">
        <v>3</v>
      </c>
      <c r="F3" s="38"/>
      <c r="G3" s="38"/>
      <c r="H3" s="38" t="s">
        <v>4</v>
      </c>
      <c r="I3" s="38"/>
      <c r="J3" s="175"/>
    </row>
    <row r="4" spans="2:16" ht="15" thickBot="1" x14ac:dyDescent="0.25">
      <c r="B4" s="176" t="s">
        <v>5</v>
      </c>
      <c r="C4" s="180" t="s">
        <v>6</v>
      </c>
      <c r="D4" s="178">
        <v>0.7</v>
      </c>
      <c r="E4" s="177" t="s">
        <v>7</v>
      </c>
      <c r="F4" s="177" t="s">
        <v>8</v>
      </c>
      <c r="G4" s="198">
        <f>D8-D12</f>
        <v>156.80000000000001</v>
      </c>
      <c r="H4" s="180" t="s">
        <v>9</v>
      </c>
      <c r="I4" s="180" t="s">
        <v>10</v>
      </c>
      <c r="J4" s="231">
        <f>((D20^2*G21)/2)*1000</f>
        <v>21788.759632224166</v>
      </c>
      <c r="M4" s="42"/>
    </row>
    <row r="5" spans="2:16" ht="12" customHeight="1" thickBot="1" x14ac:dyDescent="0.25">
      <c r="B5" s="63" t="s">
        <v>11</v>
      </c>
      <c r="C5" s="180" t="s">
        <v>12</v>
      </c>
      <c r="D5" s="61">
        <v>0.7</v>
      </c>
      <c r="E5" s="28" t="s">
        <v>13</v>
      </c>
      <c r="F5" s="28" t="s">
        <v>14</v>
      </c>
      <c r="G5" s="179">
        <f>D9-D13</f>
        <v>177.2</v>
      </c>
      <c r="H5" s="28" t="s">
        <v>15</v>
      </c>
      <c r="I5" s="28" t="s">
        <v>16</v>
      </c>
      <c r="J5" s="181">
        <f>((D21^2*G22)/2)*1000</f>
        <v>16228.403356917688</v>
      </c>
      <c r="M5" s="41"/>
    </row>
    <row r="6" spans="2:16" ht="16.5" customHeight="1" thickBot="1" x14ac:dyDescent="0.25">
      <c r="B6" s="63" t="s">
        <v>17</v>
      </c>
      <c r="C6" s="180" t="s">
        <v>18</v>
      </c>
      <c r="D6" s="61">
        <v>1.02</v>
      </c>
      <c r="E6" s="28" t="s">
        <v>19</v>
      </c>
      <c r="F6" s="28" t="s">
        <v>20</v>
      </c>
      <c r="G6" s="179">
        <f>D10-D14</f>
        <v>163.80000000000001</v>
      </c>
      <c r="H6" s="28" t="s">
        <v>21</v>
      </c>
      <c r="I6" s="28" t="s">
        <v>22</v>
      </c>
      <c r="J6" s="232">
        <f>J4+J5</f>
        <v>38017.162989141856</v>
      </c>
      <c r="L6" s="189" t="s">
        <v>23</v>
      </c>
      <c r="M6" s="190"/>
    </row>
    <row r="7" spans="2:16" x14ac:dyDescent="0.2">
      <c r="B7" s="63" t="s">
        <v>24</v>
      </c>
      <c r="C7" s="180" t="s">
        <v>25</v>
      </c>
      <c r="D7" s="61">
        <v>1.02</v>
      </c>
      <c r="E7" s="28" t="s">
        <v>26</v>
      </c>
      <c r="F7" s="28" t="s">
        <v>27</v>
      </c>
      <c r="G7" s="179">
        <f>D11-D15</f>
        <v>184.2</v>
      </c>
      <c r="H7" s="28" t="s">
        <v>28</v>
      </c>
      <c r="I7" s="28" t="s">
        <v>29</v>
      </c>
      <c r="J7" s="52">
        <f>G10*G27*D1+D20</f>
        <v>2022.0959999999998</v>
      </c>
    </row>
    <row r="8" spans="2:16" x14ac:dyDescent="0.2">
      <c r="B8" s="63" t="s">
        <v>30</v>
      </c>
      <c r="C8" s="28" t="s">
        <v>31</v>
      </c>
      <c r="D8" s="61">
        <v>185.8</v>
      </c>
      <c r="E8" s="30" t="s">
        <v>32</v>
      </c>
      <c r="F8" s="28" t="s">
        <v>33</v>
      </c>
      <c r="G8" s="32">
        <f>G4+G5</f>
        <v>334</v>
      </c>
      <c r="H8" s="171" t="s">
        <v>34</v>
      </c>
      <c r="I8" s="30" t="s">
        <v>35</v>
      </c>
      <c r="J8" s="233">
        <f>J7/J6</f>
        <v>5.3189029401734526E-2</v>
      </c>
      <c r="K8" s="235">
        <f>J8*180/3.142</f>
        <v>3.0471118053189734</v>
      </c>
      <c r="L8" s="234" t="s">
        <v>36</v>
      </c>
      <c r="P8" s="47"/>
    </row>
    <row r="9" spans="2:16" ht="13.5" thickBot="1" x14ac:dyDescent="0.25">
      <c r="B9" s="63" t="s">
        <v>37</v>
      </c>
      <c r="C9" s="28" t="s">
        <v>38</v>
      </c>
      <c r="D9" s="61">
        <v>206.2</v>
      </c>
      <c r="E9" s="28" t="s">
        <v>39</v>
      </c>
      <c r="F9" s="28" t="s">
        <v>40</v>
      </c>
      <c r="G9" s="32">
        <f>G6+G7</f>
        <v>348</v>
      </c>
      <c r="H9" s="28" t="s">
        <v>41</v>
      </c>
      <c r="I9" s="28" t="s">
        <v>42</v>
      </c>
      <c r="J9" s="232">
        <f>J8*AVERAGE(G17,G18)*D20*1000/2</f>
        <v>788.38297735081471</v>
      </c>
      <c r="P9" s="36"/>
    </row>
    <row r="10" spans="2:16" ht="13.5" thickBot="1" x14ac:dyDescent="0.25">
      <c r="B10" s="63" t="s">
        <v>43</v>
      </c>
      <c r="C10" s="28" t="s">
        <v>44</v>
      </c>
      <c r="D10" s="61">
        <v>198.8</v>
      </c>
      <c r="E10" s="165" t="s">
        <v>45</v>
      </c>
      <c r="F10" s="165" t="s">
        <v>46</v>
      </c>
      <c r="G10" s="48">
        <f>G8+G9</f>
        <v>682</v>
      </c>
      <c r="H10" s="141" t="s">
        <v>47</v>
      </c>
      <c r="I10" s="30" t="s">
        <v>48</v>
      </c>
      <c r="J10" s="232">
        <f>(J8*G22*D21)/2*1000</f>
        <v>567.87698900940927</v>
      </c>
      <c r="L10" s="143" t="s">
        <v>49</v>
      </c>
      <c r="M10" s="144"/>
      <c r="P10" s="36"/>
    </row>
    <row r="11" spans="2:16" ht="13.5" thickBot="1" x14ac:dyDescent="0.25">
      <c r="B11" s="63" t="s">
        <v>50</v>
      </c>
      <c r="C11" s="28" t="s">
        <v>51</v>
      </c>
      <c r="D11" s="61">
        <v>219.2</v>
      </c>
      <c r="E11" s="165" t="s">
        <v>52</v>
      </c>
      <c r="F11" s="165" t="s">
        <v>53</v>
      </c>
      <c r="G11" s="169">
        <f>D8+D9+D10+D11</f>
        <v>810</v>
      </c>
      <c r="H11" s="29"/>
      <c r="I11" s="29"/>
      <c r="J11" s="53"/>
      <c r="K11" s="27"/>
      <c r="P11" s="50"/>
    </row>
    <row r="12" spans="2:16" ht="13.5" thickBot="1" x14ac:dyDescent="0.25">
      <c r="B12" s="63" t="s">
        <v>54</v>
      </c>
      <c r="C12" s="28" t="s">
        <v>55</v>
      </c>
      <c r="D12" s="62">
        <v>29</v>
      </c>
      <c r="E12" s="170" t="s">
        <v>56</v>
      </c>
      <c r="F12" s="170" t="s">
        <v>57</v>
      </c>
      <c r="G12" s="169">
        <f>D12+D13+D14+D15</f>
        <v>128</v>
      </c>
      <c r="H12" s="28" t="s">
        <v>58</v>
      </c>
      <c r="I12" s="30" t="s">
        <v>59</v>
      </c>
      <c r="J12" s="52">
        <f>((G8)*D1*D27)/D20</f>
        <v>110.42448979591838</v>
      </c>
      <c r="L12" s="143" t="s">
        <v>60</v>
      </c>
      <c r="M12" s="144"/>
      <c r="P12" s="36"/>
    </row>
    <row r="13" spans="2:16" x14ac:dyDescent="0.2">
      <c r="B13" s="63" t="s">
        <v>61</v>
      </c>
      <c r="C13" s="28" t="s">
        <v>62</v>
      </c>
      <c r="D13" s="61">
        <v>29</v>
      </c>
      <c r="E13" s="30" t="s">
        <v>63</v>
      </c>
      <c r="F13" s="28" t="s">
        <v>64</v>
      </c>
      <c r="G13" s="34">
        <f>D16/5.71</f>
        <v>41.155866900175134</v>
      </c>
      <c r="H13" s="28" t="s">
        <v>65</v>
      </c>
      <c r="I13" s="30" t="s">
        <v>66</v>
      </c>
      <c r="J13" s="52">
        <f>J11+G9*D1*D28/D21</f>
        <v>315.26052631578943</v>
      </c>
      <c r="P13" s="36"/>
    </row>
    <row r="14" spans="2:16" x14ac:dyDescent="0.2">
      <c r="B14" s="63" t="s">
        <v>67</v>
      </c>
      <c r="C14" s="28" t="s">
        <v>68</v>
      </c>
      <c r="D14" s="61">
        <v>35</v>
      </c>
      <c r="E14" s="30" t="s">
        <v>69</v>
      </c>
      <c r="F14" s="28" t="s">
        <v>70</v>
      </c>
      <c r="G14" s="34">
        <f>D17/5.71</f>
        <v>41.155866900175134</v>
      </c>
      <c r="H14" s="28" t="s">
        <v>71</v>
      </c>
      <c r="I14" s="30" t="s">
        <v>72</v>
      </c>
      <c r="J14" s="52">
        <f>(D12+D13)*D1*D23/D20</f>
        <v>89.485714285714295</v>
      </c>
    </row>
    <row r="15" spans="2:16" x14ac:dyDescent="0.2">
      <c r="B15" s="63" t="s">
        <v>73</v>
      </c>
      <c r="C15" s="28" t="s">
        <v>74</v>
      </c>
      <c r="D15" s="61">
        <v>35</v>
      </c>
      <c r="E15" s="28" t="s">
        <v>75</v>
      </c>
      <c r="F15" s="28" t="s">
        <v>76</v>
      </c>
      <c r="G15" s="34">
        <f>D18/5.71</f>
        <v>13.50262697022767</v>
      </c>
      <c r="H15" s="28" t="s">
        <v>77</v>
      </c>
      <c r="I15" s="30" t="s">
        <v>78</v>
      </c>
      <c r="J15" s="52">
        <f>(D14+D15)*D1*D24/D21</f>
        <v>104.44736842105264</v>
      </c>
      <c r="L15" s="129"/>
    </row>
    <row r="16" spans="2:16" x14ac:dyDescent="0.2">
      <c r="B16" s="63" t="s">
        <v>79</v>
      </c>
      <c r="C16" s="28" t="s">
        <v>80</v>
      </c>
      <c r="D16" s="61">
        <v>235</v>
      </c>
      <c r="E16" s="28" t="s">
        <v>81</v>
      </c>
      <c r="F16" s="28" t="s">
        <v>82</v>
      </c>
      <c r="G16" s="34">
        <f>D19/5.71</f>
        <v>13.50262697022767</v>
      </c>
      <c r="H16" s="28"/>
      <c r="I16" s="165" t="s">
        <v>83</v>
      </c>
      <c r="J16" s="173">
        <f>J9+J12+J14</f>
        <v>988.29318143244734</v>
      </c>
    </row>
    <row r="17" spans="2:16" ht="13.5" thickBot="1" x14ac:dyDescent="0.25">
      <c r="B17" s="63" t="s">
        <v>84</v>
      </c>
      <c r="C17" s="28" t="s">
        <v>85</v>
      </c>
      <c r="D17" s="61">
        <v>235</v>
      </c>
      <c r="E17" s="28" t="s">
        <v>86</v>
      </c>
      <c r="F17" s="28" t="s">
        <v>87</v>
      </c>
      <c r="G17" s="34">
        <f>G13*D4^2</f>
        <v>20.166374781085814</v>
      </c>
      <c r="H17" s="28"/>
      <c r="I17" s="165" t="s">
        <v>88</v>
      </c>
      <c r="J17" s="174">
        <f>J10+J13+J15</f>
        <v>987.58488374625131</v>
      </c>
      <c r="L17" s="129"/>
      <c r="P17" s="50"/>
    </row>
    <row r="18" spans="2:16" ht="13.5" thickBot="1" x14ac:dyDescent="0.25">
      <c r="B18" s="63" t="s">
        <v>75</v>
      </c>
      <c r="C18" s="28" t="s">
        <v>89</v>
      </c>
      <c r="D18" s="61">
        <v>77.099999999999994</v>
      </c>
      <c r="E18" s="28" t="s">
        <v>90</v>
      </c>
      <c r="F18" s="28" t="s">
        <v>91</v>
      </c>
      <c r="G18" s="230">
        <f>G14*D5^2</f>
        <v>20.166374781085814</v>
      </c>
      <c r="H18" s="28"/>
      <c r="I18" s="172" t="s">
        <v>92</v>
      </c>
      <c r="J18" s="236">
        <f>J16+J17</f>
        <v>1975.8780651786988</v>
      </c>
      <c r="P18" s="50"/>
    </row>
    <row r="19" spans="2:16" x14ac:dyDescent="0.2">
      <c r="B19" s="63" t="s">
        <v>81</v>
      </c>
      <c r="C19" s="28" t="s">
        <v>93</v>
      </c>
      <c r="D19" s="61">
        <v>77.099999999999994</v>
      </c>
      <c r="E19" s="28" t="s">
        <v>94</v>
      </c>
      <c r="F19" s="28" t="s">
        <v>95</v>
      </c>
      <c r="G19" s="35">
        <f>G15*D6^2</f>
        <v>14.048133099824868</v>
      </c>
      <c r="H19" s="28" t="s">
        <v>96</v>
      </c>
      <c r="I19" s="28" t="s">
        <v>97</v>
      </c>
      <c r="J19" s="237">
        <f>(D8*9.81)+J16</f>
        <v>2810.9911814324473</v>
      </c>
      <c r="L19" s="147" t="s">
        <v>98</v>
      </c>
      <c r="M19" s="148"/>
      <c r="N19" s="149"/>
      <c r="O19" s="150"/>
      <c r="P19" s="50"/>
    </row>
    <row r="20" spans="2:16" x14ac:dyDescent="0.2">
      <c r="B20" s="63" t="s">
        <v>99</v>
      </c>
      <c r="C20" s="28" t="s">
        <v>100</v>
      </c>
      <c r="D20" s="61">
        <v>1.47</v>
      </c>
      <c r="E20" s="28" t="s">
        <v>101</v>
      </c>
      <c r="F20" s="28" t="s">
        <v>102</v>
      </c>
      <c r="G20" s="35">
        <f>G16*D7^2</f>
        <v>14.048133099824868</v>
      </c>
      <c r="H20" s="30" t="s">
        <v>103</v>
      </c>
      <c r="I20" s="28" t="s">
        <v>104</v>
      </c>
      <c r="J20" s="238">
        <f>(D9*9.81)-J16</f>
        <v>1034.5288185675527</v>
      </c>
      <c r="L20" s="151" t="s">
        <v>105</v>
      </c>
      <c r="M20" s="46"/>
      <c r="N20" s="46"/>
      <c r="O20" s="152"/>
      <c r="P20" s="50"/>
    </row>
    <row r="21" spans="2:16" x14ac:dyDescent="0.2">
      <c r="B21" s="63" t="s">
        <v>106</v>
      </c>
      <c r="C21" s="28" t="s">
        <v>107</v>
      </c>
      <c r="D21" s="61">
        <v>1.52</v>
      </c>
      <c r="E21" s="195" t="s">
        <v>108</v>
      </c>
      <c r="F21" s="192" t="s">
        <v>109</v>
      </c>
      <c r="G21" s="229">
        <f>(G17+G18)/2</f>
        <v>20.166374781085814</v>
      </c>
      <c r="H21" s="30" t="s">
        <v>110</v>
      </c>
      <c r="I21" s="28" t="s">
        <v>111</v>
      </c>
      <c r="J21" s="60">
        <f>(D10*9.81)+J17</f>
        <v>2937.8128837462518</v>
      </c>
      <c r="L21" s="153" t="s">
        <v>112</v>
      </c>
      <c r="M21" s="46"/>
      <c r="N21" s="46"/>
      <c r="O21" s="152"/>
    </row>
    <row r="22" spans="2:16" ht="13.5" thickBot="1" x14ac:dyDescent="0.25">
      <c r="B22" s="63" t="s">
        <v>113</v>
      </c>
      <c r="C22" s="28" t="s">
        <v>114</v>
      </c>
      <c r="D22" s="61">
        <v>2.5499999999999998</v>
      </c>
      <c r="E22" s="195" t="s">
        <v>115</v>
      </c>
      <c r="F22" s="192" t="s">
        <v>116</v>
      </c>
      <c r="G22" s="193">
        <f>(G19+G20)/2</f>
        <v>14.048133099824868</v>
      </c>
      <c r="H22" s="28" t="s">
        <v>117</v>
      </c>
      <c r="I22" s="28" t="s">
        <v>118</v>
      </c>
      <c r="J22" s="135">
        <f>(D11*9.81)-J17</f>
        <v>1162.7671162537486</v>
      </c>
      <c r="L22" s="154" t="s">
        <v>119</v>
      </c>
      <c r="M22" s="155"/>
      <c r="N22" s="155"/>
      <c r="O22" s="156"/>
    </row>
    <row r="23" spans="2:16" x14ac:dyDescent="0.2">
      <c r="B23" s="164" t="s">
        <v>120</v>
      </c>
      <c r="C23" s="165" t="s">
        <v>121</v>
      </c>
      <c r="D23" s="61">
        <v>0.28000000000000003</v>
      </c>
      <c r="E23" s="28" t="s">
        <v>122</v>
      </c>
      <c r="F23" s="30" t="s">
        <v>123</v>
      </c>
      <c r="G23" s="196">
        <f>(G9*D22)/G10</f>
        <v>1.3011730205278591</v>
      </c>
      <c r="H23" s="28"/>
      <c r="I23" s="134" t="s">
        <v>124</v>
      </c>
      <c r="J23" s="239">
        <f>SUM(J19, J20, J21, J22)</f>
        <v>7946.1</v>
      </c>
    </row>
    <row r="24" spans="2:16" ht="13.5" thickBot="1" x14ac:dyDescent="0.25">
      <c r="B24" s="166" t="s">
        <v>125</v>
      </c>
      <c r="C24" s="167" t="s">
        <v>126</v>
      </c>
      <c r="D24" s="168">
        <v>0.28000000000000003</v>
      </c>
      <c r="E24" s="28" t="s">
        <v>127</v>
      </c>
      <c r="F24" s="28" t="s">
        <v>128</v>
      </c>
      <c r="G24" s="49">
        <f>D28-D27</f>
        <v>0.11000000000000001</v>
      </c>
      <c r="H24" s="28"/>
      <c r="I24" s="58" t="s">
        <v>129</v>
      </c>
      <c r="J24" s="137">
        <f>G11*9.81</f>
        <v>7946.1</v>
      </c>
    </row>
    <row r="25" spans="2:16" x14ac:dyDescent="0.2">
      <c r="B25" s="186" t="s">
        <v>130</v>
      </c>
      <c r="C25" s="28" t="s">
        <v>131</v>
      </c>
      <c r="D25" s="61">
        <v>0.45</v>
      </c>
      <c r="E25" s="28" t="s">
        <v>132</v>
      </c>
      <c r="F25" s="28" t="s">
        <v>133</v>
      </c>
      <c r="G25" s="49">
        <f>G24/D22*G23</f>
        <v>5.6129032258064517E-2</v>
      </c>
      <c r="H25" s="28"/>
      <c r="I25" s="28"/>
      <c r="J25" s="132"/>
    </row>
    <row r="26" spans="2:16" ht="13.5" thickBot="1" x14ac:dyDescent="0.25">
      <c r="B26" s="63" t="s">
        <v>134</v>
      </c>
      <c r="C26" s="28" t="s">
        <v>135</v>
      </c>
      <c r="D26" s="203">
        <f>((D25*G11)-((D12+D13)*D23)-((D14+D15)*D24))/G10</f>
        <v>0.48190615835777123</v>
      </c>
      <c r="E26" s="28" t="s">
        <v>136</v>
      </c>
      <c r="F26" s="28" t="s">
        <v>137</v>
      </c>
      <c r="G26" s="197">
        <f>G25+D27</f>
        <v>0.11612903225806451</v>
      </c>
      <c r="H26" s="28"/>
      <c r="I26" s="28"/>
      <c r="J26" s="131"/>
    </row>
    <row r="27" spans="2:16" ht="13.5" thickBot="1" x14ac:dyDescent="0.25">
      <c r="B27" s="63" t="s">
        <v>138</v>
      </c>
      <c r="C27" s="30" t="s">
        <v>139</v>
      </c>
      <c r="D27" s="61">
        <v>0.06</v>
      </c>
      <c r="E27" s="28" t="s">
        <v>140</v>
      </c>
      <c r="F27" s="28" t="s">
        <v>141</v>
      </c>
      <c r="G27" s="197">
        <f>D26-G25-D27</f>
        <v>0.3657771260997067</v>
      </c>
      <c r="H27" s="28" t="s">
        <v>142</v>
      </c>
      <c r="I27" s="55" t="s">
        <v>143</v>
      </c>
      <c r="J27" s="199">
        <f>G11*D1*D25 /AVERAGE(D20,D21)</f>
        <v>1974.8829431438128</v>
      </c>
      <c r="L27" s="157" t="s">
        <v>144</v>
      </c>
      <c r="M27" s="149"/>
      <c r="N27" s="149"/>
      <c r="O27" s="158"/>
      <c r="P27" s="150"/>
    </row>
    <row r="28" spans="2:16" ht="13.5" thickBot="1" x14ac:dyDescent="0.25">
      <c r="B28" s="182" t="s">
        <v>145</v>
      </c>
      <c r="C28" s="187" t="s">
        <v>146</v>
      </c>
      <c r="D28" s="183">
        <v>0.17</v>
      </c>
      <c r="E28" s="64"/>
      <c r="F28" s="64"/>
      <c r="G28" s="184"/>
      <c r="H28" s="64"/>
      <c r="I28" s="64"/>
      <c r="J28" s="185"/>
      <c r="L28" s="159" t="s">
        <v>147</v>
      </c>
      <c r="M28" s="155"/>
      <c r="N28" s="155"/>
      <c r="O28" s="160"/>
      <c r="P28" s="156"/>
    </row>
    <row r="29" spans="2:16" x14ac:dyDescent="0.2">
      <c r="B29" s="201" t="s">
        <v>188</v>
      </c>
      <c r="C29" s="167" t="s">
        <v>193</v>
      </c>
      <c r="D29" s="228">
        <f>J19-J20</f>
        <v>1776.4623628648947</v>
      </c>
      <c r="L29" s="139"/>
      <c r="M29" s="139"/>
      <c r="N29" s="139"/>
      <c r="O29" s="139"/>
    </row>
    <row r="30" spans="2:16" ht="14.25" x14ac:dyDescent="0.2">
      <c r="B30" s="201" t="s">
        <v>189</v>
      </c>
      <c r="C30" s="195" t="s">
        <v>192</v>
      </c>
      <c r="D30" s="202">
        <f>J21-J22</f>
        <v>1775.0457674925033</v>
      </c>
      <c r="G30" s="191"/>
      <c r="H30" s="39"/>
      <c r="I30" s="39"/>
      <c r="L30" s="138"/>
      <c r="M30" s="138"/>
      <c r="N30" s="138"/>
      <c r="O30" s="138"/>
    </row>
    <row r="31" spans="2:16" ht="15" thickBot="1" x14ac:dyDescent="0.25">
      <c r="B31" s="201" t="s">
        <v>190</v>
      </c>
      <c r="C31" s="195" t="s">
        <v>191</v>
      </c>
      <c r="D31" s="212">
        <f>D29-D30</f>
        <v>1.4165953723913844</v>
      </c>
      <c r="G31" s="39"/>
      <c r="I31" s="39"/>
    </row>
    <row r="32" spans="2:16" ht="15" x14ac:dyDescent="0.25">
      <c r="C32" s="195" t="s">
        <v>194</v>
      </c>
      <c r="D32" s="212">
        <f>(J17/J27)*100</f>
        <v>50.00726180631834</v>
      </c>
      <c r="F32" s="205"/>
      <c r="H32" s="40"/>
    </row>
    <row r="33" spans="2:7" ht="15" thickBot="1" x14ac:dyDescent="0.25">
      <c r="F33" s="206"/>
    </row>
    <row r="34" spans="2:7" ht="13.5" thickBot="1" x14ac:dyDescent="0.25"/>
    <row r="35" spans="2:7" ht="13.5" thickBot="1" x14ac:dyDescent="0.25">
      <c r="B35" s="54"/>
      <c r="C35" s="207"/>
      <c r="D35" s="208"/>
    </row>
    <row r="36" spans="2:7" x14ac:dyDescent="0.2">
      <c r="B36" s="50"/>
      <c r="C36" s="142"/>
      <c r="D36" s="50"/>
    </row>
    <row r="37" spans="2:7" x14ac:dyDescent="0.2">
      <c r="B37" s="50"/>
      <c r="C37" s="142"/>
      <c r="D37" s="50"/>
    </row>
    <row r="39" spans="2:7" x14ac:dyDescent="0.2">
      <c r="C39" s="211"/>
      <c r="D39" s="212"/>
    </row>
    <row r="41" spans="2:7" x14ac:dyDescent="0.2">
      <c r="C41" s="210"/>
      <c r="D41" s="209"/>
      <c r="E41" s="209"/>
      <c r="F41" s="210"/>
      <c r="G41" s="210"/>
    </row>
    <row r="42" spans="2:7" x14ac:dyDescent="0.2">
      <c r="C42" s="210"/>
      <c r="D42" s="209"/>
      <c r="E42" s="209"/>
      <c r="F42" s="209"/>
      <c r="G42" s="210"/>
    </row>
    <row r="43" spans="2:7" x14ac:dyDescent="0.2">
      <c r="C43" s="210"/>
      <c r="D43" s="209"/>
      <c r="E43" s="209"/>
      <c r="F43" s="209"/>
      <c r="G43" s="209"/>
    </row>
    <row r="44" spans="2:7" x14ac:dyDescent="0.2">
      <c r="C44" s="210"/>
      <c r="D44" s="209"/>
      <c r="E44" s="210"/>
      <c r="F44" s="209"/>
      <c r="G44" s="209"/>
    </row>
    <row r="46" spans="2:7" x14ac:dyDescent="0.2">
      <c r="C46" s="210"/>
      <c r="D46" s="209"/>
      <c r="E46" s="210"/>
      <c r="F46" s="209"/>
      <c r="G46" s="209"/>
    </row>
    <row r="47" spans="2:7" x14ac:dyDescent="0.2">
      <c r="C47" s="210"/>
      <c r="D47" s="209"/>
      <c r="E47" s="209"/>
      <c r="F47" s="209"/>
      <c r="G47" s="209"/>
    </row>
    <row r="48" spans="2:7" x14ac:dyDescent="0.2">
      <c r="C48" s="210"/>
      <c r="D48" s="209"/>
      <c r="E48" s="209"/>
      <c r="F48" s="209"/>
      <c r="G48" s="209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935C5-E5A0-4DA8-AAF8-B8E6D4299FA3}">
  <dimension ref="B1:P52"/>
  <sheetViews>
    <sheetView tabSelected="1" topLeftCell="A25" zoomScale="83" zoomScaleNormal="93" workbookViewId="0">
      <selection activeCell="C52" sqref="C52"/>
    </sheetView>
  </sheetViews>
  <sheetFormatPr defaultRowHeight="12.75" x14ac:dyDescent="0.2"/>
  <cols>
    <col min="3" max="3" width="51.7109375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18.75" thickBot="1" x14ac:dyDescent="0.3">
      <c r="C1" s="31" t="s">
        <v>0</v>
      </c>
      <c r="D1" s="51">
        <v>8.1</v>
      </c>
      <c r="F1" s="45" t="s">
        <v>1</v>
      </c>
      <c r="G1" s="44"/>
    </row>
    <row r="2" spans="2:16" ht="13.5" thickBot="1" x14ac:dyDescent="0.25"/>
    <row r="3" spans="2:16" ht="16.5" thickBot="1" x14ac:dyDescent="0.3">
      <c r="B3" s="37" t="s">
        <v>2</v>
      </c>
      <c r="C3" s="38"/>
      <c r="D3" s="38"/>
      <c r="E3" s="38" t="s">
        <v>3</v>
      </c>
      <c r="F3" s="38"/>
      <c r="G3" s="38"/>
      <c r="H3" s="38" t="s">
        <v>4</v>
      </c>
      <c r="I3" s="38"/>
      <c r="J3" s="175"/>
    </row>
    <row r="4" spans="2:16" ht="15" thickBot="1" x14ac:dyDescent="0.25">
      <c r="B4" s="176" t="s">
        <v>5</v>
      </c>
      <c r="C4" s="180" t="s">
        <v>6</v>
      </c>
      <c r="D4" s="178">
        <v>0.7</v>
      </c>
      <c r="E4" s="177" t="s">
        <v>7</v>
      </c>
      <c r="F4" s="177" t="s">
        <v>8</v>
      </c>
      <c r="G4" s="198">
        <f>D8-D12</f>
        <v>181.8</v>
      </c>
      <c r="H4" s="180" t="s">
        <v>9</v>
      </c>
      <c r="I4" s="180" t="s">
        <v>10</v>
      </c>
      <c r="J4" s="231">
        <f>((D20^2*G21)/2)*1000</f>
        <v>21788.759632224166</v>
      </c>
      <c r="M4" s="42"/>
    </row>
    <row r="5" spans="2:16" ht="12" customHeight="1" thickBot="1" x14ac:dyDescent="0.25">
      <c r="B5" s="63" t="s">
        <v>11</v>
      </c>
      <c r="C5" s="180" t="s">
        <v>12</v>
      </c>
      <c r="D5" s="61">
        <v>0.7</v>
      </c>
      <c r="E5" s="28" t="s">
        <v>13</v>
      </c>
      <c r="F5" s="28" t="s">
        <v>14</v>
      </c>
      <c r="G5" s="179">
        <f>D9-D13</f>
        <v>152.19999999999999</v>
      </c>
      <c r="H5" s="28" t="s">
        <v>15</v>
      </c>
      <c r="I5" s="28" t="s">
        <v>16</v>
      </c>
      <c r="J5" s="181">
        <f>((D21^2*G22)/2)*1000</f>
        <v>57883.410157618215</v>
      </c>
      <c r="M5" s="41"/>
    </row>
    <row r="6" spans="2:16" ht="16.5" customHeight="1" thickBot="1" x14ac:dyDescent="0.25">
      <c r="B6" s="63" t="s">
        <v>17</v>
      </c>
      <c r="C6" s="180" t="s">
        <v>18</v>
      </c>
      <c r="D6" s="61">
        <v>1.02</v>
      </c>
      <c r="E6" s="28" t="s">
        <v>19</v>
      </c>
      <c r="F6" s="28" t="s">
        <v>20</v>
      </c>
      <c r="G6" s="179">
        <f>D10-D14</f>
        <v>138.80000000000001</v>
      </c>
      <c r="H6" s="28" t="s">
        <v>21</v>
      </c>
      <c r="I6" s="28" t="s">
        <v>22</v>
      </c>
      <c r="J6" s="232">
        <f>J4+J5</f>
        <v>79672.169789842388</v>
      </c>
      <c r="L6" s="189" t="s">
        <v>23</v>
      </c>
      <c r="M6" s="190"/>
    </row>
    <row r="7" spans="2:16" x14ac:dyDescent="0.2">
      <c r="B7" s="63" t="s">
        <v>24</v>
      </c>
      <c r="C7" s="180" t="s">
        <v>25</v>
      </c>
      <c r="D7" s="61">
        <v>1.02</v>
      </c>
      <c r="E7" s="28" t="s">
        <v>26</v>
      </c>
      <c r="F7" s="28" t="s">
        <v>27</v>
      </c>
      <c r="G7" s="179">
        <f>D11-D15</f>
        <v>209.2</v>
      </c>
      <c r="H7" s="28" t="s">
        <v>28</v>
      </c>
      <c r="I7" s="28" t="s">
        <v>29</v>
      </c>
      <c r="J7" s="52">
        <f>G10*G27*D1+D20</f>
        <v>2022.0959999999998</v>
      </c>
    </row>
    <row r="8" spans="2:16" x14ac:dyDescent="0.2">
      <c r="B8" s="63" t="s">
        <v>30</v>
      </c>
      <c r="C8" s="28" t="s">
        <v>31</v>
      </c>
      <c r="D8" s="61">
        <v>210.8</v>
      </c>
      <c r="E8" s="30" t="s">
        <v>32</v>
      </c>
      <c r="F8" s="28" t="s">
        <v>33</v>
      </c>
      <c r="G8" s="32">
        <f>G4+G5</f>
        <v>334</v>
      </c>
      <c r="H8" s="171" t="s">
        <v>34</v>
      </c>
      <c r="I8" s="30" t="s">
        <v>35</v>
      </c>
      <c r="J8" s="233">
        <f>J7/J6</f>
        <v>2.5380204974131407E-2</v>
      </c>
      <c r="K8" s="235">
        <f>J8*180/3.142</f>
        <v>1.453990100363989</v>
      </c>
      <c r="L8" s="234" t="s">
        <v>36</v>
      </c>
      <c r="P8" s="47"/>
    </row>
    <row r="9" spans="2:16" ht="13.5" thickBot="1" x14ac:dyDescent="0.25">
      <c r="B9" s="63" t="s">
        <v>37</v>
      </c>
      <c r="C9" s="28" t="s">
        <v>38</v>
      </c>
      <c r="D9" s="61">
        <v>181.2</v>
      </c>
      <c r="E9" s="28" t="s">
        <v>39</v>
      </c>
      <c r="F9" s="28" t="s">
        <v>40</v>
      </c>
      <c r="G9" s="32">
        <f>G6+G7</f>
        <v>348</v>
      </c>
      <c r="H9" s="28" t="s">
        <v>41</v>
      </c>
      <c r="I9" s="28" t="s">
        <v>42</v>
      </c>
      <c r="J9" s="232">
        <f>J8*AVERAGE(G17,G18)*D20*1000/2</f>
        <v>376.19264326389754</v>
      </c>
      <c r="P9" s="36"/>
    </row>
    <row r="10" spans="2:16" ht="13.5" thickBot="1" x14ac:dyDescent="0.25">
      <c r="B10" s="63" t="s">
        <v>43</v>
      </c>
      <c r="C10" s="28" t="s">
        <v>44</v>
      </c>
      <c r="D10" s="61">
        <v>173.8</v>
      </c>
      <c r="E10" s="165" t="s">
        <v>45</v>
      </c>
      <c r="F10" s="165" t="s">
        <v>46</v>
      </c>
      <c r="G10" s="48">
        <f>G8+G9</f>
        <v>682</v>
      </c>
      <c r="H10" s="141" t="s">
        <v>47</v>
      </c>
      <c r="I10" s="30" t="s">
        <v>48</v>
      </c>
      <c r="J10" s="232">
        <f>(J8*G22*D21)/2*1000</f>
        <v>966.50843052767777</v>
      </c>
      <c r="L10" s="143" t="s">
        <v>49</v>
      </c>
      <c r="M10" s="144"/>
      <c r="P10" s="36"/>
    </row>
    <row r="11" spans="2:16" ht="13.5" thickBot="1" x14ac:dyDescent="0.25">
      <c r="B11" s="63" t="s">
        <v>50</v>
      </c>
      <c r="C11" s="28" t="s">
        <v>51</v>
      </c>
      <c r="D11" s="61">
        <v>244.2</v>
      </c>
      <c r="E11" s="165" t="s">
        <v>52</v>
      </c>
      <c r="F11" s="165" t="s">
        <v>53</v>
      </c>
      <c r="G11" s="169">
        <f>D8+D9+D10+D11</f>
        <v>810</v>
      </c>
      <c r="H11" s="29"/>
      <c r="I11" s="29"/>
      <c r="J11" s="53"/>
      <c r="K11" s="27"/>
      <c r="P11" s="50"/>
    </row>
    <row r="12" spans="2:16" ht="13.5" thickBot="1" x14ac:dyDescent="0.25">
      <c r="B12" s="63" t="s">
        <v>54</v>
      </c>
      <c r="C12" s="28" t="s">
        <v>55</v>
      </c>
      <c r="D12" s="62">
        <v>29</v>
      </c>
      <c r="E12" s="170" t="s">
        <v>56</v>
      </c>
      <c r="F12" s="170" t="s">
        <v>57</v>
      </c>
      <c r="G12" s="169">
        <f>D12+D13+D14+D15</f>
        <v>128</v>
      </c>
      <c r="H12" s="28" t="s">
        <v>58</v>
      </c>
      <c r="I12" s="30" t="s">
        <v>59</v>
      </c>
      <c r="J12" s="52">
        <f>((G8)*D1*D27)/D20</f>
        <v>110.42448979591838</v>
      </c>
      <c r="L12" s="143" t="s">
        <v>60</v>
      </c>
      <c r="M12" s="144"/>
      <c r="P12" s="36"/>
    </row>
    <row r="13" spans="2:16" x14ac:dyDescent="0.2">
      <c r="B13" s="63" t="s">
        <v>61</v>
      </c>
      <c r="C13" s="28" t="s">
        <v>62</v>
      </c>
      <c r="D13" s="61">
        <v>29</v>
      </c>
      <c r="E13" s="30" t="s">
        <v>63</v>
      </c>
      <c r="F13" s="28" t="s">
        <v>64</v>
      </c>
      <c r="G13" s="34">
        <f>D16/5.71</f>
        <v>41.155866900175134</v>
      </c>
      <c r="H13" s="28" t="s">
        <v>65</v>
      </c>
      <c r="I13" s="30" t="s">
        <v>66</v>
      </c>
      <c r="J13" s="52">
        <f>J11+G9*D1*D28/D21</f>
        <v>315.26052631578943</v>
      </c>
      <c r="P13" s="36"/>
    </row>
    <row r="14" spans="2:16" x14ac:dyDescent="0.2">
      <c r="B14" s="63" t="s">
        <v>67</v>
      </c>
      <c r="C14" s="28" t="s">
        <v>68</v>
      </c>
      <c r="D14" s="61">
        <v>35</v>
      </c>
      <c r="E14" s="30" t="s">
        <v>69</v>
      </c>
      <c r="F14" s="28" t="s">
        <v>70</v>
      </c>
      <c r="G14" s="34">
        <f>D17/5.71</f>
        <v>41.155866900175134</v>
      </c>
      <c r="H14" s="28" t="s">
        <v>71</v>
      </c>
      <c r="I14" s="30" t="s">
        <v>72</v>
      </c>
      <c r="J14" s="52">
        <f>(D12+D13)*D1*D23/D20</f>
        <v>89.485714285714295</v>
      </c>
    </row>
    <row r="15" spans="2:16" x14ac:dyDescent="0.2">
      <c r="B15" s="63" t="s">
        <v>73</v>
      </c>
      <c r="C15" s="28" t="s">
        <v>74</v>
      </c>
      <c r="D15" s="61">
        <v>35</v>
      </c>
      <c r="E15" s="28" t="s">
        <v>75</v>
      </c>
      <c r="F15" s="28" t="s">
        <v>76</v>
      </c>
      <c r="G15" s="34">
        <f>D18/5.71</f>
        <v>48.161120840630474</v>
      </c>
      <c r="H15" s="28" t="s">
        <v>77</v>
      </c>
      <c r="I15" s="30" t="s">
        <v>78</v>
      </c>
      <c r="J15" s="52">
        <f>(D14+D15)*D1*D24/D21</f>
        <v>104.44736842105264</v>
      </c>
      <c r="L15" s="129"/>
    </row>
    <row r="16" spans="2:16" x14ac:dyDescent="0.2">
      <c r="B16" s="63" t="s">
        <v>79</v>
      </c>
      <c r="C16" s="28" t="s">
        <v>80</v>
      </c>
      <c r="D16" s="61">
        <v>235</v>
      </c>
      <c r="E16" s="28" t="s">
        <v>81</v>
      </c>
      <c r="F16" s="28" t="s">
        <v>82</v>
      </c>
      <c r="G16" s="34">
        <f>D19/5.71</f>
        <v>48.161120840630474</v>
      </c>
      <c r="H16" s="28"/>
      <c r="I16" s="165" t="s">
        <v>83</v>
      </c>
      <c r="J16" s="173">
        <f>J9+J12+J14</f>
        <v>576.10284734553022</v>
      </c>
    </row>
    <row r="17" spans="2:16" ht="13.5" thickBot="1" x14ac:dyDescent="0.25">
      <c r="B17" s="63" t="s">
        <v>84</v>
      </c>
      <c r="C17" s="28" t="s">
        <v>85</v>
      </c>
      <c r="D17" s="61">
        <v>235</v>
      </c>
      <c r="E17" s="28" t="s">
        <v>86</v>
      </c>
      <c r="F17" s="28" t="s">
        <v>87</v>
      </c>
      <c r="G17" s="34">
        <f>G13*D4^2</f>
        <v>20.166374781085814</v>
      </c>
      <c r="H17" s="28"/>
      <c r="I17" s="165" t="s">
        <v>88</v>
      </c>
      <c r="J17" s="174">
        <f>J10+J13+J15</f>
        <v>1386.2163252645198</v>
      </c>
      <c r="L17" s="129"/>
      <c r="P17" s="50"/>
    </row>
    <row r="18" spans="2:16" ht="13.5" thickBot="1" x14ac:dyDescent="0.25">
      <c r="B18" s="63" t="s">
        <v>75</v>
      </c>
      <c r="C18" s="28" t="s">
        <v>89</v>
      </c>
      <c r="D18" s="61">
        <v>275</v>
      </c>
      <c r="E18" s="28" t="s">
        <v>90</v>
      </c>
      <c r="F18" s="28" t="s">
        <v>91</v>
      </c>
      <c r="G18" s="230">
        <f>G14*D5^2</f>
        <v>20.166374781085814</v>
      </c>
      <c r="H18" s="28"/>
      <c r="I18" s="172" t="s">
        <v>92</v>
      </c>
      <c r="J18" s="236">
        <f>J16+J17</f>
        <v>1962.3191726100499</v>
      </c>
      <c r="P18" s="50"/>
    </row>
    <row r="19" spans="2:16" x14ac:dyDescent="0.2">
      <c r="B19" s="63" t="s">
        <v>81</v>
      </c>
      <c r="C19" s="28" t="s">
        <v>93</v>
      </c>
      <c r="D19" s="61">
        <v>275</v>
      </c>
      <c r="E19" s="28" t="s">
        <v>94</v>
      </c>
      <c r="F19" s="28" t="s">
        <v>95</v>
      </c>
      <c r="G19" s="35">
        <f>G15*D6^2</f>
        <v>50.106830122591944</v>
      </c>
      <c r="H19" s="28" t="s">
        <v>96</v>
      </c>
      <c r="I19" s="28" t="s">
        <v>97</v>
      </c>
      <c r="J19" s="237">
        <f>(D8*9.81)+J16</f>
        <v>2644.0508473455307</v>
      </c>
      <c r="L19" s="147" t="s">
        <v>98</v>
      </c>
      <c r="M19" s="148"/>
      <c r="N19" s="149"/>
      <c r="O19" s="150"/>
      <c r="P19" s="50"/>
    </row>
    <row r="20" spans="2:16" x14ac:dyDescent="0.2">
      <c r="B20" s="63" t="s">
        <v>99</v>
      </c>
      <c r="C20" s="28" t="s">
        <v>100</v>
      </c>
      <c r="D20" s="61">
        <v>1.47</v>
      </c>
      <c r="E20" s="28" t="s">
        <v>101</v>
      </c>
      <c r="F20" s="28" t="s">
        <v>102</v>
      </c>
      <c r="G20" s="35">
        <f>G16*D7^2</f>
        <v>50.106830122591944</v>
      </c>
      <c r="H20" s="30" t="s">
        <v>103</v>
      </c>
      <c r="I20" s="28" t="s">
        <v>104</v>
      </c>
      <c r="J20" s="238">
        <f>(D9*9.81)-J16</f>
        <v>1201.4691526544698</v>
      </c>
      <c r="L20" s="151" t="s">
        <v>105</v>
      </c>
      <c r="M20" s="46"/>
      <c r="N20" s="46"/>
      <c r="O20" s="152"/>
      <c r="P20" s="50"/>
    </row>
    <row r="21" spans="2:16" x14ac:dyDescent="0.2">
      <c r="B21" s="63" t="s">
        <v>106</v>
      </c>
      <c r="C21" s="28" t="s">
        <v>107</v>
      </c>
      <c r="D21" s="61">
        <v>1.52</v>
      </c>
      <c r="E21" s="195" t="s">
        <v>108</v>
      </c>
      <c r="F21" s="192" t="s">
        <v>109</v>
      </c>
      <c r="G21" s="229">
        <f>(G17+G18)/2</f>
        <v>20.166374781085814</v>
      </c>
      <c r="H21" s="30" t="s">
        <v>110</v>
      </c>
      <c r="I21" s="28" t="s">
        <v>111</v>
      </c>
      <c r="J21" s="60">
        <f>(D10*9.81)+J17</f>
        <v>3091.1943252645201</v>
      </c>
      <c r="L21" s="153" t="s">
        <v>112</v>
      </c>
      <c r="M21" s="46"/>
      <c r="N21" s="46"/>
      <c r="O21" s="152"/>
    </row>
    <row r="22" spans="2:16" ht="13.5" thickBot="1" x14ac:dyDescent="0.25">
      <c r="B22" s="63" t="s">
        <v>113</v>
      </c>
      <c r="C22" s="28" t="s">
        <v>114</v>
      </c>
      <c r="D22" s="61">
        <v>2.5499999999999998</v>
      </c>
      <c r="E22" s="195" t="s">
        <v>115</v>
      </c>
      <c r="F22" s="192" t="s">
        <v>116</v>
      </c>
      <c r="G22" s="193">
        <f>(G19+G20)/2</f>
        <v>50.106830122591944</v>
      </c>
      <c r="H22" s="28" t="s">
        <v>117</v>
      </c>
      <c r="I22" s="28" t="s">
        <v>118</v>
      </c>
      <c r="J22" s="135">
        <f>(D11*9.81)-J17</f>
        <v>1009.3856747354801</v>
      </c>
      <c r="L22" s="154" t="s">
        <v>119</v>
      </c>
      <c r="M22" s="155"/>
      <c r="N22" s="155"/>
      <c r="O22" s="156"/>
    </row>
    <row r="23" spans="2:16" x14ac:dyDescent="0.2">
      <c r="B23" s="164" t="s">
        <v>120</v>
      </c>
      <c r="C23" s="165" t="s">
        <v>121</v>
      </c>
      <c r="D23" s="61">
        <v>0.28000000000000003</v>
      </c>
      <c r="E23" s="28" t="s">
        <v>122</v>
      </c>
      <c r="F23" s="30" t="s">
        <v>123</v>
      </c>
      <c r="G23" s="196">
        <f>(G9*D22)/G10</f>
        <v>1.3011730205278591</v>
      </c>
      <c r="H23" s="28"/>
      <c r="I23" s="134" t="s">
        <v>124</v>
      </c>
      <c r="J23" s="239">
        <f>SUM(J19, J20, J21, J22)</f>
        <v>7946.1</v>
      </c>
    </row>
    <row r="24" spans="2:16" ht="13.5" thickBot="1" x14ac:dyDescent="0.25">
      <c r="B24" s="166" t="s">
        <v>125</v>
      </c>
      <c r="C24" s="167" t="s">
        <v>126</v>
      </c>
      <c r="D24" s="168">
        <v>0.28000000000000003</v>
      </c>
      <c r="E24" s="28" t="s">
        <v>127</v>
      </c>
      <c r="F24" s="28" t="s">
        <v>128</v>
      </c>
      <c r="G24" s="49">
        <f>D28-D27</f>
        <v>0.11000000000000001</v>
      </c>
      <c r="H24" s="28"/>
      <c r="I24" s="58" t="s">
        <v>129</v>
      </c>
      <c r="J24" s="137">
        <f>G11*9.81</f>
        <v>7946.1</v>
      </c>
    </row>
    <row r="25" spans="2:16" x14ac:dyDescent="0.2">
      <c r="B25" s="186" t="s">
        <v>130</v>
      </c>
      <c r="C25" s="28" t="s">
        <v>131</v>
      </c>
      <c r="D25" s="61">
        <v>0.45</v>
      </c>
      <c r="E25" s="28" t="s">
        <v>132</v>
      </c>
      <c r="F25" s="28" t="s">
        <v>133</v>
      </c>
      <c r="G25" s="49">
        <f>G24/D22*G23</f>
        <v>5.6129032258064517E-2</v>
      </c>
      <c r="H25" s="28"/>
      <c r="I25" s="28"/>
      <c r="J25" s="132"/>
    </row>
    <row r="26" spans="2:16" ht="13.5" thickBot="1" x14ac:dyDescent="0.25">
      <c r="B26" s="63" t="s">
        <v>134</v>
      </c>
      <c r="C26" s="28" t="s">
        <v>135</v>
      </c>
      <c r="D26" s="203">
        <f>((D25*G11)-((D12+D13)*D23)-((D14+D15)*D24))/G10</f>
        <v>0.48190615835777123</v>
      </c>
      <c r="E26" s="28" t="s">
        <v>136</v>
      </c>
      <c r="F26" s="28" t="s">
        <v>137</v>
      </c>
      <c r="G26" s="197">
        <f>G25+D27</f>
        <v>0.11612903225806451</v>
      </c>
      <c r="H26" s="28"/>
      <c r="I26" s="28"/>
      <c r="J26" s="131"/>
    </row>
    <row r="27" spans="2:16" ht="13.5" thickBot="1" x14ac:dyDescent="0.25">
      <c r="B27" s="63" t="s">
        <v>138</v>
      </c>
      <c r="C27" s="30" t="s">
        <v>139</v>
      </c>
      <c r="D27" s="61">
        <v>0.06</v>
      </c>
      <c r="E27" s="28" t="s">
        <v>140</v>
      </c>
      <c r="F27" s="28" t="s">
        <v>141</v>
      </c>
      <c r="G27" s="197">
        <f>D26-G25-D27</f>
        <v>0.3657771260997067</v>
      </c>
      <c r="H27" s="28" t="s">
        <v>142</v>
      </c>
      <c r="I27" s="55" t="s">
        <v>143</v>
      </c>
      <c r="J27" s="199">
        <f>G11*D1*D25 /AVERAGE(D20,D21)</f>
        <v>1974.8829431438128</v>
      </c>
      <c r="L27" s="157" t="s">
        <v>144</v>
      </c>
      <c r="M27" s="149"/>
      <c r="N27" s="149"/>
      <c r="O27" s="158"/>
      <c r="P27" s="150"/>
    </row>
    <row r="28" spans="2:16" ht="13.5" thickBot="1" x14ac:dyDescent="0.25">
      <c r="B28" s="182" t="s">
        <v>145</v>
      </c>
      <c r="C28" s="187" t="s">
        <v>146</v>
      </c>
      <c r="D28" s="183">
        <v>0.17</v>
      </c>
      <c r="E28" s="64"/>
      <c r="F28" s="64"/>
      <c r="G28" s="184"/>
      <c r="H28" s="64"/>
      <c r="I28" s="64"/>
      <c r="J28" s="185"/>
      <c r="L28" s="159" t="s">
        <v>147</v>
      </c>
      <c r="M28" s="155"/>
      <c r="N28" s="155"/>
      <c r="O28" s="160"/>
      <c r="P28" s="156"/>
    </row>
    <row r="29" spans="2:16" x14ac:dyDescent="0.2">
      <c r="B29" s="201" t="s">
        <v>188</v>
      </c>
      <c r="C29" s="167" t="s">
        <v>193</v>
      </c>
      <c r="D29" s="228">
        <f>J19-J20</f>
        <v>1442.5816946910609</v>
      </c>
      <c r="L29" s="139"/>
      <c r="M29" s="139"/>
      <c r="N29" s="139"/>
      <c r="O29" s="139"/>
    </row>
    <row r="30" spans="2:16" ht="14.25" x14ac:dyDescent="0.2">
      <c r="B30" s="201" t="s">
        <v>189</v>
      </c>
      <c r="C30" s="195" t="s">
        <v>192</v>
      </c>
      <c r="D30" s="202">
        <f>J21-J22</f>
        <v>2081.8086505290403</v>
      </c>
      <c r="G30" s="191"/>
      <c r="H30" s="39"/>
      <c r="I30" s="39"/>
      <c r="L30" s="138"/>
      <c r="M30" s="138"/>
      <c r="N30" s="138"/>
      <c r="O30" s="138"/>
    </row>
    <row r="31" spans="2:16" ht="15" thickBot="1" x14ac:dyDescent="0.25">
      <c r="B31" s="201" t="s">
        <v>190</v>
      </c>
      <c r="C31" s="195" t="s">
        <v>191</v>
      </c>
      <c r="D31" s="212">
        <f>D29-D30</f>
        <v>-639.2269558379794</v>
      </c>
      <c r="G31" s="39"/>
      <c r="I31" s="39"/>
    </row>
    <row r="32" spans="2:16" ht="15" x14ac:dyDescent="0.25">
      <c r="C32" s="195" t="s">
        <v>194</v>
      </c>
      <c r="D32" s="212">
        <f>(J17/J27)*100</f>
        <v>70.192328617604261</v>
      </c>
      <c r="F32" s="205"/>
      <c r="H32" s="40"/>
    </row>
    <row r="33" spans="2:7" ht="15" thickBot="1" x14ac:dyDescent="0.25">
      <c r="F33" s="206"/>
    </row>
    <row r="34" spans="2:7" ht="13.5" thickBot="1" x14ac:dyDescent="0.25"/>
    <row r="35" spans="2:7" ht="13.5" thickBot="1" x14ac:dyDescent="0.25">
      <c r="B35" s="54"/>
      <c r="C35" s="207"/>
      <c r="D35" s="208"/>
    </row>
    <row r="36" spans="2:7" x14ac:dyDescent="0.2">
      <c r="B36" s="50"/>
      <c r="C36" s="142"/>
      <c r="D36" s="50"/>
    </row>
    <row r="37" spans="2:7" x14ac:dyDescent="0.2">
      <c r="B37" s="50"/>
      <c r="C37" s="142"/>
      <c r="D37" s="50"/>
    </row>
    <row r="39" spans="2:7" x14ac:dyDescent="0.2">
      <c r="C39" s="211"/>
      <c r="D39" s="212"/>
    </row>
    <row r="41" spans="2:7" x14ac:dyDescent="0.2">
      <c r="C41" s="210" t="s">
        <v>206</v>
      </c>
      <c r="D41" s="209"/>
      <c r="E41" s="209"/>
      <c r="F41" s="210"/>
      <c r="G41" s="210"/>
    </row>
    <row r="42" spans="2:7" x14ac:dyDescent="0.2">
      <c r="C42" s="210" t="s">
        <v>207</v>
      </c>
      <c r="D42" s="209"/>
      <c r="E42" s="209"/>
      <c r="F42" s="209"/>
      <c r="G42" s="210"/>
    </row>
    <row r="43" spans="2:7" x14ac:dyDescent="0.2">
      <c r="C43" s="210" t="s">
        <v>208</v>
      </c>
      <c r="D43" s="209"/>
      <c r="E43" s="209"/>
      <c r="F43" s="209"/>
      <c r="G43" s="209"/>
    </row>
    <row r="44" spans="2:7" x14ac:dyDescent="0.2">
      <c r="C44" s="210" t="s">
        <v>209</v>
      </c>
      <c r="D44" s="209"/>
      <c r="E44" s="210"/>
      <c r="F44" s="209"/>
      <c r="G44" s="209"/>
    </row>
    <row r="45" spans="2:7" x14ac:dyDescent="0.2">
      <c r="C45" s="210" t="s">
        <v>210</v>
      </c>
      <c r="D45" s="209"/>
      <c r="E45" s="209"/>
      <c r="F45" s="209"/>
      <c r="G45" s="209"/>
    </row>
    <row r="46" spans="2:7" x14ac:dyDescent="0.2">
      <c r="C46" s="210" t="s">
        <v>211</v>
      </c>
      <c r="D46" s="209"/>
      <c r="E46" s="210"/>
      <c r="F46" s="209"/>
      <c r="G46" s="209"/>
    </row>
    <row r="47" spans="2:7" x14ac:dyDescent="0.2">
      <c r="C47" s="210" t="s">
        <v>212</v>
      </c>
      <c r="D47" s="209"/>
      <c r="E47" s="209"/>
      <c r="F47" s="209"/>
      <c r="G47" s="209"/>
    </row>
    <row r="48" spans="2:7" x14ac:dyDescent="0.2">
      <c r="C48" s="210" t="s">
        <v>213</v>
      </c>
      <c r="D48" s="209"/>
      <c r="E48" s="209"/>
      <c r="F48" s="209"/>
      <c r="G48" s="209"/>
    </row>
    <row r="49" spans="3:7" x14ac:dyDescent="0.2">
      <c r="C49" s="210" t="s">
        <v>214</v>
      </c>
      <c r="D49" s="209"/>
      <c r="E49" s="209"/>
      <c r="F49" s="209"/>
      <c r="G49" s="209"/>
    </row>
    <row r="50" spans="3:7" x14ac:dyDescent="0.2">
      <c r="C50" s="210" t="s">
        <v>215</v>
      </c>
      <c r="D50" s="209"/>
      <c r="E50" s="209"/>
      <c r="F50" s="209"/>
      <c r="G50" s="209"/>
    </row>
    <row r="51" spans="3:7" x14ac:dyDescent="0.2">
      <c r="C51" s="210" t="s">
        <v>216</v>
      </c>
      <c r="D51" s="209"/>
      <c r="E51" s="209"/>
      <c r="F51" s="209"/>
      <c r="G51" s="209"/>
    </row>
    <row r="52" spans="3:7" x14ac:dyDescent="0.2">
      <c r="C52" s="210" t="s">
        <v>217</v>
      </c>
      <c r="D52" s="209"/>
      <c r="E52" s="209"/>
      <c r="F52" s="209"/>
      <c r="G52" s="209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CBB502496A1146A491A9F165EDE067" ma:contentTypeVersion="0" ma:contentTypeDescription="Create a new document." ma:contentTypeScope="" ma:versionID="6a2700d902c5d2ec858e13932a7c5e1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fee3eb741f5708c01c290cc92aa4d1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DD0C8F-2AC8-44AF-9299-314EDA2823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80FA31-66B0-44E2-82A5-785CC32BDD9E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B1FB3F5-C84A-4263-8D3C-7B1D21D553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Load Spliits</vt:lpstr>
      <vt:lpstr>Spring Rate Conversion</vt:lpstr>
      <vt:lpstr>Live calc</vt:lpstr>
      <vt:lpstr>Exam Q1</vt:lpstr>
      <vt:lpstr>Exam Q2</vt:lpstr>
      <vt:lpstr>Exam Q3</vt:lpstr>
      <vt:lpstr>Exam Q4</vt:lpstr>
      <vt:lpstr>Exam Q5</vt:lpstr>
      <vt:lpstr>Exam Q6</vt:lpstr>
    </vt:vector>
  </TitlesOfParts>
  <Manager/>
  <Company>Swansea Institute of Higher Education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Roger Dowden</dc:creator>
  <cp:keywords/>
  <dc:description/>
  <cp:lastModifiedBy>Mark Reed</cp:lastModifiedBy>
  <cp:revision/>
  <dcterms:created xsi:type="dcterms:W3CDTF">2008-02-09T17:39:24Z</dcterms:created>
  <dcterms:modified xsi:type="dcterms:W3CDTF">2020-05-04T14:22:06Z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0x01010087CBB502496A1146A491A9F165EDE067</vt:lpwstr>
  </property>
</Properties>
</file>