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bus-mp\Downloads\"/>
    </mc:Choice>
  </mc:AlternateContent>
  <xr:revisionPtr revIDLastSave="0" documentId="8_{5E6239E7-64BF-4E2C-A0C9-3E9D921130AF}" xr6:coauthVersionLast="47" xr6:coauthVersionMax="47" xr10:uidLastSave="{00000000-0000-0000-0000-000000000000}"/>
  <bookViews>
    <workbookView xWindow="69720" yWindow="-120" windowWidth="29040" windowHeight="15840" xr2:uid="{B997FA52-DCCF-4EC1-864F-958DACE2F64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45" i="1" l="1"/>
  <c r="F245" i="1"/>
  <c r="F247" i="1" s="1"/>
  <c r="C246" i="1"/>
  <c r="F246" i="1"/>
  <c r="D218" i="1"/>
  <c r="C145" i="1"/>
  <c r="C136" i="1"/>
  <c r="C138" i="1" s="1"/>
  <c r="C131" i="1"/>
  <c r="C133" i="1" s="1"/>
  <c r="H105" i="1"/>
  <c r="C123" i="1"/>
  <c r="F123" i="1" s="1"/>
  <c r="F122" i="1"/>
  <c r="F121" i="1"/>
  <c r="D117" i="1"/>
  <c r="D120" i="1" s="1"/>
  <c r="C117" i="1"/>
  <c r="C120" i="1" s="1"/>
  <c r="H5" i="1"/>
  <c r="F82" i="1"/>
  <c r="F81" i="1"/>
  <c r="B81" i="1"/>
  <c r="B84" i="1" s="1"/>
  <c r="F80" i="1"/>
  <c r="B99" i="1"/>
  <c r="B73" i="1" s="1"/>
  <c r="B94" i="1"/>
  <c r="B72" i="1" s="1"/>
  <c r="F76" i="1"/>
  <c r="D73" i="1"/>
  <c r="D75" i="1" s="1"/>
  <c r="D77" i="1" s="1"/>
  <c r="C72" i="1"/>
  <c r="C75" i="1" s="1"/>
  <c r="C77" i="1" s="1"/>
  <c r="F71" i="1"/>
  <c r="F59" i="1"/>
  <c r="F57" i="1"/>
  <c r="C57" i="1"/>
  <c r="F55" i="1"/>
  <c r="F54" i="1"/>
  <c r="D47" i="1"/>
  <c r="F47" i="1" s="1"/>
  <c r="C46" i="1"/>
  <c r="F46" i="1" s="1"/>
  <c r="C22" i="1"/>
  <c r="H173" i="1"/>
  <c r="F124" i="1" l="1"/>
  <c r="F72" i="1"/>
  <c r="F73" i="1"/>
  <c r="F87" i="1"/>
  <c r="F89" i="1" s="1"/>
  <c r="B75" i="1"/>
  <c r="B77" i="1" s="1"/>
  <c r="F61" i="1"/>
  <c r="D49" i="1"/>
  <c r="D51" i="1" s="1"/>
  <c r="C49" i="1"/>
  <c r="C51" i="1" s="1"/>
  <c r="F75" i="1" l="1"/>
  <c r="F77" i="1" s="1"/>
  <c r="H193" i="1"/>
  <c r="C208" i="1"/>
  <c r="C183" i="1"/>
  <c r="D183" i="1" s="1"/>
  <c r="D181" i="1"/>
  <c r="D180" i="1"/>
  <c r="D179" i="1"/>
  <c r="D177" i="1"/>
  <c r="H154" i="1"/>
  <c r="C165" i="1"/>
  <c r="C164" i="1"/>
  <c r="C163" i="1"/>
  <c r="C162" i="1"/>
  <c r="C161" i="1"/>
  <c r="C160" i="1"/>
  <c r="C159" i="1"/>
  <c r="C158" i="1"/>
  <c r="C157" i="1"/>
  <c r="D157" i="1" s="1"/>
  <c r="D14" i="1"/>
  <c r="D31" i="1"/>
  <c r="H3" i="1" l="1"/>
  <c r="D184" i="1"/>
  <c r="D186" i="1" s="1"/>
  <c r="C209" i="1"/>
  <c r="F209" i="1" s="1"/>
  <c r="F210" i="1" s="1"/>
  <c r="C214" i="1" s="1"/>
  <c r="C215" i="1" s="1"/>
  <c r="D158" i="1"/>
  <c r="D159" i="1" s="1"/>
  <c r="D160" i="1" s="1"/>
  <c r="D161" i="1" s="1"/>
  <c r="D162" i="1" s="1"/>
  <c r="D163" i="1" s="1"/>
  <c r="D164" i="1" s="1"/>
  <c r="D165" i="1" s="1"/>
  <c r="D33" i="1"/>
  <c r="D35" i="1" s="1"/>
  <c r="D41" i="1" l="1"/>
  <c r="B64" i="1" s="1"/>
  <c r="B65" i="1" s="1"/>
  <c r="B66" i="1" s="1"/>
  <c r="B50" i="1" s="1"/>
  <c r="F50" i="1" s="1"/>
  <c r="B45" i="1"/>
  <c r="C210" i="1"/>
  <c r="F45" i="1" l="1"/>
  <c r="F49" i="1" s="1"/>
  <c r="F51" i="1" s="1"/>
  <c r="B49" i="1"/>
  <c r="B51" i="1" s="1"/>
</calcChain>
</file>

<file path=xl/sharedStrings.xml><?xml version="1.0" encoding="utf-8"?>
<sst xmlns="http://schemas.openxmlformats.org/spreadsheetml/2006/main" count="216" uniqueCount="197">
  <si>
    <t>MARKS</t>
  </si>
  <si>
    <t>Net Profit as per Accounts</t>
  </si>
  <si>
    <t>Add Back:</t>
  </si>
  <si>
    <t>Deduct:</t>
  </si>
  <si>
    <t>not allowable</t>
  </si>
  <si>
    <t>Home as office</t>
  </si>
  <si>
    <t>Dividends</t>
  </si>
  <si>
    <t>Total</t>
  </si>
  <si>
    <t>Employment Income</t>
  </si>
  <si>
    <t>Telephone</t>
  </si>
  <si>
    <t>Taxable Income</t>
  </si>
  <si>
    <t>Income Tax</t>
  </si>
  <si>
    <t>Tax Due</t>
  </si>
  <si>
    <t>Rolling Sales</t>
  </si>
  <si>
    <t>Dec</t>
  </si>
  <si>
    <t>Jan</t>
  </si>
  <si>
    <t>Feb</t>
  </si>
  <si>
    <t>March</t>
  </si>
  <si>
    <t>April</t>
  </si>
  <si>
    <t>May</t>
  </si>
  <si>
    <t>June</t>
  </si>
  <si>
    <t>July</t>
  </si>
  <si>
    <t>Aug</t>
  </si>
  <si>
    <t>Sept</t>
  </si>
  <si>
    <t>cumulative</t>
  </si>
  <si>
    <t>Hit threshold</t>
  </si>
  <si>
    <t>Compulsory Registration Date</t>
  </si>
  <si>
    <t>1.4.20</t>
  </si>
  <si>
    <t>Notify HMRC by</t>
  </si>
  <si>
    <t>30 days after the period it exceeded the threshold</t>
  </si>
  <si>
    <t>31.3.20</t>
  </si>
  <si>
    <t>1st day of 2nd month after limit exceeded</t>
  </si>
  <si>
    <t>a. VAT Registration</t>
  </si>
  <si>
    <t>Registration Date 1.4.20 so first vat return is 1.4.20 to 30.6.20</t>
  </si>
  <si>
    <t>Sales Vat in period</t>
  </si>
  <si>
    <t>Purchase Vat in Period</t>
  </si>
  <si>
    <t>Vat Due</t>
  </si>
  <si>
    <t>First Quarter to 30.6.20</t>
  </si>
  <si>
    <t>less entertaining 3 x £1000</t>
  </si>
  <si>
    <t>bad debts</t>
  </si>
  <si>
    <t xml:space="preserve">Motor car </t>
  </si>
  <si>
    <t>Capital Equipment £12000 /1.2</t>
  </si>
  <si>
    <t>Vat is due for payment on 7th August 2020</t>
  </si>
  <si>
    <t>Pool</t>
  </si>
  <si>
    <t>Special</t>
  </si>
  <si>
    <t>WDV B/fwd</t>
  </si>
  <si>
    <t>Purchases qualifying for AIA</t>
  </si>
  <si>
    <t>Allowance at 18%</t>
  </si>
  <si>
    <t>Allowances</t>
  </si>
  <si>
    <t>WDV C/fwd</t>
  </si>
  <si>
    <t>less Capital Allowances</t>
  </si>
  <si>
    <t>b. VAT Calculation</t>
  </si>
  <si>
    <t>END OF MODEL ANSWERS</t>
  </si>
  <si>
    <t>Depreciation</t>
  </si>
  <si>
    <t>Question 1 - John and Norma</t>
  </si>
  <si>
    <t>Drawings</t>
  </si>
  <si>
    <t>Motor Expenses</t>
  </si>
  <si>
    <t>5000 / 20000 x £2000</t>
  </si>
  <si>
    <t>£2000 x 12</t>
  </si>
  <si>
    <t>1/5 x £750</t>
  </si>
  <si>
    <t>Sundry Expenses</t>
  </si>
  <si>
    <t>Rates and Insurance</t>
  </si>
  <si>
    <t>no change needed</t>
  </si>
  <si>
    <t>Light &amp; Heat</t>
  </si>
  <si>
    <t>Repairs and Maintenance</t>
  </si>
  <si>
    <t>entertaining</t>
  </si>
  <si>
    <t>gifts of wine</t>
  </si>
  <si>
    <t>diaries - no change needed</t>
  </si>
  <si>
    <t>Provision for Bad and Doubtful Debts</t>
  </si>
  <si>
    <t>Business Credit Card Interest</t>
  </si>
  <si>
    <t>Loss on sale of Fixed Asset</t>
  </si>
  <si>
    <t>non allowable</t>
  </si>
  <si>
    <t>disallow non specific 350-100</t>
  </si>
  <si>
    <t>Adjusted Trading Profit before Capital Allowances</t>
  </si>
  <si>
    <t>Taxable Trading Profits</t>
  </si>
  <si>
    <t>Income from Investments</t>
  </si>
  <si>
    <t>Income from Dividends</t>
  </si>
  <si>
    <t>Bank Interest Received</t>
  </si>
  <si>
    <t>Total Taxable Income</t>
  </si>
  <si>
    <t>Income Tax computation for John for 19/20</t>
  </si>
  <si>
    <t>Trading Profits</t>
  </si>
  <si>
    <t>NSI</t>
  </si>
  <si>
    <t>SI</t>
  </si>
  <si>
    <t>Dividend</t>
  </si>
  <si>
    <t>less Personal Allowance</t>
  </si>
  <si>
    <t>37500 at 20%</t>
  </si>
  <si>
    <t>4650 at 40%</t>
  </si>
  <si>
    <t>500 at 0% savings</t>
  </si>
  <si>
    <t>30750 at 40% savings</t>
  </si>
  <si>
    <t>Dividends at 0%</t>
  </si>
  <si>
    <t>Dividends at 32.5</t>
  </si>
  <si>
    <t>excess over allowable</t>
  </si>
  <si>
    <t>excess divided by 2</t>
  </si>
  <si>
    <t>Reduced PA</t>
  </si>
  <si>
    <t>Restricted PA Calculation</t>
  </si>
  <si>
    <t xml:space="preserve">Total Tax Due </t>
  </si>
  <si>
    <t>Bank Interest</t>
  </si>
  <si>
    <t>Total Tax Due</t>
  </si>
  <si>
    <t>Less Tax suffered at Source</t>
  </si>
  <si>
    <t>PAYE</t>
  </si>
  <si>
    <t>Repayment Due</t>
  </si>
  <si>
    <t>W1 Car</t>
  </si>
  <si>
    <t>list price</t>
  </si>
  <si>
    <t>% applicable for co2</t>
  </si>
  <si>
    <t>Benefit In Kind Car (W1)</t>
  </si>
  <si>
    <t>W2 Fuel</t>
  </si>
  <si>
    <t>Base figure</t>
  </si>
  <si>
    <t>W3 Pension</t>
  </si>
  <si>
    <t>No BIK and tax relief claimed at source</t>
  </si>
  <si>
    <t>Benefit in Kind Fuel (W2)</t>
  </si>
  <si>
    <t>Benefit in Kind Pension (W3)</t>
  </si>
  <si>
    <t>112500 at 40%</t>
  </si>
  <si>
    <t>Tax at 45%</t>
  </si>
  <si>
    <t>May 2021 Examination - Model Answers</t>
  </si>
  <si>
    <t>i) Adjusted Profit for Jonathan for the year ended 31st December 2019</t>
  </si>
  <si>
    <t>a) Entrepreneur relief</t>
  </si>
  <si>
    <t>1 mark for each correct point</t>
  </si>
  <si>
    <t>b) Toby</t>
  </si>
  <si>
    <t>Question 2 - Capital Gains</t>
  </si>
  <si>
    <t>Capital Gains Tax computation for 19/20</t>
  </si>
  <si>
    <t>Gain on House in Liverpool</t>
  </si>
  <si>
    <t>see working 1</t>
  </si>
  <si>
    <t>Gain on Painting</t>
  </si>
  <si>
    <t>see working 2</t>
  </si>
  <si>
    <t>Sale of Greeting Card Business</t>
  </si>
  <si>
    <t>see working 3</t>
  </si>
  <si>
    <t>ER</t>
  </si>
  <si>
    <t>Normal Gains</t>
  </si>
  <si>
    <t>Less losses b/fwd</t>
  </si>
  <si>
    <t>less annual exemption</t>
  </si>
  <si>
    <t>CGT at 10%</t>
  </si>
  <si>
    <t>CGT at 20%</t>
  </si>
  <si>
    <t>CGT at 28%</t>
  </si>
  <si>
    <t>CGT for the year</t>
  </si>
  <si>
    <t>w1. House in Liverpool</t>
  </si>
  <si>
    <t>Disposal Proceeds</t>
  </si>
  <si>
    <t>less selling costs</t>
  </si>
  <si>
    <t>less cost (75000 + 3500)</t>
  </si>
  <si>
    <t>less improvements</t>
  </si>
  <si>
    <t>Total Gain</t>
  </si>
  <si>
    <t>50% Toby share</t>
  </si>
  <si>
    <t>w2. Painting</t>
  </si>
  <si>
    <t>Gross proceeds</t>
  </si>
  <si>
    <t>63,000 x 100 / 90</t>
  </si>
  <si>
    <t>Gain</t>
  </si>
  <si>
    <t>w3 Greeting Card Business</t>
  </si>
  <si>
    <t>Qualifies for ER</t>
  </si>
  <si>
    <t>Sales Proceeds</t>
  </si>
  <si>
    <t>less cost goodwill</t>
  </si>
  <si>
    <t>less cost of factory</t>
  </si>
  <si>
    <t>Gain Qualifying for ER</t>
  </si>
  <si>
    <t>less costs of disposal</t>
  </si>
  <si>
    <t>Question 3 - Sell.com</t>
  </si>
  <si>
    <t>Question 4</t>
  </si>
  <si>
    <t>Taxation Module BMBM5019</t>
  </si>
  <si>
    <t>1 Jan Machinery</t>
  </si>
  <si>
    <t>Cost 120000</t>
  </si>
  <si>
    <t>AIA 120000</t>
  </si>
  <si>
    <t>6 April Van</t>
  </si>
  <si>
    <t>Cost £17,500</t>
  </si>
  <si>
    <t>AIA £17,500</t>
  </si>
  <si>
    <t>Additions for Pool:</t>
  </si>
  <si>
    <t>10 May - car</t>
  </si>
  <si>
    <t>a. Gary Capital Allowances</t>
  </si>
  <si>
    <t>(i) Capital Allowances for the year ending 31.12.19</t>
  </si>
  <si>
    <t>(ii) Gary Taxable Profit</t>
  </si>
  <si>
    <t>Profit before CA</t>
  </si>
  <si>
    <t>less CAs</t>
  </si>
  <si>
    <t>18/19</t>
  </si>
  <si>
    <t>Actual Basis</t>
  </si>
  <si>
    <t>1.1.19 to 5.4.19</t>
  </si>
  <si>
    <t>19/20</t>
  </si>
  <si>
    <t>CYB</t>
  </si>
  <si>
    <t>1.1.19 to 31.12.19</t>
  </si>
  <si>
    <t xml:space="preserve"> 3 x 12 </t>
  </si>
  <si>
    <t>whole year</t>
  </si>
  <si>
    <t>Overlap Profit to c/fwd</t>
  </si>
  <si>
    <t>(b) Taking on a partner</t>
  </si>
  <si>
    <t>Each year the partnership must submit a tax return to HMRC; this return provides information on the profit or loss for the period of account ending in the tax year and gives details of the partnership sharing agreement in force during that period. This return is also used to claim capital allowances and any business expenses incurred by the partners.</t>
  </si>
  <si>
    <t>The adjusted trading profit or loss is calculated in the usual way; any drawings or other appropriations of profits made by the partners are disallowed with capital allowances being treated as a trading expense. The adjusted trading profit or loss is then allocated between the partners and if the partnership agreement has changed during the period, then the profit must be time apportioned.</t>
  </si>
  <si>
    <t>Partners are then assessed to tax individually as if each partner’s share of the partnership profit had arisen from a trade carried on by that partner alone. The rules for opening and closing years are the same for the rules for basis periods with overlap profits working in the same way.</t>
  </si>
  <si>
    <t>Each partner is solely responsible for the tax due on his or her share of the partnership profit; they must include their share of the partnership profit or loss in their own tax return and in their self-assessment calculations.</t>
  </si>
  <si>
    <t>Partnership taxation is an extension of income from self-employment  Under the partnership tax rules, a partnership is not regarded as a separate entity for taxation purposes and the partnership itself is not charged to tax. Instead, the profits of the partnership are allocated between the partners and then each partner is taxed as an individual.</t>
  </si>
  <si>
    <t>(ii) Ltd Company Tax calculation for the year to 31.12.19</t>
  </si>
  <si>
    <t>Ltd Co so basis period is 1.1.19 to 31.12.19</t>
  </si>
  <si>
    <t>41780 x 3/12</t>
  </si>
  <si>
    <t>41780 x 9/12</t>
  </si>
  <si>
    <t xml:space="preserve"> tax @ 19%</t>
  </si>
  <si>
    <t>Tax is due 9 months and 1 day after the accountig period end</t>
  </si>
  <si>
    <t>1st October 2020</t>
  </si>
  <si>
    <t>Corporation Tax Due</t>
  </si>
  <si>
    <t>ii) Income Tax computation for Norma for 19/20</t>
  </si>
  <si>
    <t>(ii) Ltd Company Tax calculation for the year to 31.12.20</t>
  </si>
  <si>
    <t>(ii) Ltd Company Tax calculation for the year to 31.12.21</t>
  </si>
  <si>
    <t>(ii) Ltd Company Tax calculation for the year to 31.12.22</t>
  </si>
  <si>
    <t>(ii) Ltd Company Tax calculation for the year to 31.12.23</t>
  </si>
  <si>
    <t>(ii) Ltd Company Tax calculation for the year to 31.12.24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</si>
</sst>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u/>
      <sz val="11"/>
      <color theme="1"/>
      <name val="Calibri"/>
      <family val="2"/>
      <scheme val="minor"/>
    </font>
    <font>
      <u/>
      <sz val="11"/>
      <color theme="1"/>
      <name val="Calibri"/>
      <family val="2"/>
      <scheme val="minor"/>
    </font>
    <font>
      <b/>
      <u/>
      <sz val="14"/>
      <color theme="1"/>
      <name val="Calibri"/>
      <family val="2"/>
      <scheme val="minor"/>
    </font>
    <font>
      <sz val="9"/>
      <color theme="1"/>
      <name val="Calibri"/>
      <family val="2"/>
      <scheme val="minor"/>
    </font>
    <font>
      <b/>
      <sz val="9"/>
      <color theme="1"/>
      <name val="Calibri"/>
      <family val="2"/>
      <scheme val="minor"/>
    </font>
    <font>
      <b/>
      <sz val="16"/>
      <color theme="1"/>
      <name val="Calibri"/>
      <family val="2"/>
      <scheme val="minor"/>
    </font>
    <font>
      <sz val="14"/>
      <color theme="1"/>
      <name val="Calibri"/>
      <family val="2"/>
      <scheme val="minor"/>
    </font>
    <font>
      <b/>
      <sz val="14"/>
      <color theme="1"/>
      <name val="Calibri"/>
      <family val="2"/>
      <scheme val="minor"/>
    </font>
    <font>
      <sz val="10"/>
      <color theme="1"/>
      <name val="Calibri"/>
      <family val="2"/>
      <scheme val="minor"/>
    </font>
    <font>
      <i/>
      <sz val="10"/>
      <color theme="1"/>
      <name val="Calibri"/>
      <family val="2"/>
      <scheme val="minor"/>
    </font>
    <font>
      <u/>
      <sz val="10"/>
      <color theme="1"/>
      <name val="Calibri"/>
      <family val="2"/>
      <scheme val="minor"/>
    </font>
    <font>
      <u val="singleAccounting"/>
      <sz val="10"/>
      <color theme="1"/>
      <name val="Calibri"/>
      <family val="2"/>
      <scheme val="minor"/>
    </font>
    <font>
      <b/>
      <sz val="10"/>
      <color theme="1"/>
      <name val="Calibri"/>
      <family val="2"/>
      <scheme val="minor"/>
    </font>
    <font>
      <sz val="10"/>
      <color theme="1"/>
      <name val="Cambria"/>
      <family val="1"/>
    </font>
    <font>
      <sz val="8"/>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3"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double">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84">
    <xf numFmtId="0" fontId="0" fillId="0" borderId="0" xfId="0"/>
    <xf numFmtId="0" fontId="2" fillId="0" borderId="0" xfId="0" applyFont="1"/>
    <xf numFmtId="0" fontId="3" fillId="0" borderId="0" xfId="0" applyFont="1"/>
    <xf numFmtId="0" fontId="4" fillId="0" borderId="0" xfId="0" applyFont="1"/>
    <xf numFmtId="164" fontId="0" fillId="0" borderId="0" xfId="1" applyNumberFormat="1" applyFont="1"/>
    <xf numFmtId="164" fontId="0" fillId="0" borderId="2" xfId="1" applyNumberFormat="1" applyFont="1" applyBorder="1"/>
    <xf numFmtId="0" fontId="5" fillId="0" borderId="0" xfId="0" applyFont="1"/>
    <xf numFmtId="164" fontId="0" fillId="0" borderId="0" xfId="1" applyNumberFormat="1" applyFont="1" applyBorder="1"/>
    <xf numFmtId="0" fontId="6" fillId="0" borderId="0" xfId="0" applyFont="1"/>
    <xf numFmtId="164" fontId="6" fillId="0" borderId="0" xfId="1" applyNumberFormat="1" applyFont="1"/>
    <xf numFmtId="164" fontId="6" fillId="0" borderId="0" xfId="1" quotePrefix="1" applyNumberFormat="1" applyFont="1"/>
    <xf numFmtId="1" fontId="6" fillId="0" borderId="0" xfId="0" applyNumberFormat="1" applyFont="1"/>
    <xf numFmtId="0" fontId="0" fillId="0" borderId="3" xfId="0" applyBorder="1"/>
    <xf numFmtId="0" fontId="0" fillId="0" borderId="2" xfId="0" applyBorder="1"/>
    <xf numFmtId="164" fontId="0" fillId="0" borderId="4" xfId="1" applyNumberFormat="1" applyFont="1" applyBorder="1"/>
    <xf numFmtId="164" fontId="0" fillId="0" borderId="5" xfId="1" applyNumberFormat="1" applyFont="1" applyBorder="1"/>
    <xf numFmtId="164" fontId="0" fillId="0" borderId="6" xfId="1" applyNumberFormat="1" applyFont="1" applyBorder="1"/>
    <xf numFmtId="0" fontId="7" fillId="0" borderId="0" xfId="0" applyFont="1"/>
    <xf numFmtId="0" fontId="0" fillId="2" borderId="8" xfId="0" applyFill="1" applyBorder="1"/>
    <xf numFmtId="0" fontId="0" fillId="2" borderId="8" xfId="1" applyNumberFormat="1" applyFont="1" applyFill="1" applyBorder="1"/>
    <xf numFmtId="164" fontId="0" fillId="3" borderId="0" xfId="1" applyNumberFormat="1" applyFont="1" applyFill="1"/>
    <xf numFmtId="0" fontId="0" fillId="0" borderId="7" xfId="0" applyBorder="1"/>
    <xf numFmtId="164" fontId="0" fillId="0" borderId="9" xfId="1" applyNumberFormat="1" applyFont="1" applyBorder="1"/>
    <xf numFmtId="164" fontId="0" fillId="0" borderId="8" xfId="1" applyNumberFormat="1" applyFont="1" applyBorder="1"/>
    <xf numFmtId="0" fontId="2" fillId="2" borderId="1" xfId="0" applyFont="1" applyFill="1" applyBorder="1"/>
    <xf numFmtId="0" fontId="2" fillId="2" borderId="1" xfId="1" applyNumberFormat="1" applyFont="1" applyFill="1" applyBorder="1"/>
    <xf numFmtId="0" fontId="0" fillId="2" borderId="10" xfId="0" applyFill="1" applyBorder="1" applyAlignment="1">
      <alignment horizontal="right"/>
    </xf>
    <xf numFmtId="0" fontId="2" fillId="0" borderId="11" xfId="0" applyFont="1" applyBorder="1"/>
    <xf numFmtId="0" fontId="8" fillId="0" borderId="0" xfId="0" applyFont="1"/>
    <xf numFmtId="0" fontId="9" fillId="0" borderId="0" xfId="0" applyFont="1"/>
    <xf numFmtId="0" fontId="10" fillId="0" borderId="0" xfId="0" applyFont="1"/>
    <xf numFmtId="164" fontId="0" fillId="0" borderId="12" xfId="1" applyNumberFormat="1" applyFont="1" applyBorder="1"/>
    <xf numFmtId="164" fontId="0" fillId="0" borderId="0" xfId="0" applyNumberFormat="1"/>
    <xf numFmtId="164" fontId="0" fillId="0" borderId="4" xfId="0" applyNumberFormat="1" applyBorder="1"/>
    <xf numFmtId="0" fontId="2" fillId="0" borderId="4" xfId="0" applyFont="1" applyBorder="1"/>
    <xf numFmtId="0" fontId="7" fillId="0" borderId="4" xfId="0" applyFont="1" applyBorder="1"/>
    <xf numFmtId="164" fontId="2" fillId="0" borderId="4" xfId="0" applyNumberFormat="1" applyFont="1" applyBorder="1"/>
    <xf numFmtId="0" fontId="6" fillId="0" borderId="2" xfId="0" applyFont="1" applyBorder="1"/>
    <xf numFmtId="164" fontId="0" fillId="0" borderId="2" xfId="0" applyNumberFormat="1" applyBorder="1"/>
    <xf numFmtId="164" fontId="6" fillId="0" borderId="0" xfId="0" applyNumberFormat="1" applyFont="1"/>
    <xf numFmtId="1" fontId="0" fillId="0" borderId="0" xfId="0" applyNumberFormat="1"/>
    <xf numFmtId="1" fontId="0" fillId="0" borderId="2" xfId="0" applyNumberFormat="1" applyBorder="1"/>
    <xf numFmtId="0" fontId="0" fillId="0" borderId="14" xfId="0" applyBorder="1"/>
    <xf numFmtId="1" fontId="0" fillId="0" borderId="13" xfId="0" applyNumberFormat="1" applyBorder="1"/>
    <xf numFmtId="1" fontId="0" fillId="0" borderId="14" xfId="0" applyNumberFormat="1" applyBorder="1"/>
    <xf numFmtId="164" fontId="6" fillId="0" borderId="13" xfId="0" applyNumberFormat="1" applyFont="1" applyBorder="1"/>
    <xf numFmtId="0" fontId="0" fillId="0" borderId="8" xfId="0" applyBorder="1"/>
    <xf numFmtId="0" fontId="6" fillId="0" borderId="8" xfId="0" applyFont="1" applyBorder="1"/>
    <xf numFmtId="0" fontId="2" fillId="0" borderId="8" xfId="0" applyFont="1" applyBorder="1"/>
    <xf numFmtId="0" fontId="0" fillId="0" borderId="15" xfId="0" applyBorder="1"/>
    <xf numFmtId="0" fontId="0" fillId="0" borderId="16" xfId="0" applyBorder="1"/>
    <xf numFmtId="0" fontId="6" fillId="0" borderId="16" xfId="0" applyFont="1" applyBorder="1"/>
    <xf numFmtId="164" fontId="0" fillId="0" borderId="16" xfId="0" applyNumberFormat="1" applyBorder="1"/>
    <xf numFmtId="9" fontId="6" fillId="0" borderId="0" xfId="0" applyNumberFormat="1" applyFont="1"/>
    <xf numFmtId="1" fontId="6" fillId="0" borderId="2" xfId="0" applyNumberFormat="1" applyFont="1" applyBorder="1"/>
    <xf numFmtId="1" fontId="6" fillId="0" borderId="13" xfId="0" applyNumberFormat="1" applyFont="1" applyBorder="1"/>
    <xf numFmtId="1" fontId="2" fillId="0" borderId="8" xfId="0" applyNumberFormat="1" applyFont="1" applyBorder="1"/>
    <xf numFmtId="1" fontId="6" fillId="0" borderId="8" xfId="0" applyNumberFormat="1" applyFont="1" applyBorder="1"/>
    <xf numFmtId="1" fontId="0" fillId="0" borderId="8" xfId="0" applyNumberFormat="1" applyBorder="1"/>
    <xf numFmtId="1" fontId="6" fillId="0" borderId="16" xfId="0" applyNumberFormat="1" applyFont="1" applyBorder="1"/>
    <xf numFmtId="1" fontId="0" fillId="0" borderId="16" xfId="0" applyNumberFormat="1" applyBorder="1"/>
    <xf numFmtId="1" fontId="0" fillId="0" borderId="15" xfId="0" applyNumberFormat="1" applyBorder="1"/>
    <xf numFmtId="1" fontId="7" fillId="0" borderId="16" xfId="0" applyNumberFormat="1" applyFont="1" applyBorder="1"/>
    <xf numFmtId="1" fontId="2" fillId="0" borderId="16" xfId="0" applyNumberFormat="1" applyFont="1" applyBorder="1"/>
    <xf numFmtId="0" fontId="0" fillId="2" borderId="9" xfId="0" applyFill="1" applyBorder="1"/>
    <xf numFmtId="0" fontId="0" fillId="2" borderId="0" xfId="0" applyFill="1"/>
    <xf numFmtId="0" fontId="11" fillId="0" borderId="0" xfId="0" applyFont="1"/>
    <xf numFmtId="164" fontId="11" fillId="0" borderId="0" xfId="1" applyNumberFormat="1" applyFont="1"/>
    <xf numFmtId="0" fontId="12" fillId="0" borderId="0" xfId="0" applyFont="1"/>
    <xf numFmtId="0" fontId="13" fillId="0" borderId="0" xfId="0" applyFont="1"/>
    <xf numFmtId="164" fontId="11" fillId="0" borderId="2" xfId="1" applyNumberFormat="1" applyFont="1" applyBorder="1"/>
    <xf numFmtId="164" fontId="11" fillId="0" borderId="2" xfId="1" applyNumberFormat="1" applyFont="1" applyBorder="1" applyAlignment="1">
      <alignment horizontal="right" wrapText="1"/>
    </xf>
    <xf numFmtId="164" fontId="14" fillId="0" borderId="0" xfId="1" applyNumberFormat="1" applyFont="1"/>
    <xf numFmtId="164" fontId="11" fillId="0" borderId="0" xfId="1" applyNumberFormat="1" applyFont="1" applyBorder="1"/>
    <xf numFmtId="164" fontId="11" fillId="0" borderId="4" xfId="1" applyNumberFormat="1" applyFont="1" applyBorder="1"/>
    <xf numFmtId="0" fontId="15" fillId="0" borderId="0" xfId="0" applyFont="1"/>
    <xf numFmtId="164" fontId="2" fillId="0" borderId="4" xfId="1" applyNumberFormat="1" applyFont="1" applyBorder="1"/>
    <xf numFmtId="164" fontId="15" fillId="0" borderId="0" xfId="1" applyNumberFormat="1" applyFont="1"/>
    <xf numFmtId="0" fontId="11" fillId="0" borderId="4" xfId="0" applyFont="1" applyBorder="1"/>
    <xf numFmtId="164" fontId="15" fillId="0" borderId="4" xfId="1" applyNumberFormat="1" applyFont="1" applyBorder="1"/>
    <xf numFmtId="1" fontId="0" fillId="0" borderId="4" xfId="0" applyNumberFormat="1" applyBorder="1"/>
    <xf numFmtId="164" fontId="15" fillId="0" borderId="0" xfId="1" applyNumberFormat="1" applyFont="1" applyBorder="1"/>
    <xf numFmtId="0" fontId="16" fillId="0" borderId="0" xfId="0" applyFont="1" applyAlignment="1">
      <alignment vertical="center"/>
    </xf>
    <xf numFmtId="0" fontId="16" fillId="0" borderId="0" xfId="0" applyFont="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93AB4-974A-4B36-8D71-F307F6F397FB}">
  <dimension ref="A1:H252"/>
  <sheetViews>
    <sheetView tabSelected="1" workbookViewId="0">
      <selection activeCell="A193" sqref="A193:F223"/>
    </sheetView>
  </sheetViews>
  <sheetFormatPr defaultRowHeight="14.25" x14ac:dyDescent="0.45"/>
  <cols>
    <col min="1" max="1" width="51.53125" customWidth="1"/>
    <col min="2" max="2" width="45.796875" style="8" customWidth="1"/>
    <col min="3" max="3" width="32.59765625" customWidth="1"/>
    <col min="4" max="4" width="25.53125" customWidth="1"/>
    <col min="5" max="5" width="34.59765625" customWidth="1"/>
    <col min="6" max="6" width="8.86328125" customWidth="1"/>
    <col min="7" max="7" width="39.59765625" customWidth="1"/>
    <col min="8" max="8" width="5.86328125" customWidth="1"/>
  </cols>
  <sheetData>
    <row r="1" spans="1:8" ht="21.4" thickBot="1" x14ac:dyDescent="0.7">
      <c r="A1" s="28" t="s">
        <v>154</v>
      </c>
    </row>
    <row r="2" spans="1:8" ht="18" x14ac:dyDescent="0.55000000000000004">
      <c r="A2" s="29" t="s">
        <v>113</v>
      </c>
      <c r="H2" s="26" t="s">
        <v>0</v>
      </c>
    </row>
    <row r="3" spans="1:8" ht="14.65" thickBot="1" x14ac:dyDescent="0.5">
      <c r="H3" s="27">
        <f>+H5+H105+H154+H173+H193</f>
        <v>100</v>
      </c>
    </row>
    <row r="5" spans="1:8" ht="18" x14ac:dyDescent="0.55000000000000004">
      <c r="A5" s="6" t="s">
        <v>54</v>
      </c>
      <c r="H5" s="24">
        <f>SUM(H6:H102)</f>
        <v>30</v>
      </c>
    </row>
    <row r="6" spans="1:8" x14ac:dyDescent="0.45">
      <c r="H6" s="18"/>
    </row>
    <row r="7" spans="1:8" x14ac:dyDescent="0.45">
      <c r="A7" s="2" t="s">
        <v>114</v>
      </c>
      <c r="H7" s="18">
        <v>0.5</v>
      </c>
    </row>
    <row r="8" spans="1:8" ht="11" customHeight="1" x14ac:dyDescent="0.45">
      <c r="H8" s="18"/>
    </row>
    <row r="9" spans="1:8" x14ac:dyDescent="0.45">
      <c r="A9" t="s">
        <v>1</v>
      </c>
      <c r="B9" s="9"/>
      <c r="C9" s="4"/>
      <c r="D9" s="4">
        <v>28350</v>
      </c>
      <c r="E9" s="4"/>
      <c r="F9" s="4"/>
      <c r="G9" s="4"/>
      <c r="H9" s="18">
        <v>0.5</v>
      </c>
    </row>
    <row r="10" spans="1:8" ht="8" customHeight="1" x14ac:dyDescent="0.45">
      <c r="B10" s="9"/>
      <c r="C10" s="4"/>
      <c r="D10" s="4"/>
      <c r="E10" s="4"/>
      <c r="F10" s="4"/>
      <c r="G10" s="4"/>
      <c r="H10" s="18"/>
    </row>
    <row r="11" spans="1:8" x14ac:dyDescent="0.45">
      <c r="A11" s="3" t="s">
        <v>3</v>
      </c>
      <c r="B11" s="9"/>
      <c r="C11" s="4"/>
      <c r="D11" s="4"/>
      <c r="E11" s="4"/>
      <c r="F11" s="4"/>
      <c r="G11" s="4"/>
      <c r="H11" s="18"/>
    </row>
    <row r="12" spans="1:8" ht="13.25" customHeight="1" x14ac:dyDescent="0.45">
      <c r="A12" t="s">
        <v>5</v>
      </c>
      <c r="B12" s="9"/>
      <c r="C12" s="4">
        <v>250</v>
      </c>
      <c r="D12" s="4"/>
      <c r="E12" s="4"/>
      <c r="F12" s="4"/>
      <c r="G12" s="4"/>
      <c r="H12" s="18">
        <v>1</v>
      </c>
    </row>
    <row r="13" spans="1:8" ht="13.25" customHeight="1" x14ac:dyDescent="0.45">
      <c r="B13" s="9"/>
      <c r="C13" s="5"/>
      <c r="D13" s="4"/>
      <c r="E13" s="4"/>
      <c r="F13" s="4"/>
      <c r="G13" s="4"/>
      <c r="H13" s="18"/>
    </row>
    <row r="14" spans="1:8" ht="13.25" customHeight="1" x14ac:dyDescent="0.45">
      <c r="B14" s="9"/>
      <c r="C14" s="4"/>
      <c r="D14" s="4">
        <f>-SUM(C12:C13)</f>
        <v>-250</v>
      </c>
      <c r="E14" s="4"/>
      <c r="F14" s="4"/>
      <c r="G14" s="4"/>
      <c r="H14" s="18"/>
    </row>
    <row r="15" spans="1:8" ht="13.25" customHeight="1" x14ac:dyDescent="0.45">
      <c r="B15" s="9"/>
      <c r="C15" s="4"/>
      <c r="D15" s="4"/>
      <c r="E15" s="4"/>
      <c r="F15" s="4"/>
      <c r="G15" s="4"/>
      <c r="H15" s="18"/>
    </row>
    <row r="16" spans="1:8" ht="13.25" customHeight="1" x14ac:dyDescent="0.45">
      <c r="A16" s="3" t="s">
        <v>2</v>
      </c>
      <c r="B16" s="9"/>
      <c r="C16" s="4"/>
      <c r="D16" s="4"/>
      <c r="E16" s="4"/>
      <c r="H16" s="18"/>
    </row>
    <row r="17" spans="1:8" ht="13.25" customHeight="1" x14ac:dyDescent="0.45">
      <c r="A17" t="s">
        <v>55</v>
      </c>
      <c r="B17" s="9" t="s">
        <v>58</v>
      </c>
      <c r="C17" s="4">
        <v>24000</v>
      </c>
      <c r="D17" s="4"/>
      <c r="E17" s="4"/>
      <c r="H17" s="18">
        <v>1</v>
      </c>
    </row>
    <row r="18" spans="1:8" ht="13.25" customHeight="1" x14ac:dyDescent="0.45">
      <c r="A18" t="s">
        <v>61</v>
      </c>
      <c r="B18" s="9" t="s">
        <v>62</v>
      </c>
      <c r="C18" s="4">
        <v>0</v>
      </c>
      <c r="D18" s="4"/>
      <c r="E18" s="4"/>
      <c r="H18" s="18">
        <v>0.5</v>
      </c>
    </row>
    <row r="19" spans="1:8" ht="13.25" customHeight="1" x14ac:dyDescent="0.45">
      <c r="A19" t="s">
        <v>63</v>
      </c>
      <c r="B19" s="9" t="s">
        <v>62</v>
      </c>
      <c r="C19" s="4">
        <v>0</v>
      </c>
      <c r="D19" s="4"/>
      <c r="E19" s="4"/>
      <c r="H19" s="18">
        <v>0.5</v>
      </c>
    </row>
    <row r="20" spans="1:8" ht="13.25" customHeight="1" x14ac:dyDescent="0.45">
      <c r="A20" t="s">
        <v>64</v>
      </c>
      <c r="B20" s="9" t="s">
        <v>62</v>
      </c>
      <c r="C20" s="4"/>
      <c r="D20" s="4"/>
      <c r="E20" s="4"/>
      <c r="H20" s="18">
        <v>0.5</v>
      </c>
    </row>
    <row r="21" spans="1:8" ht="13.25" customHeight="1" x14ac:dyDescent="0.45">
      <c r="A21" t="s">
        <v>9</v>
      </c>
      <c r="B21" s="10" t="s">
        <v>59</v>
      </c>
      <c r="C21" s="4">
        <v>150</v>
      </c>
      <c r="D21" s="4"/>
      <c r="E21" s="4"/>
      <c r="H21" s="18">
        <v>1</v>
      </c>
    </row>
    <row r="22" spans="1:8" ht="13.25" customHeight="1" x14ac:dyDescent="0.45">
      <c r="A22" t="s">
        <v>56</v>
      </c>
      <c r="B22" s="10" t="s">
        <v>57</v>
      </c>
      <c r="C22" s="4">
        <f>0.25*2000</f>
        <v>500</v>
      </c>
      <c r="D22" s="4"/>
      <c r="E22" s="4"/>
      <c r="H22" s="18">
        <v>1</v>
      </c>
    </row>
    <row r="23" spans="1:8" ht="13.25" customHeight="1" x14ac:dyDescent="0.45">
      <c r="A23" t="s">
        <v>60</v>
      </c>
      <c r="B23" s="10" t="s">
        <v>65</v>
      </c>
      <c r="C23" s="4">
        <v>200</v>
      </c>
      <c r="D23" s="4"/>
      <c r="E23" s="4"/>
      <c r="H23" s="18">
        <v>1</v>
      </c>
    </row>
    <row r="24" spans="1:8" ht="13.25" customHeight="1" x14ac:dyDescent="0.45">
      <c r="B24" s="9" t="s">
        <v>66</v>
      </c>
      <c r="C24" s="4">
        <v>250</v>
      </c>
      <c r="D24" s="4"/>
      <c r="E24" s="4"/>
      <c r="H24" s="18">
        <v>1</v>
      </c>
    </row>
    <row r="25" spans="1:8" ht="13.25" customHeight="1" x14ac:dyDescent="0.45">
      <c r="B25" s="9" t="s">
        <v>67</v>
      </c>
      <c r="C25" s="4">
        <v>0</v>
      </c>
      <c r="D25" s="4"/>
      <c r="E25" s="4"/>
      <c r="H25" s="18">
        <v>0.5</v>
      </c>
    </row>
    <row r="26" spans="1:8" ht="13.25" customHeight="1" x14ac:dyDescent="0.45">
      <c r="A26" t="s">
        <v>68</v>
      </c>
      <c r="B26" s="9" t="s">
        <v>72</v>
      </c>
      <c r="C26" s="4">
        <v>250</v>
      </c>
      <c r="D26" s="4"/>
      <c r="E26" s="4"/>
      <c r="H26" s="18">
        <v>1</v>
      </c>
    </row>
    <row r="27" spans="1:8" ht="13.25" customHeight="1" x14ac:dyDescent="0.45">
      <c r="A27" t="s">
        <v>69</v>
      </c>
      <c r="B27" s="9" t="s">
        <v>62</v>
      </c>
      <c r="C27" s="4">
        <v>0</v>
      </c>
      <c r="D27" s="4"/>
      <c r="E27" s="4"/>
      <c r="F27" s="4"/>
      <c r="G27" s="4"/>
      <c r="H27" s="18">
        <v>0.5</v>
      </c>
    </row>
    <row r="28" spans="1:8" ht="13.25" customHeight="1" x14ac:dyDescent="0.45">
      <c r="A28" t="s">
        <v>70</v>
      </c>
      <c r="B28" s="9" t="s">
        <v>71</v>
      </c>
      <c r="C28" s="4">
        <v>800</v>
      </c>
      <c r="D28" s="4"/>
      <c r="E28" s="4"/>
      <c r="F28" s="4"/>
      <c r="G28" s="4"/>
      <c r="H28" s="18">
        <v>0.5</v>
      </c>
    </row>
    <row r="29" spans="1:8" ht="13.25" customHeight="1" x14ac:dyDescent="0.45">
      <c r="A29" t="s">
        <v>53</v>
      </c>
      <c r="B29" s="9" t="s">
        <v>71</v>
      </c>
      <c r="C29" s="4">
        <v>1400</v>
      </c>
      <c r="D29" s="4"/>
      <c r="E29" s="4"/>
      <c r="F29" s="4"/>
      <c r="G29" s="4"/>
      <c r="H29" s="18">
        <v>0.5</v>
      </c>
    </row>
    <row r="30" spans="1:8" ht="13.25" customHeight="1" x14ac:dyDescent="0.45">
      <c r="B30" s="9"/>
      <c r="C30" s="5"/>
      <c r="D30" s="4"/>
      <c r="E30" s="4"/>
      <c r="F30" s="4"/>
      <c r="G30" s="4"/>
      <c r="H30" s="18"/>
    </row>
    <row r="31" spans="1:8" x14ac:dyDescent="0.45">
      <c r="B31" s="9"/>
      <c r="C31" s="4"/>
      <c r="D31" s="4">
        <f>SUM(C16:C30)</f>
        <v>27550</v>
      </c>
      <c r="E31" s="4"/>
      <c r="F31" s="4"/>
      <c r="G31" s="4"/>
      <c r="H31" s="18">
        <v>0.5</v>
      </c>
    </row>
    <row r="32" spans="1:8" ht="8" customHeight="1" x14ac:dyDescent="0.45">
      <c r="B32" s="9"/>
      <c r="C32" s="4"/>
      <c r="D32" s="4"/>
      <c r="E32" s="4"/>
      <c r="F32" s="4"/>
      <c r="G32" s="4"/>
      <c r="H32" s="18"/>
    </row>
    <row r="33" spans="1:8" x14ac:dyDescent="0.45">
      <c r="A33" t="s">
        <v>73</v>
      </c>
      <c r="B33" s="9"/>
      <c r="C33" s="4"/>
      <c r="D33" s="15">
        <f>SUM(D9:D31)</f>
        <v>55650</v>
      </c>
      <c r="E33" s="7"/>
      <c r="F33" s="4"/>
      <c r="G33" s="4"/>
      <c r="H33" s="18">
        <v>0.5</v>
      </c>
    </row>
    <row r="34" spans="1:8" x14ac:dyDescent="0.45">
      <c r="A34" t="s">
        <v>50</v>
      </c>
      <c r="B34" s="9"/>
      <c r="C34" s="4"/>
      <c r="D34" s="4">
        <v>-1000</v>
      </c>
      <c r="E34" s="4"/>
      <c r="F34" s="4"/>
      <c r="G34" s="4"/>
      <c r="H34" s="18">
        <v>0.5</v>
      </c>
    </row>
    <row r="35" spans="1:8" x14ac:dyDescent="0.45">
      <c r="A35" t="s">
        <v>74</v>
      </c>
      <c r="D35" s="33">
        <f>SUM(D33:D34)</f>
        <v>54650</v>
      </c>
      <c r="H35" s="18">
        <v>0.5</v>
      </c>
    </row>
    <row r="36" spans="1:8" x14ac:dyDescent="0.45">
      <c r="D36" s="32"/>
      <c r="H36" s="18"/>
    </row>
    <row r="37" spans="1:8" x14ac:dyDescent="0.45">
      <c r="A37" t="s">
        <v>75</v>
      </c>
      <c r="H37" s="18"/>
    </row>
    <row r="38" spans="1:8" x14ac:dyDescent="0.45">
      <c r="B38" t="s">
        <v>77</v>
      </c>
      <c r="D38" s="32">
        <v>31250</v>
      </c>
      <c r="H38" s="18">
        <v>0.5</v>
      </c>
    </row>
    <row r="39" spans="1:8" x14ac:dyDescent="0.45">
      <c r="B39" t="s">
        <v>76</v>
      </c>
      <c r="D39" s="32">
        <v>17000</v>
      </c>
      <c r="H39" s="18">
        <v>0.5</v>
      </c>
    </row>
    <row r="40" spans="1:8" x14ac:dyDescent="0.45">
      <c r="D40" s="32"/>
      <c r="H40" s="18"/>
    </row>
    <row r="41" spans="1:8" x14ac:dyDescent="0.45">
      <c r="A41" s="34" t="s">
        <v>78</v>
      </c>
      <c r="B41" s="35"/>
      <c r="C41" s="34"/>
      <c r="D41" s="36">
        <f>SUM(D35:D40)</f>
        <v>102900</v>
      </c>
      <c r="H41" s="18">
        <v>0.5</v>
      </c>
    </row>
    <row r="42" spans="1:8" x14ac:dyDescent="0.45">
      <c r="D42" s="32"/>
      <c r="H42" s="18"/>
    </row>
    <row r="43" spans="1:8" x14ac:dyDescent="0.45">
      <c r="A43" s="2" t="s">
        <v>79</v>
      </c>
      <c r="D43" s="32"/>
      <c r="H43" s="18">
        <v>0.5</v>
      </c>
    </row>
    <row r="44" spans="1:8" x14ac:dyDescent="0.45">
      <c r="B44" s="37" t="s">
        <v>81</v>
      </c>
      <c r="C44" s="13" t="s">
        <v>82</v>
      </c>
      <c r="D44" s="38" t="s">
        <v>83</v>
      </c>
      <c r="E44" s="13"/>
      <c r="F44" s="42" t="s">
        <v>7</v>
      </c>
      <c r="H44" s="18">
        <v>0.5</v>
      </c>
    </row>
    <row r="45" spans="1:8" x14ac:dyDescent="0.45">
      <c r="A45" t="s">
        <v>80</v>
      </c>
      <c r="B45" s="39">
        <f>+D35</f>
        <v>54650</v>
      </c>
      <c r="D45" s="32"/>
      <c r="F45" s="43">
        <f>SUM(B45:E45)</f>
        <v>54650</v>
      </c>
      <c r="H45" s="18">
        <v>0.5</v>
      </c>
    </row>
    <row r="46" spans="1:8" x14ac:dyDescent="0.45">
      <c r="A46" t="s">
        <v>96</v>
      </c>
      <c r="C46" s="32">
        <f>+D38</f>
        <v>31250</v>
      </c>
      <c r="D46" s="32"/>
      <c r="F46" s="43">
        <f t="shared" ref="F46:F50" si="0">SUM(B46:E46)</f>
        <v>31250</v>
      </c>
      <c r="H46" s="18">
        <v>0.5</v>
      </c>
    </row>
    <row r="47" spans="1:8" x14ac:dyDescent="0.45">
      <c r="A47" t="s">
        <v>6</v>
      </c>
      <c r="D47" s="32">
        <f>+D39</f>
        <v>17000</v>
      </c>
      <c r="F47" s="43">
        <f t="shared" si="0"/>
        <v>17000</v>
      </c>
      <c r="H47" s="18">
        <v>0.5</v>
      </c>
    </row>
    <row r="48" spans="1:8" x14ac:dyDescent="0.45">
      <c r="B48" s="37"/>
      <c r="C48" s="13"/>
      <c r="D48" s="38"/>
      <c r="E48" s="13"/>
      <c r="F48" s="44"/>
      <c r="H48" s="18"/>
    </row>
    <row r="49" spans="1:8" x14ac:dyDescent="0.45">
      <c r="B49" s="39">
        <f>SUM(B45:B48)</f>
        <v>54650</v>
      </c>
      <c r="C49" s="39">
        <f>SUM(C45:C48)</f>
        <v>31250</v>
      </c>
      <c r="D49" s="39">
        <f>SUM(D45:D48)</f>
        <v>17000</v>
      </c>
      <c r="F49" s="43">
        <f>SUM(F45:F48)</f>
        <v>102900</v>
      </c>
      <c r="H49" s="18"/>
    </row>
    <row r="50" spans="1:8" x14ac:dyDescent="0.45">
      <c r="A50" t="s">
        <v>84</v>
      </c>
      <c r="B50" s="37">
        <f>-B66</f>
        <v>-11050</v>
      </c>
      <c r="C50" s="13"/>
      <c r="D50" s="38"/>
      <c r="E50" s="13"/>
      <c r="F50" s="44">
        <f t="shared" si="0"/>
        <v>-11050</v>
      </c>
      <c r="H50" s="18"/>
    </row>
    <row r="51" spans="1:8" x14ac:dyDescent="0.45">
      <c r="A51" t="s">
        <v>10</v>
      </c>
      <c r="B51" s="39">
        <f>+B49+B50</f>
        <v>43600</v>
      </c>
      <c r="C51" s="39">
        <f>+C49+C50</f>
        <v>31250</v>
      </c>
      <c r="D51" s="39">
        <f>+D49+D50</f>
        <v>17000</v>
      </c>
      <c r="E51" s="39"/>
      <c r="F51" s="45">
        <f>+F49+F50</f>
        <v>91850</v>
      </c>
      <c r="H51" s="18">
        <v>0.5</v>
      </c>
    </row>
    <row r="52" spans="1:8" x14ac:dyDescent="0.45">
      <c r="D52" s="32"/>
      <c r="H52" s="18"/>
    </row>
    <row r="53" spans="1:8" x14ac:dyDescent="0.45">
      <c r="A53" s="1" t="s">
        <v>11</v>
      </c>
      <c r="D53" s="32"/>
      <c r="F53" s="48" t="s">
        <v>12</v>
      </c>
      <c r="H53" s="18"/>
    </row>
    <row r="54" spans="1:8" x14ac:dyDescent="0.45">
      <c r="A54" t="s">
        <v>85</v>
      </c>
      <c r="B54" s="8">
        <v>37500</v>
      </c>
      <c r="D54" s="32"/>
      <c r="F54" s="47">
        <f>37500*0.2</f>
        <v>7500</v>
      </c>
      <c r="H54" s="18">
        <v>0.5</v>
      </c>
    </row>
    <row r="55" spans="1:8" x14ac:dyDescent="0.45">
      <c r="A55" t="s">
        <v>86</v>
      </c>
      <c r="B55" s="8">
        <v>4650</v>
      </c>
      <c r="D55" s="32"/>
      <c r="F55" s="47">
        <f>4650*0.4</f>
        <v>1860</v>
      </c>
      <c r="H55" s="18">
        <v>0.5</v>
      </c>
    </row>
    <row r="56" spans="1:8" x14ac:dyDescent="0.45">
      <c r="A56" t="s">
        <v>87</v>
      </c>
      <c r="C56">
        <v>500</v>
      </c>
      <c r="D56" s="32"/>
      <c r="F56" s="46">
        <v>0</v>
      </c>
      <c r="H56" s="18">
        <v>0.5</v>
      </c>
    </row>
    <row r="57" spans="1:8" x14ac:dyDescent="0.45">
      <c r="A57" t="s">
        <v>88</v>
      </c>
      <c r="C57">
        <f>31250-500</f>
        <v>30750</v>
      </c>
      <c r="D57" s="32"/>
      <c r="F57" s="46">
        <f>30750*0.4</f>
        <v>12300</v>
      </c>
      <c r="H57" s="18">
        <v>0.5</v>
      </c>
    </row>
    <row r="58" spans="1:8" x14ac:dyDescent="0.45">
      <c r="A58" t="s">
        <v>89</v>
      </c>
      <c r="D58" s="32">
        <v>2000</v>
      </c>
      <c r="F58" s="46">
        <v>0</v>
      </c>
      <c r="H58" s="18">
        <v>0.5</v>
      </c>
    </row>
    <row r="59" spans="1:8" x14ac:dyDescent="0.45">
      <c r="A59" t="s">
        <v>90</v>
      </c>
      <c r="D59" s="32">
        <v>15000</v>
      </c>
      <c r="F59" s="46">
        <f>15000*0.325</f>
        <v>4875</v>
      </c>
      <c r="H59" s="18">
        <v>0.5</v>
      </c>
    </row>
    <row r="60" spans="1:8" x14ac:dyDescent="0.45">
      <c r="D60" s="32"/>
      <c r="F60" s="46"/>
      <c r="H60" s="18"/>
    </row>
    <row r="61" spans="1:8" ht="14.65" thickBot="1" x14ac:dyDescent="0.5">
      <c r="A61" s="50" t="s">
        <v>95</v>
      </c>
      <c r="B61" s="51"/>
      <c r="C61" s="50"/>
      <c r="D61" s="52"/>
      <c r="E61" s="50"/>
      <c r="F61" s="49">
        <f>SUM(F54:F60)</f>
        <v>26535</v>
      </c>
      <c r="H61" s="18">
        <v>0.5</v>
      </c>
    </row>
    <row r="62" spans="1:8" x14ac:dyDescent="0.45">
      <c r="D62" s="32"/>
      <c r="H62" s="18"/>
    </row>
    <row r="63" spans="1:8" x14ac:dyDescent="0.45">
      <c r="A63" s="2" t="s">
        <v>94</v>
      </c>
      <c r="D63" s="32"/>
      <c r="H63" s="18"/>
    </row>
    <row r="64" spans="1:8" x14ac:dyDescent="0.45">
      <c r="A64" t="s">
        <v>91</v>
      </c>
      <c r="B64" s="39">
        <f>+D41-100000</f>
        <v>2900</v>
      </c>
      <c r="D64" s="32"/>
      <c r="H64" s="18">
        <v>0.5</v>
      </c>
    </row>
    <row r="65" spans="1:8" x14ac:dyDescent="0.45">
      <c r="A65" t="s">
        <v>92</v>
      </c>
      <c r="B65" s="8">
        <f>+B64/2</f>
        <v>1450</v>
      </c>
      <c r="D65" s="32"/>
      <c r="H65" s="18">
        <v>0.5</v>
      </c>
    </row>
    <row r="66" spans="1:8" x14ac:dyDescent="0.45">
      <c r="A66" t="s">
        <v>93</v>
      </c>
      <c r="B66" s="8">
        <f>12500-B65</f>
        <v>11050</v>
      </c>
      <c r="D66" s="32"/>
      <c r="H66" s="18">
        <v>0.5</v>
      </c>
    </row>
    <row r="67" spans="1:8" x14ac:dyDescent="0.45">
      <c r="D67" s="32"/>
      <c r="H67" s="18"/>
    </row>
    <row r="68" spans="1:8" x14ac:dyDescent="0.45">
      <c r="D68" s="32"/>
      <c r="H68" s="18"/>
    </row>
    <row r="69" spans="1:8" x14ac:dyDescent="0.45">
      <c r="A69" s="2" t="s">
        <v>191</v>
      </c>
      <c r="D69" s="32"/>
      <c r="H69" s="18">
        <v>0.5</v>
      </c>
    </row>
    <row r="70" spans="1:8" x14ac:dyDescent="0.45">
      <c r="B70" s="37" t="s">
        <v>81</v>
      </c>
      <c r="C70" s="13" t="s">
        <v>82</v>
      </c>
      <c r="D70" s="38" t="s">
        <v>83</v>
      </c>
      <c r="E70" s="13"/>
      <c r="F70" s="42" t="s">
        <v>7</v>
      </c>
      <c r="H70" s="18"/>
    </row>
    <row r="71" spans="1:8" x14ac:dyDescent="0.45">
      <c r="A71" t="s">
        <v>8</v>
      </c>
      <c r="B71" s="11">
        <v>140000</v>
      </c>
      <c r="C71" s="40"/>
      <c r="D71" s="40"/>
      <c r="E71" s="40"/>
      <c r="F71" s="43">
        <f>SUM(B71:E71)</f>
        <v>140000</v>
      </c>
      <c r="H71" s="18">
        <v>0.5</v>
      </c>
    </row>
    <row r="72" spans="1:8" x14ac:dyDescent="0.45">
      <c r="A72" t="s">
        <v>104</v>
      </c>
      <c r="B72" s="11">
        <f>+B94</f>
        <v>9900</v>
      </c>
      <c r="C72" s="40">
        <f>+D64</f>
        <v>0</v>
      </c>
      <c r="D72" s="40"/>
      <c r="E72" s="40"/>
      <c r="F72" s="43">
        <f t="shared" ref="F72:F73" si="1">SUM(B72:E72)</f>
        <v>9900</v>
      </c>
      <c r="H72" s="18"/>
    </row>
    <row r="73" spans="1:8" x14ac:dyDescent="0.45">
      <c r="A73" t="s">
        <v>109</v>
      </c>
      <c r="B73" s="11">
        <f>+B99</f>
        <v>5302</v>
      </c>
      <c r="C73" s="40"/>
      <c r="D73" s="40">
        <f>+D65</f>
        <v>0</v>
      </c>
      <c r="E73" s="40"/>
      <c r="F73" s="43">
        <f t="shared" si="1"/>
        <v>5302</v>
      </c>
      <c r="H73" s="18"/>
    </row>
    <row r="74" spans="1:8" x14ac:dyDescent="0.45">
      <c r="A74" t="s">
        <v>110</v>
      </c>
      <c r="B74" s="54"/>
      <c r="C74" s="41"/>
      <c r="D74" s="41"/>
      <c r="E74" s="41"/>
      <c r="F74" s="44"/>
      <c r="H74" s="18"/>
    </row>
    <row r="75" spans="1:8" x14ac:dyDescent="0.45">
      <c r="B75" s="11">
        <f>SUM(B71:B74)</f>
        <v>155202</v>
      </c>
      <c r="C75" s="11">
        <f>SUM(C71:C74)</f>
        <v>0</v>
      </c>
      <c r="D75" s="11">
        <f>SUM(D71:D74)</f>
        <v>0</v>
      </c>
      <c r="E75" s="40"/>
      <c r="F75" s="43">
        <f>SUM(F71:F74)</f>
        <v>155202</v>
      </c>
      <c r="H75" s="18"/>
    </row>
    <row r="76" spans="1:8" x14ac:dyDescent="0.45">
      <c r="A76" t="s">
        <v>84</v>
      </c>
      <c r="B76" s="54">
        <v>0</v>
      </c>
      <c r="C76" s="41"/>
      <c r="D76" s="41"/>
      <c r="E76" s="41"/>
      <c r="F76" s="44">
        <f t="shared" ref="F76" si="2">SUM(B76:E76)</f>
        <v>0</v>
      </c>
      <c r="H76" s="18">
        <v>1</v>
      </c>
    </row>
    <row r="77" spans="1:8" x14ac:dyDescent="0.45">
      <c r="A77" t="s">
        <v>10</v>
      </c>
      <c r="B77" s="11">
        <f>+B75+B76</f>
        <v>155202</v>
      </c>
      <c r="C77" s="11">
        <f>+C75+C76</f>
        <v>0</v>
      </c>
      <c r="D77" s="11">
        <f>+D75+D76</f>
        <v>0</v>
      </c>
      <c r="E77" s="11"/>
      <c r="F77" s="55">
        <f>+F75+F76</f>
        <v>155202</v>
      </c>
      <c r="H77" s="18"/>
    </row>
    <row r="78" spans="1:8" x14ac:dyDescent="0.45">
      <c r="B78" s="11"/>
      <c r="C78" s="40"/>
      <c r="D78" s="40"/>
      <c r="E78" s="40"/>
      <c r="F78" s="40"/>
      <c r="H78" s="18"/>
    </row>
    <row r="79" spans="1:8" x14ac:dyDescent="0.45">
      <c r="A79" s="1" t="s">
        <v>11</v>
      </c>
      <c r="B79" s="11"/>
      <c r="C79" s="40"/>
      <c r="D79" s="40"/>
      <c r="E79" s="40"/>
      <c r="F79" s="56" t="s">
        <v>12</v>
      </c>
      <c r="H79" s="18"/>
    </row>
    <row r="80" spans="1:8" x14ac:dyDescent="0.45">
      <c r="A80" t="s">
        <v>85</v>
      </c>
      <c r="B80" s="11">
        <v>37500</v>
      </c>
      <c r="C80" s="40"/>
      <c r="D80" s="40"/>
      <c r="E80" s="40"/>
      <c r="F80" s="57">
        <f>27500*0.2</f>
        <v>5500</v>
      </c>
      <c r="H80" s="18">
        <v>0.5</v>
      </c>
    </row>
    <row r="81" spans="1:8" x14ac:dyDescent="0.45">
      <c r="A81" t="s">
        <v>111</v>
      </c>
      <c r="B81" s="11">
        <f>150000-37500</f>
        <v>112500</v>
      </c>
      <c r="C81" s="40"/>
      <c r="D81" s="40"/>
      <c r="E81" s="40"/>
      <c r="F81" s="57">
        <f>112500*0.4</f>
        <v>45000</v>
      </c>
      <c r="H81" s="18">
        <v>0.5</v>
      </c>
    </row>
    <row r="82" spans="1:8" x14ac:dyDescent="0.45">
      <c r="A82" t="s">
        <v>112</v>
      </c>
      <c r="B82" s="11">
        <v>5202</v>
      </c>
      <c r="C82" s="40"/>
      <c r="D82" s="40"/>
      <c r="E82" s="40"/>
      <c r="F82" s="58">
        <f>+B82*0.45</f>
        <v>2340.9</v>
      </c>
      <c r="H82" s="18">
        <v>0.5</v>
      </c>
    </row>
    <row r="83" spans="1:8" x14ac:dyDescent="0.45">
      <c r="B83" s="11"/>
      <c r="C83" s="40"/>
      <c r="D83" s="40"/>
      <c r="E83" s="40"/>
      <c r="F83" s="58"/>
      <c r="H83" s="18"/>
    </row>
    <row r="84" spans="1:8" x14ac:dyDescent="0.45">
      <c r="B84" s="11">
        <f>SUM(B80:B83)</f>
        <v>155202</v>
      </c>
      <c r="C84" s="40"/>
      <c r="D84" s="40"/>
      <c r="E84" s="40"/>
      <c r="F84" s="58"/>
      <c r="H84" s="18"/>
    </row>
    <row r="85" spans="1:8" x14ac:dyDescent="0.45">
      <c r="B85" s="11"/>
      <c r="C85" s="40"/>
      <c r="D85" s="40"/>
      <c r="E85" s="40"/>
      <c r="F85" s="58"/>
      <c r="H85" s="18"/>
    </row>
    <row r="86" spans="1:8" x14ac:dyDescent="0.45">
      <c r="B86" s="11"/>
      <c r="C86" s="40"/>
      <c r="D86" s="40"/>
      <c r="E86" s="40"/>
      <c r="F86" s="58"/>
      <c r="H86" s="18"/>
    </row>
    <row r="87" spans="1:8" ht="14.65" thickBot="1" x14ac:dyDescent="0.5">
      <c r="A87" s="50" t="s">
        <v>97</v>
      </c>
      <c r="B87" s="59"/>
      <c r="C87" s="60"/>
      <c r="D87" s="60"/>
      <c r="E87" s="60"/>
      <c r="F87" s="61">
        <f>SUM(F80:F86)</f>
        <v>52840.9</v>
      </c>
      <c r="H87" s="18">
        <v>0.5</v>
      </c>
    </row>
    <row r="88" spans="1:8" x14ac:dyDescent="0.45">
      <c r="A88" t="s">
        <v>98</v>
      </c>
      <c r="B88" s="11" t="s">
        <v>99</v>
      </c>
      <c r="C88" s="40"/>
      <c r="D88" s="40"/>
      <c r="E88" s="40"/>
      <c r="F88" s="40">
        <v>-58500</v>
      </c>
      <c r="H88" s="18"/>
    </row>
    <row r="89" spans="1:8" ht="14.65" thickBot="1" x14ac:dyDescent="0.5">
      <c r="B89" s="62" t="s">
        <v>100</v>
      </c>
      <c r="C89" s="63"/>
      <c r="D89" s="63"/>
      <c r="E89" s="63"/>
      <c r="F89" s="63">
        <f>SUM(F87:F88)</f>
        <v>-5659.0999999999985</v>
      </c>
      <c r="H89" s="18">
        <v>0.5</v>
      </c>
    </row>
    <row r="90" spans="1:8" x14ac:dyDescent="0.45">
      <c r="D90" s="32"/>
      <c r="H90" s="18"/>
    </row>
    <row r="91" spans="1:8" x14ac:dyDescent="0.45">
      <c r="A91" s="1" t="s">
        <v>101</v>
      </c>
      <c r="D91" s="32"/>
      <c r="H91" s="18"/>
    </row>
    <row r="92" spans="1:8" x14ac:dyDescent="0.45">
      <c r="A92" t="s">
        <v>102</v>
      </c>
      <c r="B92" s="8">
        <v>45000</v>
      </c>
      <c r="D92" s="32"/>
      <c r="H92" s="18"/>
    </row>
    <row r="93" spans="1:8" x14ac:dyDescent="0.45">
      <c r="A93" t="s">
        <v>103</v>
      </c>
      <c r="B93" s="53">
        <v>0.22</v>
      </c>
      <c r="D93" s="32"/>
      <c r="H93" s="18">
        <v>0.5</v>
      </c>
    </row>
    <row r="94" spans="1:8" ht="14.65" thickBot="1" x14ac:dyDescent="0.5">
      <c r="B94" s="51">
        <f>+B92*B93</f>
        <v>9900</v>
      </c>
      <c r="D94" s="32"/>
      <c r="H94" s="18">
        <v>0.5</v>
      </c>
    </row>
    <row r="95" spans="1:8" x14ac:dyDescent="0.45">
      <c r="D95" s="32"/>
      <c r="H95" s="18"/>
    </row>
    <row r="96" spans="1:8" x14ac:dyDescent="0.45">
      <c r="A96" s="1" t="s">
        <v>105</v>
      </c>
      <c r="D96" s="32"/>
      <c r="H96" s="18"/>
    </row>
    <row r="97" spans="1:8" x14ac:dyDescent="0.45">
      <c r="A97" t="s">
        <v>106</v>
      </c>
      <c r="B97" s="8">
        <v>24100</v>
      </c>
      <c r="D97" s="32"/>
      <c r="H97" s="18">
        <v>0.5</v>
      </c>
    </row>
    <row r="98" spans="1:8" x14ac:dyDescent="0.45">
      <c r="A98" t="s">
        <v>103</v>
      </c>
      <c r="B98" s="53">
        <v>0.22</v>
      </c>
      <c r="D98" s="32"/>
      <c r="H98" s="18"/>
    </row>
    <row r="99" spans="1:8" ht="14.65" thickBot="1" x14ac:dyDescent="0.5">
      <c r="B99" s="51">
        <f>+B97*B98</f>
        <v>5302</v>
      </c>
      <c r="H99" s="18">
        <v>0.5</v>
      </c>
    </row>
    <row r="100" spans="1:8" x14ac:dyDescent="0.45">
      <c r="H100" s="18"/>
    </row>
    <row r="101" spans="1:8" x14ac:dyDescent="0.45">
      <c r="A101" s="1" t="s">
        <v>107</v>
      </c>
      <c r="H101" s="18"/>
    </row>
    <row r="102" spans="1:8" x14ac:dyDescent="0.45">
      <c r="A102" t="s">
        <v>108</v>
      </c>
      <c r="H102" s="64">
        <v>0.5</v>
      </c>
    </row>
    <row r="105" spans="1:8" ht="18" x14ac:dyDescent="0.55000000000000004">
      <c r="A105" s="6" t="s">
        <v>118</v>
      </c>
      <c r="H105" s="24">
        <f>SUM(H106:H152)</f>
        <v>16</v>
      </c>
    </row>
    <row r="106" spans="1:8" ht="10.25" customHeight="1" x14ac:dyDescent="0.45">
      <c r="H106" s="18"/>
    </row>
    <row r="107" spans="1:8" ht="18" x14ac:dyDescent="0.55000000000000004">
      <c r="A107" s="6" t="s">
        <v>115</v>
      </c>
      <c r="C107" s="4"/>
      <c r="D107" s="4"/>
      <c r="E107" s="4"/>
      <c r="F107" s="4"/>
      <c r="G107" s="4"/>
      <c r="H107" s="18"/>
    </row>
    <row r="108" spans="1:8" ht="18" x14ac:dyDescent="0.55000000000000004">
      <c r="A108" s="6"/>
      <c r="B108" s="8" t="s">
        <v>116</v>
      </c>
      <c r="C108" s="4"/>
      <c r="D108" s="4"/>
      <c r="E108" s="4"/>
      <c r="F108" s="4"/>
      <c r="G108" s="4"/>
      <c r="H108" s="18">
        <v>3</v>
      </c>
    </row>
    <row r="109" spans="1:8" ht="18" x14ac:dyDescent="0.55000000000000004">
      <c r="A109" s="6"/>
      <c r="C109" s="4"/>
      <c r="D109" s="4"/>
      <c r="E109" s="4"/>
      <c r="F109" s="4"/>
      <c r="G109" s="4"/>
      <c r="H109" s="18"/>
    </row>
    <row r="110" spans="1:8" ht="18" x14ac:dyDescent="0.55000000000000004">
      <c r="A110" s="6"/>
      <c r="C110" s="4"/>
      <c r="D110" s="4"/>
      <c r="E110" s="4"/>
      <c r="F110" s="4"/>
      <c r="G110" s="4"/>
      <c r="H110" s="18"/>
    </row>
    <row r="111" spans="1:8" ht="18" x14ac:dyDescent="0.55000000000000004">
      <c r="A111" s="6" t="s">
        <v>117</v>
      </c>
      <c r="C111" s="4"/>
      <c r="D111" s="4"/>
      <c r="E111" s="4"/>
      <c r="F111" s="4"/>
      <c r="G111" s="4"/>
      <c r="H111" s="18"/>
    </row>
    <row r="112" spans="1:8" x14ac:dyDescent="0.45">
      <c r="A112" s="69" t="s">
        <v>119</v>
      </c>
      <c r="B112" s="66"/>
      <c r="C112" s="67"/>
      <c r="D112" s="67"/>
      <c r="E112" s="4"/>
      <c r="F112" s="4"/>
      <c r="G112" s="4"/>
      <c r="H112" s="18">
        <v>0.5</v>
      </c>
    </row>
    <row r="113" spans="1:8" ht="26.65" x14ac:dyDescent="0.45">
      <c r="A113" s="66"/>
      <c r="B113" s="66"/>
      <c r="C113" s="71" t="s">
        <v>127</v>
      </c>
      <c r="D113" s="71" t="s">
        <v>126</v>
      </c>
      <c r="E113" s="4"/>
      <c r="F113" s="4"/>
      <c r="G113" s="4"/>
      <c r="H113" s="18"/>
    </row>
    <row r="114" spans="1:8" x14ac:dyDescent="0.45">
      <c r="A114" s="66" t="s">
        <v>120</v>
      </c>
      <c r="B114" s="66" t="s">
        <v>121</v>
      </c>
      <c r="C114" s="67">
        <v>192250</v>
      </c>
      <c r="D114" s="67"/>
      <c r="E114" s="4"/>
      <c r="F114" s="4"/>
      <c r="G114" s="4"/>
      <c r="H114" s="18">
        <v>0.5</v>
      </c>
    </row>
    <row r="115" spans="1:8" x14ac:dyDescent="0.45">
      <c r="A115" s="66" t="s">
        <v>122</v>
      </c>
      <c r="B115" s="66" t="s">
        <v>123</v>
      </c>
      <c r="C115" s="67">
        <v>63000</v>
      </c>
      <c r="D115" s="67"/>
      <c r="E115" s="4"/>
      <c r="F115" s="4"/>
      <c r="G115" s="4"/>
      <c r="H115" s="18">
        <v>0.5</v>
      </c>
    </row>
    <row r="116" spans="1:8" x14ac:dyDescent="0.45">
      <c r="A116" s="66" t="s">
        <v>124</v>
      </c>
      <c r="B116" s="66" t="s">
        <v>125</v>
      </c>
      <c r="C116" s="70"/>
      <c r="D116" s="70">
        <v>20000</v>
      </c>
      <c r="E116" s="4"/>
      <c r="F116" s="4"/>
      <c r="G116" s="4"/>
      <c r="H116" s="18">
        <v>0.5</v>
      </c>
    </row>
    <row r="117" spans="1:8" x14ac:dyDescent="0.45">
      <c r="A117" s="66"/>
      <c r="B117" s="66"/>
      <c r="C117" s="67">
        <f>SUM(C114:C116)</f>
        <v>255250</v>
      </c>
      <c r="D117" s="67">
        <f>SUM(D114:D116)</f>
        <v>20000</v>
      </c>
      <c r="E117" s="4"/>
      <c r="F117" s="4"/>
      <c r="G117" s="4"/>
      <c r="H117" s="18"/>
    </row>
    <row r="118" spans="1:8" x14ac:dyDescent="0.45">
      <c r="A118" s="66" t="s">
        <v>128</v>
      </c>
      <c r="B118" s="66"/>
      <c r="C118" s="67">
        <v>-5000</v>
      </c>
      <c r="D118" s="67"/>
      <c r="E118" s="4"/>
      <c r="F118" s="4"/>
      <c r="G118" s="4"/>
      <c r="H118" s="18">
        <v>0.5</v>
      </c>
    </row>
    <row r="119" spans="1:8" ht="16.149999999999999" x14ac:dyDescent="0.7">
      <c r="A119" s="66" t="s">
        <v>129</v>
      </c>
      <c r="B119" s="66"/>
      <c r="C119" s="73">
        <v>-12000</v>
      </c>
      <c r="D119" s="72"/>
      <c r="E119" s="4"/>
      <c r="F119" s="4"/>
      <c r="G119" s="4"/>
      <c r="H119" s="18">
        <v>0.5</v>
      </c>
    </row>
    <row r="120" spans="1:8" x14ac:dyDescent="0.45">
      <c r="A120" s="66"/>
      <c r="B120" s="66"/>
      <c r="C120" s="74">
        <f>SUM(C117:C119)</f>
        <v>238250</v>
      </c>
      <c r="D120" s="74">
        <f>SUM(D117:D119)</f>
        <v>20000</v>
      </c>
      <c r="E120" s="4"/>
      <c r="F120" s="4"/>
      <c r="G120" s="4"/>
      <c r="H120" s="18">
        <v>0.5</v>
      </c>
    </row>
    <row r="121" spans="1:8" x14ac:dyDescent="0.45">
      <c r="A121" s="66"/>
      <c r="B121" s="66" t="s">
        <v>130</v>
      </c>
      <c r="C121" s="67"/>
      <c r="D121" s="67">
        <v>20000</v>
      </c>
      <c r="E121" s="4"/>
      <c r="F121" s="4">
        <f>20000*0.1</f>
        <v>2000</v>
      </c>
      <c r="G121" s="4"/>
      <c r="H121" s="18">
        <v>0.5</v>
      </c>
    </row>
    <row r="122" spans="1:8" x14ac:dyDescent="0.45">
      <c r="A122" s="66"/>
      <c r="B122" s="66" t="s">
        <v>131</v>
      </c>
      <c r="C122" s="67">
        <v>63000</v>
      </c>
      <c r="D122" s="67"/>
      <c r="E122" s="4"/>
      <c r="F122" s="4">
        <f>+C122*0.2</f>
        <v>12600</v>
      </c>
      <c r="G122" s="4"/>
      <c r="H122" s="18">
        <v>0.5</v>
      </c>
    </row>
    <row r="123" spans="1:8" x14ac:dyDescent="0.45">
      <c r="A123" s="66"/>
      <c r="B123" s="66" t="s">
        <v>132</v>
      </c>
      <c r="C123" s="67">
        <f>238250-63000</f>
        <v>175250</v>
      </c>
      <c r="D123" s="67"/>
      <c r="E123" s="4"/>
      <c r="F123" s="4">
        <f>+C123*0.28</f>
        <v>49070.000000000007</v>
      </c>
      <c r="G123" s="4"/>
      <c r="H123" s="18">
        <v>0.5</v>
      </c>
    </row>
    <row r="124" spans="1:8" x14ac:dyDescent="0.45">
      <c r="A124" s="75" t="s">
        <v>133</v>
      </c>
      <c r="B124" s="66"/>
      <c r="C124" s="67"/>
      <c r="D124" s="67"/>
      <c r="E124" s="4"/>
      <c r="F124" s="76">
        <f>SUM(F121:F123)</f>
        <v>63670.000000000007</v>
      </c>
      <c r="G124" s="4"/>
      <c r="H124" s="18">
        <v>0.5</v>
      </c>
    </row>
    <row r="125" spans="1:8" x14ac:dyDescent="0.45">
      <c r="A125" s="66"/>
      <c r="B125" s="66"/>
      <c r="C125" s="67"/>
      <c r="D125" s="67"/>
      <c r="E125" s="4"/>
      <c r="F125" s="4"/>
      <c r="G125" s="4"/>
      <c r="H125" s="18"/>
    </row>
    <row r="126" spans="1:8" x14ac:dyDescent="0.45">
      <c r="A126" s="66" t="s">
        <v>134</v>
      </c>
      <c r="B126" s="66"/>
      <c r="C126" s="67"/>
      <c r="D126" s="67"/>
      <c r="E126" s="4"/>
      <c r="F126" s="4"/>
      <c r="G126" s="4"/>
      <c r="H126" s="18"/>
    </row>
    <row r="127" spans="1:8" x14ac:dyDescent="0.45">
      <c r="A127" s="66"/>
      <c r="B127" s="66" t="s">
        <v>135</v>
      </c>
      <c r="C127" s="67">
        <v>525000</v>
      </c>
      <c r="D127" s="67"/>
      <c r="E127" s="4"/>
      <c r="F127" s="4"/>
      <c r="G127" s="4"/>
      <c r="H127" s="18">
        <v>0.5</v>
      </c>
    </row>
    <row r="128" spans="1:8" x14ac:dyDescent="0.45">
      <c r="A128" s="66"/>
      <c r="B128" s="66" t="s">
        <v>136</v>
      </c>
      <c r="C128" s="67">
        <v>-12000</v>
      </c>
      <c r="D128" s="67"/>
      <c r="E128" s="4"/>
      <c r="F128" s="4"/>
      <c r="G128" s="4"/>
      <c r="H128" s="18">
        <v>0.5</v>
      </c>
    </row>
    <row r="129" spans="1:8" x14ac:dyDescent="0.45">
      <c r="A129" s="66"/>
      <c r="B129" s="66" t="s">
        <v>137</v>
      </c>
      <c r="C129" s="67">
        <v>-78500</v>
      </c>
      <c r="D129" s="67"/>
      <c r="E129" s="4"/>
      <c r="F129" s="4"/>
      <c r="G129" s="4"/>
      <c r="H129" s="18">
        <v>0.5</v>
      </c>
    </row>
    <row r="130" spans="1:8" x14ac:dyDescent="0.45">
      <c r="A130" s="66"/>
      <c r="B130" s="66" t="s">
        <v>138</v>
      </c>
      <c r="C130" s="67">
        <v>-50000</v>
      </c>
      <c r="D130" s="67"/>
      <c r="E130" s="4"/>
      <c r="F130" s="4"/>
      <c r="G130" s="4"/>
      <c r="H130" s="18">
        <v>0.5</v>
      </c>
    </row>
    <row r="131" spans="1:8" x14ac:dyDescent="0.45">
      <c r="A131" s="66"/>
      <c r="B131" s="78" t="s">
        <v>139</v>
      </c>
      <c r="C131" s="74">
        <f>SUM(C127:C130)</f>
        <v>384500</v>
      </c>
      <c r="D131" s="67"/>
      <c r="E131" s="4"/>
      <c r="F131" s="4"/>
      <c r="G131" s="4"/>
      <c r="H131" s="18">
        <v>0.5</v>
      </c>
    </row>
    <row r="132" spans="1:8" ht="7.25" customHeight="1" x14ac:dyDescent="0.45">
      <c r="A132" s="66"/>
      <c r="B132" s="66"/>
      <c r="C132" s="67"/>
      <c r="D132" s="67"/>
      <c r="E132" s="4"/>
      <c r="F132" s="4"/>
      <c r="G132" s="4"/>
      <c r="H132" s="18"/>
    </row>
    <row r="133" spans="1:8" x14ac:dyDescent="0.45">
      <c r="A133" s="68"/>
      <c r="B133" s="75" t="s">
        <v>140</v>
      </c>
      <c r="C133" s="77">
        <f>+C131/2</f>
        <v>192250</v>
      </c>
      <c r="D133" s="67"/>
      <c r="E133" s="4"/>
      <c r="F133" s="4"/>
      <c r="G133" s="4"/>
      <c r="H133" s="18">
        <v>0.5</v>
      </c>
    </row>
    <row r="134" spans="1:8" x14ac:dyDescent="0.45">
      <c r="A134" s="68"/>
      <c r="B134" s="66"/>
      <c r="C134" s="67"/>
      <c r="D134" s="67"/>
      <c r="E134" s="4"/>
      <c r="F134" s="4"/>
      <c r="G134" s="4"/>
      <c r="H134" s="18"/>
    </row>
    <row r="135" spans="1:8" x14ac:dyDescent="0.45">
      <c r="A135" s="66" t="s">
        <v>141</v>
      </c>
      <c r="B135" s="66"/>
      <c r="C135" s="67"/>
      <c r="D135" s="67"/>
      <c r="E135" s="4"/>
      <c r="F135" s="4"/>
      <c r="G135" s="4"/>
      <c r="H135" s="18"/>
    </row>
    <row r="136" spans="1:8" x14ac:dyDescent="0.45">
      <c r="A136" s="66" t="s">
        <v>142</v>
      </c>
      <c r="B136" s="66" t="s">
        <v>143</v>
      </c>
      <c r="C136" s="67">
        <f>63000*1.11111111111111</f>
        <v>70000</v>
      </c>
      <c r="D136" s="67"/>
      <c r="E136" s="4"/>
      <c r="F136" s="4"/>
      <c r="G136" s="4"/>
      <c r="H136" s="18">
        <v>0.5</v>
      </c>
    </row>
    <row r="137" spans="1:8" x14ac:dyDescent="0.45">
      <c r="A137" s="66"/>
      <c r="B137" s="66" t="s">
        <v>151</v>
      </c>
      <c r="C137" s="67">
        <v>-7000</v>
      </c>
      <c r="D137" s="67"/>
      <c r="E137" s="4"/>
      <c r="F137" s="4"/>
      <c r="G137" s="4"/>
      <c r="H137" s="18">
        <v>0.5</v>
      </c>
    </row>
    <row r="138" spans="1:8" x14ac:dyDescent="0.45">
      <c r="A138" s="66"/>
      <c r="B138" s="75" t="s">
        <v>144</v>
      </c>
      <c r="C138" s="79">
        <f>+C136+C137</f>
        <v>63000</v>
      </c>
      <c r="D138" s="67"/>
      <c r="E138" s="4"/>
      <c r="F138" s="4"/>
      <c r="G138" s="4"/>
      <c r="H138" s="18">
        <v>0.5</v>
      </c>
    </row>
    <row r="139" spans="1:8" x14ac:dyDescent="0.45">
      <c r="A139" s="66"/>
      <c r="B139" s="66"/>
      <c r="C139" s="67"/>
      <c r="D139" s="67"/>
      <c r="E139" s="4"/>
      <c r="F139" s="4"/>
      <c r="G139" s="4"/>
      <c r="H139" s="18"/>
    </row>
    <row r="140" spans="1:8" x14ac:dyDescent="0.45">
      <c r="A140" s="66" t="s">
        <v>145</v>
      </c>
      <c r="B140" s="66"/>
      <c r="C140" s="67"/>
      <c r="D140" s="67"/>
      <c r="E140" s="4"/>
      <c r="F140" s="4"/>
      <c r="G140" s="4"/>
      <c r="H140" s="18"/>
    </row>
    <row r="141" spans="1:8" x14ac:dyDescent="0.45">
      <c r="A141" s="66" t="s">
        <v>146</v>
      </c>
      <c r="B141" s="66"/>
      <c r="C141" s="67"/>
      <c r="D141" s="67"/>
      <c r="E141" s="4"/>
      <c r="F141" s="4"/>
      <c r="G141" s="4"/>
      <c r="H141" s="18">
        <v>1</v>
      </c>
    </row>
    <row r="142" spans="1:8" x14ac:dyDescent="0.45">
      <c r="A142" s="66"/>
      <c r="B142" s="66" t="s">
        <v>147</v>
      </c>
      <c r="C142" s="67">
        <v>30000</v>
      </c>
      <c r="D142" s="67"/>
      <c r="E142" s="4"/>
      <c r="F142" s="4"/>
      <c r="G142" s="4"/>
      <c r="H142" s="18">
        <v>0.5</v>
      </c>
    </row>
    <row r="143" spans="1:8" x14ac:dyDescent="0.45">
      <c r="A143" s="66"/>
      <c r="B143" s="66" t="s">
        <v>148</v>
      </c>
      <c r="C143" s="67">
        <v>0</v>
      </c>
      <c r="D143" s="67"/>
      <c r="E143" s="4"/>
      <c r="F143" s="4"/>
      <c r="G143" s="4"/>
      <c r="H143" s="18">
        <v>0.5</v>
      </c>
    </row>
    <row r="144" spans="1:8" x14ac:dyDescent="0.45">
      <c r="A144" s="66"/>
      <c r="B144" s="66" t="s">
        <v>149</v>
      </c>
      <c r="C144" s="67">
        <v>-10000</v>
      </c>
      <c r="D144" s="67"/>
      <c r="E144" s="4"/>
      <c r="F144" s="4"/>
      <c r="G144" s="4"/>
      <c r="H144" s="18">
        <v>0.5</v>
      </c>
    </row>
    <row r="145" spans="1:8" x14ac:dyDescent="0.45">
      <c r="A145" s="66"/>
      <c r="B145" s="75" t="s">
        <v>150</v>
      </c>
      <c r="C145" s="79">
        <f>+C144+C143+C142</f>
        <v>20000</v>
      </c>
      <c r="D145" s="67"/>
      <c r="E145" s="4"/>
      <c r="F145" s="4"/>
      <c r="G145" s="4"/>
      <c r="H145" s="18">
        <v>0.5</v>
      </c>
    </row>
    <row r="146" spans="1:8" x14ac:dyDescent="0.45">
      <c r="A146" s="66"/>
      <c r="B146" s="75"/>
      <c r="C146" s="81"/>
      <c r="D146" s="67"/>
      <c r="E146" s="4"/>
      <c r="F146" s="4"/>
      <c r="G146" s="4"/>
      <c r="H146" s="18"/>
    </row>
    <row r="147" spans="1:8" x14ac:dyDescent="0.45">
      <c r="A147" s="66"/>
      <c r="B147" s="75"/>
      <c r="C147" s="81"/>
      <c r="D147" s="67"/>
      <c r="E147" s="4"/>
      <c r="F147" s="4"/>
      <c r="G147" s="4"/>
      <c r="H147" s="18"/>
    </row>
    <row r="148" spans="1:8" x14ac:dyDescent="0.45">
      <c r="A148" s="66"/>
      <c r="B148" s="75"/>
      <c r="C148" s="81"/>
      <c r="D148" s="67"/>
      <c r="E148" s="4"/>
      <c r="F148" s="4"/>
      <c r="G148" s="4"/>
      <c r="H148" s="18"/>
    </row>
    <row r="149" spans="1:8" x14ac:dyDescent="0.45">
      <c r="A149" s="66"/>
      <c r="B149" s="75"/>
      <c r="C149" s="81"/>
      <c r="D149" s="67"/>
      <c r="E149" s="4"/>
      <c r="F149" s="4"/>
      <c r="G149" s="4"/>
      <c r="H149" s="18"/>
    </row>
    <row r="150" spans="1:8" x14ac:dyDescent="0.45">
      <c r="A150" s="66"/>
      <c r="B150" s="75"/>
      <c r="C150" s="81"/>
      <c r="D150" s="67"/>
      <c r="E150" s="4"/>
      <c r="F150" s="4"/>
      <c r="G150" s="4"/>
      <c r="H150" s="18"/>
    </row>
    <row r="151" spans="1:8" ht="18" customHeight="1" x14ac:dyDescent="0.45">
      <c r="A151" s="66"/>
      <c r="B151" s="66"/>
      <c r="C151" s="67"/>
      <c r="D151" s="67"/>
      <c r="E151" s="4"/>
      <c r="F151" s="4"/>
      <c r="G151" s="4"/>
      <c r="H151" s="64"/>
    </row>
    <row r="152" spans="1:8" ht="18" customHeight="1" x14ac:dyDescent="0.45">
      <c r="A152" s="66"/>
      <c r="B152" s="66"/>
      <c r="C152" s="67"/>
      <c r="D152" s="67"/>
      <c r="E152" s="4"/>
      <c r="F152" s="4"/>
      <c r="G152" s="4"/>
    </row>
    <row r="153" spans="1:8" ht="18" x14ac:dyDescent="0.55000000000000004">
      <c r="A153" s="6" t="s">
        <v>152</v>
      </c>
      <c r="C153" s="4"/>
      <c r="D153" s="4"/>
      <c r="E153" s="4"/>
      <c r="F153" s="4"/>
      <c r="G153" s="4"/>
    </row>
    <row r="154" spans="1:8" ht="18" x14ac:dyDescent="0.55000000000000004">
      <c r="A154" s="6" t="s">
        <v>32</v>
      </c>
      <c r="C154" s="4"/>
      <c r="D154" s="4"/>
      <c r="E154" s="4"/>
      <c r="F154" s="4"/>
      <c r="G154" s="4"/>
      <c r="H154" s="25">
        <f>SUM(H155:H171)</f>
        <v>6</v>
      </c>
    </row>
    <row r="155" spans="1:8" x14ac:dyDescent="0.45">
      <c r="C155" s="4"/>
      <c r="D155" s="4" t="s">
        <v>24</v>
      </c>
      <c r="E155" s="4"/>
      <c r="F155" s="4"/>
      <c r="G155" s="4"/>
      <c r="H155" s="19"/>
    </row>
    <row r="156" spans="1:8" x14ac:dyDescent="0.45">
      <c r="A156" t="s">
        <v>13</v>
      </c>
      <c r="B156" s="8" t="s">
        <v>14</v>
      </c>
      <c r="C156" s="4">
        <v>29000</v>
      </c>
      <c r="D156" s="4"/>
      <c r="E156" s="4"/>
      <c r="F156" s="4"/>
      <c r="G156" s="4"/>
      <c r="H156" s="19"/>
    </row>
    <row r="157" spans="1:8" x14ac:dyDescent="0.45">
      <c r="B157" s="8" t="s">
        <v>15</v>
      </c>
      <c r="C157" s="4">
        <f>93000/3</f>
        <v>31000</v>
      </c>
      <c r="D157" s="4">
        <f>+C157+C156</f>
        <v>60000</v>
      </c>
      <c r="E157" s="4"/>
      <c r="F157" s="4"/>
      <c r="G157" s="4"/>
      <c r="H157" s="19"/>
    </row>
    <row r="158" spans="1:8" x14ac:dyDescent="0.45">
      <c r="B158" s="8" t="s">
        <v>16</v>
      </c>
      <c r="C158" s="20">
        <f>93000/3</f>
        <v>31000</v>
      </c>
      <c r="D158" s="20">
        <f>+D157+C158</f>
        <v>91000</v>
      </c>
      <c r="E158" s="20" t="s">
        <v>25</v>
      </c>
      <c r="F158" s="4"/>
      <c r="G158" s="4"/>
      <c r="H158" s="19"/>
    </row>
    <row r="159" spans="1:8" x14ac:dyDescent="0.45">
      <c r="B159" s="8" t="s">
        <v>17</v>
      </c>
      <c r="C159" s="4">
        <f>93000/3</f>
        <v>31000</v>
      </c>
      <c r="D159" s="4">
        <f t="shared" ref="D159:D165" si="3">+D158+C159</f>
        <v>122000</v>
      </c>
      <c r="E159" s="4"/>
      <c r="F159" s="4"/>
      <c r="G159" s="4"/>
      <c r="H159" s="19"/>
    </row>
    <row r="160" spans="1:8" x14ac:dyDescent="0.45">
      <c r="B160" s="8" t="s">
        <v>18</v>
      </c>
      <c r="C160" s="4">
        <f>69000/3</f>
        <v>23000</v>
      </c>
      <c r="D160" s="4">
        <f t="shared" si="3"/>
        <v>145000</v>
      </c>
      <c r="E160" s="4"/>
      <c r="F160" s="4"/>
      <c r="G160" s="4"/>
      <c r="H160" s="19"/>
    </row>
    <row r="161" spans="1:8" x14ac:dyDescent="0.45">
      <c r="B161" s="8" t="s">
        <v>19</v>
      </c>
      <c r="C161" s="4">
        <f>69000/3</f>
        <v>23000</v>
      </c>
      <c r="D161" s="4">
        <f t="shared" si="3"/>
        <v>168000</v>
      </c>
      <c r="E161" s="4"/>
      <c r="F161" s="4"/>
      <c r="G161" s="4"/>
      <c r="H161" s="19"/>
    </row>
    <row r="162" spans="1:8" x14ac:dyDescent="0.45">
      <c r="B162" s="8" t="s">
        <v>20</v>
      </c>
      <c r="C162" s="4">
        <f>69000/3</f>
        <v>23000</v>
      </c>
      <c r="D162" s="4">
        <f t="shared" si="3"/>
        <v>191000</v>
      </c>
      <c r="E162" s="4"/>
      <c r="F162" s="4"/>
      <c r="G162" s="4"/>
      <c r="H162" s="19"/>
    </row>
    <row r="163" spans="1:8" x14ac:dyDescent="0.45">
      <c r="B163" s="8" t="s">
        <v>21</v>
      </c>
      <c r="C163" s="4">
        <f>84000/3</f>
        <v>28000</v>
      </c>
      <c r="D163" s="4">
        <f t="shared" si="3"/>
        <v>219000</v>
      </c>
      <c r="E163" s="4"/>
      <c r="F163" s="4"/>
      <c r="G163" s="4"/>
      <c r="H163" s="19"/>
    </row>
    <row r="164" spans="1:8" x14ac:dyDescent="0.45">
      <c r="B164" s="8" t="s">
        <v>22</v>
      </c>
      <c r="C164" s="4">
        <f>84000/3</f>
        <v>28000</v>
      </c>
      <c r="D164" s="4">
        <f t="shared" si="3"/>
        <v>247000</v>
      </c>
      <c r="H164" s="18"/>
    </row>
    <row r="165" spans="1:8" x14ac:dyDescent="0.45">
      <c r="B165" s="8" t="s">
        <v>23</v>
      </c>
      <c r="C165" s="4">
        <f>84000/3</f>
        <v>28000</v>
      </c>
      <c r="D165" s="4">
        <f t="shared" si="3"/>
        <v>275000</v>
      </c>
      <c r="H165" s="18">
        <v>2</v>
      </c>
    </row>
    <row r="166" spans="1:8" x14ac:dyDescent="0.45">
      <c r="H166" s="18"/>
    </row>
    <row r="167" spans="1:8" x14ac:dyDescent="0.45">
      <c r="A167" s="8" t="s">
        <v>26</v>
      </c>
      <c r="B167" s="8" t="s">
        <v>31</v>
      </c>
      <c r="D167" t="s">
        <v>27</v>
      </c>
      <c r="H167" s="18">
        <v>2</v>
      </c>
    </row>
    <row r="168" spans="1:8" x14ac:dyDescent="0.45">
      <c r="H168" s="18"/>
    </row>
    <row r="169" spans="1:8" x14ac:dyDescent="0.45">
      <c r="A169" s="8" t="s">
        <v>28</v>
      </c>
      <c r="H169" s="18"/>
    </row>
    <row r="170" spans="1:8" x14ac:dyDescent="0.45">
      <c r="A170" s="8" t="s">
        <v>29</v>
      </c>
      <c r="D170" t="s">
        <v>30</v>
      </c>
      <c r="H170" s="18">
        <v>2</v>
      </c>
    </row>
    <row r="173" spans="1:8" ht="18" x14ac:dyDescent="0.55000000000000004">
      <c r="A173" s="6" t="s">
        <v>51</v>
      </c>
      <c r="H173" s="24">
        <f>SUM(H175:H188)</f>
        <v>14</v>
      </c>
    </row>
    <row r="174" spans="1:8" x14ac:dyDescent="0.45">
      <c r="H174" s="18"/>
    </row>
    <row r="175" spans="1:8" x14ac:dyDescent="0.45">
      <c r="A175" t="s">
        <v>33</v>
      </c>
      <c r="H175" s="18"/>
    </row>
    <row r="176" spans="1:8" x14ac:dyDescent="0.45">
      <c r="A176" s="1" t="s">
        <v>37</v>
      </c>
      <c r="H176" s="18"/>
    </row>
    <row r="177" spans="1:8" ht="14.65" thickBot="1" x14ac:dyDescent="0.5">
      <c r="A177" t="s">
        <v>34</v>
      </c>
      <c r="C177" s="8">
        <v>69000</v>
      </c>
      <c r="D177" s="21">
        <f>+C177*0.2</f>
        <v>13800</v>
      </c>
      <c r="H177" s="18">
        <v>2</v>
      </c>
    </row>
    <row r="178" spans="1:8" ht="14.65" thickTop="1" x14ac:dyDescent="0.45">
      <c r="C178" s="8"/>
      <c r="H178" s="18"/>
    </row>
    <row r="179" spans="1:8" x14ac:dyDescent="0.45">
      <c r="A179" t="s">
        <v>35</v>
      </c>
      <c r="C179" s="8">
        <v>28000</v>
      </c>
      <c r="D179">
        <f>+C179*0.2</f>
        <v>5600</v>
      </c>
      <c r="H179" s="18">
        <v>2</v>
      </c>
    </row>
    <row r="180" spans="1:8" x14ac:dyDescent="0.45">
      <c r="B180" s="8" t="s">
        <v>38</v>
      </c>
      <c r="C180" s="8">
        <v>-3000</v>
      </c>
      <c r="D180">
        <f>+C180*0.2</f>
        <v>-600</v>
      </c>
      <c r="H180" s="18">
        <v>2</v>
      </c>
    </row>
    <row r="181" spans="1:8" x14ac:dyDescent="0.45">
      <c r="B181" s="8" t="s">
        <v>39</v>
      </c>
      <c r="C181" s="8">
        <v>2500</v>
      </c>
      <c r="D181">
        <f>+C181*0.2</f>
        <v>500</v>
      </c>
      <c r="H181" s="18">
        <v>2</v>
      </c>
    </row>
    <row r="182" spans="1:8" x14ac:dyDescent="0.45">
      <c r="B182" s="8" t="s">
        <v>40</v>
      </c>
      <c r="C182" t="s">
        <v>4</v>
      </c>
      <c r="H182" s="18">
        <v>1</v>
      </c>
    </row>
    <row r="183" spans="1:8" x14ac:dyDescent="0.45">
      <c r="B183" s="8" t="s">
        <v>41</v>
      </c>
      <c r="C183" s="8">
        <f>12000/1.2</f>
        <v>10000</v>
      </c>
      <c r="D183">
        <f>+C183*0.2</f>
        <v>2000</v>
      </c>
      <c r="H183" s="18">
        <v>2</v>
      </c>
    </row>
    <row r="184" spans="1:8" ht="14.65" thickBot="1" x14ac:dyDescent="0.5">
      <c r="D184" s="12">
        <f>SUM(D179:D183)</f>
        <v>7500</v>
      </c>
      <c r="H184" s="18"/>
    </row>
    <row r="185" spans="1:8" ht="14.65" thickTop="1" x14ac:dyDescent="0.45">
      <c r="H185" s="18"/>
    </row>
    <row r="186" spans="1:8" x14ac:dyDescent="0.45">
      <c r="A186" s="1" t="s">
        <v>36</v>
      </c>
      <c r="B186" s="17"/>
      <c r="C186" s="1"/>
      <c r="D186" s="1">
        <f>+D177-D184</f>
        <v>6300</v>
      </c>
      <c r="H186" s="18">
        <v>1</v>
      </c>
    </row>
    <row r="187" spans="1:8" x14ac:dyDescent="0.45">
      <c r="H187" s="18"/>
    </row>
    <row r="188" spans="1:8" x14ac:dyDescent="0.45">
      <c r="A188" t="s">
        <v>42</v>
      </c>
      <c r="H188" s="18">
        <v>2</v>
      </c>
    </row>
    <row r="191" spans="1:8" ht="18" x14ac:dyDescent="0.55000000000000004">
      <c r="A191" s="6" t="s">
        <v>153</v>
      </c>
    </row>
    <row r="192" spans="1:8" x14ac:dyDescent="0.45">
      <c r="C192" s="4"/>
      <c r="D192" s="4"/>
      <c r="E192" s="4"/>
      <c r="F192" s="4"/>
      <c r="G192" s="4"/>
    </row>
    <row r="193" spans="1:8" x14ac:dyDescent="0.45">
      <c r="A193" s="2" t="s">
        <v>163</v>
      </c>
      <c r="C193" s="4"/>
      <c r="D193" s="4"/>
      <c r="E193" s="4"/>
      <c r="F193" s="4"/>
      <c r="G193" s="4"/>
      <c r="H193" s="24">
        <f>SUM(H195:H253)</f>
        <v>34</v>
      </c>
    </row>
    <row r="194" spans="1:8" x14ac:dyDescent="0.45">
      <c r="C194" s="4"/>
      <c r="D194" s="4"/>
      <c r="E194" s="4"/>
      <c r="F194" s="4"/>
      <c r="G194" s="4"/>
      <c r="H194" s="18"/>
    </row>
    <row r="195" spans="1:8" x14ac:dyDescent="0.45">
      <c r="A195" t="s">
        <v>164</v>
      </c>
      <c r="C195" s="5" t="s">
        <v>43</v>
      </c>
      <c r="D195" s="5" t="s">
        <v>44</v>
      </c>
      <c r="E195" s="5"/>
      <c r="F195" s="22" t="s">
        <v>48</v>
      </c>
      <c r="G195" s="23"/>
      <c r="H195" s="18">
        <v>1</v>
      </c>
    </row>
    <row r="196" spans="1:8" x14ac:dyDescent="0.45">
      <c r="A196" t="s">
        <v>45</v>
      </c>
      <c r="C196" s="4">
        <v>0</v>
      </c>
      <c r="D196" s="4"/>
      <c r="E196" s="4"/>
      <c r="F196" s="23"/>
      <c r="G196" s="23"/>
      <c r="H196" s="18"/>
    </row>
    <row r="197" spans="1:8" x14ac:dyDescent="0.45">
      <c r="C197" s="4"/>
      <c r="D197" s="4"/>
      <c r="E197" s="4"/>
      <c r="F197" s="23"/>
      <c r="G197" s="23"/>
      <c r="H197" s="18"/>
    </row>
    <row r="198" spans="1:8" x14ac:dyDescent="0.45">
      <c r="A198" s="3" t="s">
        <v>46</v>
      </c>
      <c r="C198" s="4"/>
      <c r="D198" s="4"/>
      <c r="E198" s="4"/>
      <c r="F198" s="23"/>
      <c r="G198" s="23"/>
      <c r="H198" s="18"/>
    </row>
    <row r="199" spans="1:8" x14ac:dyDescent="0.45">
      <c r="A199" t="s">
        <v>155</v>
      </c>
      <c r="B199" s="8" t="s">
        <v>156</v>
      </c>
      <c r="C199" s="4"/>
      <c r="D199" s="4"/>
      <c r="E199" s="4"/>
      <c r="F199" s="23"/>
      <c r="G199" s="23"/>
      <c r="H199" s="18"/>
    </row>
    <row r="200" spans="1:8" x14ac:dyDescent="0.45">
      <c r="B200" s="8" t="s">
        <v>157</v>
      </c>
      <c r="C200" s="4"/>
      <c r="D200" s="4"/>
      <c r="E200" s="4"/>
      <c r="F200" s="23">
        <v>120000</v>
      </c>
      <c r="G200" s="23"/>
      <c r="H200" s="18">
        <v>1</v>
      </c>
    </row>
    <row r="201" spans="1:8" x14ac:dyDescent="0.45">
      <c r="C201" s="4"/>
      <c r="D201" s="4"/>
      <c r="E201" s="4"/>
      <c r="F201" s="23"/>
      <c r="G201" s="23"/>
      <c r="H201" s="18"/>
    </row>
    <row r="202" spans="1:8" x14ac:dyDescent="0.45">
      <c r="A202" t="s">
        <v>158</v>
      </c>
      <c r="B202" s="8" t="s">
        <v>159</v>
      </c>
      <c r="C202" s="4"/>
      <c r="D202" s="4"/>
      <c r="E202" s="4"/>
      <c r="F202" s="23"/>
      <c r="G202" s="23"/>
      <c r="H202" s="18"/>
    </row>
    <row r="203" spans="1:8" x14ac:dyDescent="0.45">
      <c r="B203" s="8" t="s">
        <v>160</v>
      </c>
      <c r="C203" s="4"/>
      <c r="D203" s="4"/>
      <c r="E203" s="4"/>
      <c r="F203" s="23">
        <v>17500</v>
      </c>
      <c r="G203" s="23"/>
      <c r="H203" s="18">
        <v>1</v>
      </c>
    </row>
    <row r="204" spans="1:8" x14ac:dyDescent="0.45">
      <c r="C204" s="4"/>
      <c r="D204" s="4"/>
      <c r="E204" s="4"/>
      <c r="F204" s="23"/>
      <c r="G204" s="23"/>
      <c r="H204" s="18"/>
    </row>
    <row r="205" spans="1:8" x14ac:dyDescent="0.45">
      <c r="A205" t="s">
        <v>161</v>
      </c>
      <c r="C205" s="4"/>
      <c r="D205" s="4"/>
      <c r="E205" s="4"/>
      <c r="F205" s="23"/>
      <c r="G205" s="23"/>
      <c r="H205" s="18"/>
    </row>
    <row r="206" spans="1:8" x14ac:dyDescent="0.45">
      <c r="A206" t="s">
        <v>162</v>
      </c>
      <c r="C206" s="4">
        <v>9000</v>
      </c>
      <c r="D206" s="4"/>
      <c r="E206" s="4"/>
      <c r="F206" s="23"/>
      <c r="G206" s="23"/>
      <c r="H206" s="18">
        <v>1</v>
      </c>
    </row>
    <row r="207" spans="1:8" x14ac:dyDescent="0.45">
      <c r="C207" s="5"/>
      <c r="D207" s="4"/>
      <c r="E207" s="4"/>
      <c r="F207" s="23"/>
      <c r="G207" s="23"/>
      <c r="H207" s="18"/>
    </row>
    <row r="208" spans="1:8" x14ac:dyDescent="0.45">
      <c r="C208" s="4">
        <f>SUM(C196:C207)</f>
        <v>9000</v>
      </c>
      <c r="D208" s="4"/>
      <c r="E208" s="4"/>
      <c r="F208" s="23"/>
      <c r="G208" s="23"/>
      <c r="H208" s="18"/>
    </row>
    <row r="209" spans="1:8" x14ac:dyDescent="0.45">
      <c r="B209" s="8" t="s">
        <v>47</v>
      </c>
      <c r="C209" s="4">
        <f>-C208*0.18</f>
        <v>-1620</v>
      </c>
      <c r="D209" s="4"/>
      <c r="E209" s="4"/>
      <c r="F209" s="23">
        <f>-C209</f>
        <v>1620</v>
      </c>
      <c r="G209" s="23"/>
      <c r="H209" s="18">
        <v>1</v>
      </c>
    </row>
    <row r="210" spans="1:8" x14ac:dyDescent="0.45">
      <c r="A210" t="s">
        <v>49</v>
      </c>
      <c r="C210" s="14">
        <f>SUM(C208:C209)</f>
        <v>7380</v>
      </c>
      <c r="D210" s="4"/>
      <c r="E210" s="4"/>
      <c r="F210" s="16">
        <f>SUM(F199:F209)</f>
        <v>139120</v>
      </c>
      <c r="G210" s="31"/>
      <c r="H210" s="18">
        <v>1</v>
      </c>
    </row>
    <row r="211" spans="1:8" x14ac:dyDescent="0.45">
      <c r="C211" s="4"/>
      <c r="D211" s="4"/>
      <c r="E211" s="4"/>
      <c r="F211" s="4"/>
      <c r="G211" s="4"/>
      <c r="H211" s="18"/>
    </row>
    <row r="212" spans="1:8" x14ac:dyDescent="0.45">
      <c r="A212" t="s">
        <v>165</v>
      </c>
      <c r="B212"/>
      <c r="D212" s="4"/>
      <c r="E212" s="4"/>
      <c r="F212" s="4"/>
      <c r="G212" s="4"/>
      <c r="H212" s="18"/>
    </row>
    <row r="213" spans="1:8" x14ac:dyDescent="0.45">
      <c r="B213" t="s">
        <v>166</v>
      </c>
      <c r="C213">
        <v>180900</v>
      </c>
      <c r="D213" s="4"/>
      <c r="E213" s="4"/>
      <c r="F213" s="4"/>
      <c r="G213" s="4"/>
      <c r="H213" s="18">
        <v>0.5</v>
      </c>
    </row>
    <row r="214" spans="1:8" x14ac:dyDescent="0.45">
      <c r="B214" t="s">
        <v>167</v>
      </c>
      <c r="C214" s="40">
        <f>-F210</f>
        <v>-139120</v>
      </c>
      <c r="D214" s="4"/>
      <c r="E214" s="4"/>
      <c r="F214" s="4"/>
      <c r="G214" s="4"/>
      <c r="H214" s="18">
        <v>0.5</v>
      </c>
    </row>
    <row r="215" spans="1:8" x14ac:dyDescent="0.45">
      <c r="B215"/>
      <c r="C215" s="80">
        <f>+C214+C213</f>
        <v>41780</v>
      </c>
      <c r="D215" s="4"/>
      <c r="E215" s="4"/>
      <c r="F215" s="4"/>
      <c r="G215" s="4"/>
      <c r="H215" s="18">
        <v>1</v>
      </c>
    </row>
    <row r="216" spans="1:8" x14ac:dyDescent="0.45">
      <c r="B216"/>
      <c r="C216" s="40"/>
      <c r="D216" s="4"/>
      <c r="E216" s="4"/>
      <c r="F216" s="4"/>
      <c r="G216" s="4"/>
      <c r="H216" s="18"/>
    </row>
    <row r="217" spans="1:8" x14ac:dyDescent="0.45">
      <c r="A217" t="s">
        <v>168</v>
      </c>
      <c r="B217" t="s">
        <v>169</v>
      </c>
      <c r="C217" s="40"/>
      <c r="D217" s="4"/>
      <c r="E217" s="4"/>
      <c r="F217" s="4"/>
      <c r="G217" s="4"/>
      <c r="H217" s="18"/>
    </row>
    <row r="218" spans="1:8" x14ac:dyDescent="0.45">
      <c r="B218" t="s">
        <v>170</v>
      </c>
      <c r="C218" s="40" t="s">
        <v>174</v>
      </c>
      <c r="D218" s="4">
        <f>41780*0.25</f>
        <v>10445</v>
      </c>
      <c r="E218" s="4"/>
      <c r="F218" s="4"/>
      <c r="G218" s="4"/>
      <c r="H218" s="18">
        <v>3</v>
      </c>
    </row>
    <row r="219" spans="1:8" x14ac:dyDescent="0.45">
      <c r="B219"/>
      <c r="C219" s="40"/>
      <c r="D219" s="4"/>
      <c r="E219" s="4"/>
      <c r="F219" s="4"/>
      <c r="G219" s="4"/>
      <c r="H219" s="18"/>
    </row>
    <row r="220" spans="1:8" x14ac:dyDescent="0.45">
      <c r="A220" t="s">
        <v>171</v>
      </c>
      <c r="B220" t="s">
        <v>172</v>
      </c>
      <c r="D220" s="4"/>
      <c r="E220" s="4"/>
      <c r="F220" s="4"/>
      <c r="G220" s="4"/>
      <c r="H220" s="18"/>
    </row>
    <row r="221" spans="1:8" x14ac:dyDescent="0.45">
      <c r="B221" t="s">
        <v>173</v>
      </c>
      <c r="C221" t="s">
        <v>175</v>
      </c>
      <c r="D221" s="4">
        <v>41780</v>
      </c>
      <c r="E221" s="4"/>
      <c r="F221" s="4"/>
      <c r="G221" s="4"/>
      <c r="H221" s="18">
        <v>3</v>
      </c>
    </row>
    <row r="222" spans="1:8" x14ac:dyDescent="0.45">
      <c r="B222"/>
      <c r="D222" s="4"/>
      <c r="E222" s="4"/>
      <c r="F222" s="4"/>
      <c r="G222" s="4"/>
      <c r="H222" s="18"/>
    </row>
    <row r="223" spans="1:8" x14ac:dyDescent="0.45">
      <c r="B223" t="s">
        <v>176</v>
      </c>
      <c r="D223" s="4">
        <v>10445</v>
      </c>
      <c r="E223" s="4"/>
      <c r="F223" s="4"/>
      <c r="G223" s="4"/>
      <c r="H223" s="18">
        <v>2</v>
      </c>
    </row>
    <row r="224" spans="1:8" x14ac:dyDescent="0.45">
      <c r="B224"/>
      <c r="D224" s="4"/>
      <c r="E224" s="4"/>
      <c r="F224" s="4"/>
      <c r="G224" s="4"/>
      <c r="H224" s="65"/>
    </row>
    <row r="225" spans="1:8" x14ac:dyDescent="0.45">
      <c r="A225" t="s">
        <v>177</v>
      </c>
      <c r="B225"/>
      <c r="D225" s="4"/>
      <c r="E225" s="4"/>
      <c r="F225" s="4"/>
      <c r="G225" s="4"/>
      <c r="H225" s="65"/>
    </row>
    <row r="226" spans="1:8" ht="64.25" customHeight="1" x14ac:dyDescent="0.45">
      <c r="A226" s="83" t="s">
        <v>182</v>
      </c>
      <c r="B226" s="83"/>
      <c r="C226" s="83"/>
      <c r="D226" s="83"/>
      <c r="E226" s="83"/>
      <c r="F226" s="83"/>
      <c r="G226" s="4"/>
      <c r="H226" s="65">
        <v>1</v>
      </c>
    </row>
    <row r="227" spans="1:8" x14ac:dyDescent="0.45">
      <c r="A227" s="82"/>
      <c r="B227"/>
      <c r="D227" s="4"/>
      <c r="E227" s="4"/>
      <c r="F227" s="4"/>
      <c r="G227" s="4"/>
      <c r="H227" s="65"/>
    </row>
    <row r="228" spans="1:8" ht="58.25" customHeight="1" x14ac:dyDescent="0.45">
      <c r="A228" s="83" t="s">
        <v>178</v>
      </c>
      <c r="B228" s="83"/>
      <c r="C228" s="83"/>
      <c r="D228" s="83"/>
      <c r="E228" s="83"/>
      <c r="F228" s="83"/>
      <c r="G228" s="4"/>
      <c r="H228" s="65">
        <v>1</v>
      </c>
    </row>
    <row r="229" spans="1:8" x14ac:dyDescent="0.45">
      <c r="A229" s="82"/>
      <c r="B229"/>
      <c r="D229" s="4"/>
      <c r="E229" s="4"/>
      <c r="F229" s="4"/>
      <c r="G229" s="4"/>
      <c r="H229" s="65"/>
    </row>
    <row r="230" spans="1:8" ht="71.45" customHeight="1" x14ac:dyDescent="0.45">
      <c r="A230" s="83" t="s">
        <v>179</v>
      </c>
      <c r="B230" s="83"/>
      <c r="C230" s="83"/>
      <c r="D230" s="83"/>
      <c r="E230" s="83"/>
      <c r="F230" s="83"/>
      <c r="G230" s="4"/>
      <c r="H230" s="65">
        <v>1</v>
      </c>
    </row>
    <row r="231" spans="1:8" x14ac:dyDescent="0.45">
      <c r="A231" s="82"/>
      <c r="B231"/>
      <c r="D231" s="4"/>
      <c r="E231" s="4"/>
      <c r="F231" s="4"/>
      <c r="G231" s="4"/>
      <c r="H231" s="65"/>
    </row>
    <row r="232" spans="1:8" ht="60.6" customHeight="1" x14ac:dyDescent="0.45">
      <c r="A232" s="83" t="s">
        <v>180</v>
      </c>
      <c r="B232" s="83"/>
      <c r="C232" s="83"/>
      <c r="D232" s="83"/>
      <c r="E232" s="83"/>
      <c r="F232" s="83"/>
      <c r="G232" s="4"/>
      <c r="H232" s="65">
        <v>1</v>
      </c>
    </row>
    <row r="233" spans="1:8" x14ac:dyDescent="0.45">
      <c r="A233" s="82"/>
      <c r="B233"/>
      <c r="D233" s="4"/>
      <c r="E233" s="4"/>
      <c r="F233" s="4"/>
      <c r="G233" s="4"/>
      <c r="H233" s="65"/>
    </row>
    <row r="234" spans="1:8" ht="38.450000000000003" customHeight="1" x14ac:dyDescent="0.45">
      <c r="A234" s="83" t="s">
        <v>181</v>
      </c>
      <c r="B234" s="83"/>
      <c r="C234" s="83"/>
      <c r="D234" s="83"/>
      <c r="E234" s="83"/>
      <c r="F234" s="83"/>
      <c r="G234" s="4"/>
      <c r="H234" s="65">
        <v>1</v>
      </c>
    </row>
    <row r="235" spans="1:8" x14ac:dyDescent="0.45">
      <c r="B235"/>
      <c r="D235" s="4"/>
      <c r="E235" s="4"/>
      <c r="F235" s="4"/>
      <c r="G235" s="4"/>
      <c r="H235" s="65"/>
    </row>
    <row r="236" spans="1:8" x14ac:dyDescent="0.45">
      <c r="B236"/>
      <c r="D236" s="4"/>
      <c r="E236" s="4"/>
      <c r="F236" s="4"/>
      <c r="G236" s="4"/>
      <c r="H236" s="65"/>
    </row>
    <row r="237" spans="1:8" x14ac:dyDescent="0.45">
      <c r="A237" t="s">
        <v>183</v>
      </c>
      <c r="B237" t="s">
        <v>192</v>
      </c>
      <c r="C237" t="s">
        <v>193</v>
      </c>
      <c r="D237" t="s">
        <v>194</v>
      </c>
      <c r="E237" t="s">
        <v>195</v>
      </c>
      <c r="F237" t="s">
        <v>196</v>
      </c>
      <c r="G237" s="4"/>
      <c r="H237" s="65"/>
    </row>
    <row r="238" spans="1:8" x14ac:dyDescent="0.45">
      <c r="B238"/>
      <c r="D238" s="4"/>
      <c r="E238" s="4"/>
      <c r="F238" s="4"/>
      <c r="G238" s="4"/>
      <c r="H238" s="65"/>
    </row>
    <row r="239" spans="1:8" x14ac:dyDescent="0.45">
      <c r="A239" t="s">
        <v>184</v>
      </c>
      <c r="B239"/>
      <c r="D239" s="4"/>
      <c r="E239" s="4"/>
      <c r="F239" s="4"/>
      <c r="G239" s="4"/>
      <c r="H239" s="65">
        <v>1</v>
      </c>
    </row>
    <row r="240" spans="1:8" x14ac:dyDescent="0.45">
      <c r="B240"/>
      <c r="D240" s="4"/>
      <c r="E240" s="4"/>
      <c r="F240" s="4"/>
      <c r="G240" s="4"/>
      <c r="H240" s="65"/>
    </row>
    <row r="241" spans="1:8" x14ac:dyDescent="0.45">
      <c r="B241" t="s">
        <v>166</v>
      </c>
      <c r="C241">
        <v>180900</v>
      </c>
      <c r="D241" s="4"/>
      <c r="E241" s="4"/>
      <c r="F241" s="4"/>
      <c r="G241" s="4"/>
      <c r="H241" s="65">
        <v>1</v>
      </c>
    </row>
    <row r="242" spans="1:8" x14ac:dyDescent="0.45">
      <c r="B242" t="s">
        <v>167</v>
      </c>
      <c r="C242" s="40">
        <v>-139120</v>
      </c>
      <c r="D242" s="4"/>
      <c r="E242" s="4"/>
      <c r="F242" s="4"/>
      <c r="G242" s="4"/>
      <c r="H242" s="65">
        <v>1</v>
      </c>
    </row>
    <row r="243" spans="1:8" x14ac:dyDescent="0.45">
      <c r="B243"/>
      <c r="C243" s="80">
        <v>41780</v>
      </c>
      <c r="D243" s="4"/>
      <c r="E243" s="4"/>
      <c r="F243" s="4"/>
      <c r="G243" s="4"/>
      <c r="H243" s="65">
        <v>1</v>
      </c>
    </row>
    <row r="244" spans="1:8" x14ac:dyDescent="0.45">
      <c r="A244" t="s">
        <v>190</v>
      </c>
      <c r="B244"/>
      <c r="D244" s="4"/>
      <c r="E244" s="4"/>
      <c r="F244" s="4"/>
      <c r="G244" s="4"/>
      <c r="H244" s="65"/>
    </row>
    <row r="245" spans="1:8" x14ac:dyDescent="0.45">
      <c r="A245" t="s">
        <v>168</v>
      </c>
      <c r="B245" t="s">
        <v>185</v>
      </c>
      <c r="C245">
        <f>41780*3/12</f>
        <v>10445</v>
      </c>
      <c r="D245" s="4" t="s">
        <v>187</v>
      </c>
      <c r="E245" s="4"/>
      <c r="F245" s="4">
        <f>10445*0.19</f>
        <v>1984.55</v>
      </c>
      <c r="G245" s="4"/>
      <c r="H245" s="65">
        <v>3</v>
      </c>
    </row>
    <row r="246" spans="1:8" x14ac:dyDescent="0.45">
      <c r="A246" t="s">
        <v>171</v>
      </c>
      <c r="B246" t="s">
        <v>186</v>
      </c>
      <c r="C246">
        <f>41780*9/12</f>
        <v>31335</v>
      </c>
      <c r="D246" s="4" t="s">
        <v>187</v>
      </c>
      <c r="E246" s="4"/>
      <c r="F246" s="4">
        <f>31335*0.19</f>
        <v>5953.65</v>
      </c>
      <c r="G246" s="4"/>
      <c r="H246" s="65">
        <v>3</v>
      </c>
    </row>
    <row r="247" spans="1:8" x14ac:dyDescent="0.45">
      <c r="B247"/>
      <c r="D247" s="4"/>
      <c r="E247" s="4"/>
      <c r="F247" s="14">
        <f>+F245+F246</f>
        <v>7938.2</v>
      </c>
      <c r="G247" s="4"/>
      <c r="H247" s="65">
        <v>1</v>
      </c>
    </row>
    <row r="248" spans="1:8" x14ac:dyDescent="0.45">
      <c r="B248"/>
      <c r="D248" s="4"/>
      <c r="E248" s="4"/>
      <c r="F248" s="4"/>
      <c r="G248" s="4"/>
      <c r="H248" s="65"/>
    </row>
    <row r="249" spans="1:8" x14ac:dyDescent="0.45">
      <c r="A249" t="s">
        <v>188</v>
      </c>
      <c r="B249"/>
      <c r="D249" s="4" t="s">
        <v>189</v>
      </c>
      <c r="E249" s="4"/>
      <c r="F249" s="4"/>
      <c r="G249" s="4"/>
      <c r="H249" s="65">
        <v>2</v>
      </c>
    </row>
    <row r="250" spans="1:8" x14ac:dyDescent="0.45">
      <c r="C250" s="4"/>
      <c r="D250" s="4"/>
      <c r="E250" s="4"/>
      <c r="F250" s="4"/>
      <c r="G250" s="4"/>
    </row>
    <row r="251" spans="1:8" ht="7.25" customHeight="1" x14ac:dyDescent="0.45"/>
    <row r="252" spans="1:8" ht="18" x14ac:dyDescent="0.55000000000000004">
      <c r="B252" s="30" t="s">
        <v>52</v>
      </c>
    </row>
  </sheetData>
  <mergeCells count="5">
    <mergeCell ref="A226:F226"/>
    <mergeCell ref="A228:F228"/>
    <mergeCell ref="A230:F230"/>
    <mergeCell ref="A232:F232"/>
    <mergeCell ref="A234:F234"/>
  </mergeCells>
  <phoneticPr fontId="17" type="noConversion"/>
  <pageMargins left="0.70866141732283472" right="0.78740157480314965" top="0.55118110236220474" bottom="0.74803149606299213" header="0.31496062992125984" footer="0.31496062992125984"/>
  <pageSetup paperSize="9" orientation="portrait" r:id="rId1"/>
  <headerFooter>
    <oddFooter>&amp;CTaxation Module BMBM5016
&amp;"-,Italic"&amp;8May 2020 - Model Answers&amp;RPage &amp;P of &amp;N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dc:creator>
  <cp:lastModifiedBy>Marie Pitson</cp:lastModifiedBy>
  <cp:lastPrinted>2021-03-02T00:10:05Z</cp:lastPrinted>
  <dcterms:created xsi:type="dcterms:W3CDTF">2020-03-21T10:42:27Z</dcterms:created>
  <dcterms:modified xsi:type="dcterms:W3CDTF">2026-04-28T11:20:28Z</dcterms:modified>
</cp:coreProperties>
</file>