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filterPrivacy="1" defaultThemeVersion="124226"/>
  <xr:revisionPtr revIDLastSave="239" documentId="8_{281FA5AA-FC4A-478D-BFE9-EB918D5292A3}" xr6:coauthVersionLast="47" xr6:coauthVersionMax="47" xr10:uidLastSave="{B3BDB9E0-0467-44E3-B8E0-177066D98C0E}"/>
  <bookViews>
    <workbookView xWindow="28680" yWindow="-120" windowWidth="29040" windowHeight="15720" tabRatio="840" firstSheet="2" activeTab="5" xr2:uid="{00000000-000D-0000-FFFF-FFFF00000000}"/>
  </bookViews>
  <sheets>
    <sheet name="Public Sector Value" sheetId="44" r:id="rId1"/>
    <sheet name="Private Sector Value" sheetId="46" r:id="rId2"/>
    <sheet name="Firm Size" sheetId="52" r:id="rId3"/>
    <sheet name="No. of Firms - Turnover" sheetId="61" r:id="rId4"/>
    <sheet name="Bar Chart" sheetId="62" r:id="rId5"/>
    <sheet name="Line Graph" sheetId="63"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5" i="52" l="1"/>
  <c r="AJ6" i="52"/>
  <c r="AJ7" i="52"/>
  <c r="AJ8" i="52"/>
  <c r="AJ9" i="52"/>
  <c r="AJ10" i="52"/>
  <c r="AJ11" i="52"/>
  <c r="AJ12" i="52"/>
  <c r="AJ13" i="52"/>
  <c r="AJ14" i="52"/>
  <c r="AJ15" i="52"/>
  <c r="AJ16" i="52"/>
  <c r="AJ4" i="52"/>
  <c r="AI5" i="52"/>
  <c r="AI6" i="52"/>
  <c r="AI7" i="52"/>
  <c r="AI8" i="52"/>
  <c r="AI9" i="52"/>
  <c r="AI10" i="52"/>
  <c r="AI11" i="52"/>
  <c r="AI12" i="52"/>
  <c r="AI13" i="52"/>
  <c r="AI14" i="52"/>
  <c r="AI15" i="52"/>
  <c r="AI16" i="52"/>
  <c r="AI4" i="52"/>
  <c r="AH5" i="52"/>
  <c r="AH6" i="52"/>
  <c r="AH7" i="52"/>
  <c r="AH8" i="52"/>
  <c r="AH9" i="52"/>
  <c r="AH10" i="52"/>
  <c r="AH11" i="52"/>
  <c r="AH12" i="52"/>
  <c r="AH13" i="52"/>
  <c r="AH14" i="52"/>
  <c r="AH15" i="52"/>
  <c r="AH16" i="52"/>
  <c r="AH4" i="52"/>
  <c r="AG5" i="52"/>
  <c r="AG6" i="52"/>
  <c r="AG7" i="52"/>
  <c r="AG8" i="52"/>
  <c r="AG9" i="52"/>
  <c r="AG10" i="52"/>
  <c r="AG11" i="52"/>
  <c r="AG12" i="52"/>
  <c r="AG13" i="52"/>
  <c r="AG14" i="52"/>
  <c r="AG15" i="52"/>
  <c r="AG16" i="52"/>
  <c r="AG4" i="52"/>
  <c r="AF5" i="52"/>
  <c r="AF6" i="52"/>
  <c r="AF7" i="52"/>
  <c r="AF8" i="52"/>
  <c r="AF9" i="52"/>
  <c r="AF10" i="52"/>
  <c r="AF11" i="52"/>
  <c r="AF12" i="52"/>
  <c r="AF13" i="52"/>
  <c r="AF14" i="52"/>
  <c r="AF15" i="52"/>
  <c r="AF16" i="52"/>
  <c r="AF4" i="52"/>
  <c r="AE16" i="52"/>
  <c r="AE5" i="52"/>
  <c r="AE6" i="52"/>
  <c r="AE7" i="52"/>
  <c r="AE8" i="52"/>
  <c r="AE9" i="52"/>
  <c r="AE10" i="52"/>
  <c r="AE11" i="52"/>
  <c r="AE12" i="52"/>
  <c r="AE13" i="52"/>
  <c r="AE14" i="52"/>
  <c r="AE15" i="52"/>
  <c r="AE4" i="52"/>
  <c r="AD5" i="52"/>
  <c r="AD6" i="52"/>
  <c r="AD7" i="52"/>
  <c r="AD8" i="52"/>
  <c r="AD9" i="52"/>
  <c r="AD10" i="52"/>
  <c r="AD11" i="52"/>
  <c r="AD12" i="52"/>
  <c r="AD13" i="52"/>
  <c r="AD14" i="52"/>
  <c r="AD15" i="52"/>
  <c r="AD16" i="52"/>
  <c r="AD4" i="52"/>
  <c r="X5" i="61"/>
  <c r="X6" i="61"/>
  <c r="X7" i="61"/>
  <c r="X8" i="61"/>
  <c r="X9" i="61"/>
  <c r="X10" i="61"/>
  <c r="X11" i="61"/>
  <c r="X12" i="61"/>
  <c r="X13" i="61"/>
  <c r="X14" i="61"/>
  <c r="X15" i="61"/>
  <c r="X16" i="61"/>
  <c r="X4" i="61"/>
  <c r="W5" i="61"/>
  <c r="W6" i="61"/>
  <c r="W7" i="61"/>
  <c r="W8" i="61"/>
  <c r="W9" i="61"/>
  <c r="W10" i="61"/>
  <c r="W11" i="61"/>
  <c r="W12" i="61"/>
  <c r="W13" i="61"/>
  <c r="W14" i="61"/>
  <c r="W15" i="61"/>
  <c r="W16" i="61"/>
  <c r="W4" i="61"/>
  <c r="V5" i="61"/>
  <c r="V6" i="61"/>
  <c r="V7" i="61"/>
  <c r="V8" i="61"/>
  <c r="V9" i="61"/>
  <c r="V10" i="61"/>
  <c r="V11" i="61"/>
  <c r="V12" i="61"/>
  <c r="V13" i="61"/>
  <c r="V14" i="61"/>
  <c r="V15" i="61"/>
  <c r="V16" i="61"/>
  <c r="V4" i="61"/>
  <c r="U5" i="61"/>
  <c r="U6" i="61"/>
  <c r="U7" i="61"/>
  <c r="U8" i="61"/>
  <c r="U9" i="61"/>
  <c r="U10" i="61"/>
  <c r="U11" i="61"/>
  <c r="U12" i="61"/>
  <c r="U13" i="61"/>
  <c r="U14" i="61"/>
  <c r="U15" i="61"/>
  <c r="U16" i="61"/>
  <c r="U4" i="61"/>
  <c r="T5" i="61"/>
  <c r="T6" i="61"/>
  <c r="T7" i="61"/>
  <c r="T8" i="61"/>
  <c r="T9" i="61"/>
  <c r="T10" i="61"/>
  <c r="T11" i="61"/>
  <c r="T12" i="61"/>
  <c r="T13" i="61"/>
  <c r="T14" i="61"/>
  <c r="T15" i="61"/>
  <c r="T16" i="61"/>
  <c r="T4" i="61"/>
  <c r="C24" i="52"/>
  <c r="D24" i="52"/>
  <c r="E24" i="52"/>
  <c r="F24" i="52"/>
  <c r="G24" i="52"/>
  <c r="H24" i="52"/>
  <c r="I24" i="52"/>
  <c r="J24" i="52"/>
  <c r="K24" i="52"/>
  <c r="L24" i="52"/>
  <c r="M24" i="52"/>
  <c r="N24" i="52"/>
  <c r="O24" i="52"/>
  <c r="P24" i="52"/>
  <c r="Q24" i="52"/>
  <c r="R24" i="52"/>
  <c r="S24" i="52"/>
  <c r="T24" i="52"/>
  <c r="U24" i="52"/>
  <c r="V24" i="52"/>
  <c r="W24" i="52"/>
  <c r="X24" i="52"/>
  <c r="Y24" i="52"/>
  <c r="Z24" i="52"/>
  <c r="AA24" i="52"/>
  <c r="AB24" i="52"/>
  <c r="B24" i="52"/>
  <c r="C21" i="52"/>
  <c r="D21" i="52"/>
  <c r="E21" i="52"/>
  <c r="F21" i="52"/>
  <c r="G21" i="52"/>
  <c r="H21" i="52"/>
  <c r="I21" i="52"/>
  <c r="J21" i="52"/>
  <c r="K21" i="52"/>
  <c r="L21" i="52"/>
  <c r="M21" i="52"/>
  <c r="N21" i="52"/>
  <c r="O21" i="52"/>
  <c r="P21" i="52"/>
  <c r="Q21" i="52"/>
  <c r="R21" i="52"/>
  <c r="S21" i="52"/>
  <c r="T21" i="52"/>
  <c r="U21" i="52"/>
  <c r="V21" i="52"/>
  <c r="W21" i="52"/>
  <c r="X21" i="52"/>
  <c r="Y21" i="52"/>
  <c r="Z21" i="52"/>
  <c r="AA21" i="52"/>
  <c r="AB21" i="52"/>
  <c r="B21" i="52"/>
  <c r="C20" i="52"/>
  <c r="D20" i="52"/>
  <c r="E20" i="52"/>
  <c r="F20" i="52"/>
  <c r="G20" i="52"/>
  <c r="H20" i="52"/>
  <c r="I20" i="52"/>
  <c r="J20" i="52"/>
  <c r="K20" i="52"/>
  <c r="L20" i="52"/>
  <c r="M20" i="52"/>
  <c r="N20" i="52"/>
  <c r="O20" i="52"/>
  <c r="P20" i="52"/>
  <c r="Q20" i="52"/>
  <c r="R20" i="52"/>
  <c r="S20" i="52"/>
  <c r="T20" i="52"/>
  <c r="U20" i="52"/>
  <c r="V20" i="52"/>
  <c r="W20" i="52"/>
  <c r="X20" i="52"/>
  <c r="Y20" i="52"/>
  <c r="Z20" i="52"/>
  <c r="AA20" i="52"/>
  <c r="AB20" i="52"/>
  <c r="B20" i="52"/>
  <c r="C26" i="52"/>
  <c r="D26" i="52"/>
  <c r="E26" i="52"/>
  <c r="F26" i="52"/>
  <c r="G26" i="52"/>
  <c r="H26" i="52"/>
  <c r="I26" i="52"/>
  <c r="J26" i="52"/>
  <c r="K26" i="52"/>
  <c r="L26" i="52"/>
  <c r="M26" i="52"/>
  <c r="N26" i="52"/>
  <c r="O26" i="52"/>
  <c r="P26" i="52"/>
  <c r="Q26" i="52"/>
  <c r="R26" i="52"/>
  <c r="S26" i="52"/>
  <c r="T26" i="52"/>
  <c r="U26" i="52"/>
  <c r="V26" i="52"/>
  <c r="W26" i="52"/>
  <c r="X26" i="52"/>
  <c r="Y26" i="52"/>
  <c r="Z26" i="52"/>
  <c r="AA26" i="52"/>
  <c r="AB26" i="52"/>
  <c r="B26" i="52"/>
  <c r="C25" i="52"/>
  <c r="D25" i="52"/>
  <c r="E25" i="52"/>
  <c r="F25" i="52"/>
  <c r="G25" i="52"/>
  <c r="H25" i="52"/>
  <c r="I25" i="52"/>
  <c r="J25" i="52"/>
  <c r="K25" i="52"/>
  <c r="L25" i="52"/>
  <c r="M25" i="52"/>
  <c r="N25" i="52"/>
  <c r="O25" i="52"/>
  <c r="P25" i="52"/>
  <c r="Q25" i="52"/>
  <c r="R25" i="52"/>
  <c r="S25" i="52"/>
  <c r="T25" i="52"/>
  <c r="U25" i="52"/>
  <c r="V25" i="52"/>
  <c r="W25" i="52"/>
  <c r="X25" i="52"/>
  <c r="Y25" i="52"/>
  <c r="Z25" i="52"/>
  <c r="AA25" i="52"/>
  <c r="AB25" i="52"/>
  <c r="B25" i="52"/>
  <c r="C23" i="52"/>
  <c r="D23" i="52"/>
  <c r="E23" i="52"/>
  <c r="F23" i="52"/>
  <c r="G23" i="52"/>
  <c r="H23" i="52"/>
  <c r="I23" i="52"/>
  <c r="J23" i="52"/>
  <c r="K23" i="52"/>
  <c r="L23" i="52"/>
  <c r="M23" i="52"/>
  <c r="N23" i="52"/>
  <c r="O23" i="52"/>
  <c r="P23" i="52"/>
  <c r="Q23" i="52"/>
  <c r="R23" i="52"/>
  <c r="S23" i="52"/>
  <c r="T23" i="52"/>
  <c r="U23" i="52"/>
  <c r="V23" i="52"/>
  <c r="W23" i="52"/>
  <c r="X23" i="52"/>
  <c r="Y23" i="52"/>
  <c r="Z23" i="52"/>
  <c r="AA23" i="52"/>
  <c r="AB23" i="52"/>
  <c r="B23" i="52"/>
  <c r="R22" i="52"/>
  <c r="S22" i="52"/>
  <c r="T22" i="52"/>
  <c r="U22" i="52"/>
  <c r="V22" i="52"/>
  <c r="W22" i="52"/>
  <c r="X22" i="52"/>
  <c r="Y22" i="52"/>
  <c r="Z22" i="52"/>
  <c r="AA22" i="52"/>
  <c r="AB22" i="52"/>
  <c r="C22" i="52"/>
  <c r="D22" i="52"/>
  <c r="E22" i="52"/>
  <c r="F22" i="52"/>
  <c r="G22" i="52"/>
  <c r="H22" i="52"/>
  <c r="I22" i="52"/>
  <c r="J22" i="52"/>
  <c r="K22" i="52"/>
  <c r="L22" i="52"/>
  <c r="M22" i="52"/>
  <c r="N22" i="52"/>
  <c r="O22" i="52"/>
  <c r="P22" i="52"/>
  <c r="Q22" i="52"/>
  <c r="B22" i="52"/>
</calcChain>
</file>

<file path=xl/sharedStrings.xml><?xml version="1.0" encoding="utf-8"?>
<sst xmlns="http://schemas.openxmlformats.org/spreadsheetml/2006/main" count="141" uniqueCount="124">
  <si>
    <t>Value of construction output by type of work: New Work for Public Sector, Great Britain, Current Prices</t>
  </si>
  <si>
    <t>£ million</t>
  </si>
  <si>
    <t>Time period</t>
  </si>
  <si>
    <t>Total public new housing</t>
  </si>
  <si>
    <t>Total public infrastructure</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</si>
  <si>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</si>
  <si>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</si>
  <si>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</si>
  <si>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</si>
  <si>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</si>
  <si>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</si>
  <si>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</si>
  <si>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</si>
  <si>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</si>
  <si>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</si>
  <si>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</si>
  <si>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All Public Sector</t>
  </si>
  <si>
    <t xml:space="preserve">                                                                                                                                                                                                                                                                                                                                                                                                                                                                                                                                                                                                                                                                                                                                                                                                                                                                                                                                                                                                                                                                                                                                                                                                                                                                                                                                                                                                                                                                                                                                                                                                                                                                                                                                                                                                                                                                                                                                                                                                                                                                                                                                                                                                                                                                                                                                                                                                                                      </t>
  </si>
  <si>
    <t>Value of construction output by type of work: New Work for Private Sector, Great Britain, Current Prices</t>
  </si>
  <si>
    <t>Total private new housing</t>
  </si>
  <si>
    <t>Total private Infrastructure</t>
  </si>
  <si>
    <t>Private industrial: factories</t>
  </si>
  <si>
    <t>Private industrial: warehouses</t>
  </si>
  <si>
    <t>Private industrial: oil, steel &amp; coal</t>
  </si>
  <si>
    <t>All private industrial</t>
  </si>
  <si>
    <t>Private commercial: schools &amp; universities</t>
  </si>
  <si>
    <t>Private commercial: health</t>
  </si>
  <si>
    <t>Private commercial: offices</t>
  </si>
  <si>
    <t>Private commercial: entertainment</t>
  </si>
  <si>
    <t>Private commercial: garages</t>
  </si>
  <si>
    <t>Private commercial: shops</t>
  </si>
  <si>
    <t>Private commercial: agriculture &amp; miscellaneous</t>
  </si>
  <si>
    <t>All private commercial</t>
  </si>
  <si>
    <t>All Private Sector</t>
  </si>
  <si>
    <t xml:space="preserve"> Construction firms:  Number of Firms, by size of Firm, Great Britain    </t>
  </si>
  <si>
    <t xml:space="preserve">Size of Firm </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</si>
  <si>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</si>
  <si>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</si>
  <si>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</si>
  <si>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</si>
  <si>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</si>
  <si>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</si>
  <si>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</si>
  <si>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</si>
  <si>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</si>
  <si>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</si>
  <si>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</si>
  <si>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</si>
  <si>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</si>
  <si>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</si>
  <si>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</si>
  <si>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</si>
  <si>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</si>
  <si>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</si>
  <si>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</si>
  <si>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</si>
  <si>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</si>
  <si>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</si>
  <si>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</si>
  <si>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</si>
  <si>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</si>
  <si>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</si>
  <si>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</si>
  <si>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Mean</t>
  </si>
  <si>
    <t>Range</t>
  </si>
  <si>
    <t>Mode</t>
  </si>
  <si>
    <t>Median</t>
  </si>
  <si>
    <t>Standard Devation</t>
  </si>
  <si>
    <t>Maximum Value</t>
  </si>
  <si>
    <t>Minimun Value</t>
  </si>
  <si>
    <t>1</t>
  </si>
  <si>
    <t>2-3</t>
  </si>
  <si>
    <t>4-7</t>
  </si>
  <si>
    <t>8-13</t>
  </si>
  <si>
    <t>14-24</t>
  </si>
  <si>
    <t>25-34</t>
  </si>
  <si>
    <t>35-59</t>
  </si>
  <si>
    <t>60-79</t>
  </si>
  <si>
    <t>80-114</t>
  </si>
  <si>
    <t>115-299</t>
  </si>
  <si>
    <t>300-599</t>
  </si>
  <si>
    <t>600-1,199</t>
  </si>
  <si>
    <t>1,200 and over</t>
  </si>
  <si>
    <t>All firms</t>
  </si>
  <si>
    <t>Standard Deviation</t>
  </si>
  <si>
    <t>Minumum Value</t>
  </si>
  <si>
    <t xml:space="preserve">Construction firms:  Number of Firms, By turnover size band, Great Britain       </t>
  </si>
  <si>
    <t>Size of firm (by turnover size band)</t>
  </si>
  <si>
    <t xml:space="preserve">2009 </t>
  </si>
  <si>
    <t xml:space="preserve">2010 </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</si>
  <si>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</si>
  <si>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</si>
  <si>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</si>
  <si>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</si>
  <si>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</si>
  <si>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</si>
  <si>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</si>
  <si>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</si>
  <si>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</si>
  <si>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</si>
  <si>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</si>
  <si>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</si>
  <si>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£0 - &lt;£500k</t>
  </si>
  <si>
    <t>£500k - &lt;£1m</t>
  </si>
  <si>
    <t>£1m - &lt;£5m</t>
  </si>
  <si>
    <t>£5m - &lt;£10m</t>
  </si>
  <si>
    <t>£10m - &lt;£20m</t>
  </si>
  <si>
    <t>£20m - &lt;£30m</t>
  </si>
  <si>
    <t>£30m - &lt;£40m</t>
  </si>
  <si>
    <t>£40m - &lt;£50m</t>
  </si>
  <si>
    <t>£50m - &lt;£100m</t>
  </si>
  <si>
    <t>£100m - &lt;£500m</t>
  </si>
  <si>
    <t>£500m - &lt;£1000m</t>
  </si>
  <si>
    <t>£1000m +</t>
  </si>
  <si>
    <t>Summary</t>
  </si>
  <si>
    <t>The range is always massive consistently between the largest construction and the smallest construction firm.</t>
  </si>
  <si>
    <t>The smaller sized firms dominate the industry in terms of the number of firms with firms with less than 50 employees are consistantly at a extremeley high number of firms every year.</t>
  </si>
  <si>
    <t>The largest firms in terms of number of employees are always very lowin terms of number of firms but they still probably dominate the industry becuase of how big each individual firm is at that level.</t>
  </si>
  <si>
    <t>The trend in the chart is clear to see as after year 18 (2015) the range keeps increasing up to a staggering 150,000+ by year 28 (2023) - This shows that the industry is largely dominated by small firms by sheer number but the big firms are too big to worry and are in extremeley stable positions.</t>
  </si>
  <si>
    <t>This line graph shows the standard deviation of construction firms by size between the years 1997 and 2023.</t>
  </si>
  <si>
    <t>The graph clearly shows an huge decline in standard deviation throughout the period starting at 300,000 on the first point and quickly declining to numbers below 5000 rapidly and clearly declining further from there towards that zero mark.</t>
  </si>
  <si>
    <t>The graph also shows that variation is becomes lower and lower as time goes on.</t>
  </si>
  <si>
    <t>This graph much like the bar chart shows that the constructiuon industry is mainly dominated by smaller firms obviously in terms of number of firms maybe rather than overall turnover and success at least.</t>
  </si>
  <si>
    <t>A possible reason for the sudden decrease displayed on this graph is that smaller firms come and go from the industry often due to lack of work or funds etc where the main big firms stick around and are very stable because of huge potential profits and lots of money to fall back on in the bank if problems occur, a luxury that most smaller firms will not have.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</si>
</sst>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General_)"/>
  </numFmts>
  <fonts count="38">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
      <b/>
      <sz val="11"/>
      <color rgb="FF000000"/>
      <name val="Calibri"/>
      <family val="2"/>
      <scheme val="minor"/>
    </font>
    <font>
      <sz val="11"/>
      <color rgb="FF000000"/>
      <name val="Calibri"/>
      <family val="2"/>
      <scheme val="minor"/>
    </font>
  </fonts>
  <fills count="35">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92D050"/>
        <bgColor indexed="64"/>
      </patternFill>
    </fill>
  </fills>
  <borders count="20">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6">
    <xf numFmtId="0" fontId="0" fillId="0" borderId="0"/>
    <xf numFmtId="0" fontId="11" fillId="2"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5" fontId="5" fillId="0" borderId="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64" fontId="10" fillId="0" borderId="0" applyFont="0" applyFill="0" applyBorder="0" applyAlignment="0" applyProtection="0"/>
    <xf numFmtId="0" fontId="1" fillId="0" borderId="0"/>
    <xf numFmtId="0" fontId="29" fillId="0" borderId="0"/>
    <xf numFmtId="0" fontId="31" fillId="0" borderId="0"/>
    <xf numFmtId="164" fontId="29" fillId="0" borderId="0" applyFont="0" applyFill="0" applyBorder="0" applyAlignment="0" applyProtection="0"/>
    <xf numFmtId="164" fontId="31" fillId="0" borderId="0" applyFont="0" applyFill="0" applyBorder="0" applyAlignment="0" applyProtection="0"/>
    <xf numFmtId="164"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40">
    <xf numFmtId="0" fontId="0" fillId="0" borderId="0" xfId="0"/>
    <xf numFmtId="165" fontId="1" fillId="0" borderId="0" xfId="0" applyNumberFormat="1" applyFont="1" applyAlignment="1">
      <alignment horizontal="left" vertical="center" wrapText="1"/>
    </xf>
    <xf numFmtId="165"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65" fontId="8" fillId="0" borderId="6" xfId="11" applyFont="1" applyBorder="1" applyAlignment="1">
      <alignment horizontal="left" wrapText="1"/>
    </xf>
    <xf numFmtId="165"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0" fontId="15" fillId="33" borderId="0" xfId="0" applyFont="1" applyFill="1"/>
    <xf numFmtId="0" fontId="15" fillId="33" borderId="0" xfId="0" applyFont="1" applyFill="1" applyAlignment="1">
      <alignment wrapText="1"/>
    </xf>
    <xf numFmtId="0" fontId="36" fillId="33" borderId="0" xfId="0" applyFont="1" applyFill="1"/>
    <xf numFmtId="0" fontId="15" fillId="33" borderId="0" xfId="0" applyFont="1" applyFill="1" applyAlignment="1">
      <alignment horizontal="left"/>
    </xf>
    <xf numFmtId="0" fontId="0" fillId="34" borderId="0" xfId="0" applyFill="1" applyAlignment="1">
      <alignment horizontal="left"/>
    </xf>
    <xf numFmtId="0" fontId="37" fillId="34" borderId="0" xfId="0" applyFont="1" applyFill="1" applyAlignment="1">
      <alignment horizontal="left"/>
    </xf>
    <xf numFmtId="3" fontId="0" fillId="34" borderId="0" xfId="0" applyNumberFormat="1" applyFill="1"/>
    <xf numFmtId="3" fontId="0" fillId="34" borderId="0" xfId="0" applyNumberFormat="1" applyFill="1" applyAlignment="1">
      <alignment wrapText="1"/>
    </xf>
    <xf numFmtId="0" fontId="0" fillId="34" borderId="0" xfId="0" applyFill="1"/>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rial"/>
        <family val="2"/>
        <scheme val="none"/>
      </font>
      <numFmt numFmtId="166" formatCode="#,##0;\-#,##0"/>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166"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border outline="0">
        <bottom style="thin">
          <color indexed="64"/>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border outline="0">
        <bottom style="thin">
          <color indexed="64"/>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bottom style="thin">
          <color indexed="64"/>
        </bottom>
      </border>
    </dxf>
    <dxf>
      <border outline="0">
        <right style="thin">
          <color indexed="64"/>
        </right>
        <top style="thin">
          <color indexed="64"/>
        </top>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bottom style="thin">
          <color indexed="64"/>
        </bottom>
      </border>
    </dxf>
    <dxf>
      <border outline="0">
        <right style="thin">
          <color indexed="64"/>
        </right>
        <top style="thin">
          <color indexed="64"/>
        </top>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Range of Construction Firm Counts by Year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rgbClr val="637CEF"/>
            </a:solidFill>
            <a:ln>
              <a:noFill/>
            </a:ln>
            <a:effectLst/>
          </c:spPr>
          <c:invertIfNegative val="0"/>
          <c:val>
            <c:numRef>
              <c:f>'Firm Size'!$B$21:$AB$21</c:f>
              <c:numCache>
                <c:formatCode>#,##0</c:formatCode>
                <c:ptCount val="27"/>
                <c:pt idx="0">
                  <c:v>86231</c:v>
                </c:pt>
                <c:pt idx="1">
                  <c:v>87797</c:v>
                </c:pt>
                <c:pt idx="2">
                  <c:v>87976</c:v>
                </c:pt>
                <c:pt idx="3">
                  <c:v>87677</c:v>
                </c:pt>
                <c:pt idx="4">
                  <c:v>77870</c:v>
                </c:pt>
                <c:pt idx="5">
                  <c:v>71374</c:v>
                </c:pt>
                <c:pt idx="6">
                  <c:v>70306</c:v>
                </c:pt>
                <c:pt idx="7">
                  <c:v>71560</c:v>
                </c:pt>
                <c:pt idx="8">
                  <c:v>73061</c:v>
                </c:pt>
                <c:pt idx="9">
                  <c:v>71906</c:v>
                </c:pt>
                <c:pt idx="10">
                  <c:v>74265</c:v>
                </c:pt>
                <c:pt idx="11">
                  <c:v>78767</c:v>
                </c:pt>
                <c:pt idx="12">
                  <c:v>75320</c:v>
                </c:pt>
                <c:pt idx="13">
                  <c:v>86214</c:v>
                </c:pt>
                <c:pt idx="14">
                  <c:v>89076</c:v>
                </c:pt>
                <c:pt idx="15">
                  <c:v>90592</c:v>
                </c:pt>
                <c:pt idx="16">
                  <c:v>92584</c:v>
                </c:pt>
                <c:pt idx="17">
                  <c:v>92878</c:v>
                </c:pt>
                <c:pt idx="18">
                  <c:v>108635</c:v>
                </c:pt>
                <c:pt idx="19">
                  <c:v>123432</c:v>
                </c:pt>
                <c:pt idx="20">
                  <c:v>133416</c:v>
                </c:pt>
                <c:pt idx="21">
                  <c:v>138013</c:v>
                </c:pt>
                <c:pt idx="22">
                  <c:v>144175</c:v>
                </c:pt>
                <c:pt idx="23">
                  <c:v>148530</c:v>
                </c:pt>
                <c:pt idx="24">
                  <c:v>153566</c:v>
                </c:pt>
                <c:pt idx="25">
                  <c:v>156960</c:v>
                </c:pt>
                <c:pt idx="26">
                  <c:v>156101</c:v>
                </c:pt>
              </c:numCache>
            </c:numRef>
          </c:val>
          <c:extLst>
            <c:ext xmlns:c16="http://schemas.microsoft.com/office/drawing/2014/chart" uri="{C3380CC4-5D6E-409C-BE32-E72D297353CC}">
              <c16:uniqueId val="{00000000-1AEE-4353-8692-91553AFC99DF}"/>
            </c:ext>
          </c:extLst>
        </c:ser>
        <c:dLbls>
          <c:showLegendKey val="0"/>
          <c:showVal val="0"/>
          <c:showCatName val="0"/>
          <c:showSerName val="0"/>
          <c:showPercent val="0"/>
          <c:showBubbleSize val="0"/>
        </c:dLbls>
        <c:gapWidth val="219"/>
        <c:overlap val="-27"/>
        <c:axId val="1868549640"/>
        <c:axId val="1989441543"/>
      </c:barChart>
      <c:catAx>
        <c:axId val="18685496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9441543"/>
        <c:crosses val="autoZero"/>
        <c:auto val="1"/>
        <c:lblAlgn val="ctr"/>
        <c:lblOffset val="100"/>
        <c:noMultiLvlLbl val="0"/>
      </c:catAx>
      <c:valAx>
        <c:axId val="19894415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5496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Standard Deviation of Construction Firms by SIze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'Firm Size'!$AH$4:$AH$16</c:f>
              <c:numCache>
                <c:formatCode>General</c:formatCode>
                <c:ptCount val="13"/>
                <c:pt idx="0">
                  <c:v>30444.321253322403</c:v>
                </c:pt>
                <c:pt idx="1">
                  <c:v>18096.289783352746</c:v>
                </c:pt>
                <c:pt idx="2">
                  <c:v>7127.7593944910232</c:v>
                </c:pt>
                <c:pt idx="3">
                  <c:v>3221.2702264471491</c:v>
                </c:pt>
                <c:pt idx="4">
                  <c:v>1235.8401043552367</c:v>
                </c:pt>
                <c:pt idx="5">
                  <c:v>285.13955697441764</c:v>
                </c:pt>
                <c:pt idx="6">
                  <c:v>320.12714265489501</c:v>
                </c:pt>
                <c:pt idx="7">
                  <c:v>80.279000670897503</c:v>
                </c:pt>
                <c:pt idx="8">
                  <c:v>66.389874112061577</c:v>
                </c:pt>
                <c:pt idx="9">
                  <c:v>68.921690563997686</c:v>
                </c:pt>
                <c:pt idx="10">
                  <c:v>16.674100906065124</c:v>
                </c:pt>
                <c:pt idx="11">
                  <c:v>6.6591838347300012</c:v>
                </c:pt>
                <c:pt idx="12">
                  <c:v>7.5176904376057738</c:v>
                </c:pt>
              </c:numCache>
            </c:numRef>
          </c:val>
          <c:smooth val="0"/>
          <c:extLst>
            <c:ext xmlns:c16="http://schemas.microsoft.com/office/drawing/2014/chart" uri="{C3380CC4-5D6E-409C-BE32-E72D297353CC}">
              <c16:uniqueId val="{00000000-3B19-491F-8C89-908BE31895A5}"/>
            </c:ext>
          </c:extLst>
        </c:ser>
        <c:dLbls>
          <c:showLegendKey val="0"/>
          <c:showVal val="0"/>
          <c:showCatName val="0"/>
          <c:showSerName val="0"/>
          <c:showPercent val="0"/>
          <c:showBubbleSize val="0"/>
        </c:dLbls>
        <c:smooth val="0"/>
        <c:axId val="1772944392"/>
        <c:axId val="1773081608"/>
      </c:lineChart>
      <c:catAx>
        <c:axId val="177294439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3081608"/>
        <c:crosses val="autoZero"/>
        <c:auto val="1"/>
        <c:lblAlgn val="ctr"/>
        <c:lblOffset val="100"/>
        <c:noMultiLvlLbl val="0"/>
      </c:catAx>
      <c:valAx>
        <c:axId val="17730816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29443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304800</xdr:colOff>
      <xdr:row>14</xdr:row>
      <xdr:rowOff>76200</xdr:rowOff>
    </xdr:to>
    <xdr:graphicFrame macro="">
      <xdr:nvGraphicFramePr>
        <xdr:cNvPr id="2" name="Chart 1">
          <a:extLst>
            <a:ext uri="{FF2B5EF4-FFF2-40B4-BE49-F238E27FC236}">
              <a16:creationId xmlns:a16="http://schemas.microsoft.com/office/drawing/2014/main" id="{16486252-6B6B-4286-B8B1-BD0E72A722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304800</xdr:colOff>
      <xdr:row>14</xdr:row>
      <xdr:rowOff>76200</xdr:rowOff>
    </xdr:to>
    <xdr:graphicFrame macro="">
      <xdr:nvGraphicFramePr>
        <xdr:cNvPr id="3" name="Chart 2">
          <a:extLst>
            <a:ext uri="{FF2B5EF4-FFF2-40B4-BE49-F238E27FC236}">
              <a16:creationId xmlns:a16="http://schemas.microsoft.com/office/drawing/2014/main" id="{A49B7B9F-B9CC-452B-9804-301F2BBFFB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4" tableBorderDxfId="135">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6" tableBorderDxfId="117">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8" headerRowBorderDxfId="96" tableBorderDxfId="97">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4" totalsRowDxfId="95"/>
    <tableColumn id="2" xr3:uid="{B0F2A6A6-3283-4150-BE0B-7C2080238572}" name="1997" dataDxfId="92" totalsRowDxfId="93"/>
    <tableColumn id="3" xr3:uid="{7A412100-EA83-45B6-B94C-0CC26E44A30F}" name="1998" dataDxfId="90" totalsRowDxfId="91"/>
    <tableColumn id="4" xr3:uid="{930012D9-E799-426D-A875-B2326DBD55F4}" name="1999" dataDxfId="88" totalsRowDxfId="89"/>
    <tableColumn id="5" xr3:uid="{360ADF1A-3595-4433-8269-ECF0960327F1}" name="2000" dataDxfId="86" totalsRowDxfId="87"/>
    <tableColumn id="6" xr3:uid="{B8A820A4-B668-44EF-8933-1D96A2FADF03}" name="2001" dataDxfId="84" totalsRowDxfId="85"/>
    <tableColumn id="7" xr3:uid="{11F83E27-4927-45F5-A9CC-43237E2CADF0}" name="2002" dataDxfId="82" totalsRowDxfId="83"/>
    <tableColumn id="8" xr3:uid="{5E4AAD45-DCF0-42E8-851F-4D7FE4C75994}" name="2003" dataDxfId="80" totalsRowDxfId="81"/>
    <tableColumn id="9" xr3:uid="{CC5CDAF9-2908-403E-8524-8E458561A86C}" name="2004" dataDxfId="78" totalsRowDxfId="79"/>
    <tableColumn id="10" xr3:uid="{F8F10E6C-4C24-4987-86B9-2BC4604AA6FF}" name="2005" dataDxfId="76" totalsRowDxfId="77"/>
    <tableColumn id="11" xr3:uid="{634D9AB2-2F7D-42C4-861A-A48218543D52}" name="2006" dataDxfId="74" totalsRowDxfId="75"/>
    <tableColumn id="12" xr3:uid="{7A730D35-593C-410E-9351-5DCF7AEA046F}" name="2007" dataDxfId="72" totalsRowDxfId="73"/>
    <tableColumn id="13" xr3:uid="{E8E41471-48B0-4831-A7E6-07A1E35E2ACC}" name="2008" dataDxfId="70" totalsRowDxfId="71"/>
    <tableColumn id="14" xr3:uid="{6B01846A-0DD0-4E86-A5D2-F829644186A4}" name="2009" dataDxfId="68" totalsRowDxfId="69"/>
    <tableColumn id="15" xr3:uid="{D8AFF6A5-5D5A-4766-8F96-57E79DF3663F}" name="2010" dataDxfId="66" totalsRowDxfId="67"/>
    <tableColumn id="16" xr3:uid="{1D6E8742-788F-4B2E-9697-60AC14F35D18}" name="2011" dataDxfId="64" totalsRowDxfId="65"/>
    <tableColumn id="17" xr3:uid="{69C049AB-9C9F-4ADE-BECC-623E5690EC71}" name="2012" dataDxfId="62" totalsRowDxfId="63"/>
    <tableColumn id="18" xr3:uid="{D43A8FDC-D054-4128-AB18-089395291A62}" name="2013" dataDxfId="60" totalsRowDxfId="61"/>
    <tableColumn id="19" xr3:uid="{6A5E7EBF-7006-4A2D-93DE-FA3490C64C59}" name="2014" dataDxfId="58" totalsRowDxfId="59"/>
    <tableColumn id="20" xr3:uid="{7205CD9A-2C31-4724-97CB-C762076DBBAF}" name="2015" dataDxfId="56" totalsRowDxfId="57"/>
    <tableColumn id="21" xr3:uid="{23F28E5D-774C-402C-AAC0-BD710762A009}" name="2016" dataDxfId="54" totalsRowDxfId="55"/>
    <tableColumn id="22" xr3:uid="{6B0E8B0D-15FB-452A-B17A-DBF1F9144E49}" name="2017" dataDxfId="52" totalsRowDxfId="53"/>
    <tableColumn id="23" xr3:uid="{2A1FDA69-05A8-446B-AAAA-D031F3BBAD05}" name="2018" dataDxfId="50" totalsRowDxfId="51"/>
    <tableColumn id="24" xr3:uid="{3D10BF88-871C-4682-B0C8-E083CE171D1E}" name="2019" dataDxfId="48" totalsRowDxfId="49"/>
    <tableColumn id="25" xr3:uid="{9D538F5B-3878-417F-8425-2A0D3E354E45}" name="2020" dataDxfId="46" totalsRowDxfId="47"/>
    <tableColumn id="26" xr3:uid="{DD9C5EF2-8ED1-4799-8A41-D3913A1F0044}" name="2021" dataDxfId="44" totalsRowDxfId="45"/>
    <tableColumn id="27" xr3:uid="{5B253DE7-CFE8-406E-A7AA-546E3B30390D}" name="2022" dataDxfId="42" totalsRowDxfId="43"/>
    <tableColumn id="28" xr3:uid="{6E9710FE-6516-471A-802B-84FD325849B6}" name="2023" dataDxfId="40" totalsRowDxfId="41"/>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8" headerRowBorderDxfId="36" tableBorderDxfId="37"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4" totalsRowDxfId="35" dataCellStyle="Normal_Structure" totalsRowCellStyle="Normal_Structure"/>
    <tableColumn id="2" xr3:uid="{2B0ED319-BDF4-462D-BA26-AA1BE0AFD462}" name="2007" dataDxfId="32" totalsRowDxfId="33"/>
    <tableColumn id="3" xr3:uid="{77F2849C-56C7-4DA1-AC0C-D55E7D6D694A}" name="2008" dataDxfId="30" totalsRowDxfId="31"/>
    <tableColumn id="4" xr3:uid="{9A1A21B1-FF17-4614-B44E-2AD012742D9C}" name="2009 " dataDxfId="28" totalsRowDxfId="29"/>
    <tableColumn id="5" xr3:uid="{7265F993-4BEA-4DD6-8F1F-7FD26B6D78D5}" name="2010 " dataDxfId="26" totalsRowDxfId="27"/>
    <tableColumn id="6" xr3:uid="{09518861-0455-459C-88E1-24FF001DA0D0}" name="2011 " dataDxfId="24" totalsRowDxfId="25"/>
    <tableColumn id="7" xr3:uid="{B5D524CF-EE6E-42DE-B6E6-1BA234BEBB35}" name="2012 " dataDxfId="22" totalsRowDxfId="23"/>
    <tableColumn id="8" xr3:uid="{74FB05A5-6EDB-43D0-B674-261380B53C98}" name="2013 " dataDxfId="20" totalsRowDxfId="21"/>
    <tableColumn id="9" xr3:uid="{E3D5D211-E5F3-4D89-9A54-45C89C90CA58}" name="2014 " dataDxfId="18" totalsRowDxfId="19"/>
    <tableColumn id="10" xr3:uid="{6659BB5D-89DB-418A-B6EB-1751E9306736}" name="2015 " dataDxfId="16" totalsRowDxfId="17"/>
    <tableColumn id="11" xr3:uid="{BC0F8EB9-8D5F-49CC-8256-4BA0676A88E1}" name="2016 " dataDxfId="14" totalsRowDxfId="15"/>
    <tableColumn id="12" xr3:uid="{D7445CA1-EFDC-436C-A8A1-28D1078DA8A7}" name="2017 " dataDxfId="12" totalsRowDxfId="13"/>
    <tableColumn id="13" xr3:uid="{C60437E4-5FDB-4BB4-B0A2-04D6F0461900}" name="2018 " dataDxfId="10" totalsRowDxfId="11"/>
    <tableColumn id="14" xr3:uid="{FE58B5FE-FCD9-4E27-A1B2-4BD4BB13404D}" name="2019 " dataDxfId="8" totalsRowDxfId="9"/>
    <tableColumn id="15" xr3:uid="{509EE9E5-9F66-4B95-9B38-BE0E47B10AD8}" name="2020 " dataDxfId="6" totalsRowDxfId="7"/>
    <tableColumn id="16" xr3:uid="{0AB424BA-148E-48AB-9FA9-8CDBE379AE70}" name="2021 " dataDxfId="4" totalsRowDxfId="5"/>
    <tableColumn id="17" xr3:uid="{A4AA9ED1-167B-4667-B809-4713DCB65C7D}" name="2022 " dataDxfId="2" totalsRowDxfId="3"/>
    <tableColumn id="18" xr3:uid="{04AAD7D3-88DF-46C7-8FC7-1AC98D7D5527}" name="2023" dataDxfId="0" totalsRowDxfId="1"/>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dimension ref="A1:Q37"/>
  <sheetViews>
    <sheetView zoomScaleNormal="100" workbookViewId="0">
      <selection activeCell="L40" sqref="L40"/>
    </sheetView>
  </sheetViews>
  <sheetFormatPr defaultColWidth="8.7109375" defaultRowHeight="15"/>
  <cols>
    <col min="1" max="1" width="13" customWidth="1"/>
    <col min="2" max="2" width="12" customWidth="1"/>
    <col min="3" max="3" width="16" customWidth="1"/>
    <col min="4" max="4" width="12.28515625" customWidth="1"/>
    <col min="5" max="5" width="12.5703125" customWidth="1"/>
    <col min="6" max="6" width="12.28515625" customWidth="1"/>
    <col min="7" max="7" width="12.7109375" customWidth="1"/>
    <col min="8" max="8" width="12.28515625" customWidth="1"/>
    <col min="9" max="9" width="11.7109375" customWidth="1"/>
    <col min="10" max="10" width="11.42578125" customWidth="1"/>
    <col min="11" max="11" width="13.42578125" customWidth="1"/>
    <col min="12" max="12" width="12.7109375" customWidth="1"/>
    <col min="13" max="13" width="14.7109375" customWidth="1"/>
    <col min="14" max="14" width="13.7109375" customWidth="1"/>
    <col min="15" max="15" width="16.85546875" customWidth="1"/>
  </cols>
  <sheetData>
    <row r="1" spans="1:17" ht="19.5">
      <c r="A1" s="4" t="s">
        <v>0</v>
      </c>
    </row>
    <row r="2" spans="1:17">
      <c r="A2" s="5" t="s">
        <v>1</v>
      </c>
    </row>
    <row r="3" spans="1:17">
      <c r="A3" s="5"/>
    </row>
    <row r="4" spans="1:17" ht="58.15" customHeight="1">
      <c r="A4" s="9" t="s">
        <v>2</v>
      </c>
      <c r="B4" s="10" t="s">
        <v>3</v>
      </c>
      <c r="C4" s="10" t="s">
        <v>4</v>
      </c>
      <c r="D4" s="11" t="s">
        <v>5</v>
      </c>
      <c r="E4" s="11" t="s">
        <v>6</v>
      </c>
      <c r="F4" s="11" t="s">
        <v>7</v>
      </c>
      <c r="G4" s="11" t="s">
        <v>8</v>
      </c>
      <c r="H4" s="11" t="s">
        <v>9</v>
      </c>
      <c r="I4" s="11" t="s">
        <v>10</v>
      </c>
      <c r="J4" s="11" t="s">
        <v>11</v>
      </c>
      <c r="K4" s="11" t="s">
        <v>12</v>
      </c>
      <c r="L4" s="11" t="s">
        <v>13</v>
      </c>
      <c r="M4" s="12" t="s">
        <v>14</v>
      </c>
      <c r="N4" s="13" t="s">
        <v>15</v>
      </c>
      <c r="O4" s="14" t="s">
        <v>16</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17</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row>
    <row r="17" spans="1:15">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row>
    <row r="18" spans="1:15">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5">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5">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5">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5">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5">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5">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5">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5">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5">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5">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5">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5">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5">
      <c r="F32" s="18"/>
    </row>
    <row r="33" spans="6:6">
      <c r="F33" s="18"/>
    </row>
    <row r="34" spans="6:6">
      <c r="F34" s="18"/>
    </row>
    <row r="35" spans="6:6">
      <c r="F35" s="18"/>
    </row>
    <row r="36" spans="6:6">
      <c r="F36" s="18"/>
    </row>
    <row r="37" spans="6:6">
      <c r="F37" s="18"/>
    </row>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30"/>
  <sheetViews>
    <sheetView zoomScale="89" zoomScaleNormal="89" workbookViewId="0">
      <selection activeCell="G15" sqref="G15"/>
    </sheetView>
  </sheetViews>
  <sheetFormatPr defaultColWidth="8.7109375" defaultRowHeight="15"/>
  <cols>
    <col min="1" max="1" width="13" customWidth="1"/>
    <col min="2" max="2" width="14.7109375" customWidth="1"/>
    <col min="3" max="3" width="16.28515625" bestFit="1" customWidth="1"/>
    <col min="4" max="4" width="14.28515625" bestFit="1" customWidth="1"/>
    <col min="5" max="5" width="13.5703125" bestFit="1" customWidth="1"/>
    <col min="6" max="6" width="13" bestFit="1" customWidth="1"/>
    <col min="7" max="7" width="13.5703125" bestFit="1" customWidth="1"/>
    <col min="8" max="8" width="13.85546875" bestFit="1" customWidth="1"/>
    <col min="9" max="9" width="11.7109375" customWidth="1"/>
    <col min="10" max="10" width="12.28515625" customWidth="1"/>
    <col min="11" max="11" width="15.42578125" bestFit="1" customWidth="1"/>
    <col min="12" max="12" width="13.5703125" bestFit="1" customWidth="1"/>
    <col min="13" max="13" width="11.42578125" customWidth="1"/>
    <col min="14" max="14" width="16" bestFit="1" customWidth="1"/>
    <col min="15" max="15" width="13" bestFit="1" customWidth="1"/>
    <col min="16" max="16" width="15.5703125" customWidth="1"/>
  </cols>
  <sheetData>
    <row r="1" spans="1:16" ht="19.5">
      <c r="A1" s="7" t="s">
        <v>18</v>
      </c>
    </row>
    <row r="2" spans="1:16">
      <c r="A2" s="5" t="s">
        <v>1</v>
      </c>
    </row>
    <row r="3" spans="1:16">
      <c r="A3" s="5"/>
    </row>
    <row r="4" spans="1:16" ht="54" customHeight="1">
      <c r="A4" s="9" t="s">
        <v>2</v>
      </c>
      <c r="B4" s="10" t="s">
        <v>19</v>
      </c>
      <c r="C4" s="10" t="s">
        <v>20</v>
      </c>
      <c r="D4" s="11" t="s">
        <v>21</v>
      </c>
      <c r="E4" s="11" t="s">
        <v>22</v>
      </c>
      <c r="F4" s="12" t="s">
        <v>23</v>
      </c>
      <c r="G4" s="12" t="s">
        <v>24</v>
      </c>
      <c r="H4" s="11" t="s">
        <v>25</v>
      </c>
      <c r="I4" s="11" t="s">
        <v>26</v>
      </c>
      <c r="J4" s="11" t="s">
        <v>27</v>
      </c>
      <c r="K4" s="11" t="s">
        <v>28</v>
      </c>
      <c r="L4" s="11" t="s">
        <v>29</v>
      </c>
      <c r="M4" s="11" t="s">
        <v>30</v>
      </c>
      <c r="N4" s="12" t="s">
        <v>31</v>
      </c>
      <c r="O4" s="13" t="s">
        <v>32</v>
      </c>
      <c r="P4" s="14" t="s">
        <v>33</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sheetData>
  <pageMargins left="0.7" right="0.7" top="0.75" bottom="0.75" header="0.3" footer="0.3"/>
  <pageSetup paperSize="9"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J26"/>
  <sheetViews>
    <sheetView topLeftCell="A2" workbookViewId="0">
      <selection activeCell="AL22" sqref="AL22"/>
    </sheetView>
  </sheetViews>
  <sheetFormatPr defaultColWidth="8.7109375" defaultRowHeight="15"/>
  <cols>
    <col min="1" max="1" width="17.42578125" customWidth="1"/>
    <col min="2" max="27" width="8.85546875" customWidth="1"/>
    <col min="30" max="30" width="12.28515625" bestFit="1" customWidth="1"/>
    <col min="34" max="34" width="17" bestFit="1" customWidth="1"/>
    <col min="35" max="35" width="15.140625" bestFit="1" customWidth="1"/>
    <col min="36" max="36" width="14.85546875" bestFit="1" customWidth="1"/>
  </cols>
  <sheetData>
    <row r="1" spans="1:36" ht="19.5">
      <c r="A1" s="3" t="s">
        <v>34</v>
      </c>
    </row>
    <row r="2" spans="1:36" ht="19.5">
      <c r="A2" s="3"/>
    </row>
    <row r="3" spans="1:36">
      <c r="A3" s="25" t="s">
        <v>35</v>
      </c>
      <c r="B3" s="15" t="s">
        <v>36</v>
      </c>
      <c r="C3" s="15" t="s">
        <v>37</v>
      </c>
      <c r="D3" s="15" t="s">
        <v>38</v>
      </c>
      <c r="E3" s="15" t="s">
        <v>39</v>
      </c>
      <c r="F3" s="15" t="s">
        <v>40</v>
      </c>
      <c r="G3" s="15" t="s">
        <v>41</v>
      </c>
      <c r="H3" s="15" t="s">
        <v>42</v>
      </c>
      <c r="I3" s="15" t="s">
        <v>43</v>
      </c>
      <c r="J3" s="15" t="s">
        <v>44</v>
      </c>
      <c r="K3" s="15" t="s">
        <v>45</v>
      </c>
      <c r="L3" s="15" t="s">
        <v>46</v>
      </c>
      <c r="M3" s="15" t="s">
        <v>47</v>
      </c>
      <c r="N3" s="8" t="s">
        <v>48</v>
      </c>
      <c r="O3" s="15" t="s">
        <v>49</v>
      </c>
      <c r="P3" s="15" t="s">
        <v>50</v>
      </c>
      <c r="Q3" s="15" t="s">
        <v>51</v>
      </c>
      <c r="R3" s="15" t="s">
        <v>52</v>
      </c>
      <c r="S3" s="15" t="s">
        <v>53</v>
      </c>
      <c r="T3" s="15" t="s">
        <v>54</v>
      </c>
      <c r="U3" s="15" t="s">
        <v>55</v>
      </c>
      <c r="V3" s="15" t="s">
        <v>56</v>
      </c>
      <c r="W3" s="15" t="s">
        <v>57</v>
      </c>
      <c r="X3" s="15" t="s">
        <v>58</v>
      </c>
      <c r="Y3" s="15" t="s">
        <v>59</v>
      </c>
      <c r="Z3" s="15" t="s">
        <v>60</v>
      </c>
      <c r="AA3" s="15" t="s">
        <v>61</v>
      </c>
      <c r="AB3" s="15" t="s">
        <v>62</v>
      </c>
      <c r="AD3" s="31" t="s">
        <v>63</v>
      </c>
      <c r="AE3" s="31" t="s">
        <v>64</v>
      </c>
      <c r="AF3" s="31" t="s">
        <v>65</v>
      </c>
      <c r="AG3" s="31" t="s">
        <v>66</v>
      </c>
      <c r="AH3" s="31" t="s">
        <v>67</v>
      </c>
      <c r="AI3" s="31" t="s">
        <v>68</v>
      </c>
      <c r="AJ3" s="31" t="s">
        <v>69</v>
      </c>
    </row>
    <row r="4" spans="1:36">
      <c r="A4" s="6" t="s">
        <v>70</v>
      </c>
      <c r="B4" s="18">
        <v>86269</v>
      </c>
      <c r="C4" s="18">
        <v>87837</v>
      </c>
      <c r="D4" s="18">
        <v>88018</v>
      </c>
      <c r="E4" s="18">
        <v>87712</v>
      </c>
      <c r="F4" s="18">
        <v>77926</v>
      </c>
      <c r="G4" s="18">
        <v>71431</v>
      </c>
      <c r="H4" s="18">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18">
        <v>157012</v>
      </c>
      <c r="AB4" s="18">
        <v>156153</v>
      </c>
      <c r="AD4" s="36">
        <f>AVERAGE(Table3.1[[#This Row],[1997]:[2023]])</f>
        <v>101101.03703703704</v>
      </c>
      <c r="AE4" s="36">
        <f>MAX(Table3.1[[#This Row],[1997]:[2023]])-MIN(Table3.1[[#This Row],[1997]:[2023]])</f>
        <v>86642</v>
      </c>
      <c r="AF4" s="36" t="e">
        <f>MODE(Table3.1[[#This Row],[1997]:[2023]])</f>
        <v>#N/A</v>
      </c>
      <c r="AG4" s="36">
        <f>MEDIAN(Table3.1[[#This Row],[1997]:[2023]])</f>
        <v>88018</v>
      </c>
      <c r="AH4" s="36">
        <f>STDEV(Table3.1[[#This Row],[1997]:[2023]])</f>
        <v>30444.321253322403</v>
      </c>
      <c r="AI4" s="36">
        <f>MAX(Table3.1[[#This Row],[1997]:[2023]])</f>
        <v>157012</v>
      </c>
      <c r="AJ4" s="36">
        <f>MIN(Table3.1[[#This Row],[1997]:[2023]])</f>
        <v>70370</v>
      </c>
    </row>
    <row r="5" spans="1:36">
      <c r="A5" s="6" t="s">
        <v>71</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c r="AD5" s="36">
        <f>AVERAGE(Table3.1[[#This Row],[1997]:[2023]])</f>
        <v>68227</v>
      </c>
      <c r="AE5" s="36">
        <f>MAX(Table3.1[[#This Row],[1997]:[2023]])-MIN(Table3.1[[#This Row],[1997]:[2023]])</f>
        <v>56294</v>
      </c>
      <c r="AF5" s="36" t="e">
        <f>MODE(Table3.1[[#This Row],[1997]:[2023]])</f>
        <v>#N/A</v>
      </c>
      <c r="AG5" s="36">
        <f>MEDIAN(Table3.1[[#This Row],[1997]:[2023]])</f>
        <v>62910</v>
      </c>
      <c r="AH5" s="36">
        <f>STDEV(Table3.1[[#This Row],[1997]:[2023]])</f>
        <v>18096.289783352746</v>
      </c>
      <c r="AI5" s="36">
        <f>MAX(Table3.1[[#This Row],[1997]:[2023]])</f>
        <v>103938</v>
      </c>
      <c r="AJ5" s="36">
        <f>MIN(Table3.1[[#This Row],[1997]:[2023]])</f>
        <v>47644</v>
      </c>
    </row>
    <row r="6" spans="1:36">
      <c r="A6" s="6" t="s">
        <v>72</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c r="AD6" s="36">
        <f>AVERAGE(Table3.1[[#This Row],[1997]:[2023]])</f>
        <v>29494.296296296296</v>
      </c>
      <c r="AE6" s="36">
        <f>MAX(Table3.1[[#This Row],[1997]:[2023]])-MIN(Table3.1[[#This Row],[1997]:[2023]])</f>
        <v>25307</v>
      </c>
      <c r="AF6" s="36" t="e">
        <f>MODE(Table3.1[[#This Row],[1997]:[2023]])</f>
        <v>#N/A</v>
      </c>
      <c r="AG6" s="36">
        <f>MEDIAN(Table3.1[[#This Row],[1997]:[2023]])</f>
        <v>30375</v>
      </c>
      <c r="AH6" s="36">
        <f>STDEV(Table3.1[[#This Row],[1997]:[2023]])</f>
        <v>7127.7593944910232</v>
      </c>
      <c r="AI6" s="36">
        <f>MAX(Table3.1[[#This Row],[1997]:[2023]])</f>
        <v>41044</v>
      </c>
      <c r="AJ6" s="36">
        <f>MIN(Table3.1[[#This Row],[1997]:[2023]])</f>
        <v>15737</v>
      </c>
    </row>
    <row r="7" spans="1:36">
      <c r="A7" s="6" t="s">
        <v>73</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c r="AD7" s="36">
        <f>AVERAGE(Table3.1[[#This Row],[1997]:[2023]])</f>
        <v>10845.777777777777</v>
      </c>
      <c r="AE7" s="36">
        <f>MAX(Table3.1[[#This Row],[1997]:[2023]])-MIN(Table3.1[[#This Row],[1997]:[2023]])</f>
        <v>10591</v>
      </c>
      <c r="AF7" s="36">
        <f>MODE(Table3.1[[#This Row],[1997]:[2023]])</f>
        <v>11455</v>
      </c>
      <c r="AG7" s="36">
        <f>MEDIAN(Table3.1[[#This Row],[1997]:[2023]])</f>
        <v>11774</v>
      </c>
      <c r="AH7" s="36">
        <f>STDEV(Table3.1[[#This Row],[1997]:[2023]])</f>
        <v>3221.2702264471491</v>
      </c>
      <c r="AI7" s="36">
        <f>MAX(Table3.1[[#This Row],[1997]:[2023]])</f>
        <v>14378</v>
      </c>
      <c r="AJ7" s="36">
        <f>MIN(Table3.1[[#This Row],[1997]:[2023]])</f>
        <v>3787</v>
      </c>
    </row>
    <row r="8" spans="1:36">
      <c r="A8" s="6" t="s">
        <v>74</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c r="AD8" s="36">
        <f>AVERAGE(Table3.1[[#This Row],[1997]:[2023]])</f>
        <v>5847.0740740740739</v>
      </c>
      <c r="AE8" s="36">
        <f>MAX(Table3.1[[#This Row],[1997]:[2023]])-MIN(Table3.1[[#This Row],[1997]:[2023]])</f>
        <v>4190</v>
      </c>
      <c r="AF8" s="36" t="e">
        <f>MODE(Table3.1[[#This Row],[1997]:[2023]])</f>
        <v>#N/A</v>
      </c>
      <c r="AG8" s="36">
        <f>MEDIAN(Table3.1[[#This Row],[1997]:[2023]])</f>
        <v>6203</v>
      </c>
      <c r="AH8" s="36">
        <f>STDEV(Table3.1[[#This Row],[1997]:[2023]])</f>
        <v>1235.8401043552367</v>
      </c>
      <c r="AI8" s="36">
        <f>MAX(Table3.1[[#This Row],[1997]:[2023]])</f>
        <v>7291</v>
      </c>
      <c r="AJ8" s="36">
        <f>MIN(Table3.1[[#This Row],[1997]:[2023]])</f>
        <v>3101</v>
      </c>
    </row>
    <row r="9" spans="1:36">
      <c r="A9" s="6" t="s">
        <v>75</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c r="AD9" s="36">
        <f>AVERAGE(Table3.1[[#This Row],[1997]:[2023]])</f>
        <v>1820.4814814814815</v>
      </c>
      <c r="AE9" s="36">
        <f>MAX(Table3.1[[#This Row],[1997]:[2023]])-MIN(Table3.1[[#This Row],[1997]:[2023]])</f>
        <v>1086</v>
      </c>
      <c r="AF9" s="36">
        <f>MODE(Table3.1[[#This Row],[1997]:[2023]])</f>
        <v>1201</v>
      </c>
      <c r="AG9" s="36">
        <f>MEDIAN(Table3.1[[#This Row],[1997]:[2023]])</f>
        <v>1885</v>
      </c>
      <c r="AH9" s="36">
        <f>STDEV(Table3.1[[#This Row],[1997]:[2023]])</f>
        <v>285.13955697441764</v>
      </c>
      <c r="AI9" s="36">
        <f>MAX(Table3.1[[#This Row],[1997]:[2023]])</f>
        <v>2262</v>
      </c>
      <c r="AJ9" s="36">
        <f>MIN(Table3.1[[#This Row],[1997]:[2023]])</f>
        <v>1176</v>
      </c>
    </row>
    <row r="10" spans="1:36">
      <c r="A10" s="6" t="s">
        <v>76</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c r="AD10" s="36">
        <f>AVERAGE(Table3.1[[#This Row],[1997]:[2023]])</f>
        <v>1759.1851851851852</v>
      </c>
      <c r="AE10" s="36">
        <f>MAX(Table3.1[[#This Row],[1997]:[2023]])-MIN(Table3.1[[#This Row],[1997]:[2023]])</f>
        <v>1212</v>
      </c>
      <c r="AF10" s="36" t="e">
        <f>MODE(Table3.1[[#This Row],[1997]:[2023]])</f>
        <v>#N/A</v>
      </c>
      <c r="AG10" s="36">
        <f>MEDIAN(Table3.1[[#This Row],[1997]:[2023]])</f>
        <v>1849</v>
      </c>
      <c r="AH10" s="36">
        <f>STDEV(Table3.1[[#This Row],[1997]:[2023]])</f>
        <v>320.12714265489501</v>
      </c>
      <c r="AI10" s="36">
        <f>MAX(Table3.1[[#This Row],[1997]:[2023]])</f>
        <v>2211</v>
      </c>
      <c r="AJ10" s="36">
        <f>MIN(Table3.1[[#This Row],[1997]:[2023]])</f>
        <v>999</v>
      </c>
    </row>
    <row r="11" spans="1:36">
      <c r="A11" s="6" t="s">
        <v>77</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c r="AD11" s="36">
        <f>AVERAGE(Table3.1[[#This Row],[1997]:[2023]])</f>
        <v>530.22222222222217</v>
      </c>
      <c r="AE11" s="36">
        <f>MAX(Table3.1[[#This Row],[1997]:[2023]])-MIN(Table3.1[[#This Row],[1997]:[2023]])</f>
        <v>293</v>
      </c>
      <c r="AF11" s="36">
        <f>MODE(Table3.1[[#This Row],[1997]:[2023]])</f>
        <v>583</v>
      </c>
      <c r="AG11" s="36">
        <f>MEDIAN(Table3.1[[#This Row],[1997]:[2023]])</f>
        <v>549</v>
      </c>
      <c r="AH11" s="36">
        <f>STDEV(Table3.1[[#This Row],[1997]:[2023]])</f>
        <v>80.279000670897503</v>
      </c>
      <c r="AI11" s="36">
        <f>MAX(Table3.1[[#This Row],[1997]:[2023]])</f>
        <v>647</v>
      </c>
      <c r="AJ11" s="36">
        <f>MIN(Table3.1[[#This Row],[1997]:[2023]])</f>
        <v>354</v>
      </c>
    </row>
    <row r="12" spans="1:36">
      <c r="A12" s="6" t="s">
        <v>78</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c r="AD12" s="36">
        <f>AVERAGE(Table3.1[[#This Row],[1997]:[2023]])</f>
        <v>424.33333333333331</v>
      </c>
      <c r="AE12" s="36">
        <f>MAX(Table3.1[[#This Row],[1997]:[2023]])-MIN(Table3.1[[#This Row],[1997]:[2023]])</f>
        <v>240</v>
      </c>
      <c r="AF12" s="36">
        <f>MODE(Table3.1[[#This Row],[1997]:[2023]])</f>
        <v>304</v>
      </c>
      <c r="AG12" s="36">
        <f>MEDIAN(Table3.1[[#This Row],[1997]:[2023]])</f>
        <v>441</v>
      </c>
      <c r="AH12" s="36">
        <f>STDEV(Table3.1[[#This Row],[1997]:[2023]])</f>
        <v>66.389874112061577</v>
      </c>
      <c r="AI12" s="36">
        <f>MAX(Table3.1[[#This Row],[1997]:[2023]])</f>
        <v>511</v>
      </c>
      <c r="AJ12" s="36">
        <f>MIN(Table3.1[[#This Row],[1997]:[2023]])</f>
        <v>271</v>
      </c>
    </row>
    <row r="13" spans="1:36">
      <c r="A13" s="6" t="s">
        <v>79</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c r="AD13" s="36">
        <f>AVERAGE(Table3.1[[#This Row],[1997]:[2023]])</f>
        <v>508.74074074074076</v>
      </c>
      <c r="AE13" s="36">
        <f>MAX(Table3.1[[#This Row],[1997]:[2023]])-MIN(Table3.1[[#This Row],[1997]:[2023]])</f>
        <v>261</v>
      </c>
      <c r="AF13" s="36">
        <f>MODE(Table3.1[[#This Row],[1997]:[2023]])</f>
        <v>560</v>
      </c>
      <c r="AG13" s="36">
        <f>MEDIAN(Table3.1[[#This Row],[1997]:[2023]])</f>
        <v>531</v>
      </c>
      <c r="AH13" s="36">
        <f>STDEV(Table3.1[[#This Row],[1997]:[2023]])</f>
        <v>68.921690563997686</v>
      </c>
      <c r="AI13" s="36">
        <f>MAX(Table3.1[[#This Row],[1997]:[2023]])</f>
        <v>602</v>
      </c>
      <c r="AJ13" s="36">
        <f>MIN(Table3.1[[#This Row],[1997]:[2023]])</f>
        <v>341</v>
      </c>
    </row>
    <row r="14" spans="1:36">
      <c r="A14" s="6" t="s">
        <v>80</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c r="AD14" s="36">
        <f>AVERAGE(Table3.1[[#This Row],[1997]:[2023]])</f>
        <v>136.55555555555554</v>
      </c>
      <c r="AE14" s="36">
        <f>MAX(Table3.1[[#This Row],[1997]:[2023]])-MIN(Table3.1[[#This Row],[1997]:[2023]])</f>
        <v>73</v>
      </c>
      <c r="AF14" s="36">
        <f>MODE(Table3.1[[#This Row],[1997]:[2023]])</f>
        <v>125</v>
      </c>
      <c r="AG14" s="36">
        <f>MEDIAN(Table3.1[[#This Row],[1997]:[2023]])</f>
        <v>143</v>
      </c>
      <c r="AH14" s="36">
        <f>STDEV(Table3.1[[#This Row],[1997]:[2023]])</f>
        <v>16.674100906065124</v>
      </c>
      <c r="AI14" s="36">
        <f>MAX(Table3.1[[#This Row],[1997]:[2023]])</f>
        <v>164</v>
      </c>
      <c r="AJ14" s="36">
        <f>MIN(Table3.1[[#This Row],[1997]:[2023]])</f>
        <v>91</v>
      </c>
    </row>
    <row r="15" spans="1:36">
      <c r="A15" s="6" t="s">
        <v>81</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c r="AD15" s="36">
        <f>AVERAGE(Table3.1[[#This Row],[1997]:[2023]])</f>
        <v>60.037037037037038</v>
      </c>
      <c r="AE15" s="36">
        <f>MAX(Table3.1[[#This Row],[1997]:[2023]])-MIN(Table3.1[[#This Row],[1997]:[2023]])</f>
        <v>27</v>
      </c>
      <c r="AF15" s="36">
        <f>MODE(Table3.1[[#This Row],[1997]:[2023]])</f>
        <v>56</v>
      </c>
      <c r="AG15" s="36">
        <f>MEDIAN(Table3.1[[#This Row],[1997]:[2023]])</f>
        <v>59</v>
      </c>
      <c r="AH15" s="36">
        <f>STDEV(Table3.1[[#This Row],[1997]:[2023]])</f>
        <v>6.6591838347300012</v>
      </c>
      <c r="AI15" s="36">
        <f>MAX(Table3.1[[#This Row],[1997]:[2023]])</f>
        <v>75</v>
      </c>
      <c r="AJ15" s="36">
        <f>MIN(Table3.1[[#This Row],[1997]:[2023]])</f>
        <v>48</v>
      </c>
    </row>
    <row r="16" spans="1:36">
      <c r="A16" s="6" t="s">
        <v>82</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c r="AD16" s="36">
        <f>AVERAGE(Table3.1[[#This Row],[1997]:[2023]])</f>
        <v>54.851851851851855</v>
      </c>
      <c r="AE16" s="36">
        <f>MAX(Table3.1[[#This Row],[1997]:[2023]])-MIN(Table3.1[[#This Row],[1997]:[2023]])</f>
        <v>29</v>
      </c>
      <c r="AF16" s="36">
        <f>MODE(Table3.1[[#This Row],[1997]:[2023]])</f>
        <v>60</v>
      </c>
      <c r="AG16" s="36">
        <f>MEDIAN(Table3.1[[#This Row],[1997]:[2023]])</f>
        <v>57</v>
      </c>
      <c r="AH16" s="36">
        <f>STDEV(Table3.1[[#This Row],[1997]:[2023]])</f>
        <v>7.5176904376057738</v>
      </c>
      <c r="AI16" s="36">
        <f>MAX(Table3.1[[#This Row],[1997]:[2023]])</f>
        <v>64</v>
      </c>
      <c r="AJ16" s="36">
        <f>MIN(Table3.1[[#This Row],[1997]:[2023]])</f>
        <v>35</v>
      </c>
    </row>
    <row r="17" spans="1:28" ht="25.15" customHeight="1">
      <c r="A17" s="16" t="s">
        <v>83</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row>
    <row r="18" spans="1:28">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28">
      <c r="A20" s="31" t="s">
        <v>63</v>
      </c>
      <c r="B20" s="37">
        <f>AVERAGE(B4:B16)</f>
        <v>12319.076923076924</v>
      </c>
      <c r="C20" s="37">
        <f t="shared" ref="C20:AB20" si="0">AVERAGE(C4:C16)</f>
        <v>12556.615384615385</v>
      </c>
      <c r="D20" s="37">
        <f t="shared" si="0"/>
        <v>12735.461538461539</v>
      </c>
      <c r="E20" s="37">
        <f t="shared" si="0"/>
        <v>12571.23076923077</v>
      </c>
      <c r="F20" s="37">
        <f t="shared" si="0"/>
        <v>12932.538461538461</v>
      </c>
      <c r="G20" s="37">
        <f t="shared" si="0"/>
        <v>12783.153846153846</v>
      </c>
      <c r="H20" s="37">
        <f t="shared" si="0"/>
        <v>13160.923076923076</v>
      </c>
      <c r="I20" s="37">
        <f t="shared" si="0"/>
        <v>13569.461538461539</v>
      </c>
      <c r="J20" s="37">
        <f t="shared" si="0"/>
        <v>14049.538461538461</v>
      </c>
      <c r="K20" s="37">
        <f t="shared" si="0"/>
        <v>14315.923076923076</v>
      </c>
      <c r="L20" s="37">
        <f t="shared" si="0"/>
        <v>14784.538461538461</v>
      </c>
      <c r="M20" s="37">
        <f t="shared" si="0"/>
        <v>15569.76923076923</v>
      </c>
      <c r="N20" s="37">
        <f t="shared" si="0"/>
        <v>14925</v>
      </c>
      <c r="O20" s="37">
        <f t="shared" si="0"/>
        <v>15941.923076923076</v>
      </c>
      <c r="P20" s="37">
        <f t="shared" si="0"/>
        <v>15938.846153846154</v>
      </c>
      <c r="Q20" s="37">
        <f t="shared" si="0"/>
        <v>15720.23076923077</v>
      </c>
      <c r="R20" s="37">
        <f t="shared" si="0"/>
        <v>16175.615384615385</v>
      </c>
      <c r="S20" s="37">
        <f t="shared" si="0"/>
        <v>16218.153846153846</v>
      </c>
      <c r="T20" s="37">
        <f t="shared" si="0"/>
        <v>18081.846153846152</v>
      </c>
      <c r="U20" s="37">
        <f t="shared" si="0"/>
        <v>19739.153846153848</v>
      </c>
      <c r="V20" s="37">
        <f t="shared" si="0"/>
        <v>21136.23076923077</v>
      </c>
      <c r="W20" s="37">
        <f t="shared" si="0"/>
        <v>22065.23076923077</v>
      </c>
      <c r="X20" s="37">
        <f t="shared" si="0"/>
        <v>22862.384615384617</v>
      </c>
      <c r="Y20" s="37">
        <f t="shared" si="0"/>
        <v>23505</v>
      </c>
      <c r="Z20" s="37">
        <f t="shared" si="0"/>
        <v>24462.538461538461</v>
      </c>
      <c r="AA20" s="37">
        <f t="shared" si="0"/>
        <v>25325.461538461539</v>
      </c>
      <c r="AB20" s="37">
        <f t="shared" si="0"/>
        <v>25158.692307692309</v>
      </c>
    </row>
    <row r="21" spans="1:28" ht="18" customHeight="1">
      <c r="A21" s="31" t="s">
        <v>64</v>
      </c>
      <c r="B21" s="38">
        <f>MAX(B4:B16)-MIN(B4:B16)</f>
        <v>86231</v>
      </c>
      <c r="C21" s="38">
        <f t="shared" ref="C21:AB21" si="1">MAX(C4:C16)-MIN(C4:C16)</f>
        <v>87797</v>
      </c>
      <c r="D21" s="38">
        <f t="shared" si="1"/>
        <v>87976</v>
      </c>
      <c r="E21" s="38">
        <f t="shared" si="1"/>
        <v>87677</v>
      </c>
      <c r="F21" s="38">
        <f t="shared" si="1"/>
        <v>77870</v>
      </c>
      <c r="G21" s="38">
        <f t="shared" si="1"/>
        <v>71374</v>
      </c>
      <c r="H21" s="38">
        <f t="shared" si="1"/>
        <v>70306</v>
      </c>
      <c r="I21" s="38">
        <f t="shared" si="1"/>
        <v>71560</v>
      </c>
      <c r="J21" s="38">
        <f t="shared" si="1"/>
        <v>73061</v>
      </c>
      <c r="K21" s="38">
        <f t="shared" si="1"/>
        <v>71906</v>
      </c>
      <c r="L21" s="38">
        <f t="shared" si="1"/>
        <v>74265</v>
      </c>
      <c r="M21" s="38">
        <f t="shared" si="1"/>
        <v>78767</v>
      </c>
      <c r="N21" s="38">
        <f t="shared" si="1"/>
        <v>75320</v>
      </c>
      <c r="O21" s="38">
        <f t="shared" si="1"/>
        <v>86214</v>
      </c>
      <c r="P21" s="38">
        <f t="shared" si="1"/>
        <v>89076</v>
      </c>
      <c r="Q21" s="38">
        <f t="shared" si="1"/>
        <v>90592</v>
      </c>
      <c r="R21" s="38">
        <f t="shared" si="1"/>
        <v>92584</v>
      </c>
      <c r="S21" s="38">
        <f t="shared" si="1"/>
        <v>92878</v>
      </c>
      <c r="T21" s="38">
        <f t="shared" si="1"/>
        <v>108635</v>
      </c>
      <c r="U21" s="38">
        <f t="shared" si="1"/>
        <v>123432</v>
      </c>
      <c r="V21" s="38">
        <f t="shared" si="1"/>
        <v>133416</v>
      </c>
      <c r="W21" s="38">
        <f t="shared" si="1"/>
        <v>138013</v>
      </c>
      <c r="X21" s="38">
        <f t="shared" si="1"/>
        <v>144175</v>
      </c>
      <c r="Y21" s="38">
        <f t="shared" si="1"/>
        <v>148530</v>
      </c>
      <c r="Z21" s="38">
        <f t="shared" si="1"/>
        <v>153566</v>
      </c>
      <c r="AA21" s="38">
        <f t="shared" si="1"/>
        <v>156960</v>
      </c>
      <c r="AB21" s="38">
        <f t="shared" si="1"/>
        <v>156101</v>
      </c>
    </row>
    <row r="22" spans="1:28">
      <c r="A22" s="31" t="s">
        <v>65</v>
      </c>
      <c r="B22" s="39" t="e">
        <f>MODE(B4:B16)</f>
        <v>#N/A</v>
      </c>
      <c r="C22" s="39" t="e">
        <f t="shared" ref="C22:AB22" si="2">MODE(C4:C16)</f>
        <v>#N/A</v>
      </c>
      <c r="D22" s="39" t="e">
        <f t="shared" si="2"/>
        <v>#N/A</v>
      </c>
      <c r="E22" s="39" t="e">
        <f t="shared" si="2"/>
        <v>#N/A</v>
      </c>
      <c r="F22" s="39" t="e">
        <f t="shared" si="2"/>
        <v>#N/A</v>
      </c>
      <c r="G22" s="39" t="e">
        <f t="shared" si="2"/>
        <v>#N/A</v>
      </c>
      <c r="H22" s="39" t="e">
        <f t="shared" si="2"/>
        <v>#N/A</v>
      </c>
      <c r="I22" s="39" t="e">
        <f t="shared" si="2"/>
        <v>#N/A</v>
      </c>
      <c r="J22" s="39" t="e">
        <f t="shared" si="2"/>
        <v>#N/A</v>
      </c>
      <c r="K22" s="39" t="e">
        <f t="shared" si="2"/>
        <v>#N/A</v>
      </c>
      <c r="L22" s="39" t="e">
        <f t="shared" si="2"/>
        <v>#N/A</v>
      </c>
      <c r="M22" s="39" t="e">
        <f t="shared" si="2"/>
        <v>#N/A</v>
      </c>
      <c r="N22" s="39">
        <f t="shared" si="2"/>
        <v>62</v>
      </c>
      <c r="O22" s="39" t="e">
        <f t="shared" si="2"/>
        <v>#N/A</v>
      </c>
      <c r="P22" s="39" t="e">
        <f t="shared" si="2"/>
        <v>#N/A</v>
      </c>
      <c r="Q22" s="39" t="e">
        <f t="shared" si="2"/>
        <v>#N/A</v>
      </c>
      <c r="R22" s="39" t="e">
        <f t="shared" si="2"/>
        <v>#N/A</v>
      </c>
      <c r="S22" s="39" t="e">
        <f t="shared" si="2"/>
        <v>#N/A</v>
      </c>
      <c r="T22" s="39" t="e">
        <f t="shared" si="2"/>
        <v>#N/A</v>
      </c>
      <c r="U22" s="39">
        <f t="shared" si="2"/>
        <v>57</v>
      </c>
      <c r="V22" s="39" t="e">
        <f t="shared" si="2"/>
        <v>#N/A</v>
      </c>
      <c r="W22" s="39" t="e">
        <f t="shared" si="2"/>
        <v>#N/A</v>
      </c>
      <c r="X22" s="39" t="e">
        <f t="shared" si="2"/>
        <v>#N/A</v>
      </c>
      <c r="Y22" s="39" t="e">
        <f t="shared" si="2"/>
        <v>#N/A</v>
      </c>
      <c r="Z22" s="39">
        <f t="shared" si="2"/>
        <v>56</v>
      </c>
      <c r="AA22" s="39" t="e">
        <f t="shared" si="2"/>
        <v>#N/A</v>
      </c>
      <c r="AB22" s="39" t="e">
        <f t="shared" si="2"/>
        <v>#N/A</v>
      </c>
    </row>
    <row r="23" spans="1:28">
      <c r="A23" s="31" t="s">
        <v>66</v>
      </c>
      <c r="B23" s="37">
        <f>MEDIAN(B4:B16)</f>
        <v>1156</v>
      </c>
      <c r="C23" s="37">
        <f t="shared" ref="C23:AB23" si="3">MEDIAN(C4:C16)</f>
        <v>1201</v>
      </c>
      <c r="D23" s="37">
        <f t="shared" si="3"/>
        <v>1188</v>
      </c>
      <c r="E23" s="37">
        <f t="shared" si="3"/>
        <v>1109</v>
      </c>
      <c r="F23" s="37">
        <f t="shared" si="3"/>
        <v>999</v>
      </c>
      <c r="G23" s="37">
        <f t="shared" si="3"/>
        <v>1782</v>
      </c>
      <c r="H23" s="37">
        <f t="shared" si="3"/>
        <v>1821</v>
      </c>
      <c r="I23" s="37">
        <f t="shared" si="3"/>
        <v>1906</v>
      </c>
      <c r="J23" s="37">
        <f t="shared" si="3"/>
        <v>1928</v>
      </c>
      <c r="K23" s="37">
        <f t="shared" si="3"/>
        <v>2034</v>
      </c>
      <c r="L23" s="37">
        <f t="shared" si="3"/>
        <v>2128</v>
      </c>
      <c r="M23" s="37">
        <f t="shared" si="3"/>
        <v>2211</v>
      </c>
      <c r="N23" s="37">
        <f t="shared" si="3"/>
        <v>2064</v>
      </c>
      <c r="O23" s="37">
        <f t="shared" si="3"/>
        <v>1864</v>
      </c>
      <c r="P23" s="37">
        <f t="shared" si="3"/>
        <v>1713</v>
      </c>
      <c r="Q23" s="37">
        <f t="shared" si="3"/>
        <v>1796</v>
      </c>
      <c r="R23" s="37">
        <f t="shared" si="3"/>
        <v>1756</v>
      </c>
      <c r="S23" s="37">
        <f t="shared" si="3"/>
        <v>1752</v>
      </c>
      <c r="T23" s="37">
        <f t="shared" si="3"/>
        <v>1722</v>
      </c>
      <c r="U23" s="37">
        <f t="shared" si="3"/>
        <v>1842</v>
      </c>
      <c r="V23" s="37">
        <f t="shared" si="3"/>
        <v>1879</v>
      </c>
      <c r="W23" s="37">
        <f t="shared" si="3"/>
        <v>1932</v>
      </c>
      <c r="X23" s="37">
        <f t="shared" si="3"/>
        <v>1905</v>
      </c>
      <c r="Y23" s="37">
        <f t="shared" si="3"/>
        <v>1913</v>
      </c>
      <c r="Z23" s="37">
        <f t="shared" si="3"/>
        <v>1847</v>
      </c>
      <c r="AA23" s="37">
        <f t="shared" si="3"/>
        <v>1860</v>
      </c>
      <c r="AB23" s="37">
        <f t="shared" si="3"/>
        <v>1888</v>
      </c>
    </row>
    <row r="24" spans="1:28" ht="15" customHeight="1">
      <c r="A24" s="32" t="s">
        <v>84</v>
      </c>
      <c r="B24" s="39">
        <f>STDEV(B4:B16)</f>
        <v>25842.716096486256</v>
      </c>
      <c r="C24" s="39">
        <f t="shared" ref="C24:AB24" si="4">STDEV(C4:C16)</f>
        <v>26237.011077034102</v>
      </c>
      <c r="D24" s="39">
        <f t="shared" si="4"/>
        <v>26447.341972982795</v>
      </c>
      <c r="E24" s="39">
        <f t="shared" si="4"/>
        <v>26330.858152092977</v>
      </c>
      <c r="F24" s="39">
        <f t="shared" si="4"/>
        <v>24258.457681859414</v>
      </c>
      <c r="G24" s="39">
        <f t="shared" si="4"/>
        <v>22759.585284176253</v>
      </c>
      <c r="H24" s="39">
        <f t="shared" si="4"/>
        <v>22958.796794335492</v>
      </c>
      <c r="I24" s="39">
        <f t="shared" si="4"/>
        <v>23545.040987489574</v>
      </c>
      <c r="J24" s="39">
        <f t="shared" si="4"/>
        <v>24251.56650821889</v>
      </c>
      <c r="K24" s="39">
        <f t="shared" si="4"/>
        <v>24341.528613535957</v>
      </c>
      <c r="L24" s="39">
        <f t="shared" si="4"/>
        <v>25083.239661891712</v>
      </c>
      <c r="M24" s="39">
        <f t="shared" si="4"/>
        <v>26443.331377853556</v>
      </c>
      <c r="N24" s="39">
        <f t="shared" si="4"/>
        <v>25431.198094073352</v>
      </c>
      <c r="O24" s="39">
        <f t="shared" si="4"/>
        <v>28336.107367519446</v>
      </c>
      <c r="P24" s="39">
        <f t="shared" si="4"/>
        <v>28913.552934699881</v>
      </c>
      <c r="Q24" s="39">
        <f t="shared" si="4"/>
        <v>28662.398911447981</v>
      </c>
      <c r="R24" s="39">
        <f t="shared" si="4"/>
        <v>29661.907762140716</v>
      </c>
      <c r="S24" s="39">
        <f t="shared" si="4"/>
        <v>29739.452247382749</v>
      </c>
      <c r="T24" s="39">
        <f t="shared" si="4"/>
        <v>34041.100544895613</v>
      </c>
      <c r="U24" s="39">
        <f t="shared" si="4"/>
        <v>38004.210097580311</v>
      </c>
      <c r="V24" s="39">
        <f t="shared" si="4"/>
        <v>41048.753176667553</v>
      </c>
      <c r="W24" s="39">
        <f t="shared" si="4"/>
        <v>42819.045455174593</v>
      </c>
      <c r="X24" s="39">
        <f t="shared" si="4"/>
        <v>44684.487023907343</v>
      </c>
      <c r="Y24" s="39">
        <f t="shared" si="4"/>
        <v>46035.133630014949</v>
      </c>
      <c r="Z24" s="39">
        <f t="shared" si="4"/>
        <v>47932.122740766419</v>
      </c>
      <c r="AA24" s="39">
        <f t="shared" si="4"/>
        <v>49217.351348576558</v>
      </c>
      <c r="AB24" s="39">
        <f t="shared" si="4"/>
        <v>48927.618305657415</v>
      </c>
    </row>
    <row r="25" spans="1:28">
      <c r="A25" s="31" t="s">
        <v>68</v>
      </c>
      <c r="B25" s="37">
        <f>MAX(B4:B16)</f>
        <v>86269</v>
      </c>
      <c r="C25" s="37">
        <f t="shared" ref="C25:AB25" si="5">MAX(C4:C16)</f>
        <v>87837</v>
      </c>
      <c r="D25" s="37">
        <f t="shared" si="5"/>
        <v>88018</v>
      </c>
      <c r="E25" s="37">
        <f t="shared" si="5"/>
        <v>87712</v>
      </c>
      <c r="F25" s="37">
        <f t="shared" si="5"/>
        <v>77926</v>
      </c>
      <c r="G25" s="37">
        <f t="shared" si="5"/>
        <v>71431</v>
      </c>
      <c r="H25" s="37">
        <f t="shared" si="5"/>
        <v>70370</v>
      </c>
      <c r="I25" s="37">
        <f t="shared" si="5"/>
        <v>71620</v>
      </c>
      <c r="J25" s="37">
        <f t="shared" si="5"/>
        <v>73117</v>
      </c>
      <c r="K25" s="37">
        <f t="shared" si="5"/>
        <v>71960</v>
      </c>
      <c r="L25" s="37">
        <f t="shared" si="5"/>
        <v>74325</v>
      </c>
      <c r="M25" s="37">
        <f t="shared" si="5"/>
        <v>78826</v>
      </c>
      <c r="N25" s="37">
        <f t="shared" si="5"/>
        <v>75382</v>
      </c>
      <c r="O25" s="37">
        <f t="shared" si="5"/>
        <v>86274</v>
      </c>
      <c r="P25" s="37">
        <f t="shared" si="5"/>
        <v>89132</v>
      </c>
      <c r="Q25" s="37">
        <f t="shared" si="5"/>
        <v>90647</v>
      </c>
      <c r="R25" s="37">
        <f t="shared" si="5"/>
        <v>92635</v>
      </c>
      <c r="S25" s="37">
        <f t="shared" si="5"/>
        <v>92926</v>
      </c>
      <c r="T25" s="37">
        <f t="shared" si="5"/>
        <v>108691</v>
      </c>
      <c r="U25" s="37">
        <f t="shared" si="5"/>
        <v>123489</v>
      </c>
      <c r="V25" s="37">
        <f t="shared" si="5"/>
        <v>133472</v>
      </c>
      <c r="W25" s="37">
        <f t="shared" si="5"/>
        <v>138069</v>
      </c>
      <c r="X25" s="37">
        <f t="shared" si="5"/>
        <v>144229</v>
      </c>
      <c r="Y25" s="37">
        <f t="shared" si="5"/>
        <v>148584</v>
      </c>
      <c r="Z25" s="37">
        <f t="shared" si="5"/>
        <v>153622</v>
      </c>
      <c r="AA25" s="37">
        <f t="shared" si="5"/>
        <v>157012</v>
      </c>
      <c r="AB25" s="37">
        <f t="shared" si="5"/>
        <v>156153</v>
      </c>
    </row>
    <row r="26" spans="1:28">
      <c r="A26" s="31" t="s">
        <v>85</v>
      </c>
      <c r="B26" s="37">
        <f>MIN(B4:B16)</f>
        <v>38</v>
      </c>
      <c r="C26" s="37">
        <f t="shared" ref="C26:AB26" si="6">MIN(C4:C16)</f>
        <v>40</v>
      </c>
      <c r="D26" s="37">
        <f t="shared" si="6"/>
        <v>42</v>
      </c>
      <c r="E26" s="37">
        <f t="shared" si="6"/>
        <v>35</v>
      </c>
      <c r="F26" s="37">
        <f t="shared" si="6"/>
        <v>56</v>
      </c>
      <c r="G26" s="37">
        <f t="shared" si="6"/>
        <v>57</v>
      </c>
      <c r="H26" s="37">
        <f t="shared" si="6"/>
        <v>64</v>
      </c>
      <c r="I26" s="37">
        <f t="shared" si="6"/>
        <v>60</v>
      </c>
      <c r="J26" s="37">
        <f t="shared" si="6"/>
        <v>56</v>
      </c>
      <c r="K26" s="37">
        <f t="shared" si="6"/>
        <v>54</v>
      </c>
      <c r="L26" s="37">
        <f t="shared" si="6"/>
        <v>60</v>
      </c>
      <c r="M26" s="37">
        <f t="shared" si="6"/>
        <v>59</v>
      </c>
      <c r="N26" s="37">
        <f t="shared" si="6"/>
        <v>62</v>
      </c>
      <c r="O26" s="37">
        <f t="shared" si="6"/>
        <v>60</v>
      </c>
      <c r="P26" s="37">
        <f t="shared" si="6"/>
        <v>56</v>
      </c>
      <c r="Q26" s="37">
        <f t="shared" si="6"/>
        <v>55</v>
      </c>
      <c r="R26" s="37">
        <f t="shared" si="6"/>
        <v>51</v>
      </c>
      <c r="S26" s="37">
        <f t="shared" si="6"/>
        <v>48</v>
      </c>
      <c r="T26" s="37">
        <f t="shared" si="6"/>
        <v>56</v>
      </c>
      <c r="U26" s="37">
        <f t="shared" si="6"/>
        <v>57</v>
      </c>
      <c r="V26" s="37">
        <f t="shared" si="6"/>
        <v>56</v>
      </c>
      <c r="W26" s="37">
        <f t="shared" si="6"/>
        <v>56</v>
      </c>
      <c r="X26" s="37">
        <f t="shared" si="6"/>
        <v>54</v>
      </c>
      <c r="Y26" s="37">
        <f t="shared" si="6"/>
        <v>54</v>
      </c>
      <c r="Z26" s="37">
        <f t="shared" si="6"/>
        <v>56</v>
      </c>
      <c r="AA26" s="37">
        <f t="shared" si="6"/>
        <v>52</v>
      </c>
      <c r="AB26" s="37">
        <f t="shared" si="6"/>
        <v>52</v>
      </c>
    </row>
  </sheetData>
  <phoneticPr fontId="33" type="noConversion"/>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X17"/>
  <sheetViews>
    <sheetView workbookViewId="0">
      <selection activeCell="W24" sqref="W24"/>
    </sheetView>
  </sheetViews>
  <sheetFormatPr defaultRowHeight="15"/>
  <cols>
    <col min="1" max="1" width="35.28515625" customWidth="1"/>
    <col min="22" max="22" width="17" bestFit="1" customWidth="1"/>
  </cols>
  <sheetData>
    <row r="1" spans="1:24" ht="19.5">
      <c r="A1" s="7" t="s">
        <v>86</v>
      </c>
    </row>
    <row r="2" spans="1:24" ht="19.5">
      <c r="A2" s="7"/>
    </row>
    <row r="3" spans="1:24" ht="28.5">
      <c r="A3" s="25" t="s">
        <v>87</v>
      </c>
      <c r="B3" s="29" t="s">
        <v>46</v>
      </c>
      <c r="C3" s="30" t="s">
        <v>47</v>
      </c>
      <c r="D3" s="26" t="s">
        <v>88</v>
      </c>
      <c r="E3" s="26" t="s">
        <v>89</v>
      </c>
      <c r="F3" s="26" t="s">
        <v>90</v>
      </c>
      <c r="G3" s="26" t="s">
        <v>91</v>
      </c>
      <c r="H3" s="26" t="s">
        <v>92</v>
      </c>
      <c r="I3" s="26" t="s">
        <v>93</v>
      </c>
      <c r="J3" s="26" t="s">
        <v>94</v>
      </c>
      <c r="K3" s="26" t="s">
        <v>95</v>
      </c>
      <c r="L3" s="26" t="s">
        <v>96</v>
      </c>
      <c r="M3" s="26" t="s">
        <v>97</v>
      </c>
      <c r="N3" s="26" t="s">
        <v>98</v>
      </c>
      <c r="O3" s="26" t="s">
        <v>99</v>
      </c>
      <c r="P3" s="26" t="s">
        <v>100</v>
      </c>
      <c r="Q3" s="26" t="s">
        <v>101</v>
      </c>
      <c r="R3" s="26" t="s">
        <v>62</v>
      </c>
      <c r="T3" s="34" t="s">
        <v>65</v>
      </c>
      <c r="U3" s="34" t="s">
        <v>63</v>
      </c>
      <c r="V3" s="34" t="s">
        <v>67</v>
      </c>
      <c r="W3" s="34" t="s">
        <v>64</v>
      </c>
      <c r="X3" s="31" t="s">
        <v>66</v>
      </c>
    </row>
    <row r="4" spans="1:24">
      <c r="A4" s="27" t="s">
        <v>102</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c r="T4" s="35" t="e">
        <f>MODE(Table15[[#This Row],[2007]:[2023]])</f>
        <v>#N/A</v>
      </c>
      <c r="U4" s="35">
        <f>AVERAGE(Table15[[#This Row],[2007]:[2023]])</f>
        <v>246081.64705882352</v>
      </c>
      <c r="V4" s="35">
        <f>STDEV(Table15[[#This Row],[2007]:[2023]])</f>
        <v>35189.859629481973</v>
      </c>
      <c r="W4" s="35">
        <f>MAX(Table15[[#This Row],[2007]:[2023]])-MIN(Table15[[#This Row],[2007]:[2023]])</f>
        <v>105358</v>
      </c>
      <c r="X4" s="35">
        <f>MEDIAN(Table15[[#This Row],[2007]:[2023]])</f>
        <v>228603</v>
      </c>
    </row>
    <row r="5" spans="1:24">
      <c r="A5" s="24" t="s">
        <v>103</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c r="T5" s="35" t="e">
        <f>MODE(Table15[[#This Row],[2007]:[2023]])</f>
        <v>#N/A</v>
      </c>
      <c r="U5" s="35">
        <f>AVERAGE(Table15[[#This Row],[2007]:[2023]])</f>
        <v>24842.411764705881</v>
      </c>
      <c r="V5" s="35">
        <f>STDEV(Table15[[#This Row],[2007]:[2023]])</f>
        <v>4410.9895298394158</v>
      </c>
      <c r="W5" s="35">
        <f>MAX(Table15[[#This Row],[2007]:[2023]])-MIN(Table15[[#This Row],[2007]:[2023]])</f>
        <v>14719</v>
      </c>
      <c r="X5" s="35">
        <f>MEDIAN(Table15[[#This Row],[2007]:[2023]])</f>
        <v>24657</v>
      </c>
    </row>
    <row r="6" spans="1:24">
      <c r="A6" s="24" t="s">
        <v>104</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c r="T6" s="35" t="e">
        <f>MODE(Table15[[#This Row],[2007]:[2023]])</f>
        <v>#N/A</v>
      </c>
      <c r="U6" s="35">
        <f>AVERAGE(Table15[[#This Row],[2007]:[2023]])</f>
        <v>21935.294117647059</v>
      </c>
      <c r="V6" s="35">
        <f>STDEV(Table15[[#This Row],[2007]:[2023]])</f>
        <v>3575.0819355069621</v>
      </c>
      <c r="W6" s="35">
        <f>MAX(Table15[[#This Row],[2007]:[2023]])-MIN(Table15[[#This Row],[2007]:[2023]])</f>
        <v>11192</v>
      </c>
      <c r="X6" s="35">
        <f>MEDIAN(Table15[[#This Row],[2007]:[2023]])</f>
        <v>21478</v>
      </c>
    </row>
    <row r="7" spans="1:24">
      <c r="A7" s="24" t="s">
        <v>105</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c r="T7" s="35" t="e">
        <f>MODE(Table15[[#This Row],[2007]:[2023]])</f>
        <v>#N/A</v>
      </c>
      <c r="U7" s="35">
        <f>AVERAGE(Table15[[#This Row],[2007]:[2023]])</f>
        <v>2810.7647058823532</v>
      </c>
      <c r="V7" s="35">
        <f>STDEV(Table15[[#This Row],[2007]:[2023]])</f>
        <v>570.07878067550485</v>
      </c>
      <c r="W7" s="35">
        <f>MAX(Table15[[#This Row],[2007]:[2023]])-MIN(Table15[[#This Row],[2007]:[2023]])</f>
        <v>1679</v>
      </c>
      <c r="X7" s="35">
        <f>MEDIAN(Table15[[#This Row],[2007]:[2023]])</f>
        <v>2744</v>
      </c>
    </row>
    <row r="8" spans="1:24">
      <c r="A8" s="24" t="s">
        <v>106</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c r="T8" s="35">
        <f>MODE(Table15[[#This Row],[2007]:[2023]])</f>
        <v>1262</v>
      </c>
      <c r="U8" s="35">
        <f>AVERAGE(Table15[[#This Row],[2007]:[2023]])</f>
        <v>1274.4117647058824</v>
      </c>
      <c r="V8" s="35">
        <f>STDEV(Table15[[#This Row],[2007]:[2023]])</f>
        <v>284.91842227722168</v>
      </c>
      <c r="W8" s="35">
        <f>MAX(Table15[[#This Row],[2007]:[2023]])-MIN(Table15[[#This Row],[2007]:[2023]])</f>
        <v>837</v>
      </c>
      <c r="X8" s="35">
        <f>MEDIAN(Table15[[#This Row],[2007]:[2023]])</f>
        <v>1262</v>
      </c>
    </row>
    <row r="9" spans="1:24">
      <c r="A9" s="24" t="s">
        <v>107</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c r="T9" s="35" t="e">
        <f>MODE(Table15[[#This Row],[2007]:[2023]])</f>
        <v>#N/A</v>
      </c>
      <c r="U9" s="35">
        <f>AVERAGE(Table15[[#This Row],[2007]:[2023]])</f>
        <v>395.94117647058823</v>
      </c>
      <c r="V9" s="35">
        <f>STDEV(Table15[[#This Row],[2007]:[2023]])</f>
        <v>76.599992320687591</v>
      </c>
      <c r="W9" s="35">
        <f>MAX(Table15[[#This Row],[2007]:[2023]])-MIN(Table15[[#This Row],[2007]:[2023]])</f>
        <v>234</v>
      </c>
      <c r="X9" s="35">
        <f>MEDIAN(Table15[[#This Row],[2007]:[2023]])</f>
        <v>390</v>
      </c>
    </row>
    <row r="10" spans="1:24">
      <c r="A10" s="24" t="s">
        <v>108</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c r="T10" s="35">
        <f>MODE(Table15[[#This Row],[2007]:[2023]])</f>
        <v>243</v>
      </c>
      <c r="U10" s="35">
        <f>AVERAGE(Table15[[#This Row],[2007]:[2023]])</f>
        <v>196.94117647058823</v>
      </c>
      <c r="V10" s="35">
        <f>STDEV(Table15[[#This Row],[2007]:[2023]])</f>
        <v>53.053593879485796</v>
      </c>
      <c r="W10" s="35">
        <f>MAX(Table15[[#This Row],[2007]:[2023]])-MIN(Table15[[#This Row],[2007]:[2023]])</f>
        <v>153</v>
      </c>
      <c r="X10" s="35">
        <f>MEDIAN(Table15[[#This Row],[2007]:[2023]])</f>
        <v>180</v>
      </c>
    </row>
    <row r="11" spans="1:24">
      <c r="A11" s="24" t="s">
        <v>109</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c r="T11" s="35">
        <f>MODE(Table15[[#This Row],[2007]:[2023]])</f>
        <v>98</v>
      </c>
      <c r="U11" s="35">
        <f>AVERAGE(Table15[[#This Row],[2007]:[2023]])</f>
        <v>124.94117647058823</v>
      </c>
      <c r="V11" s="35">
        <f>STDEV(Table15[[#This Row],[2007]:[2023]])</f>
        <v>31.746004843592722</v>
      </c>
      <c r="W11" s="35">
        <f>MAX(Table15[[#This Row],[2007]:[2023]])-MIN(Table15[[#This Row],[2007]:[2023]])</f>
        <v>101</v>
      </c>
      <c r="X11" s="35">
        <f>MEDIAN(Table15[[#This Row],[2007]:[2023]])</f>
        <v>117</v>
      </c>
    </row>
    <row r="12" spans="1:24">
      <c r="A12" s="24" t="s">
        <v>110</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c r="T12" s="35" t="e">
        <f>MODE(Table15[[#This Row],[2007]:[2023]])</f>
        <v>#N/A</v>
      </c>
      <c r="U12" s="35">
        <f>AVERAGE(Table15[[#This Row],[2007]:[2023]])</f>
        <v>246.52941176470588</v>
      </c>
      <c r="V12" s="35">
        <f>STDEV(Table15[[#This Row],[2007]:[2023]])</f>
        <v>54.051037972293827</v>
      </c>
      <c r="W12" s="35">
        <f>MAX(Table15[[#This Row],[2007]:[2023]])-MIN(Table15[[#This Row],[2007]:[2023]])</f>
        <v>167</v>
      </c>
      <c r="X12" s="35">
        <f>MEDIAN(Table15[[#This Row],[2007]:[2023]])</f>
        <v>227</v>
      </c>
    </row>
    <row r="13" spans="1:24">
      <c r="A13" s="24" t="s">
        <v>111</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c r="T13" s="35" t="e">
        <f>MODE(Table15[[#This Row],[2007]:[2023]])</f>
        <v>#N/A</v>
      </c>
      <c r="U13" s="35">
        <f>AVERAGE(Table15[[#This Row],[2007]:[2023]])</f>
        <v>207.52941176470588</v>
      </c>
      <c r="V13" s="35">
        <f>STDEV(Table15[[#This Row],[2007]:[2023]])</f>
        <v>33.571039690220339</v>
      </c>
      <c r="W13" s="35">
        <f>MAX(Table15[[#This Row],[2007]:[2023]])-MIN(Table15[[#This Row],[2007]:[2023]])</f>
        <v>102</v>
      </c>
      <c r="X13" s="35">
        <f>MEDIAN(Table15[[#This Row],[2007]:[2023]])</f>
        <v>205</v>
      </c>
    </row>
    <row r="14" spans="1:24">
      <c r="A14" s="24" t="s">
        <v>112</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c r="T14" s="35">
        <f>MODE(Table15[[#This Row],[2007]:[2023]])</f>
        <v>20</v>
      </c>
      <c r="U14" s="35">
        <f>AVERAGE(Table15[[#This Row],[2007]:[2023]])</f>
        <v>20.823529411764707</v>
      </c>
      <c r="V14" s="35">
        <f>STDEV(Table15[[#This Row],[2007]:[2023]])</f>
        <v>4.4192094049395143</v>
      </c>
      <c r="W14" s="35">
        <f>MAX(Table15[[#This Row],[2007]:[2023]])-MIN(Table15[[#This Row],[2007]:[2023]])</f>
        <v>16</v>
      </c>
      <c r="X14" s="35">
        <f>MEDIAN(Table15[[#This Row],[2007]:[2023]])</f>
        <v>20</v>
      </c>
    </row>
    <row r="15" spans="1:24">
      <c r="A15" s="24" t="s">
        <v>113</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c r="T15" s="35">
        <f>MODE(Table15[[#This Row],[2007]:[2023]])</f>
        <v>10</v>
      </c>
      <c r="U15" s="35">
        <f>AVERAGE(Table15[[#This Row],[2007]:[2023]])</f>
        <v>13</v>
      </c>
      <c r="V15" s="35">
        <f>STDEV(Table15[[#This Row],[2007]:[2023]])</f>
        <v>5.5677643628300215</v>
      </c>
      <c r="W15" s="35">
        <f>MAX(Table15[[#This Row],[2007]:[2023]])-MIN(Table15[[#This Row],[2007]:[2023]])</f>
        <v>17</v>
      </c>
      <c r="X15" s="35">
        <f>MEDIAN(Table15[[#This Row],[2007]:[2023]])</f>
        <v>10</v>
      </c>
    </row>
    <row r="16" spans="1:24">
      <c r="A16" s="28" t="s">
        <v>83</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c r="T16" s="35" t="e">
        <f>MODE(Table15[[#This Row],[2007]:[2023]])</f>
        <v>#N/A</v>
      </c>
      <c r="U16" s="35">
        <f>AVERAGE(Table15[[#This Row],[2007]:[2023]])</f>
        <v>298150.23529411765</v>
      </c>
      <c r="V16" s="35">
        <f>STDEV(Table15[[#This Row],[2007]:[2023]])</f>
        <v>43522.476433920638</v>
      </c>
      <c r="W16" s="35">
        <f>MAX(Table15[[#This Row],[2007]:[2023]])-MIN(Table15[[#This Row],[2007]:[2023]])</f>
        <v>127227</v>
      </c>
      <c r="X16" s="35">
        <f>MEDIAN(Table15[[#This Row],[2007]:[2023]])</f>
        <v>279356</v>
      </c>
    </row>
    <row r="17" spans="1:18">
      <c r="A17" s="24"/>
      <c r="B17" s="20"/>
      <c r="C17" s="18"/>
      <c r="D17" s="18"/>
      <c r="E17" s="18"/>
      <c r="F17" s="18"/>
      <c r="G17" s="18"/>
      <c r="H17" s="18"/>
      <c r="I17" s="18"/>
      <c r="J17" s="18"/>
      <c r="K17" s="18"/>
      <c r="L17" s="18"/>
      <c r="M17" s="18"/>
      <c r="N17" s="18"/>
      <c r="O17" s="18"/>
      <c r="P17" s="18"/>
      <c r="Q17" s="18"/>
      <c r="R17" s="18"/>
    </row>
  </sheetData>
  <phoneticPr fontId="33" type="noConversion"/>
  <pageMargins left="0.7" right="0.7" top="0.75" bottom="0.75" header="0.3" footer="0.3"/>
  <pageSetup paperSize="9" orientation="portrait" horizontalDpi="1200"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640F1-1697-4A85-B748-073CAEB1A5B8}">
  <dimension ref="I1:I6"/>
  <sheetViews>
    <sheetView workbookViewId="0">
      <selection activeCell="K15" sqref="K15"/>
    </sheetView>
  </sheetViews>
  <sheetFormatPr defaultRowHeight="15"/>
  <cols>
    <col min="9" max="9" width="9.28515625" bestFit="1" customWidth="1"/>
  </cols>
  <sheetData>
    <row r="1" spans="9:9">
      <c r="I1" s="33" t="s">
        <v>114</v>
      </c>
    </row>
    <row r="3" spans="9:9">
      <c r="I3" t="s">
        <v>115</v>
      </c>
    </row>
    <row r="4" spans="9:9">
      <c r="I4" t="s">
        <v>116</v>
      </c>
    </row>
    <row r="5" spans="9:9">
      <c r="I5" t="s">
        <v>117</v>
      </c>
    </row>
    <row r="6" spans="9:9" ht="16.5" customHeight="1">
      <c r="I6" t="s">
        <v>118</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A3F13-84C3-47D2-812F-7E4F3EB24653}">
  <dimension ref="I1:I7"/>
  <sheetViews>
    <sheetView tabSelected="1" workbookViewId="0">
      <selection activeCell="O13" sqref="O13"/>
    </sheetView>
  </sheetViews>
  <sheetFormatPr defaultRowHeight="15"/>
  <sheetData>
    <row r="1" spans="9:9">
      <c r="I1" s="33" t="s">
        <v>114</v>
      </c>
    </row>
    <row r="3" spans="9:9">
      <c r="I3" t="s">
        <v>119</v>
      </c>
    </row>
    <row r="4" spans="9:9">
      <c r="I4" t="s">
        <v>120</v>
      </c>
    </row>
    <row r="5" spans="9:9">
      <c r="I5" t="s">
        <v>121</v>
      </c>
    </row>
    <row r="6" spans="9:9">
      <c r="I6" t="s">
        <v>122</v>
      </c>
    </row>
    <row r="7" spans="9:9">
      <c r="I7" t="s">
        <v>123</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C00279-D85E-4610-83DE-C87A3283163B}"/>
</file>

<file path=customXml/itemProps2.xml><?xml version="1.0" encoding="utf-8"?>
<ds:datastoreItem xmlns:ds="http://schemas.openxmlformats.org/officeDocument/2006/customXml" ds:itemID="{0B05B952-053F-4824-A0EB-A1E3CE24D74A}"/>
</file>

<file path=customXml/itemProps3.xml><?xml version="1.0" encoding="utf-8"?>
<ds:datastoreItem xmlns:ds="http://schemas.openxmlformats.org/officeDocument/2006/customXml" ds:itemID="{C997A326-E008-416A-AF2D-E617052E0220}"/>
</file>

<file path=customXml/itemProps4.xml><?xml version="1.0" encoding="utf-8"?>
<ds:datastoreItem xmlns:ds="http://schemas.openxmlformats.org/officeDocument/2006/customXml" ds:itemID="{6954E46F-ACDA-47CF-95BF-CBDEE2E92163}"/>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Kian Watts (2515150)</cp:lastModifiedBy>
  <cp:revision>1</cp:revision>
  <dcterms:created xsi:type="dcterms:W3CDTF">2024-11-21T07:35:49Z</dcterms:created>
  <dcterms:modified xsi:type="dcterms:W3CDTF">2025-12-11T22:56:46Z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