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A330D32-1F77-4D0B-9103-C5D14E515160}" xr6:coauthVersionLast="47" xr6:coauthVersionMax="47" xr10:uidLastSave="{00000000-0000-0000-0000-000000000000}"/>
  <bookViews>
    <workbookView xWindow="-120" yWindow="-120" windowWidth="29040" windowHeight="17520" tabRatio="840" activeTab="2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6" i="61" l="1"/>
  <c r="Y16" i="61"/>
  <c r="X15" i="61"/>
  <c r="Y15" i="61" s="1"/>
  <c r="X14" i="61"/>
  <c r="Y14" i="61" s="1"/>
  <c r="X13" i="61"/>
  <c r="Y13" i="61" s="1"/>
  <c r="X12" i="61"/>
  <c r="Y12" i="61" s="1"/>
  <c r="X11" i="61"/>
  <c r="Y11" i="61"/>
  <c r="X10" i="61"/>
  <c r="Y10" i="61"/>
  <c r="X9" i="61"/>
  <c r="Y9" i="61" s="1"/>
  <c r="X8" i="61"/>
  <c r="Y8" i="61"/>
  <c r="Y7" i="61"/>
  <c r="X7" i="61"/>
  <c r="Y6" i="61"/>
  <c r="X6" i="61"/>
  <c r="Y5" i="61"/>
  <c r="X5" i="61"/>
  <c r="Y4" i="61"/>
  <c r="X4" i="61"/>
  <c r="W16" i="61"/>
  <c r="W15" i="61"/>
  <c r="W14" i="61"/>
  <c r="W13" i="61"/>
  <c r="W12" i="61"/>
  <c r="W11" i="61"/>
  <c r="W10" i="61"/>
  <c r="W9" i="61"/>
  <c r="W8" i="61"/>
  <c r="W7" i="61"/>
  <c r="W6" i="61"/>
  <c r="W5" i="61"/>
  <c r="W4" i="61"/>
  <c r="V15" i="61"/>
  <c r="V14" i="61"/>
  <c r="V11" i="61"/>
  <c r="U11" i="61"/>
  <c r="V10" i="61"/>
  <c r="V8" i="61"/>
  <c r="U16" i="61"/>
  <c r="U15" i="61"/>
  <c r="U14" i="61"/>
  <c r="U13" i="61"/>
  <c r="U12" i="61"/>
  <c r="U10" i="61"/>
  <c r="U9" i="61"/>
  <c r="U8" i="61"/>
  <c r="U7" i="61"/>
  <c r="U6" i="61"/>
  <c r="U5" i="61"/>
  <c r="U4" i="61"/>
  <c r="T16" i="61"/>
  <c r="T15" i="61"/>
  <c r="T14" i="61"/>
  <c r="T13" i="61"/>
  <c r="T12" i="61"/>
  <c r="T11" i="61"/>
  <c r="T10" i="61"/>
  <c r="T9" i="61"/>
  <c r="T8" i="61"/>
  <c r="T7" i="61"/>
  <c r="T6" i="61"/>
  <c r="T5" i="61"/>
  <c r="T4" i="61"/>
  <c r="AH17" i="52"/>
  <c r="AI17" i="52" s="1"/>
  <c r="AG17" i="52"/>
  <c r="AE17" i="52"/>
  <c r="AD17" i="52"/>
  <c r="AH16" i="52"/>
  <c r="AI16" i="52" s="1"/>
  <c r="AG16" i="52"/>
  <c r="AF16" i="52"/>
  <c r="AE16" i="52"/>
  <c r="AD16" i="52"/>
  <c r="AH15" i="52"/>
  <c r="AI15" i="52" s="1"/>
  <c r="AG15" i="52"/>
  <c r="AF15" i="52"/>
  <c r="AE15" i="52"/>
  <c r="AD15" i="52"/>
  <c r="AH14" i="52"/>
  <c r="AI14" i="52" s="1"/>
  <c r="AG14" i="52"/>
  <c r="AF14" i="52"/>
  <c r="AE14" i="52"/>
  <c r="AD14" i="52"/>
  <c r="AH13" i="52"/>
  <c r="AI13" i="52"/>
  <c r="AG13" i="52"/>
  <c r="AF13" i="52"/>
  <c r="AE13" i="52"/>
  <c r="AD13" i="52"/>
  <c r="AH12" i="52"/>
  <c r="AI12" i="52" s="1"/>
  <c r="AG12" i="52"/>
  <c r="AF12" i="52"/>
  <c r="AE12" i="52"/>
  <c r="AD12" i="52"/>
  <c r="AH11" i="52"/>
  <c r="AI11" i="52"/>
  <c r="AG11" i="52"/>
  <c r="AF11" i="52" a="1"/>
  <c r="AF11" i="52" s="1"/>
  <c r="AE11" i="52"/>
  <c r="AD11" i="52"/>
  <c r="AH10" i="52"/>
  <c r="AI10" i="52"/>
  <c r="AG10" i="52"/>
  <c r="AE10" i="52"/>
  <c r="AD10" i="52"/>
  <c r="AH9" i="52"/>
  <c r="AI9" i="52" s="1"/>
  <c r="AG9" i="52"/>
  <c r="AF9" i="52" a="1"/>
  <c r="AF9" i="52" s="1"/>
  <c r="AE9" i="52"/>
  <c r="AD9" i="52"/>
  <c r="AH8" i="52"/>
  <c r="AI8" i="52" s="1"/>
  <c r="AG8" i="52"/>
  <c r="AE8" i="52"/>
  <c r="AD8" i="52"/>
  <c r="AI7" i="52"/>
  <c r="AH7" i="52"/>
  <c r="AG7" i="52"/>
  <c r="AF7" i="52" a="1"/>
  <c r="AF7" i="52" s="1"/>
  <c r="AE7" i="52"/>
  <c r="AD7" i="52"/>
  <c r="AI6" i="52"/>
  <c r="AH6" i="52"/>
  <c r="AG6" i="52"/>
  <c r="AE6" i="52"/>
  <c r="AD6" i="52"/>
  <c r="AI5" i="52"/>
  <c r="AH5" i="52"/>
  <c r="AG5" i="52"/>
  <c r="AE5" i="52"/>
  <c r="AD5" i="52"/>
  <c r="AI4" i="52"/>
  <c r="AH4" i="52"/>
  <c r="AG4" i="52"/>
  <c r="AE4" i="52"/>
  <c r="AD4" i="52"/>
  <c r="P37" i="46"/>
  <c r="O37" i="46"/>
  <c r="N37" i="46"/>
  <c r="M37" i="46"/>
  <c r="L37" i="46"/>
  <c r="K37" i="46"/>
  <c r="J37" i="46"/>
  <c r="I37" i="46"/>
  <c r="H37" i="46"/>
  <c r="G37" i="46"/>
  <c r="F37" i="46"/>
  <c r="E37" i="46"/>
  <c r="D37" i="46"/>
  <c r="C37" i="46"/>
  <c r="B37" i="46"/>
  <c r="P36" i="46"/>
  <c r="O36" i="46"/>
  <c r="N36" i="46"/>
  <c r="M36" i="46"/>
  <c r="L36" i="46"/>
  <c r="K36" i="46"/>
  <c r="J36" i="46"/>
  <c r="I36" i="46"/>
  <c r="H36" i="46"/>
  <c r="G36" i="46"/>
  <c r="F36" i="46"/>
  <c r="E36" i="46"/>
  <c r="D36" i="46"/>
  <c r="C36" i="46"/>
  <c r="B36" i="46"/>
  <c r="P35" i="46"/>
  <c r="O35" i="46"/>
  <c r="N35" i="46"/>
  <c r="M35" i="46"/>
  <c r="L35" i="46"/>
  <c r="K35" i="46"/>
  <c r="J35" i="46"/>
  <c r="I35" i="46"/>
  <c r="H35" i="46"/>
  <c r="G35" i="46"/>
  <c r="F35" i="46"/>
  <c r="E35" i="46"/>
  <c r="D35" i="46"/>
  <c r="C35" i="46"/>
  <c r="B35" i="46"/>
  <c r="F34" i="46" a="1"/>
  <c r="F34" i="46" s="1"/>
  <c r="D34" i="46" a="1"/>
  <c r="D34" i="46" s="1"/>
  <c r="C34" i="46" a="1"/>
  <c r="C34" i="46" s="1"/>
  <c r="P33" i="46"/>
  <c r="O33" i="46"/>
  <c r="N33" i="46"/>
  <c r="M33" i="46"/>
  <c r="L33" i="46"/>
  <c r="K33" i="46"/>
  <c r="J33" i="46"/>
  <c r="I33" i="46"/>
  <c r="H33" i="46"/>
  <c r="G33" i="46"/>
  <c r="F33" i="46"/>
  <c r="E33" i="46"/>
  <c r="D33" i="46"/>
  <c r="C33" i="46"/>
  <c r="B33" i="46"/>
  <c r="P32" i="46"/>
  <c r="O32" i="46"/>
  <c r="N32" i="46"/>
  <c r="M32" i="46"/>
  <c r="L32" i="46"/>
  <c r="K32" i="46"/>
  <c r="J32" i="46"/>
  <c r="I32" i="46"/>
  <c r="H32" i="46"/>
  <c r="G32" i="46"/>
  <c r="F32" i="46"/>
  <c r="E32" i="46"/>
  <c r="D32" i="46"/>
  <c r="C32" i="46"/>
  <c r="B32" i="46"/>
  <c r="O37" i="44"/>
  <c r="O36" i="44"/>
  <c r="O35" i="44"/>
  <c r="O33" i="44"/>
  <c r="O32" i="44"/>
  <c r="N37" i="44"/>
  <c r="N36" i="44"/>
  <c r="N35" i="44"/>
  <c r="N33" i="44"/>
  <c r="N32" i="44"/>
  <c r="M37" i="44"/>
  <c r="M36" i="44"/>
  <c r="M35" i="44"/>
  <c r="M34" i="44" a="1"/>
  <c r="M34" i="44" s="1"/>
  <c r="M33" i="44"/>
  <c r="M32" i="44"/>
  <c r="L37" i="44"/>
  <c r="L36" i="44"/>
  <c r="L35" i="44"/>
  <c r="L33" i="44"/>
  <c r="L32" i="44"/>
  <c r="K37" i="44"/>
  <c r="K36" i="44"/>
  <c r="K35" i="44"/>
  <c r="K33" i="44"/>
  <c r="K32" i="44"/>
  <c r="J37" i="44"/>
  <c r="J36" i="44"/>
  <c r="J35" i="44"/>
  <c r="J33" i="44"/>
  <c r="J32" i="44"/>
  <c r="I37" i="44"/>
  <c r="I36" i="44"/>
  <c r="I35" i="44"/>
  <c r="I33" i="44"/>
  <c r="I32" i="44"/>
  <c r="H37" i="44"/>
  <c r="H36" i="44"/>
  <c r="H35" i="44"/>
  <c r="H33" i="44"/>
  <c r="H32" i="44"/>
  <c r="G37" i="44"/>
  <c r="G36" i="44"/>
  <c r="G35" i="44"/>
  <c r="G33" i="44"/>
  <c r="G32" i="44"/>
  <c r="F37" i="44"/>
  <c r="F36" i="44"/>
  <c r="F35" i="44"/>
  <c r="F34" i="44" a="1"/>
  <c r="F34" i="44" s="1"/>
  <c r="F33" i="44"/>
  <c r="F32" i="44"/>
  <c r="E37" i="44"/>
  <c r="E36" i="44"/>
  <c r="E35" i="44"/>
  <c r="E34" i="44" a="1"/>
  <c r="E34" i="44" s="1"/>
  <c r="E33" i="44"/>
  <c r="E32" i="44"/>
  <c r="D37" i="44"/>
  <c r="D36" i="44"/>
  <c r="D35" i="44"/>
  <c r="D34" i="44" a="1"/>
  <c r="D34" i="44" s="1"/>
  <c r="D33" i="44"/>
  <c r="D32" i="44"/>
  <c r="C37" i="44"/>
  <c r="C36" i="44"/>
  <c r="C35" i="44"/>
  <c r="C33" i="44"/>
  <c r="C32" i="44"/>
  <c r="B37" i="44"/>
  <c r="B36" i="44"/>
  <c r="B35" i="44"/>
  <c r="B33" i="44"/>
  <c r="B32" i="4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<sst xmlns="http://schemas.openxmlformats.org/spreadsheetml/2006/main" count="171" uniqueCount="112">
  <si>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</si>
  <si>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</si>
  <si>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</si>
  <si>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</si>
  <si>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</si>
  <si>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</si>
  <si>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</si>
  <si>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</si>
  <si>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</si>
  <si>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</si>
  <si>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</si>
  <si>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</si>
  <si>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</si>
  <si>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</si>
  <si>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</si>
  <si>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</si>
  <si>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</si>
  <si>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</si>
  <si>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</si>
  <si>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</si>
  <si>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</si>
  <si>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</si>
  <si>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</si>
  <si>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</si>
  <si>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</si>
  <si>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</si>
  <si>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</si>
  <si>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</si>
  <si>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</si>
  <si>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</si>
  <si>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</si>
  <si>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</si>
  <si>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</si>
  <si>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</si>
  <si>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</si>
  <si>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</si>
  <si>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</si>
  <si>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</si>
  <si>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</si>
  <si>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</si>
  <si>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</si>
  <si>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</si>
  <si>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</si>
  <si>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</si>
  <si>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</si>
  <si>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</si>
  <si>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</si>
  <si>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</si>
  <si>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</si>
  <si>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</si>
  <si>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</si>
  <si>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</si>
  <si>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</si>
  <si>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</si>
  <si>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</si>
  <si>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</si>
  <si>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</si>
  <si>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</si>
  <si>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</si>
  <si>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</si>
  <si>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</si>
  <si>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</si>
  <si>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</si>
  <si>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</si>
  <si>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</si>
  <si>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</si>
  <si>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</si>
  <si>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</si>
  <si>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</si>
  <si>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</si>
  <si>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</si>
  <si>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</si>
  <si>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</si>
  <si>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</si>
  <si>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</si>
  <si>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</si>
  <si>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</si>
  <si>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</si>
  <si>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</si>
  <si>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</si>
  <si>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</si>
  <si>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</si>
  <si>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</si>
  <si>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</si>
  <si>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</si>
  <si>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</si>
  <si>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</si>
  <si>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</si>
  <si>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</si>
  <si>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</si>
  <si>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</si>
  <si>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</si>
  <si>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</si>
  <si>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</si>
  <si>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</si>
  <si>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</si>
  <si>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</si>
  <si>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</si>
  <si>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</si>
  <si>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</si>
  <si>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</si>
  <si>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</si>
  <si>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</si>
  <si>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</si>
  <si>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</si>
  <si>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Median</t>
  </si>
  <si>
    <t>Mean</t>
  </si>
  <si>
    <t>Mode</t>
  </si>
  <si>
    <t>Range</t>
  </si>
  <si>
    <t>Variance</t>
  </si>
  <si>
    <t>Standard deviation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</si>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</sst>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54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  <xf numFmtId="0" fontId="0" fillId="0" borderId="2" xfId="0" applyBorder="1"/>
    <xf numFmtId="0" fontId="0" fillId="0" borderId="6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3" fontId="0" fillId="0" borderId="3" xfId="0" applyNumberFormat="1" applyBorder="1"/>
    <xf numFmtId="0" fontId="0" fillId="0" borderId="3" xfId="0" applyBorder="1"/>
    <xf numFmtId="3" fontId="12" fillId="0" borderId="3" xfId="0" applyNumberFormat="1" applyFont="1" applyBorder="1" applyAlignment="1">
      <alignment horizontal="right"/>
    </xf>
    <xf numFmtId="0" fontId="0" fillId="0" borderId="20" xfId="0" applyBorder="1"/>
    <xf numFmtId="3" fontId="0" fillId="0" borderId="22" xfId="0" applyNumberFormat="1" applyBorder="1"/>
    <xf numFmtId="3" fontId="0" fillId="0" borderId="20" xfId="0" applyNumberFormat="1" applyBorder="1"/>
    <xf numFmtId="0" fontId="0" fillId="0" borderId="23" xfId="0" applyBorder="1"/>
    <xf numFmtId="0" fontId="0" fillId="0" borderId="7" xfId="0" applyBorder="1"/>
    <xf numFmtId="0" fontId="0" fillId="0" borderId="0" xfId="0" applyBorder="1"/>
    <xf numFmtId="3" fontId="12" fillId="0" borderId="19" xfId="0" applyNumberFormat="1" applyFont="1" applyBorder="1" applyAlignment="1">
      <alignment horizontal="right"/>
    </xf>
    <xf numFmtId="3" fontId="0" fillId="0" borderId="1" xfId="0" applyNumberFormat="1" applyBorder="1"/>
    <xf numFmtId="3" fontId="12" fillId="0" borderId="1" xfId="0" applyNumberFormat="1" applyFont="1" applyBorder="1" applyAlignment="1">
      <alignment horizontal="right"/>
    </xf>
    <xf numFmtId="3" fontId="0" fillId="0" borderId="6" xfId="0" applyNumberFormat="1" applyBorder="1"/>
    <xf numFmtId="0" fontId="15" fillId="0" borderId="21" xfId="0" applyFont="1" applyBorder="1"/>
    <xf numFmtId="0" fontId="0" fillId="0" borderId="5" xfId="0" applyBorder="1"/>
    <xf numFmtId="3" fontId="0" fillId="0" borderId="7" xfId="0" applyNumberFormat="1" applyBorder="1"/>
    <xf numFmtId="3" fontId="0" fillId="0" borderId="21" xfId="0" applyNumberFormat="1" applyBorder="1"/>
    <xf numFmtId="0" fontId="15" fillId="0" borderId="0" xfId="0" applyFont="1" applyBorder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public </a:t>
            </a:r>
            <a:r>
              <a:rPr lang="en-GB" baseline="0"/>
              <a:t>sector works distribution from 1998 to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6A-4E5B-8892-3E02997CE2C9}"/>
            </c:ext>
          </c:extLst>
        </c:ser>
        <c:ser>
          <c:idx val="1"/>
          <c:order val="1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6A-4E5B-8892-3E02997CE2C9}"/>
            </c:ext>
          </c:extLst>
        </c:ser>
        <c:ser>
          <c:idx val="2"/>
          <c:order val="2"/>
          <c:tx>
            <c:strRef>
              <c:f>'Public Sector Value'!$N$4</c:f>
              <c:strCache>
                <c:ptCount val="1"/>
                <c:pt idx="0">
                  <c:v>Total other new work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'Public Sector Value'!$N$5:$N$30</c:f>
              <c:numCache>
                <c:formatCode>#,##0</c:formatCode>
                <c:ptCount val="26"/>
                <c:pt idx="0">
                  <c:v>3343</c:v>
                </c:pt>
                <c:pt idx="1">
                  <c:v>3907</c:v>
                </c:pt>
                <c:pt idx="2">
                  <c:v>3863</c:v>
                </c:pt>
                <c:pt idx="3">
                  <c:v>4253</c:v>
                </c:pt>
                <c:pt idx="4">
                  <c:v>5517</c:v>
                </c:pt>
                <c:pt idx="5">
                  <c:v>7280</c:v>
                </c:pt>
                <c:pt idx="6">
                  <c:v>8638</c:v>
                </c:pt>
                <c:pt idx="7">
                  <c:v>8362</c:v>
                </c:pt>
                <c:pt idx="8">
                  <c:v>8047</c:v>
                </c:pt>
                <c:pt idx="9">
                  <c:v>8347</c:v>
                </c:pt>
                <c:pt idx="10">
                  <c:v>9988</c:v>
                </c:pt>
                <c:pt idx="11">
                  <c:v>11857</c:v>
                </c:pt>
                <c:pt idx="12">
                  <c:v>14372</c:v>
                </c:pt>
                <c:pt idx="13">
                  <c:v>13291</c:v>
                </c:pt>
                <c:pt idx="14">
                  <c:v>10826</c:v>
                </c:pt>
                <c:pt idx="15">
                  <c:v>10265</c:v>
                </c:pt>
                <c:pt idx="16">
                  <c:v>10564</c:v>
                </c:pt>
                <c:pt idx="17">
                  <c:v>10755</c:v>
                </c:pt>
                <c:pt idx="18">
                  <c:v>11508</c:v>
                </c:pt>
                <c:pt idx="19">
                  <c:v>11521</c:v>
                </c:pt>
                <c:pt idx="20">
                  <c:v>10572</c:v>
                </c:pt>
                <c:pt idx="21">
                  <c:v>10728</c:v>
                </c:pt>
                <c:pt idx="22">
                  <c:v>9952</c:v>
                </c:pt>
                <c:pt idx="23">
                  <c:v>10111</c:v>
                </c:pt>
                <c:pt idx="24">
                  <c:v>9911</c:v>
                </c:pt>
                <c:pt idx="25">
                  <c:v>11708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6A-4E5B-8892-3E02997CE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6322095"/>
        <c:axId val="106318735"/>
      </c:barChart>
      <c:catAx>
        <c:axId val="1063220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18735"/>
        <c:crosses val="autoZero"/>
        <c:auto val="1"/>
        <c:lblAlgn val="ctr"/>
        <c:lblOffset val="100"/>
        <c:noMultiLvlLbl val="0"/>
      </c:catAx>
      <c:valAx>
        <c:axId val="106318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22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Sector works from 1998 to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'Public Sector Value'!$O$4</c:f>
              <c:strCache>
                <c:ptCount val="1"/>
                <c:pt idx="0">
                  <c:v>All Public Sector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Value'!$O$5:$O$30</c:f>
              <c:numCache>
                <c:formatCode>#,##0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7F-4FD3-8B11-22BC45A3D2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80517455"/>
        <c:axId val="1380516495"/>
      </c:lineChart>
      <c:catAx>
        <c:axId val="13805174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0516495"/>
        <c:crosses val="autoZero"/>
        <c:auto val="1"/>
        <c:lblAlgn val="ctr"/>
        <c:lblOffset val="100"/>
        <c:noMultiLvlLbl val="0"/>
      </c:catAx>
      <c:valAx>
        <c:axId val="1380516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051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private works distribution from 1998 to 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FC-49A4-A227-EFCB1F55D89F}"/>
            </c:ext>
          </c:extLst>
        </c:ser>
        <c:ser>
          <c:idx val="1"/>
          <c:order val="1"/>
          <c:tx>
            <c:strRef>
              <c:f>'Private Sector Value'!$C$4</c:f>
              <c:strCache>
                <c:ptCount val="1"/>
                <c:pt idx="0">
                  <c:v>Total private Infrastructure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Value'!$C$5:$C$30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FC-49A4-A227-EFCB1F55D89F}"/>
            </c:ext>
          </c:extLst>
        </c:ser>
        <c:ser>
          <c:idx val="2"/>
          <c:order val="2"/>
          <c:tx>
            <c:strRef>
              <c:f>'Private Sector Value'!$G$4</c:f>
              <c:strCache>
                <c:ptCount val="1"/>
                <c:pt idx="0">
                  <c:v>All private 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Value'!$G$5:$G$30</c:f>
              <c:numCache>
                <c:formatCode>#,##0</c:formatCode>
                <c:ptCount val="26"/>
                <c:pt idx="0">
                  <c:v>4893</c:v>
                </c:pt>
                <c:pt idx="1">
                  <c:v>5030</c:v>
                </c:pt>
                <c:pt idx="2">
                  <c:v>4717</c:v>
                </c:pt>
                <c:pt idx="3">
                  <c:v>4709</c:v>
                </c:pt>
                <c:pt idx="4">
                  <c:v>4323</c:v>
                </c:pt>
                <c:pt idx="5">
                  <c:v>4765</c:v>
                </c:pt>
                <c:pt idx="6">
                  <c:v>5210</c:v>
                </c:pt>
                <c:pt idx="7">
                  <c:v>5610</c:v>
                </c:pt>
                <c:pt idx="8">
                  <c:v>6308</c:v>
                </c:pt>
                <c:pt idx="9">
                  <c:v>6438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4588</c:v>
                </c:pt>
                <c:pt idx="19">
                  <c:v>4826</c:v>
                </c:pt>
                <c:pt idx="20">
                  <c:v>5521</c:v>
                </c:pt>
                <c:pt idx="21">
                  <c:v>5962</c:v>
                </c:pt>
                <c:pt idx="22">
                  <c:v>4901</c:v>
                </c:pt>
                <c:pt idx="23">
                  <c:v>5201</c:v>
                </c:pt>
                <c:pt idx="24">
                  <c:v>8170</c:v>
                </c:pt>
                <c:pt idx="25">
                  <c:v>8509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FC-49A4-A227-EFCB1F55D89F}"/>
            </c:ext>
          </c:extLst>
        </c:ser>
        <c:ser>
          <c:idx val="3"/>
          <c:order val="3"/>
          <c:tx>
            <c:strRef>
              <c:f>'Private Sector Value'!$O$4</c:f>
              <c:strCache>
                <c:ptCount val="1"/>
                <c:pt idx="0">
                  <c:v>All private commercial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Value'!$O$5:$O$30</c:f>
              <c:numCache>
                <c:formatCode>#,##0</c:formatCode>
                <c:ptCount val="26"/>
                <c:pt idx="0">
                  <c:v>14747</c:v>
                </c:pt>
                <c:pt idx="1">
                  <c:v>17713</c:v>
                </c:pt>
                <c:pt idx="2">
                  <c:v>18608</c:v>
                </c:pt>
                <c:pt idx="3">
                  <c:v>19988</c:v>
                </c:pt>
                <c:pt idx="4">
                  <c:v>22220</c:v>
                </c:pt>
                <c:pt idx="5">
                  <c:v>22893</c:v>
                </c:pt>
                <c:pt idx="6">
                  <c:v>25509</c:v>
                </c:pt>
                <c:pt idx="7">
                  <c:v>26325</c:v>
                </c:pt>
                <c:pt idx="8">
                  <c:v>30121</c:v>
                </c:pt>
                <c:pt idx="9">
                  <c:v>34404</c:v>
                </c:pt>
                <c:pt idx="10">
                  <c:v>35190</c:v>
                </c:pt>
                <c:pt idx="11">
                  <c:v>25558</c:v>
                </c:pt>
                <c:pt idx="12">
                  <c:v>23710</c:v>
                </c:pt>
                <c:pt idx="13">
                  <c:v>24031</c:v>
                </c:pt>
                <c:pt idx="14">
                  <c:v>22332</c:v>
                </c:pt>
                <c:pt idx="15">
                  <c:v>23502</c:v>
                </c:pt>
                <c:pt idx="16">
                  <c:v>25868</c:v>
                </c:pt>
                <c:pt idx="17">
                  <c:v>26846</c:v>
                </c:pt>
                <c:pt idx="18">
                  <c:v>29751</c:v>
                </c:pt>
                <c:pt idx="19">
                  <c:v>32370</c:v>
                </c:pt>
                <c:pt idx="20">
                  <c:v>31114</c:v>
                </c:pt>
                <c:pt idx="21">
                  <c:v>31572</c:v>
                </c:pt>
                <c:pt idx="22">
                  <c:v>24871</c:v>
                </c:pt>
                <c:pt idx="23">
                  <c:v>23750</c:v>
                </c:pt>
                <c:pt idx="24">
                  <c:v>25646</c:v>
                </c:pt>
                <c:pt idx="25">
                  <c:v>29010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0FC-49A4-A227-EFCB1F55D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4184479"/>
        <c:axId val="134184959"/>
      </c:barChart>
      <c:catAx>
        <c:axId val="1341844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84959"/>
        <c:crosses val="autoZero"/>
        <c:auto val="1"/>
        <c:lblAlgn val="ctr"/>
        <c:lblOffset val="100"/>
        <c:noMultiLvlLbl val="0"/>
      </c:catAx>
      <c:valAx>
        <c:axId val="13418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84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All Private Sector works from 1998 to 2023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5E-44BB-8654-6C370ACD9C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667775"/>
        <c:axId val="171579007"/>
      </c:lineChart>
      <c:catAx>
        <c:axId val="1366677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79007"/>
        <c:crosses val="autoZero"/>
        <c:auto val="1"/>
        <c:lblAlgn val="ctr"/>
        <c:lblOffset val="100"/>
        <c:noMultiLvlLbl val="0"/>
      </c:catAx>
      <c:valAx>
        <c:axId val="171579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67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number of firms against</a:t>
            </a:r>
            <a:r>
              <a:rPr lang="en-US" baseline="0"/>
              <a:t> Size of firm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v>Mean Number of firms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Size'!$AE$4:$AE$16</c:f>
              <c:numCache>
                <c:formatCode>General</c:formatCode>
                <c:ptCount val="13"/>
                <c:pt idx="0">
                  <c:v>101101.03703703704</c:v>
                </c:pt>
                <c:pt idx="1">
                  <c:v>68227</c:v>
                </c:pt>
                <c:pt idx="2">
                  <c:v>29494.296296296296</c:v>
                </c:pt>
                <c:pt idx="3">
                  <c:v>10845.777777777777</c:v>
                </c:pt>
                <c:pt idx="4">
                  <c:v>5847.0740740740739</c:v>
                </c:pt>
                <c:pt idx="5">
                  <c:v>1820.4814814814815</c:v>
                </c:pt>
                <c:pt idx="6">
                  <c:v>1759.1851851851852</c:v>
                </c:pt>
                <c:pt idx="7">
                  <c:v>530.22222222222217</c:v>
                </c:pt>
                <c:pt idx="8">
                  <c:v>424.33333333333331</c:v>
                </c:pt>
                <c:pt idx="9">
                  <c:v>508.74074074074076</c:v>
                </c:pt>
                <c:pt idx="10">
                  <c:v>136.55555555555554</c:v>
                </c:pt>
                <c:pt idx="11">
                  <c:v>60.037037037037038</c:v>
                </c:pt>
                <c:pt idx="12">
                  <c:v>54.851851851851855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4F-4A0D-B227-23E6EC8B91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 firms from</a:t>
            </a:r>
            <a:r>
              <a:rPr lang="en-GB" baseline="0"/>
              <a:t> 1997 to 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All firms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Size'!$B$17:$AB$17</c:f>
              <c:numCache>
                <c:formatCode>#,##0</c:formatCode>
                <c:ptCount val="27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207245</c:v>
                </c:pt>
                <c:pt idx="14">
                  <c:v>207205</c:v>
                </c:pt>
                <c:pt idx="15">
                  <c:v>204363</c:v>
                </c:pt>
                <c:pt idx="16">
                  <c:v>210283</c:v>
                </c:pt>
                <c:pt idx="17">
                  <c:v>210836</c:v>
                </c:pt>
                <c:pt idx="18">
                  <c:v>235064</c:v>
                </c:pt>
                <c:pt idx="19">
                  <c:v>256609</c:v>
                </c:pt>
                <c:pt idx="20">
                  <c:v>274771</c:v>
                </c:pt>
                <c:pt idx="21">
                  <c:v>286848</c:v>
                </c:pt>
                <c:pt idx="22">
                  <c:v>297211</c:v>
                </c:pt>
                <c:pt idx="23">
                  <c:v>305656</c:v>
                </c:pt>
                <c:pt idx="24">
                  <c:v>318013</c:v>
                </c:pt>
                <c:pt idx="25">
                  <c:v>329231</c:v>
                </c:pt>
                <c:pt idx="26">
                  <c:v>327063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C0-4455-AACE-AFB9B6AA3E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538495"/>
        <c:axId val="110926971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v>Mean firm size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'Firm Size'!$AE$17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220812.96296296295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B1C0-4455-AACE-AFB9B6AA3E97}"/>
                  </c:ext>
                </c:extLst>
              </c15:ser>
            </c15:filteredLineSeries>
          </c:ext>
        </c:extLst>
      </c:lineChart>
      <c:catAx>
        <c:axId val="955384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9269711"/>
        <c:crosses val="autoZero"/>
        <c:auto val="1"/>
        <c:lblAlgn val="ctr"/>
        <c:lblOffset val="100"/>
        <c:noMultiLvlLbl val="0"/>
      </c:catAx>
      <c:valAx>
        <c:axId val="1109269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84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14287</xdr:colOff>
      <xdr:row>3</xdr:row>
      <xdr:rowOff>4760</xdr:rowOff>
    </xdr:from>
    <xdr:to>
      <xdr:col>23</xdr:col>
      <xdr:colOff>519112</xdr:colOff>
      <xdr:row>16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D2B2A8-0097-32DF-9C8E-768D29864C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4762</xdr:colOff>
      <xdr:row>18</xdr:row>
      <xdr:rowOff>4762</xdr:rowOff>
    </xdr:from>
    <xdr:to>
      <xdr:col>23</xdr:col>
      <xdr:colOff>509587</xdr:colOff>
      <xdr:row>32</xdr:row>
      <xdr:rowOff>80962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C3BC633-E568-6FA0-F674-7A876545BB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576849</xdr:colOff>
      <xdr:row>2</xdr:row>
      <xdr:rowOff>190929</xdr:rowOff>
    </xdr:from>
    <xdr:to>
      <xdr:col>27</xdr:col>
      <xdr:colOff>0</xdr:colOff>
      <xdr:row>22</xdr:row>
      <xdr:rowOff>10703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4190EA-E195-7932-3C48-DC7E2F6FBD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9632</xdr:colOff>
      <xdr:row>23</xdr:row>
      <xdr:rowOff>8990</xdr:rowOff>
    </xdr:from>
    <xdr:to>
      <xdr:col>27</xdr:col>
      <xdr:colOff>0</xdr:colOff>
      <xdr:row>40</xdr:row>
      <xdr:rowOff>181937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4FAF176-4C05-9965-6FF3-474A769471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</xdr:colOff>
      <xdr:row>19</xdr:row>
      <xdr:rowOff>4761</xdr:rowOff>
    </xdr:from>
    <xdr:to>
      <xdr:col>11</xdr:col>
      <xdr:colOff>0</xdr:colOff>
      <xdr:row>37</xdr:row>
      <xdr:rowOff>9524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DA7D7B-2E21-D2A2-8D9E-4564FE8D58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4761</xdr:colOff>
      <xdr:row>19</xdr:row>
      <xdr:rowOff>4762</xdr:rowOff>
    </xdr:from>
    <xdr:to>
      <xdr:col>20</xdr:col>
      <xdr:colOff>581024</xdr:colOff>
      <xdr:row>37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2EF87AD-D637-1239-9F06-10F0F10990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U36" sqref="U36"/>
    </sheetView>
  </sheetViews>
  <sheetFormatPr defaultColWidth="8.7109375" defaultRowHeight="15"/>
  <cols>
    <col min="1" max="1" width="17.85546875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9.5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A32" s="34" t="s">
        <v>105</v>
      </c>
      <c r="B32" s="35">
        <f>MEDIAN(Table1.1[Total public new housing])</f>
        <v>4186</v>
      </c>
      <c r="C32" s="52">
        <f>MEDIAN(Table1.1[Total public infrastructure])</f>
        <v>4599</v>
      </c>
      <c r="D32" s="37">
        <f>MEDIAN(Table1.1[Public other new work: factories])</f>
        <v>88</v>
      </c>
      <c r="E32" s="37">
        <f>MEDIAN(Table1.1[Public other new work: warehouses])</f>
        <v>29</v>
      </c>
      <c r="F32" s="38">
        <f>MEDIAN(Table1.1[Public other new work: oil, steel &amp; coal])</f>
        <v>4</v>
      </c>
      <c r="G32" s="37">
        <f>MEDIAN(Table1.1[Public other new work: schools &amp; colleges])</f>
        <v>3977</v>
      </c>
      <c r="H32" s="37">
        <f>MEDIAN(Table1.1[Public other new work: universities])</f>
        <v>960.5</v>
      </c>
      <c r="I32" s="37">
        <f>MEDIAN(Table1.1[Public other new work: health])</f>
        <v>1676.5</v>
      </c>
      <c r="J32" s="37">
        <f>MEDIAN(Table1.1[Public other new work: offices])</f>
        <v>818.5</v>
      </c>
      <c r="K32" s="37">
        <f>MEDIAN(Table1.1[Public other new work: entertainment])</f>
        <v>829.5</v>
      </c>
      <c r="L32" s="37">
        <f>MEDIAN(Table1.1[Public other new work: garages &amp; shops])</f>
        <v>152.5</v>
      </c>
      <c r="M32" s="37">
        <f>MEDIAN(Table1.1[Public other new work: agriculture &amp; miscellaneous])</f>
        <v>1080</v>
      </c>
      <c r="N32" s="34">
        <f>MEDIAN(Table1.1[Total other new work])</f>
        <v>10049.5</v>
      </c>
      <c r="O32" s="39">
        <f>MEDIAN(Table1.1[All Public Sector])</f>
        <v>19814.5</v>
      </c>
    </row>
    <row r="33" spans="1:15">
      <c r="A33" s="34" t="s">
        <v>106</v>
      </c>
      <c r="B33" s="35">
        <f>AVERAGE(Table1.1[Total public new housing])</f>
        <v>3837.4230769230771</v>
      </c>
      <c r="C33" s="34">
        <f>AVERAGE(Table1.1[Total public infrastructure])</f>
        <v>6697.0384615384619</v>
      </c>
      <c r="D33" s="37">
        <f>AVERAGE(Table1.1[Public other new work: factories])</f>
        <v>103</v>
      </c>
      <c r="E33" s="37">
        <f>AVERAGE(Table1.1[Public other new work: warehouses])</f>
        <v>30.76923076923077</v>
      </c>
      <c r="F33" s="38">
        <f>AVERAGE(Table1.1[Public other new work: oil, steel &amp; coal])</f>
        <v>9.384615384615385</v>
      </c>
      <c r="G33" s="37">
        <f>AVERAGE(Table1.1[Public other new work: schools &amp; colleges])</f>
        <v>3618.9615384615386</v>
      </c>
      <c r="H33" s="37">
        <f>AVERAGE(Table1.1[Public other new work: universities])</f>
        <v>986.30769230769226</v>
      </c>
      <c r="I33" s="37">
        <f>AVERAGE(Table1.1[Public other new work: health])</f>
        <v>1625.7307692307693</v>
      </c>
      <c r="J33" s="37">
        <f>AVERAGE(Table1.1[Public other new work: offices])</f>
        <v>753.03846153846155</v>
      </c>
      <c r="K33" s="37">
        <f>AVERAGE(Table1.1[Public other new work: entertainment])</f>
        <v>820.65384615384619</v>
      </c>
      <c r="L33" s="37">
        <f>AVERAGE(Table1.1[Public other new work: garages &amp; shops])</f>
        <v>207.26923076923077</v>
      </c>
      <c r="M33" s="37">
        <f>AVERAGE(Table1.1[Public other new work: agriculture &amp; miscellaneous])</f>
        <v>1055.6538461538462</v>
      </c>
      <c r="N33" s="34">
        <f>AVERAGE(Table1.1[Total other new work])</f>
        <v>9211</v>
      </c>
      <c r="O33" s="39">
        <f>AVERAGE(Table1.1[All Public Sector])</f>
        <v>19745.423076923078</v>
      </c>
    </row>
    <row r="34" spans="1:15">
      <c r="A34" s="34" t="s">
        <v>107</v>
      </c>
      <c r="B34" s="35" t="s">
        <v>111</v>
      </c>
      <c r="C34" s="34" t="s">
        <v>111</v>
      </c>
      <c r="D34" s="37" cm="1">
        <f t="array" ref="D34">_xlfn.MODE.MULT(Table1.1[Public other new work: factories])</f>
        <v>77</v>
      </c>
      <c r="E34" s="37" cm="1">
        <f t="array" ref="E34">_xlfn.MODE.MULT(Table1.1[Public other new work: warehouses])</f>
        <v>29</v>
      </c>
      <c r="F34" s="38" cm="1">
        <f t="array" ref="F34">_xlfn.MODE.MULT(Table1.1[Public other new work: oil, steel &amp; coal])</f>
        <v>4</v>
      </c>
      <c r="G34" s="37" t="s">
        <v>111</v>
      </c>
      <c r="H34" s="37" t="s">
        <v>111</v>
      </c>
      <c r="I34" s="37" t="s">
        <v>111</v>
      </c>
      <c r="J34" s="37" t="s">
        <v>111</v>
      </c>
      <c r="K34" s="37" t="s">
        <v>111</v>
      </c>
      <c r="L34" s="37" t="s">
        <v>111</v>
      </c>
      <c r="M34" s="37" cm="1">
        <f t="array" ref="M34">_xlfn.MODE.MULT(Table1.1[Public other new work: agriculture &amp; miscellaneous])</f>
        <v>668</v>
      </c>
      <c r="N34" s="34" t="s">
        <v>111</v>
      </c>
      <c r="O34" s="39" t="s">
        <v>111</v>
      </c>
    </row>
    <row r="35" spans="1:15">
      <c r="A35" s="34" t="s">
        <v>108</v>
      </c>
      <c r="B35" s="40">
        <f>MAX(Table1.1[Total public new housing])-MIN(Table1.1[Total public new housing])</f>
        <v>6214</v>
      </c>
      <c r="C35" s="52">
        <f>MAX(Table1.1[Total public infrastructure])-MIN(Table1.1[Total public infrastructure])</f>
        <v>17417</v>
      </c>
      <c r="D35" s="36">
        <f>MAX(Table1.1[Public other new work: factories])-MIN(Table1.1[Public other new work: factories])</f>
        <v>229</v>
      </c>
      <c r="E35" s="36">
        <f>MAX(Table1.1[Public other new work: warehouses])-MIN(Table1.1[Public other new work: warehouses])</f>
        <v>65</v>
      </c>
      <c r="F35" s="38">
        <f>MAX(Table1.1[Public other new work: oil, steel &amp; coal])-MIN(Table1.1[Public other new work: oil, steel &amp; coal])</f>
        <v>44</v>
      </c>
      <c r="G35" s="36">
        <f>MAX(Table1.1[Public other new work: schools &amp; colleges])-MIN(Table1.1[Public other new work: schools &amp; colleges])</f>
        <v>6138</v>
      </c>
      <c r="H35" s="36">
        <f>MAX(Table1.1[Public other new work: universities])-MIN(Table1.1[Public other new work: universities])</f>
        <v>1562</v>
      </c>
      <c r="I35" s="36">
        <f>MAX(Table1.1[Public other new work: health])-MIN(Table1.1[Public other new work: health])</f>
        <v>1902</v>
      </c>
      <c r="J35" s="36">
        <f>MAX(Table1.1[Public other new work: offices])-MIN(Table1.1[Public other new work: offices])</f>
        <v>645</v>
      </c>
      <c r="K35" s="36">
        <f>MAX(Table1.1[Public other new work: entertainment])-MIN(Table1.1[Public other new work: entertainment])</f>
        <v>1201</v>
      </c>
      <c r="L35" s="36">
        <f>MAX(Table1.1[Public other new work: garages &amp; shops])-MIN(Table1.1[Public other new work: garages &amp; shops])</f>
        <v>619</v>
      </c>
      <c r="M35" s="36">
        <f>MAX(Table1.1[Public other new work: agriculture &amp; miscellaneous])-MIN(Table1.1[Public other new work: agriculture &amp; miscellaneous])</f>
        <v>1742</v>
      </c>
      <c r="N35" s="52">
        <f>MAX(Table1.1[Total other new work])-MIN(Table1.1[Total other new work])</f>
        <v>11029</v>
      </c>
      <c r="O35" s="41">
        <f>MAX(Table1.1[All Public Sector])-MIN(Table1.1[All Public Sector])</f>
        <v>31608</v>
      </c>
    </row>
    <row r="36" spans="1:15">
      <c r="A36" s="34" t="s">
        <v>109</v>
      </c>
      <c r="B36" s="35">
        <f>_xlfn.VAR.P(Table1.1[Total public new housing])</f>
        <v>3595424.4748520711</v>
      </c>
      <c r="C36" s="34">
        <f>_xlfn.VAR.P(Table1.1[Total public infrastructure])</f>
        <v>24453640.883136094</v>
      </c>
      <c r="D36" s="37">
        <f>_xlfn.VAR.P(Table1.1[Public other new work: factories])</f>
        <v>2863.2307692307691</v>
      </c>
      <c r="E36" s="37">
        <f>_xlfn.VAR.P(Table1.1[Public other new work: warehouses])</f>
        <v>239.25443786982248</v>
      </c>
      <c r="F36" s="38">
        <f>_xlfn.VAR.P(Table1.1[Public other new work: oil, steel &amp; coal])</f>
        <v>140.31360946745562</v>
      </c>
      <c r="G36" s="37">
        <f>_xlfn.VAR.P(Table1.1[Public other new work: schools &amp; colleges])</f>
        <v>2243274.9600591715</v>
      </c>
      <c r="H36" s="37">
        <f>_xlfn.VAR.P(Table1.1[Public other new work: universities])</f>
        <v>179229.59763313609</v>
      </c>
      <c r="I36" s="37">
        <f>_xlfn.VAR.P(Table1.1[Public other new work: health])</f>
        <v>267587.50443786982</v>
      </c>
      <c r="J36" s="37">
        <f>_xlfn.VAR.P(Table1.1[Public other new work: offices])</f>
        <v>35219.883136094671</v>
      </c>
      <c r="K36" s="37">
        <f>_xlfn.VAR.P(Table1.1[Public other new work: entertainment])</f>
        <v>75752.380177514788</v>
      </c>
      <c r="L36" s="37">
        <f>_xlfn.VAR.P(Table1.1[Public other new work: garages &amp; shops])</f>
        <v>21642.196745562131</v>
      </c>
      <c r="M36" s="37">
        <f>_xlfn.VAR.P(Table1.1[Public other new work: agriculture &amp; miscellaneous])</f>
        <v>123151.38017751479</v>
      </c>
      <c r="N36" s="34">
        <f>_xlfn.VAR.P(Table1.1[Total other new work])</f>
        <v>8382488</v>
      </c>
      <c r="O36" s="39">
        <f>_xlfn.VAR.P(Table1.1[All Public Sector])</f>
        <v>70615513.782544374</v>
      </c>
    </row>
    <row r="37" spans="1:15">
      <c r="A37" s="34" t="s">
        <v>110</v>
      </c>
      <c r="B37" s="35">
        <f>SQRT(B36)</f>
        <v>1896.1604559878554</v>
      </c>
      <c r="C37" s="34">
        <f>SQRT(C36)</f>
        <v>4945.0622729280258</v>
      </c>
      <c r="D37" s="37">
        <f>SQRT(D36)</f>
        <v>53.509165282508093</v>
      </c>
      <c r="E37" s="37">
        <f>SQRT(E36)</f>
        <v>15.467851753550732</v>
      </c>
      <c r="F37" s="38">
        <f>SQRT(F36)</f>
        <v>11.845404571708626</v>
      </c>
      <c r="G37" s="37">
        <f>SQRT(G36)</f>
        <v>1497.7566424687195</v>
      </c>
      <c r="H37" s="37">
        <f>SQRT(H36)</f>
        <v>423.3551672451112</v>
      </c>
      <c r="I37" s="37">
        <f>SQRT(I36)</f>
        <v>517.28860845554084</v>
      </c>
      <c r="J37" s="37">
        <f>SQRT(J36)</f>
        <v>187.66961164795612</v>
      </c>
      <c r="K37" s="37">
        <f>SQRT(K36)</f>
        <v>275.23150287987528</v>
      </c>
      <c r="L37" s="37">
        <f>SQRT(L36)</f>
        <v>147.11287076786357</v>
      </c>
      <c r="M37" s="37">
        <f>SQRT(M36)</f>
        <v>350.92930937371813</v>
      </c>
      <c r="N37" s="34">
        <f>SQRT(N36)</f>
        <v>2895.2526660034355</v>
      </c>
      <c r="O37" s="39">
        <f>SQRT(O36)</f>
        <v>8403.3037421328754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7"/>
  <sheetViews>
    <sheetView topLeftCell="D1" zoomScale="89" zoomScaleNormal="89" workbookViewId="0">
      <selection activeCell="X44" sqref="X44"/>
    </sheetView>
  </sheetViews>
  <sheetFormatPr defaultColWidth="8.7109375" defaultRowHeight="15"/>
  <cols>
    <col min="1" max="1" width="18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>
      <c r="P31" s="44"/>
    </row>
    <row r="32" spans="1:16">
      <c r="A32" s="34" t="s">
        <v>105</v>
      </c>
      <c r="B32" s="34">
        <f>MEDIAN(Table1.2[Total private new housing])</f>
        <v>19846</v>
      </c>
      <c r="C32" s="34">
        <f>MEDIAN(Table1.2[Total private Infrastructure])</f>
        <v>8715.5</v>
      </c>
      <c r="D32" s="37">
        <f>MEDIAN(Table1.2[Private industrial: factories])</f>
        <v>2678</v>
      </c>
      <c r="E32" s="37">
        <f>MEDIAN(Table1.2[Private industrial: warehouses])</f>
        <v>2025.5</v>
      </c>
      <c r="F32" s="38">
        <f>MEDIAN(Table1.2[Private industrial: oil, steel &amp; coal])</f>
        <v>151</v>
      </c>
      <c r="G32" s="34">
        <f>MEDIAN(Table1.2[All private industrial])</f>
        <v>4859.5</v>
      </c>
      <c r="H32" s="37">
        <f>MEDIAN(Table1.2[Private commercial: schools &amp; universities])</f>
        <v>3188.5</v>
      </c>
      <c r="I32" s="37">
        <f>MEDIAN(Table1.2[Private commercial: health])</f>
        <v>1196.5</v>
      </c>
      <c r="J32" s="37">
        <f>MEDIAN(Table1.2[Private commercial: offices])</f>
        <v>8883.5</v>
      </c>
      <c r="K32" s="37">
        <f>MEDIAN(Table1.2[Private commercial: entertainment])</f>
        <v>4749</v>
      </c>
      <c r="L32" s="37">
        <f>MEDIAN(Table1.2[Private commercial: garages])</f>
        <v>499</v>
      </c>
      <c r="M32" s="37">
        <f>MEDIAN(Table1.2[Private commercial: shops])</f>
        <v>4989.5</v>
      </c>
      <c r="N32" s="37">
        <f>MEDIAN(Table1.2[Private commercial: agriculture &amp; miscellaneous])</f>
        <v>1266.5</v>
      </c>
      <c r="O32" s="34">
        <f>MEDIAN(Table1.2[All private commercial])</f>
        <v>25533.5</v>
      </c>
      <c r="P32" s="39">
        <f>MEDIAN(Table1.2[All Private Sector])</f>
        <v>60478.5</v>
      </c>
    </row>
    <row r="33" spans="1:16">
      <c r="A33" s="34" t="s">
        <v>106</v>
      </c>
      <c r="B33" s="42">
        <f>AVERAGE(Table1.2[Total private new housing])</f>
        <v>23301.807692307691</v>
      </c>
      <c r="C33" s="42">
        <f>AVERAGE(Table1.2[Total private Infrastructure])</f>
        <v>8636.1923076923085</v>
      </c>
      <c r="D33" s="33">
        <f>AVERAGE(Table1.2[Private industrial: factories])</f>
        <v>2613.6153846153848</v>
      </c>
      <c r="E33" s="33">
        <f>AVERAGE(Table1.2[Private industrial: warehouses])</f>
        <v>2281.7307692307691</v>
      </c>
      <c r="F33" s="45">
        <f>AVERAGE(Table1.2[Private industrial: oil, steel &amp; coal])</f>
        <v>163.30769230769232</v>
      </c>
      <c r="G33" s="42">
        <f>AVERAGE(Table1.2[All private industrial])</f>
        <v>5058.6923076923076</v>
      </c>
      <c r="H33" s="33">
        <f>AVERAGE(Table1.2[Private commercial: schools &amp; universities])</f>
        <v>3076.3076923076924</v>
      </c>
      <c r="I33" s="33">
        <f>AVERAGE(Table1.2[Private commercial: health])</f>
        <v>1503.0769230769231</v>
      </c>
      <c r="J33" s="33">
        <f>AVERAGE(Table1.2[Private commercial: offices])</f>
        <v>8734.3076923076915</v>
      </c>
      <c r="K33" s="33">
        <f>AVERAGE(Table1.2[Private commercial: entertainment])</f>
        <v>5328.5</v>
      </c>
      <c r="L33" s="33">
        <f>AVERAGE(Table1.2[Private commercial: garages])</f>
        <v>510.84615384615387</v>
      </c>
      <c r="M33" s="33">
        <f>AVERAGE(Table1.2[Private commercial: shops])</f>
        <v>4985.9615384615381</v>
      </c>
      <c r="N33" s="33">
        <f>AVERAGE(Table1.2[Private commercial: agriculture &amp; miscellaneous])</f>
        <v>1540.1538461538462</v>
      </c>
      <c r="O33" s="42">
        <f>AVERAGE(Table1.2[All private commercial])</f>
        <v>25678.807692307691</v>
      </c>
      <c r="P33" s="31">
        <f>AVERAGE(Table1.2[All Private Sector])</f>
        <v>62675.5</v>
      </c>
    </row>
    <row r="34" spans="1:16">
      <c r="A34" s="34" t="s">
        <v>107</v>
      </c>
      <c r="B34" s="34" t="s">
        <v>111</v>
      </c>
      <c r="C34" s="34" cm="1">
        <f t="array" ref="C34">_xlfn.MODE.MULT(Table1.2[Total private Infrastructure])</f>
        <v>5305</v>
      </c>
      <c r="D34" s="37" cm="1">
        <f t="array" ref="D34">_xlfn.MODE.MULT(Table1.2[Private industrial: factories])</f>
        <v>3296</v>
      </c>
      <c r="E34" s="37" t="s">
        <v>111</v>
      </c>
      <c r="F34" s="38" cm="1">
        <f t="array" ref="F34">_xlfn.MODE.MULT(Table1.2[Private industrial: oil, steel &amp; coal])</f>
        <v>73</v>
      </c>
      <c r="G34" s="34" t="s">
        <v>111</v>
      </c>
      <c r="H34" s="37" t="s">
        <v>111</v>
      </c>
      <c r="I34" s="37" t="s">
        <v>111</v>
      </c>
      <c r="J34" s="37" t="s">
        <v>111</v>
      </c>
      <c r="K34" s="37" t="s">
        <v>111</v>
      </c>
      <c r="L34" s="37" t="s">
        <v>111</v>
      </c>
      <c r="M34" s="37" t="s">
        <v>111</v>
      </c>
      <c r="N34" s="37" t="s">
        <v>111</v>
      </c>
      <c r="O34" s="34" t="s">
        <v>111</v>
      </c>
      <c r="P34" s="39" t="s">
        <v>111</v>
      </c>
    </row>
    <row r="35" spans="1:16">
      <c r="A35" s="34" t="s">
        <v>108</v>
      </c>
      <c r="B35" s="51">
        <f>MAX(Table1.2[Total private new housing])-MIN(Table1.2[Total private new housing])</f>
        <v>42400</v>
      </c>
      <c r="C35" s="51">
        <f>MAX(Table1.2[Total private Infrastructure])-MIN(Table1.2[Total private Infrastructure])</f>
        <v>11836</v>
      </c>
      <c r="D35" s="46">
        <f>MAX(Table1.2[Private industrial: factories])-MIN(Table1.2[Private industrial: factories])</f>
        <v>1726</v>
      </c>
      <c r="E35" s="46">
        <f>MAX(Table1.2[Private industrial: warehouses])-MIN(Table1.2[Private industrial: warehouses])</f>
        <v>3529</v>
      </c>
      <c r="F35" s="47">
        <f>MAX(Table1.2[Private industrial: oil, steel &amp; coal])-MIN(Table1.2[Private industrial: oil, steel &amp; coal])</f>
        <v>424</v>
      </c>
      <c r="G35" s="51">
        <f>MAX(Table1.2[All private industrial])-MIN(Table1.2[All private industrial])</f>
        <v>5160</v>
      </c>
      <c r="H35" s="46">
        <f>MAX(Table1.2[Private commercial: schools &amp; universities])-MIN(Table1.2[Private commercial: schools &amp; universities])</f>
        <v>5400</v>
      </c>
      <c r="I35" s="46">
        <f>MAX(Table1.2[Private commercial: health])-MIN(Table1.2[Private commercial: health])</f>
        <v>3640</v>
      </c>
      <c r="J35" s="46">
        <f>MAX(Table1.2[Private commercial: offices])-MIN(Table1.2[Private commercial: offices])</f>
        <v>7795</v>
      </c>
      <c r="K35" s="46">
        <f>MAX(Table1.2[Private commercial: entertainment])-MIN(Table1.2[Private commercial: entertainment])</f>
        <v>5212</v>
      </c>
      <c r="L35" s="46">
        <f>MAX(Table1.2[Private commercial: garages])-MIN(Table1.2[Private commercial: garages])</f>
        <v>495</v>
      </c>
      <c r="M35" s="46">
        <f>MAX(Table1.2[Private commercial: shops])-MIN(Table1.2[Private commercial: shops])</f>
        <v>5340</v>
      </c>
      <c r="N35" s="46">
        <f>MAX(Table1.2[Private commercial: agriculture &amp; miscellaneous])-MIN(Table1.2[Private commercial: agriculture &amp; miscellaneous])</f>
        <v>2783</v>
      </c>
      <c r="O35" s="51">
        <f>MAX(Table1.2[All private commercial])-MIN(Table1.2[All private commercial])</f>
        <v>20443</v>
      </c>
      <c r="P35" s="48">
        <f>MAX(Table1.2[All Private Sector])-MIN(Table1.2[All Private Sector])</f>
        <v>67708</v>
      </c>
    </row>
    <row r="36" spans="1:16">
      <c r="A36" s="34" t="s">
        <v>109</v>
      </c>
      <c r="B36" s="34">
        <f>_xlfn.VAR.P(Table1.2[Total private new housing])</f>
        <v>145834863.23224851</v>
      </c>
      <c r="C36" s="34">
        <f>_xlfn.VAR.P(Table1.2[Total private Infrastructure])</f>
        <v>11082993.309171598</v>
      </c>
      <c r="D36" s="37">
        <f>_xlfn.VAR.P(Table1.2[Private industrial: factories])</f>
        <v>241521.23668639053</v>
      </c>
      <c r="E36" s="37">
        <f>_xlfn.VAR.P(Table1.2[Private industrial: warehouses])</f>
        <v>892726.88905325439</v>
      </c>
      <c r="F36" s="38">
        <f>_xlfn.VAR.P(Table1.2[Private industrial: oil, steel &amp; coal])</f>
        <v>10768.289940828403</v>
      </c>
      <c r="G36" s="34">
        <f>_xlfn.VAR.P(Table1.2[All private industrial])</f>
        <v>1557372.9822485207</v>
      </c>
      <c r="H36" s="37">
        <f>_xlfn.VAR.P(Table1.2[Private commercial: schools &amp; universities])</f>
        <v>2030621.75147929</v>
      </c>
      <c r="I36" s="37">
        <f>_xlfn.VAR.P(Table1.2[Private commercial: health])</f>
        <v>669056.53254437866</v>
      </c>
      <c r="J36" s="37">
        <f>_xlfn.VAR.P(Table1.2[Private commercial: offices])</f>
        <v>4159247.9053254439</v>
      </c>
      <c r="K36" s="37">
        <f>_xlfn.VAR.P(Table1.2[Private commercial: entertainment])</f>
        <v>2234331.7884615385</v>
      </c>
      <c r="L36" s="37">
        <f>_xlfn.VAR.P(Table1.2[Private commercial: garages])</f>
        <v>17070.514792899408</v>
      </c>
      <c r="M36" s="37">
        <f>_xlfn.VAR.P(Table1.2[Private commercial: shops])</f>
        <v>2157847.575443787</v>
      </c>
      <c r="N36" s="37">
        <f>_xlfn.VAR.P(Table1.2[Private commercial: agriculture &amp; miscellaneous])</f>
        <v>584480.51479289937</v>
      </c>
      <c r="O36" s="34">
        <f>_xlfn.VAR.P(Table1.2[All private commercial])</f>
        <v>24495225.078402366</v>
      </c>
      <c r="P36" s="32">
        <f>_xlfn.VAR.P(Table1.2[All Private Sector])</f>
        <v>356400036.94230771</v>
      </c>
    </row>
    <row r="37" spans="1:16">
      <c r="A37" s="34" t="s">
        <v>110</v>
      </c>
      <c r="B37" s="34">
        <f>SQRT(B36)</f>
        <v>12076.210632158107</v>
      </c>
      <c r="C37" s="34">
        <f>SQRT(C36)</f>
        <v>3329.1129913494374</v>
      </c>
      <c r="D37" s="37">
        <f>SQRT(D36)</f>
        <v>491.44810172223731</v>
      </c>
      <c r="E37" s="37">
        <f>SQRT(E36)</f>
        <v>944.84225617467723</v>
      </c>
      <c r="F37" s="38">
        <f>SQRT(F36)</f>
        <v>103.77037120887832</v>
      </c>
      <c r="G37" s="34">
        <f>SQRT(G36)</f>
        <v>1247.9475078097319</v>
      </c>
      <c r="H37" s="37">
        <f>SQRT(H36)</f>
        <v>1424.998860167716</v>
      </c>
      <c r="I37" s="37">
        <f>SQRT(I36)</f>
        <v>817.95875968436121</v>
      </c>
      <c r="J37" s="37">
        <f>SQRT(J36)</f>
        <v>2039.4234247270585</v>
      </c>
      <c r="K37" s="37">
        <f>SQRT(K36)</f>
        <v>1494.768138696279</v>
      </c>
      <c r="L37" s="37">
        <f>SQRT(L36)</f>
        <v>130.65418015853686</v>
      </c>
      <c r="M37" s="37">
        <f>SQRT(M36)</f>
        <v>1468.9613934490542</v>
      </c>
      <c r="N37" s="37">
        <f>SQRT(N36)</f>
        <v>764.51325351029686</v>
      </c>
      <c r="O37" s="34">
        <f>SQRT(O36)</f>
        <v>4949.2651048819725</v>
      </c>
      <c r="P37" s="32">
        <f>SQRT(P36)</f>
        <v>18878.560245482378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I20"/>
  <sheetViews>
    <sheetView tabSelected="1" workbookViewId="0">
      <selection activeCell="V28" sqref="V28"/>
    </sheetView>
  </sheetViews>
  <sheetFormatPr defaultColWidth="8.7109375" defaultRowHeight="15"/>
  <cols>
    <col min="1" max="1" width="17.42578125" customWidth="1"/>
    <col min="2" max="27" width="8.85546875" customWidth="1"/>
    <col min="34" max="34" width="12" bestFit="1" customWidth="1"/>
    <col min="35" max="35" width="17.42578125" customWidth="1"/>
  </cols>
  <sheetData>
    <row r="1" spans="1:35" ht="19.5">
      <c r="A1" s="3" t="s">
        <v>102</v>
      </c>
    </row>
    <row r="2" spans="1:35" ht="19.5">
      <c r="A2" s="3"/>
    </row>
    <row r="3" spans="1:35">
      <c r="A3" s="24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  <c r="AD3" s="49" t="s">
        <v>105</v>
      </c>
      <c r="AE3" s="49" t="s">
        <v>106</v>
      </c>
      <c r="AF3" s="49" t="s">
        <v>107</v>
      </c>
      <c r="AG3" s="49" t="s">
        <v>108</v>
      </c>
      <c r="AH3" s="49" t="s">
        <v>109</v>
      </c>
      <c r="AI3" s="49" t="s">
        <v>110</v>
      </c>
    </row>
    <row r="4" spans="1:35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D4" s="42">
        <f>MEDIAN(Table3.1[[#This Row],[1997]:[2023]])</f>
        <v>88018</v>
      </c>
      <c r="AE4" s="42">
        <f>AVERAGE(Table3.1[[#This Row],[1997]:[2023]])</f>
        <v>101101.03703703704</v>
      </c>
      <c r="AF4" s="42" t="s">
        <v>111</v>
      </c>
      <c r="AG4" s="42">
        <f>MAX(Table3.1[[#This Row],[1997]:[2023]])-MIN(Table3.1[[#This Row],[1997]:[2023]])</f>
        <v>86642</v>
      </c>
      <c r="AH4" s="42">
        <f>_xlfn.VAR.P(Table3.1[[#This Row],[1997]:[2023]])</f>
        <v>892528670.77640605</v>
      </c>
      <c r="AI4" s="42">
        <f>SQRT(AH4)</f>
        <v>29875.218338556224</v>
      </c>
    </row>
    <row r="5" spans="1:35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D5" s="50">
        <f>MEDIAN(Table3.1[[#This Row],[1997]:[2023]])</f>
        <v>62910</v>
      </c>
      <c r="AE5" s="50">
        <f>AVERAGE(Table3.1[[#This Row],[1997]:[2023]])</f>
        <v>68227</v>
      </c>
      <c r="AF5" s="50" t="s">
        <v>111</v>
      </c>
      <c r="AG5" s="50">
        <f>MAX(Table3.1[[#This Row],[1997]:[2023]])-MIN(Table3.1[[#This Row],[1997]:[2023]])</f>
        <v>56294</v>
      </c>
      <c r="AH5" s="50">
        <f>_xlfn.VAR.P(Table3.1[[#This Row],[1997]:[2023]])</f>
        <v>315346974.14814812</v>
      </c>
      <c r="AI5" s="50">
        <f>SQRT(AH5)</f>
        <v>17758.011548260354</v>
      </c>
    </row>
    <row r="6" spans="1:35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D6" s="50">
        <f>MEDIAN(Table3.1[[#This Row],[1997]:[2023]])</f>
        <v>30375</v>
      </c>
      <c r="AE6" s="50">
        <f>AVERAGE(Table3.1[[#This Row],[1997]:[2023]])</f>
        <v>29494.296296296296</v>
      </c>
      <c r="AF6" s="50" t="s">
        <v>111</v>
      </c>
      <c r="AG6" s="50">
        <f>MAX(Table3.1[[#This Row],[1997]:[2023]])-MIN(Table3.1[[#This Row],[1997]:[2023]])</f>
        <v>25307</v>
      </c>
      <c r="AH6" s="50">
        <f>_xlfn.VAR.P(Table3.1[[#This Row],[1997]:[2023]])</f>
        <v>48923289.023319617</v>
      </c>
      <c r="AI6" s="50">
        <f>SQRT(AH6)</f>
        <v>6994.5184983184954</v>
      </c>
    </row>
    <row r="7" spans="1:35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D7" s="50">
        <f>MEDIAN(Table3.1[[#This Row],[1997]:[2023]])</f>
        <v>11774</v>
      </c>
      <c r="AE7" s="50">
        <f>AVERAGE(Table3.1[[#This Row],[1997]:[2023]])</f>
        <v>10845.777777777777</v>
      </c>
      <c r="AF7" s="50" cm="1">
        <f t="array" ref="AF7">_xlfn.MODE.MULT(Table3.1[[#This Row],[1997]:[2023]])</f>
        <v>11455</v>
      </c>
      <c r="AG7" s="50">
        <f>MAX(Table3.1[[#This Row],[1997]:[2023]])-MIN(Table3.1[[#This Row],[1997]:[2023]])</f>
        <v>10591</v>
      </c>
      <c r="AH7" s="50">
        <f>_xlfn.VAR.P(Table3.1[[#This Row],[1997]:[2023]])</f>
        <v>9992264.0246913582</v>
      </c>
      <c r="AI7" s="50">
        <f>SQRT(AH7)</f>
        <v>3161.0542584225532</v>
      </c>
    </row>
    <row r="8" spans="1:35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D8" s="50">
        <f>MEDIAN(Table3.1[[#This Row],[1997]:[2023]])</f>
        <v>6203</v>
      </c>
      <c r="AE8" s="50">
        <f>AVERAGE(Table3.1[[#This Row],[1997]:[2023]])</f>
        <v>5847.0740740740739</v>
      </c>
      <c r="AF8" s="50" t="s">
        <v>111</v>
      </c>
      <c r="AG8" s="50">
        <f>MAX(Table3.1[[#This Row],[1997]:[2023]])-MIN(Table3.1[[#This Row],[1997]:[2023]])</f>
        <v>4190</v>
      </c>
      <c r="AH8" s="50">
        <f>_xlfn.VAR.P(Table3.1[[#This Row],[1997]:[2023]])</f>
        <v>1470734.0685871057</v>
      </c>
      <c r="AI8" s="50">
        <f>SQRT(AH8)</f>
        <v>1212.7382522981229</v>
      </c>
    </row>
    <row r="9" spans="1:35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D9" s="50">
        <f>MEDIAN(Table3.1[[#This Row],[1997]:[2023]])</f>
        <v>1885</v>
      </c>
      <c r="AE9" s="50">
        <f>AVERAGE(Table3.1[[#This Row],[1997]:[2023]])</f>
        <v>1820.4814814814815</v>
      </c>
      <c r="AF9" s="50" cm="1">
        <f t="array" ref="AF9">_xlfn.MODE.MULT(Table3.1[[#This Row],[1997]:[2023]])</f>
        <v>1201</v>
      </c>
      <c r="AG9" s="50">
        <f>MAX(Table3.1[[#This Row],[1997]:[2023]])-MIN(Table3.1[[#This Row],[1997]:[2023]])</f>
        <v>1086</v>
      </c>
      <c r="AH9" s="50">
        <f>_xlfn.VAR.P(Table3.1[[#This Row],[1997]:[2023]])</f>
        <v>78293.286694101509</v>
      </c>
      <c r="AI9" s="50">
        <f>SQRT(AH9)</f>
        <v>279.80937563652424</v>
      </c>
    </row>
    <row r="10" spans="1:35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D10" s="50">
        <f>MEDIAN(Table3.1[[#This Row],[1997]:[2023]])</f>
        <v>1849</v>
      </c>
      <c r="AE10" s="50">
        <f>AVERAGE(Table3.1[[#This Row],[1997]:[2023]])</f>
        <v>1759.1851851851852</v>
      </c>
      <c r="AF10" s="50" t="s">
        <v>111</v>
      </c>
      <c r="AG10" s="50">
        <f>MAX(Table3.1[[#This Row],[1997]:[2023]])-MIN(Table3.1[[#This Row],[1997]:[2023]])</f>
        <v>1212</v>
      </c>
      <c r="AH10" s="50">
        <f>_xlfn.VAR.P(Table3.1[[#This Row],[1997]:[2023]])</f>
        <v>98685.780521262001</v>
      </c>
      <c r="AI10" s="50">
        <f>SQRT(AH10)</f>
        <v>314.1429300832059</v>
      </c>
    </row>
    <row r="11" spans="1:35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D11" s="50">
        <f>MEDIAN(Table3.1[[#This Row],[1997]:[2023]])</f>
        <v>549</v>
      </c>
      <c r="AE11" s="50">
        <f>AVERAGE(Table3.1[[#This Row],[1997]:[2023]])</f>
        <v>530.22222222222217</v>
      </c>
      <c r="AF11" s="50" cm="1">
        <f t="array" ref="AF11">_xlfn.MODE.MULT(Table3.1[[#This Row],[1997]:[2023]])</f>
        <v>583</v>
      </c>
      <c r="AG11" s="50">
        <f>MAX(Table3.1[[#This Row],[1997]:[2023]])-MIN(Table3.1[[#This Row],[1997]:[2023]])</f>
        <v>293</v>
      </c>
      <c r="AH11" s="50">
        <f>_xlfn.VAR.P(Table3.1[[#This Row],[1997]:[2023]])</f>
        <v>6206.0246913580249</v>
      </c>
      <c r="AI11" s="50">
        <f>SQRT(AH11)</f>
        <v>78.778326279237646</v>
      </c>
    </row>
    <row r="12" spans="1:35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D12" s="50">
        <f>MEDIAN(Table3.1[[#This Row],[1997]:[2023]])</f>
        <v>441</v>
      </c>
      <c r="AE12" s="50">
        <f>AVERAGE(Table3.1[[#This Row],[1997]:[2023]])</f>
        <v>424.33333333333331</v>
      </c>
      <c r="AF12" s="50">
        <f>_xlfn.MODE.SNGL(Table3.1[[#This Row],[1997]:[2023]])</f>
        <v>304</v>
      </c>
      <c r="AG12" s="50">
        <f>MAX(Table3.1[[#This Row],[1997]:[2023]])-MIN(Table3.1[[#This Row],[1997]:[2023]])</f>
        <v>240</v>
      </c>
      <c r="AH12" s="50">
        <f>_xlfn.VAR.P(Table3.1[[#This Row],[1997]:[2023]])</f>
        <v>4244.3703703703704</v>
      </c>
      <c r="AI12" s="50">
        <f>SQRT(AH12)</f>
        <v>65.14883245592641</v>
      </c>
    </row>
    <row r="13" spans="1:35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D13" s="50">
        <f>MEDIAN(Table3.1[[#This Row],[1997]:[2023]])</f>
        <v>531</v>
      </c>
      <c r="AE13" s="50">
        <f>AVERAGE(Table3.1[[#This Row],[1997]:[2023]])</f>
        <v>508.74074074074076</v>
      </c>
      <c r="AF13" s="50">
        <f>_xlfn.MODE.SNGL(Table3.1[[#This Row],[1997]:[2023]])</f>
        <v>560</v>
      </c>
      <c r="AG13" s="50">
        <f>MAX(Table3.1[[#This Row],[1997]:[2023]])-MIN(Table3.1[[#This Row],[1997]:[2023]])</f>
        <v>261</v>
      </c>
      <c r="AH13" s="50">
        <f>_xlfn.VAR.P(Table3.1[[#This Row],[1997]:[2023]])</f>
        <v>4574.2661179698216</v>
      </c>
      <c r="AI13" s="50">
        <f>SQRT(AH13)</f>
        <v>67.633321062696766</v>
      </c>
    </row>
    <row r="14" spans="1:35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D14" s="50">
        <f>MEDIAN(Table3.1[[#This Row],[1997]:[2023]])</f>
        <v>143</v>
      </c>
      <c r="AE14" s="50">
        <f>AVERAGE(Table3.1[[#This Row],[1997]:[2023]])</f>
        <v>136.55555555555554</v>
      </c>
      <c r="AF14" s="50">
        <f>_xlfn.MODE.SNGL(Table3.1[[#This Row],[1997]:[2023]])</f>
        <v>125</v>
      </c>
      <c r="AG14" s="50">
        <f>MAX(Table3.1[[#This Row],[1997]:[2023]])-MIN(Table3.1[[#This Row],[1997]:[2023]])</f>
        <v>73</v>
      </c>
      <c r="AH14" s="50">
        <f>_xlfn.VAR.P(Table3.1[[#This Row],[1997]:[2023]])</f>
        <v>267.72839506172841</v>
      </c>
      <c r="AI14" s="50">
        <f>SQRT(AH14)</f>
        <v>16.362407984820827</v>
      </c>
    </row>
    <row r="15" spans="1:35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D15" s="50">
        <f>MEDIAN(Table3.1[[#This Row],[1997]:[2023]])</f>
        <v>59</v>
      </c>
      <c r="AE15" s="50">
        <f>AVERAGE(Table3.1[[#This Row],[1997]:[2023]])</f>
        <v>60.037037037037038</v>
      </c>
      <c r="AF15" s="50">
        <f>_xlfn.MODE.SNGL(Table3.1[[#This Row],[1997]:[2023]])</f>
        <v>56</v>
      </c>
      <c r="AG15" s="50">
        <f>MAX(Table3.1[[#This Row],[1997]:[2023]])-MIN(Table3.1[[#This Row],[1997]:[2023]])</f>
        <v>27</v>
      </c>
      <c r="AH15" s="50">
        <f>_xlfn.VAR.P(Table3.1[[#This Row],[1997]:[2023]])</f>
        <v>42.70233196159122</v>
      </c>
      <c r="AI15" s="50">
        <f>SQRT(AH15)</f>
        <v>6.5347021325834902</v>
      </c>
    </row>
    <row r="16" spans="1:35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D16" s="43">
        <f>MEDIAN(Table3.1[[#This Row],[1997]:[2023]])</f>
        <v>57</v>
      </c>
      <c r="AE16" s="43">
        <f>AVERAGE(Table3.1[[#This Row],[1997]:[2023]])</f>
        <v>54.851851851851855</v>
      </c>
      <c r="AF16" s="43">
        <f>_xlfn.MODE.SNGL(Table3.1[[#This Row],[1997]:[2023]])</f>
        <v>60</v>
      </c>
      <c r="AG16" s="43">
        <f>MAX(Table3.1[[#This Row],[1997]:[2023]])-MIN(Table3.1[[#This Row],[1997]:[2023]])</f>
        <v>29</v>
      </c>
      <c r="AH16" s="43">
        <f>_xlfn.VAR.P(Table3.1[[#This Row],[1997]:[2023]])</f>
        <v>54.422496570644718</v>
      </c>
      <c r="AI16" s="43">
        <f>SQRT(AH16)</f>
        <v>7.3771604680015415</v>
      </c>
    </row>
    <row r="17" spans="1:35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1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  <c r="AD17" s="49">
        <f>MEDIAN(Table3.1[[#This Row],[1997]:[2023]])</f>
        <v>204363</v>
      </c>
      <c r="AE17" s="49">
        <f>AVERAGE(Table3.1[[#This Row],[1997]:[2023]])</f>
        <v>220812.96296296295</v>
      </c>
      <c r="AF17" s="49" t="s">
        <v>111</v>
      </c>
      <c r="AG17" s="49">
        <f>MAX(Table3.1[[#This Row],[1997]:[2023]])-MIN(Table3.1[[#This Row],[1997]:[2023]])</f>
        <v>169083</v>
      </c>
      <c r="AH17" s="49">
        <f>_xlfn.VAR.P(Table3.1[[#This Row],[1997]:[2023]])</f>
        <v>3082089546.8504801</v>
      </c>
      <c r="AI17" s="49">
        <f>SQRT(AH17)</f>
        <v>55516.570020584666</v>
      </c>
    </row>
    <row r="18" spans="1:35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20" spans="1:35"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Y17"/>
  <sheetViews>
    <sheetView workbookViewId="0">
      <selection activeCell="X17" sqref="X17"/>
    </sheetView>
  </sheetViews>
  <sheetFormatPr defaultRowHeight="15"/>
  <cols>
    <col min="1" max="1" width="35.28515625" customWidth="1"/>
    <col min="24" max="24" width="11" bestFit="1" customWidth="1"/>
    <col min="25" max="25" width="18" customWidth="1"/>
  </cols>
  <sheetData>
    <row r="1" spans="1:25" ht="19.5">
      <c r="A1" s="7" t="s">
        <v>101</v>
      </c>
    </row>
    <row r="2" spans="1:25" ht="19.5">
      <c r="A2" s="7"/>
    </row>
    <row r="3" spans="1:25" ht="30">
      <c r="A3" s="24" t="s">
        <v>89</v>
      </c>
      <c r="B3" s="28" t="s">
        <v>75</v>
      </c>
      <c r="C3" s="29" t="s">
        <v>76</v>
      </c>
      <c r="D3" s="25" t="s">
        <v>51</v>
      </c>
      <c r="E3" s="25" t="s">
        <v>52</v>
      </c>
      <c r="F3" s="25" t="s">
        <v>53</v>
      </c>
      <c r="G3" s="25" t="s">
        <v>54</v>
      </c>
      <c r="H3" s="25" t="s">
        <v>87</v>
      </c>
      <c r="I3" s="25" t="s">
        <v>88</v>
      </c>
      <c r="J3" s="25" t="s">
        <v>57</v>
      </c>
      <c r="K3" s="25" t="s">
        <v>58</v>
      </c>
      <c r="L3" s="25" t="s">
        <v>59</v>
      </c>
      <c r="M3" s="25" t="s">
        <v>60</v>
      </c>
      <c r="N3" s="25" t="s">
        <v>61</v>
      </c>
      <c r="O3" s="25" t="s">
        <v>62</v>
      </c>
      <c r="P3" s="25" t="s">
        <v>91</v>
      </c>
      <c r="Q3" s="25" t="s">
        <v>92</v>
      </c>
      <c r="R3" s="25" t="s">
        <v>90</v>
      </c>
      <c r="T3" s="49" t="s">
        <v>105</v>
      </c>
      <c r="U3" s="49" t="s">
        <v>106</v>
      </c>
      <c r="V3" s="49" t="s">
        <v>107</v>
      </c>
      <c r="W3" s="49" t="s">
        <v>108</v>
      </c>
      <c r="X3" s="49" t="s">
        <v>109</v>
      </c>
      <c r="Y3" s="49" t="s">
        <v>110</v>
      </c>
    </row>
    <row r="4" spans="1:25">
      <c r="A4" s="26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T4" s="42">
        <f>MEDIAN(Table15[[#This Row],[2007]:[2023]])</f>
        <v>228603</v>
      </c>
      <c r="U4" s="42">
        <f>AVERAGE(Table15[[#This Row],[2007]:[2023]])</f>
        <v>246081.64705882352</v>
      </c>
      <c r="V4" s="42" t="s">
        <v>111</v>
      </c>
      <c r="W4" s="42">
        <f>MAX(Table15[[#This Row],[2007]:[2023]])-MIN(Table15[[#This Row],[2007]:[2023]])</f>
        <v>105358</v>
      </c>
      <c r="X4" s="42">
        <f>_xlfn.VAR.P(Table15[[#This Row],[2007]:[2023]])</f>
        <v>1165483501.8754325</v>
      </c>
      <c r="Y4" s="42">
        <f>SQRT(X4)</f>
        <v>34139.178400708952</v>
      </c>
    </row>
    <row r="5" spans="1:25">
      <c r="A5" s="23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T5" s="50">
        <f>MEDIAN(Table15[[#This Row],[2007]:[2023]])</f>
        <v>24657</v>
      </c>
      <c r="U5" s="50">
        <f>AVERAGE(Table15[[#This Row],[2007]:[2023]])</f>
        <v>24842.411764705881</v>
      </c>
      <c r="V5" s="50" t="s">
        <v>111</v>
      </c>
      <c r="W5" s="50">
        <f>MAX(Table15[[#This Row],[2007]:[2023]])-MIN(Table15[[#This Row],[2007]:[2023]])</f>
        <v>14719</v>
      </c>
      <c r="X5" s="50">
        <f>_xlfn.VAR.P(Table15[[#This Row],[2007]:[2023]])</f>
        <v>18312309.301038064</v>
      </c>
      <c r="Y5" s="50">
        <f>SQRT(X5)</f>
        <v>4279.2884105932917</v>
      </c>
    </row>
    <row r="6" spans="1:25">
      <c r="A6" s="23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T6" s="50">
        <f>MEDIAN(Table15[[#This Row],[2007]:[2023]])</f>
        <v>21478</v>
      </c>
      <c r="U6" s="50">
        <f>AVERAGE(Table15[[#This Row],[2007]:[2023]])</f>
        <v>21935.294117647059</v>
      </c>
      <c r="V6" s="50" t="s">
        <v>111</v>
      </c>
      <c r="W6" s="50">
        <f>MAX(Table15[[#This Row],[2007]:[2023]])-MIN(Table15[[#This Row],[2007]:[2023]])</f>
        <v>11192</v>
      </c>
      <c r="X6" s="50">
        <f>_xlfn.VAR.P(Table15[[#This Row],[2007]:[2023]])</f>
        <v>12029374.91349481</v>
      </c>
      <c r="Y6" s="50">
        <f>SQRT(X6)</f>
        <v>3468.3389271371407</v>
      </c>
    </row>
    <row r="7" spans="1:25">
      <c r="A7" s="23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T7" s="50">
        <f>MEDIAN(Table15[[#This Row],[2007]:[2023]])</f>
        <v>2744</v>
      </c>
      <c r="U7" s="50">
        <f>AVERAGE(Table15[[#This Row],[2007]:[2023]])</f>
        <v>2810.7647058823532</v>
      </c>
      <c r="V7" s="50" t="s">
        <v>111</v>
      </c>
      <c r="W7" s="50">
        <f>MAX(Table15[[#This Row],[2007]:[2023]])-MIN(Table15[[#This Row],[2007]:[2023]])</f>
        <v>1679</v>
      </c>
      <c r="X7" s="50">
        <f>_xlfn.VAR.P(Table15[[#This Row],[2007]:[2023]])</f>
        <v>305872.76816608995</v>
      </c>
      <c r="Y7" s="50">
        <f>SQRT(X7)</f>
        <v>553.05765356433676</v>
      </c>
    </row>
    <row r="8" spans="1:25">
      <c r="A8" s="23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T8" s="50">
        <f>MEDIAN(Table15[[#This Row],[2007]:[2023]])</f>
        <v>1262</v>
      </c>
      <c r="U8" s="50">
        <f>AVERAGE(Table15[[#This Row],[2007]:[2023]])</f>
        <v>1274.4117647058824</v>
      </c>
      <c r="V8" s="50">
        <f>_xlfn.MODE.SNGL(Table15[[#This Row],[2007]:[2023]])</f>
        <v>1262</v>
      </c>
      <c r="W8" s="50">
        <f>MAX(Table15[[#This Row],[2007]:[2023]])-MIN(Table15[[#This Row],[2007]:[2023]])</f>
        <v>837</v>
      </c>
      <c r="X8" s="50">
        <f>_xlfn.VAR.P(Table15[[#This Row],[2007]:[2023]])</f>
        <v>76403.301038062287</v>
      </c>
      <c r="Y8" s="50">
        <f>SQRT(X8)</f>
        <v>276.41147052548723</v>
      </c>
    </row>
    <row r="9" spans="1:25">
      <c r="A9" s="23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T9" s="50">
        <f>MEDIAN(Table15[[#This Row],[2007]:[2023]])</f>
        <v>390</v>
      </c>
      <c r="U9" s="50">
        <f>AVERAGE(Table15[[#This Row],[2007]:[2023]])</f>
        <v>395.94117647058823</v>
      </c>
      <c r="V9" s="50" t="s">
        <v>111</v>
      </c>
      <c r="W9" s="50">
        <f>MAX(Table15[[#This Row],[2007]:[2023]])-MIN(Table15[[#This Row],[2007]:[2023]])</f>
        <v>234</v>
      </c>
      <c r="X9" s="50">
        <f>_xlfn.VAR.P(Table15[[#This Row],[2007]:[2023]])</f>
        <v>5522.4083044982699</v>
      </c>
      <c r="Y9" s="50">
        <f>SQRT(X9)</f>
        <v>74.312908061105176</v>
      </c>
    </row>
    <row r="10" spans="1:25">
      <c r="A10" s="23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T10" s="50">
        <f>MEDIAN(Table15[[#This Row],[2007]:[2023]])</f>
        <v>180</v>
      </c>
      <c r="U10" s="50">
        <f>AVERAGE(Table15[[#This Row],[2007]:[2023]])</f>
        <v>196.94117647058823</v>
      </c>
      <c r="V10" s="50">
        <f>_xlfn.MODE.SNGL(Table15[[#This Row],[2007]:[2023]])</f>
        <v>243</v>
      </c>
      <c r="W10" s="50">
        <f>MAX(Table15[[#This Row],[2007]:[2023]])-MIN(Table15[[#This Row],[2007]:[2023]])</f>
        <v>153</v>
      </c>
      <c r="X10" s="50">
        <f>_xlfn.VAR.P(Table15[[#This Row],[2007]:[2023]])</f>
        <v>2649.1141868512109</v>
      </c>
      <c r="Y10" s="50">
        <f>SQRT(X10)</f>
        <v>51.469546207939416</v>
      </c>
    </row>
    <row r="11" spans="1:25">
      <c r="A11" s="23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T11" s="50">
        <f>MEDIAN(Table15[[#This Row],[2007]:[2023]])</f>
        <v>117</v>
      </c>
      <c r="U11" s="50">
        <f>AVERAGE(Table15[[#This Row],[2007]:[2023]])</f>
        <v>124.94117647058823</v>
      </c>
      <c r="V11" s="50">
        <f>_xlfn.MODE.SNGL(Table15[[#This Row],[2007]:[2023]])</f>
        <v>98</v>
      </c>
      <c r="W11" s="50">
        <f>MAX(Table15[[#This Row],[2007]:[2023]])-MIN(Table15[[#This Row],[2007]:[2023]])</f>
        <v>101</v>
      </c>
      <c r="X11" s="50">
        <f>_xlfn.VAR.P(Table15[[#This Row],[2007]:[2023]])</f>
        <v>948.52595155709344</v>
      </c>
      <c r="Y11" s="50">
        <f>SQRT(X11)</f>
        <v>30.798148508588849</v>
      </c>
    </row>
    <row r="12" spans="1:25">
      <c r="A12" s="23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T12" s="50">
        <f>MEDIAN(Table15[[#This Row],[2007]:[2023]])</f>
        <v>227</v>
      </c>
      <c r="U12" s="50">
        <f>AVERAGE(Table15[[#This Row],[2007]:[2023]])</f>
        <v>246.52941176470588</v>
      </c>
      <c r="V12" s="50" t="s">
        <v>111</v>
      </c>
      <c r="W12" s="50">
        <f>MAX(Table15[[#This Row],[2007]:[2023]])-MIN(Table15[[#This Row],[2007]:[2023]])</f>
        <v>167</v>
      </c>
      <c r="X12" s="50">
        <f>_xlfn.VAR.P(Table15[[#This Row],[2007]:[2023]])</f>
        <v>2749.6608996539794</v>
      </c>
      <c r="Y12" s="50">
        <f>SQRT(X12)</f>
        <v>52.437209113891441</v>
      </c>
    </row>
    <row r="13" spans="1:25">
      <c r="A13" s="23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T13" s="50">
        <f>MEDIAN(Table15[[#This Row],[2007]:[2023]])</f>
        <v>205</v>
      </c>
      <c r="U13" s="50">
        <f>AVERAGE(Table15[[#This Row],[2007]:[2023]])</f>
        <v>207.52941176470588</v>
      </c>
      <c r="V13" s="50" t="s">
        <v>111</v>
      </c>
      <c r="W13" s="50">
        <f>MAX(Table15[[#This Row],[2007]:[2023]])-MIN(Table15[[#This Row],[2007]:[2023]])</f>
        <v>102</v>
      </c>
      <c r="X13" s="50">
        <f>_xlfn.VAR.P(Table15[[#This Row],[2007]:[2023]])</f>
        <v>1060.7197231833909</v>
      </c>
      <c r="Y13" s="50">
        <f>SQRT(X13)</f>
        <v>32.568692377548579</v>
      </c>
    </row>
    <row r="14" spans="1:25">
      <c r="A14" s="23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T14" s="50">
        <f>MEDIAN(Table15[[#This Row],[2007]:[2023]])</f>
        <v>20</v>
      </c>
      <c r="U14" s="50">
        <f>AVERAGE(Table15[[#This Row],[2007]:[2023]])</f>
        <v>20.823529411764707</v>
      </c>
      <c r="V14" s="50">
        <f>_xlfn.MODE.SNGL(Table15[[#This Row],[2007]:[2023]])</f>
        <v>20</v>
      </c>
      <c r="W14" s="50">
        <f>MAX(Table15[[#This Row],[2007]:[2023]])-MIN(Table15[[#This Row],[2007]:[2023]])</f>
        <v>16</v>
      </c>
      <c r="X14" s="50">
        <f>_xlfn.VAR.P(Table15[[#This Row],[2007]:[2023]])</f>
        <v>18.380622837370243</v>
      </c>
      <c r="Y14" s="50">
        <f>SQRT(X14)</f>
        <v>4.2872628607737875</v>
      </c>
    </row>
    <row r="15" spans="1:25">
      <c r="A15" s="23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T15" s="43">
        <f>MEDIAN(Table15[[#This Row],[2007]:[2023]])</f>
        <v>10</v>
      </c>
      <c r="U15" s="43">
        <f>AVERAGE(Table15[[#This Row],[2007]:[2023]])</f>
        <v>13</v>
      </c>
      <c r="V15" s="43">
        <f>_xlfn.MODE.SNGL(Table15[[#This Row],[2007]:[2023]])</f>
        <v>10</v>
      </c>
      <c r="W15" s="43">
        <f>MAX(Table15[[#This Row],[2007]:[2023]])-MIN(Table15[[#This Row],[2007]:[2023]])</f>
        <v>17</v>
      </c>
      <c r="X15" s="43">
        <f>_xlfn.VAR.P(Table15[[#This Row],[2007]:[2023]])</f>
        <v>29.176470588235293</v>
      </c>
      <c r="Y15" s="43">
        <f>SQRT(X15)</f>
        <v>5.4015248391759982</v>
      </c>
    </row>
    <row r="16" spans="1:25">
      <c r="A16" s="27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2">
        <v>364514</v>
      </c>
      <c r="T16" s="49">
        <f>MEDIAN(Table15[[#This Row],[2007]:[2023]])</f>
        <v>279356</v>
      </c>
      <c r="U16" s="49">
        <f>AVERAGE(Table15[[#This Row],[2007]:[2023]])</f>
        <v>298150.23529411765</v>
      </c>
      <c r="V16" s="49" t="s">
        <v>111</v>
      </c>
      <c r="W16" s="49">
        <f>MAX(Table15[[#This Row],[2007]:[2023]])-MIN(Table15[[#This Row],[2007]:[2023]])</f>
        <v>127227</v>
      </c>
      <c r="X16" s="49">
        <f>_xlfn.VAR.P(Table15[[#This Row],[2007]:[2023]])</f>
        <v>1782782075.2387543</v>
      </c>
      <c r="Y16" s="49">
        <f>SQRT(X16)</f>
        <v>42223.004100120044</v>
      </c>
    </row>
    <row r="17" spans="1:25">
      <c r="A17" s="23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T17" s="53"/>
      <c r="U17" s="53"/>
      <c r="V17" s="53"/>
      <c r="W17" s="53"/>
      <c r="X17" s="53"/>
      <c r="Y17" s="53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2025-11-11T10:34:02Z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