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ger\Documents\WORK\BENGWORK\Vehicle Dynamics 2017-18\Lateral Acceleration\Weight Transfer Spreadsheets\IRS\"/>
    </mc:Choice>
  </mc:AlternateContent>
  <xr:revisionPtr revIDLastSave="0" documentId="13_ncr:1_{E3CAA930-2E7D-41BE-81B8-139516429041}" xr6:coauthVersionLast="28" xr6:coauthVersionMax="28" xr10:uidLastSave="{00000000-0000-0000-0000-000000000000}"/>
  <bookViews>
    <workbookView xWindow="0" yWindow="770" windowWidth="9770" windowHeight="7140" xr2:uid="{00000000-000D-0000-FFFF-FFFF00000000}"/>
  </bookViews>
  <sheets>
    <sheet name="Live calc" sheetId="7" r:id="rId1"/>
    <sheet name="No Formulae" sheetId="9" r:id="rId2"/>
    <sheet name="Spring Rate Conversion" sheetId="2" r:id="rId3"/>
    <sheet name="Load Spliits" sheetId="8" r:id="rId4"/>
  </sheets>
  <definedNames>
    <definedName name="Left_front__corner_sprung_mass__kg" comment="FL" localSheetId="0">#REF!</definedName>
    <definedName name="Left_front__corner_sprung_mass__kg" comment="FL">#REF!</definedName>
  </definedNames>
  <calcPr calcId="171027"/>
</workbook>
</file>

<file path=xl/calcChain.xml><?xml version="1.0" encoding="utf-8"?>
<calcChain xmlns="http://schemas.openxmlformats.org/spreadsheetml/2006/main">
  <c r="J8" i="7" l="1"/>
  <c r="G18" i="7" l="1"/>
  <c r="G16" i="7"/>
  <c r="J14" i="7"/>
  <c r="G15" i="7"/>
  <c r="J5" i="7" s="1"/>
  <c r="J13" i="7"/>
  <c r="G14" i="7"/>
  <c r="G13" i="7"/>
  <c r="G12" i="7"/>
  <c r="G11" i="7"/>
  <c r="J24" i="7" s="1"/>
  <c r="G7" i="7"/>
  <c r="G6" i="7"/>
  <c r="G5" i="7"/>
  <c r="G4" i="7"/>
  <c r="J4" i="7" l="1"/>
  <c r="J6" i="7" s="1"/>
  <c r="G9" i="7"/>
  <c r="J12" i="7" s="1"/>
  <c r="G8" i="7"/>
  <c r="G10" i="7" s="1"/>
  <c r="D26" i="7" s="1"/>
  <c r="J23" i="7"/>
  <c r="J11" i="7" l="1"/>
  <c r="G17" i="7"/>
  <c r="G19" i="7" s="1"/>
  <c r="G20" i="7" s="1"/>
  <c r="G21" i="7" s="1"/>
  <c r="J7" i="7" s="1"/>
  <c r="J10" i="7" s="1"/>
  <c r="J9" i="7" l="1"/>
  <c r="J15" i="7" s="1"/>
  <c r="J16" i="7"/>
  <c r="K8" i="7"/>
  <c r="J20" i="7" l="1"/>
  <c r="J21" i="7"/>
  <c r="J13" i="8" s="1"/>
  <c r="J19" i="7"/>
  <c r="J9" i="8" s="1"/>
  <c r="J18" i="7"/>
  <c r="J17" i="7"/>
  <c r="F9" i="8" l="1"/>
  <c r="J25" i="7"/>
  <c r="F13" i="8"/>
  <c r="F16" i="8" s="1"/>
  <c r="J26" i="7"/>
  <c r="J22" i="7"/>
  <c r="J11" i="8"/>
  <c r="J14" i="8"/>
  <c r="H14" i="8" l="1"/>
  <c r="E13" i="8"/>
  <c r="F14" i="8"/>
  <c r="J27" i="7"/>
  <c r="H7" i="8"/>
  <c r="F11" i="8"/>
  <c r="E9" i="8"/>
  <c r="E12" i="8" l="1"/>
  <c r="H11" i="8"/>
  <c r="H5" i="8" s="1"/>
  <c r="E11" i="8" l="1"/>
  <c r="J12" i="8"/>
  <c r="J8" i="8"/>
  <c r="F15" i="8"/>
  <c r="F12" i="8"/>
  <c r="K11" i="8"/>
  <c r="H16" i="8"/>
  <c r="F8" i="8"/>
</calcChain>
</file>

<file path=xl/sharedStrings.xml><?xml version="1.0" encoding="utf-8"?>
<sst xmlns="http://schemas.openxmlformats.org/spreadsheetml/2006/main" count="347" uniqueCount="197">
  <si>
    <t>Ms rr</t>
  </si>
  <si>
    <t>M rr</t>
  </si>
  <si>
    <t>Front Right corner sprung mass [kg]</t>
  </si>
  <si>
    <t>Spring Rate Conversions</t>
  </si>
  <si>
    <t>kg/mm to N/m</t>
  </si>
  <si>
    <t>lb/in to N/mm</t>
  </si>
  <si>
    <t>lb/in to N/m</t>
  </si>
  <si>
    <t>lb/in to kg/mm</t>
  </si>
  <si>
    <t>N/mm to kg/mm</t>
  </si>
  <si>
    <t>N/mm to lb/in</t>
  </si>
  <si>
    <t>N/mm to N/m</t>
  </si>
  <si>
    <t>N/m to N/mm</t>
  </si>
  <si>
    <t>N/m to kg/mm</t>
  </si>
  <si>
    <t>N/m to lb/in</t>
  </si>
  <si>
    <t>N/mm</t>
  </si>
  <si>
    <t>N/m</t>
  </si>
  <si>
    <t>kg/mm</t>
  </si>
  <si>
    <t>lb/in</t>
  </si>
  <si>
    <r>
      <rPr>
        <sz val="10"/>
        <color indexed="10"/>
        <rFont val="Verdana"/>
        <family val="2"/>
      </rPr>
      <t>By Warren Rowley</t>
    </r>
    <r>
      <rPr>
        <sz val="10"/>
        <color indexed="8"/>
        <rFont val="Verdana"/>
        <family val="2"/>
      </rPr>
      <t xml:space="preserve"> </t>
    </r>
  </si>
  <si>
    <t>Total front sprung mass [kg]</t>
  </si>
  <si>
    <t>Total rear sprung mass  [kg]</t>
  </si>
  <si>
    <t>Mus rr</t>
  </si>
  <si>
    <t>Ms r</t>
  </si>
  <si>
    <t>Ms f</t>
  </si>
  <si>
    <t>Tf</t>
  </si>
  <si>
    <t>Tr</t>
  </si>
  <si>
    <t xml:space="preserve">L </t>
  </si>
  <si>
    <t>WTsf</t>
  </si>
  <si>
    <t>Measured Suspension  Data</t>
  </si>
  <si>
    <t xml:space="preserve">Calculated Suspension Data </t>
  </si>
  <si>
    <t>WTsr</t>
  </si>
  <si>
    <t xml:space="preserve">Results </t>
  </si>
  <si>
    <t xml:space="preserve">hf </t>
  </si>
  <si>
    <t xml:space="preserve">hr </t>
  </si>
  <si>
    <t>b</t>
  </si>
  <si>
    <t>hr -hf</t>
  </si>
  <si>
    <t>z</t>
  </si>
  <si>
    <t>z+hf</t>
  </si>
  <si>
    <t>Fz rr</t>
  </si>
  <si>
    <t>Kϕr</t>
  </si>
  <si>
    <t>Kϕt</t>
  </si>
  <si>
    <t>Depth  of triangle at CG [m]</t>
  </si>
  <si>
    <t>Height of roll axis at CG [m]</t>
  </si>
  <si>
    <t>Height of CG above roll axis [m]</t>
  </si>
  <si>
    <t>Rear -Front RC Height [m]</t>
  </si>
  <si>
    <t>Mot</t>
  </si>
  <si>
    <t>Overturning moment [Nm]</t>
  </si>
  <si>
    <t>Total Roll Stiffness [Nm/rad]</t>
  </si>
  <si>
    <t>Rear Roll Stiffness [Nm/rad]</t>
  </si>
  <si>
    <t>Front weight transfer due to spung mass [N]</t>
  </si>
  <si>
    <t>Rear  weight transfer due to spung mass [N]</t>
  </si>
  <si>
    <t>Left front  vertical force [N]</t>
  </si>
  <si>
    <t>Front Rightvertical force  [N]</t>
  </si>
  <si>
    <t>Rear Left vertical force [N]</t>
  </si>
  <si>
    <t>Rear Right  vertical force [N]</t>
  </si>
  <si>
    <t>MR rr</t>
  </si>
  <si>
    <t>WTsrcf</t>
  </si>
  <si>
    <t>Wtusf</t>
  </si>
  <si>
    <t>Wtusr</t>
  </si>
  <si>
    <t>WTsrcr</t>
  </si>
  <si>
    <t xml:space="preserve">Hs </t>
  </si>
  <si>
    <t>Kϕf</t>
  </si>
  <si>
    <t xml:space="preserve">WT </t>
  </si>
  <si>
    <t>Hsra</t>
  </si>
  <si>
    <t>Front Left   corner sprung mass [kg]</t>
  </si>
  <si>
    <t>Rear Right corner sprung  mass [kg]</t>
  </si>
  <si>
    <t>Rear Left   corner sprung mass [kg]</t>
  </si>
  <si>
    <t>Front Left Spring rate [N/mm]</t>
  </si>
  <si>
    <t>Front Right rspring rate [N/mm]</t>
  </si>
  <si>
    <t>Rear Left  Spring rate [N/mm]</t>
  </si>
  <si>
    <t>Rear Right  Spring Rate [N/mm]</t>
  </si>
  <si>
    <t>Front Left   wheel rate  [N/mm]</t>
  </si>
  <si>
    <t>Front Left total measured static corner mass [kg]</t>
  </si>
  <si>
    <t>Front Right  measured static corner mass [kg]</t>
  </si>
  <si>
    <t>Rear Left  total measured static corner mass [kg]</t>
  </si>
  <si>
    <t>Rear Right   total measured static corner mass [kg]</t>
  </si>
  <si>
    <t>Front Left  unsprung mass  [kg]</t>
  </si>
  <si>
    <t>Front Right total unsprung mass  [kg]</t>
  </si>
  <si>
    <t>Rear Left unsprung mass  [kg]</t>
  </si>
  <si>
    <t>Rear Right unsprung mass  [kg]</t>
  </si>
  <si>
    <t>MR fl</t>
  </si>
  <si>
    <t>MR fr</t>
  </si>
  <si>
    <t>MR rl</t>
  </si>
  <si>
    <t>M fl</t>
  </si>
  <si>
    <t>M fr</t>
  </si>
  <si>
    <t>M rl</t>
  </si>
  <si>
    <t>Mus fl</t>
  </si>
  <si>
    <t>Mus fr</t>
  </si>
  <si>
    <t>Mus rl</t>
  </si>
  <si>
    <t>Ms fl</t>
  </si>
  <si>
    <t>Ms fr</t>
  </si>
  <si>
    <t>Ms rl</t>
  </si>
  <si>
    <t>Ks rl</t>
  </si>
  <si>
    <t>Ks rr</t>
  </si>
  <si>
    <t>Kw fl</t>
  </si>
  <si>
    <t>Kw fr</t>
  </si>
  <si>
    <t>Front Right wheel rate  [N/mm]</t>
  </si>
  <si>
    <t>Fz fl</t>
  </si>
  <si>
    <t xml:space="preserve">Ks fl  </t>
  </si>
  <si>
    <t xml:space="preserve">Ks fr </t>
  </si>
  <si>
    <t>Front Left Spring rate [lb/in]</t>
  </si>
  <si>
    <t>Front Right Spring rate [lb/in]</t>
  </si>
  <si>
    <t>Rear Left   Spring rate [lb/in]</t>
  </si>
  <si>
    <t>Rear Right  Spring rate [lb/in]</t>
  </si>
  <si>
    <t>Fz rl</t>
  </si>
  <si>
    <t>Ks fl</t>
  </si>
  <si>
    <t>Ks fr</t>
  </si>
  <si>
    <t>Fz fr</t>
  </si>
  <si>
    <t xml:space="preserve">Lateral Acceleration </t>
  </si>
  <si>
    <t>Mtot</t>
  </si>
  <si>
    <t xml:space="preserve">Total  sprung mass </t>
  </si>
  <si>
    <t xml:space="preserve">Total Mass </t>
  </si>
  <si>
    <t>b x Mstot = Msr * L</t>
  </si>
  <si>
    <t>Front Roll Stiffness [Nm/rad]</t>
  </si>
  <si>
    <t>ϕ</t>
  </si>
  <si>
    <t xml:space="preserve">Read vertical wheel load values  into correct </t>
  </si>
  <si>
    <t xml:space="preserve">            From static +/- WT</t>
  </si>
  <si>
    <t>Use Htot and Mtot to calculate total WT</t>
  </si>
  <si>
    <t>Total unsprung mass</t>
  </si>
  <si>
    <t xml:space="preserve">another sheet </t>
  </si>
  <si>
    <t xml:space="preserve"> cells of  Rowley Load Split Calculator on </t>
  </si>
  <si>
    <t>deg</t>
  </si>
  <si>
    <t>Roll angle  (Radians)</t>
  </si>
  <si>
    <t>Rrr</t>
  </si>
  <si>
    <t>Rrf</t>
  </si>
  <si>
    <t>LF+RF</t>
  </si>
  <si>
    <t>LF</t>
  </si>
  <si>
    <t>RF</t>
  </si>
  <si>
    <t xml:space="preserve">Front Split </t>
  </si>
  <si>
    <t xml:space="preserve">LF-RF </t>
  </si>
  <si>
    <t>LF+LR</t>
  </si>
  <si>
    <t xml:space="preserve">   RF+RR</t>
  </si>
  <si>
    <t xml:space="preserve"> (LR-RR) -</t>
  </si>
  <si>
    <t xml:space="preserve">(LF-RF) </t>
  </si>
  <si>
    <t xml:space="preserve">Rear Split </t>
  </si>
  <si>
    <t xml:space="preserve">LR-RR </t>
  </si>
  <si>
    <t>LR</t>
  </si>
  <si>
    <t>RR</t>
  </si>
  <si>
    <t>LR-LF Split</t>
  </si>
  <si>
    <t>RR-RF Split</t>
  </si>
  <si>
    <t>Wedge</t>
  </si>
  <si>
    <t>LR+RR</t>
  </si>
  <si>
    <t>LR-RF Split</t>
  </si>
  <si>
    <t xml:space="preserve">Wheel load distribution </t>
  </si>
  <si>
    <t>Front WT due to sprung mass at RC Height</t>
  </si>
  <si>
    <t>Rear WT due to sprung mass at RC Height</t>
  </si>
  <si>
    <t>Front WT due to Unsprung mass at wheel centre height</t>
  </si>
  <si>
    <t>Rear WT due to Unsprung mass at wheel centre height</t>
  </si>
  <si>
    <t xml:space="preserve">Total front WT </t>
  </si>
  <si>
    <t>Total Rear WT</t>
  </si>
  <si>
    <t xml:space="preserve">Total WT calculated by adding alll Weight Transfers </t>
  </si>
  <si>
    <t>Rear Left Wheel Rate [N/mm]</t>
  </si>
  <si>
    <t>Rear  Right wheel  rate [N/mm]</t>
  </si>
  <si>
    <t xml:space="preserve">These may not match exactly due to different tracks </t>
  </si>
  <si>
    <t>Kw rl</t>
  </si>
  <si>
    <t>Kw rr</t>
  </si>
  <si>
    <t xml:space="preserve">Insert  the Lat acc in m/s^2 in  here  and then read it into the calculations </t>
  </si>
  <si>
    <t xml:space="preserve">Ht </t>
  </si>
  <si>
    <t>Motion Ratio front left</t>
  </si>
  <si>
    <t>Motion Ratio front right</t>
  </si>
  <si>
    <t xml:space="preserve">Motion Ratio rear left </t>
  </si>
  <si>
    <t xml:space="preserve">Motion Ratio rear right </t>
  </si>
  <si>
    <t>Ht x Mt  = (Musf x Rrf) + (Musr x Rrr) + (Mstot x  Hs)</t>
  </si>
  <si>
    <t>FRLSD</t>
  </si>
  <si>
    <t>RLS</t>
  </si>
  <si>
    <t>FLS</t>
  </si>
  <si>
    <r>
      <rPr>
        <sz val="11"/>
        <color rgb="FF000000"/>
        <rFont val="Calibri"/>
        <family val="2"/>
      </rPr>
      <t>M</t>
    </r>
    <r>
      <rPr>
        <vertAlign val="subscript"/>
        <sz val="11"/>
        <color rgb="FF000000"/>
        <rFont val="Calibri"/>
        <family val="2"/>
      </rPr>
      <t>ot</t>
    </r>
    <r>
      <rPr>
        <sz val="11"/>
        <color rgb="FF000000"/>
        <rFont val="Calibri"/>
        <family val="2"/>
      </rPr>
      <t xml:space="preserve"> = M</t>
    </r>
    <r>
      <rPr>
        <vertAlign val="subscript"/>
        <sz val="11"/>
        <color rgb="FF000000"/>
        <rFont val="Calibri"/>
        <family val="2"/>
      </rPr>
      <t>s</t>
    </r>
    <r>
      <rPr>
        <sz val="11"/>
        <color rgb="FF000000"/>
        <rFont val="Calibri"/>
        <family val="2"/>
      </rPr>
      <t xml:space="preserve"> x a</t>
    </r>
    <r>
      <rPr>
        <vertAlign val="subscript"/>
        <sz val="11"/>
        <color rgb="FF000000"/>
        <rFont val="Calibri"/>
        <family val="2"/>
      </rPr>
      <t>y</t>
    </r>
    <r>
      <rPr>
        <sz val="11"/>
        <color rgb="FF000000"/>
        <rFont val="Calibri"/>
        <family val="2"/>
      </rPr>
      <t xml:space="preserve"> x Hsra</t>
    </r>
    <r>
      <rPr>
        <sz val="28"/>
        <color rgb="FF000000"/>
        <rFont val="Calibri"/>
        <family val="2"/>
      </rPr>
      <t xml:space="preserve"> </t>
    </r>
  </si>
  <si>
    <t xml:space="preserve">WTsf =(ϕ x Kwf x Tf)/2 </t>
  </si>
  <si>
    <t xml:space="preserve">WTsr =(ϕ x Kwr x Tr)/2 </t>
  </si>
  <si>
    <t>Must</t>
  </si>
  <si>
    <t>Mst</t>
  </si>
  <si>
    <r>
      <t xml:space="preserve">   </t>
    </r>
    <r>
      <rPr>
        <u/>
        <sz val="11"/>
        <rFont val="Arial"/>
        <family val="2"/>
      </rPr>
      <t xml:space="preserve">hr-hf </t>
    </r>
    <r>
      <rPr>
        <sz val="11"/>
        <rFont val="Arial"/>
        <family val="2"/>
      </rPr>
      <t xml:space="preserve">  =  </t>
    </r>
    <r>
      <rPr>
        <u/>
        <sz val="11"/>
        <rFont val="Arial"/>
        <family val="2"/>
      </rPr>
      <t>Z</t>
    </r>
    <r>
      <rPr>
        <sz val="11"/>
        <rFont val="Arial"/>
        <family val="2"/>
      </rPr>
      <t xml:space="preserve">      </t>
    </r>
  </si>
  <si>
    <t xml:space="preserve">     L           b</t>
  </si>
  <si>
    <r>
      <rPr>
        <sz val="11"/>
        <color rgb="FF000000"/>
        <rFont val="Calibri"/>
        <family val="2"/>
      </rPr>
      <t xml:space="preserve">            </t>
    </r>
    <r>
      <rPr>
        <sz val="11"/>
        <color rgb="FF000000"/>
        <rFont val="Calibri"/>
        <family val="2"/>
      </rPr>
      <t xml:space="preserve">  </t>
    </r>
  </si>
  <si>
    <t xml:space="preserve">                    </t>
  </si>
  <si>
    <t>Distance of cg of sprung mass from front axle [m]</t>
  </si>
  <si>
    <t>Rolling  Radius front [m]</t>
  </si>
  <si>
    <t>Rolling Radius rear [m]</t>
  </si>
  <si>
    <t>Height of CG of total mass above ground [m]</t>
  </si>
  <si>
    <t>Height of CG of sprung mass  above ground [ m]</t>
  </si>
  <si>
    <t>Height of Front roll centre above ground  [m]</t>
  </si>
  <si>
    <t>Height of Rear roll centre above ground [m]</t>
  </si>
  <si>
    <t>Rear track [m]</t>
  </si>
  <si>
    <t>Wheel base  [m]</t>
  </si>
  <si>
    <t>Front Track [m]</t>
  </si>
  <si>
    <t>Total  wheel load  by static corner weight check  [N]</t>
  </si>
  <si>
    <t>Total WT calculated for 'solid' car [N]</t>
  </si>
  <si>
    <t>Front Load Split [N]</t>
  </si>
  <si>
    <t>Rear Load Split [N]</t>
  </si>
  <si>
    <t>Front Rear Load Split Difference [N]</t>
  </si>
  <si>
    <t>Total wheel loads  by individual wheel load check [N]</t>
  </si>
  <si>
    <t xml:space="preserve">Mot = Ms x ay x Hsra </t>
  </si>
  <si>
    <t xml:space="preserve">   hr-hf   =  Z      </t>
  </si>
  <si>
    <t xml:space="preserve">              </t>
  </si>
  <si>
    <t>Use Ht and Mt to calculate total WT</t>
  </si>
  <si>
    <t>Depth  of triangle Z at CG [m]</t>
  </si>
  <si>
    <t>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</si>
</sst>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"/>
    <numFmt numFmtId="165" formatCode="0.000"/>
    <numFmt numFmtId="166" formatCode="0.0"/>
    <numFmt numFmtId="167" formatCode="0.0%"/>
    <numFmt numFmtId="168" formatCode="0.000000"/>
  </numFmts>
  <fonts count="24" x14ac:knownFonts="1">
    <font>
      <sz val="10"/>
      <name val="Arial"/>
    </font>
    <font>
      <sz val="8"/>
      <name val="Arial"/>
      <family val="2"/>
    </font>
    <font>
      <b/>
      <sz val="14"/>
      <color indexed="10"/>
      <name val="Verdana"/>
      <family val="2"/>
    </font>
    <font>
      <sz val="10"/>
      <color indexed="8"/>
      <name val="Verdana"/>
      <family val="2"/>
    </font>
    <font>
      <sz val="10"/>
      <color indexed="10"/>
      <name val="Verdana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0"/>
      <name val="Calibri"/>
      <family val="2"/>
    </font>
    <font>
      <sz val="24"/>
      <color rgb="FFFF0000"/>
      <name val="Arial"/>
      <family val="2"/>
    </font>
    <font>
      <sz val="11"/>
      <color rgb="FFFF0000"/>
      <name val="Arial"/>
      <family val="2"/>
    </font>
    <font>
      <sz val="13"/>
      <color rgb="FF000000"/>
      <name val="Calibri"/>
      <family val="2"/>
    </font>
    <font>
      <sz val="10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sz val="10"/>
      <color theme="0"/>
      <name val="Arial"/>
      <family val="2"/>
    </font>
    <font>
      <sz val="28"/>
      <color rgb="FF000000"/>
      <name val="Calibri"/>
      <family val="2"/>
    </font>
    <font>
      <vertAlign val="subscript"/>
      <sz val="11"/>
      <color rgb="FF000000"/>
      <name val="Calibri"/>
      <family val="2"/>
    </font>
    <font>
      <b/>
      <sz val="12"/>
      <color theme="0"/>
      <name val="Arial"/>
      <family val="2"/>
    </font>
    <font>
      <u/>
      <sz val="1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6" fillId="0" borderId="0" applyFont="0" applyFill="0" applyBorder="0" applyAlignment="0" applyProtection="0"/>
  </cellStyleXfs>
  <cellXfs count="197">
    <xf numFmtId="0" fontId="0" fillId="0" borderId="0" xfId="0"/>
    <xf numFmtId="2" fontId="0" fillId="4" borderId="7" xfId="0" applyNumberForma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left"/>
    </xf>
    <xf numFmtId="0" fontId="0" fillId="0" borderId="2" xfId="0" applyBorder="1" applyProtection="1"/>
    <xf numFmtId="0" fontId="0" fillId="0" borderId="2" xfId="0" applyBorder="1" applyProtection="1">
      <protection locked="0"/>
    </xf>
    <xf numFmtId="0" fontId="0" fillId="0" borderId="3" xfId="0" applyBorder="1" applyProtection="1"/>
    <xf numFmtId="0" fontId="3" fillId="0" borderId="4" xfId="0" applyFont="1" applyBorder="1" applyProtection="1"/>
    <xf numFmtId="0" fontId="0" fillId="0" borderId="0" xfId="0" applyBorder="1" applyProtection="1"/>
    <xf numFmtId="0" fontId="0" fillId="2" borderId="5" xfId="0" applyFill="1" applyBorder="1" applyAlignment="1" applyProtection="1">
      <alignment horizontal="center"/>
    </xf>
    <xf numFmtId="0" fontId="0" fillId="0" borderId="0" xfId="0" applyBorder="1" applyAlignment="1" applyProtection="1">
      <alignment horizontal="right"/>
    </xf>
    <xf numFmtId="0" fontId="0" fillId="0" borderId="4" xfId="0" applyBorder="1" applyProtection="1"/>
    <xf numFmtId="0" fontId="0" fillId="0" borderId="0" xfId="0" applyFill="1" applyBorder="1" applyProtection="1"/>
    <xf numFmtId="0" fontId="0" fillId="0" borderId="4" xfId="0" applyFill="1" applyBorder="1" applyProtection="1"/>
    <xf numFmtId="0" fontId="0" fillId="0" borderId="0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4" xfId="0" applyBorder="1" applyAlignment="1" applyProtection="1">
      <alignment horizontal="right"/>
    </xf>
    <xf numFmtId="0" fontId="0" fillId="0" borderId="8" xfId="0" applyBorder="1" applyAlignment="1" applyProtection="1">
      <alignment horizontal="right"/>
    </xf>
    <xf numFmtId="0" fontId="2" fillId="0" borderId="4" xfId="0" applyFont="1" applyBorder="1" applyAlignment="1" applyProtection="1">
      <alignment horizontal="left"/>
    </xf>
    <xf numFmtId="0" fontId="0" fillId="0" borderId="0" xfId="0" applyBorder="1" applyProtection="1">
      <protection locked="0"/>
    </xf>
    <xf numFmtId="0" fontId="0" fillId="0" borderId="6" xfId="0" applyBorder="1" applyProtection="1"/>
    <xf numFmtId="2" fontId="0" fillId="5" borderId="7" xfId="0" applyNumberFormat="1" applyFill="1" applyBorder="1" applyAlignment="1" applyProtection="1">
      <alignment horizontal="center"/>
    </xf>
    <xf numFmtId="2" fontId="0" fillId="5" borderId="5" xfId="0" applyNumberFormat="1" applyFill="1" applyBorder="1" applyAlignment="1" applyProtection="1">
      <alignment horizontal="center"/>
    </xf>
    <xf numFmtId="2" fontId="0" fillId="4" borderId="9" xfId="0" applyNumberFormat="1" applyFill="1" applyBorder="1" applyAlignment="1" applyProtection="1">
      <alignment horizontal="center"/>
      <protection locked="0"/>
    </xf>
    <xf numFmtId="2" fontId="0" fillId="5" borderId="9" xfId="0" applyNumberFormat="1" applyFill="1" applyBorder="1" applyAlignment="1" applyProtection="1">
      <alignment horizontal="center"/>
    </xf>
    <xf numFmtId="2" fontId="0" fillId="5" borderId="10" xfId="0" applyNumberFormat="1" applyFill="1" applyBorder="1" applyAlignment="1" applyProtection="1">
      <alignment horizontal="center"/>
    </xf>
    <xf numFmtId="2" fontId="0" fillId="3" borderId="5" xfId="0" applyNumberFormat="1" applyFill="1" applyBorder="1" applyAlignment="1" applyProtection="1">
      <alignment horizontal="center"/>
    </xf>
    <xf numFmtId="2" fontId="3" fillId="3" borderId="5" xfId="0" applyNumberFormat="1" applyFont="1" applyFill="1" applyBorder="1" applyAlignment="1" applyProtection="1">
      <alignment horizontal="center"/>
    </xf>
    <xf numFmtId="0" fontId="5" fillId="0" borderId="0" xfId="0" applyFont="1"/>
    <xf numFmtId="0" fontId="0" fillId="0" borderId="7" xfId="0" applyBorder="1"/>
    <xf numFmtId="0" fontId="8" fillId="0" borderId="7" xfId="0" applyFont="1" applyBorder="1"/>
    <xf numFmtId="0" fontId="9" fillId="6" borderId="13" xfId="0" applyFont="1" applyFill="1" applyBorder="1"/>
    <xf numFmtId="0" fontId="0" fillId="0" borderId="7" xfId="0" applyBorder="1" applyAlignment="1">
      <alignment horizontal="center" vertical="center"/>
    </xf>
    <xf numFmtId="164" fontId="0" fillId="3" borderId="5" xfId="0" applyNumberFormat="1" applyFill="1" applyBorder="1" applyAlignment="1" applyProtection="1">
      <alignment horizontal="center"/>
    </xf>
    <xf numFmtId="2" fontId="0" fillId="7" borderId="5" xfId="0" applyNumberFormat="1" applyFill="1" applyBorder="1" applyAlignment="1" applyProtection="1">
      <alignment horizontal="center"/>
    </xf>
    <xf numFmtId="2" fontId="0" fillId="0" borderId="7" xfId="0" applyNumberFormat="1" applyBorder="1" applyAlignment="1">
      <alignment horizontal="center" vertical="center"/>
    </xf>
    <xf numFmtId="0" fontId="0" fillId="0" borderId="0" xfId="0" applyBorder="1"/>
    <xf numFmtId="0" fontId="7" fillId="0" borderId="15" xfId="0" applyFont="1" applyBorder="1"/>
    <xf numFmtId="0" fontId="7" fillId="0" borderId="16" xfId="0" applyFont="1" applyBorder="1"/>
    <xf numFmtId="0" fontId="0" fillId="8" borderId="7" xfId="0" applyFill="1" applyBorder="1" applyAlignment="1">
      <alignment horizontal="center" vertical="center"/>
    </xf>
    <xf numFmtId="0" fontId="11" fillId="0" borderId="0" xfId="0" applyFont="1"/>
    <xf numFmtId="0" fontId="10" fillId="0" borderId="0" xfId="0" applyFont="1"/>
    <xf numFmtId="0" fontId="13" fillId="0" borderId="0" xfId="0" applyFont="1" applyAlignment="1">
      <alignment horizontal="left" vertical="center" indent="3" readingOrder="1"/>
    </xf>
    <xf numFmtId="0" fontId="14" fillId="0" borderId="0" xfId="0" applyFont="1" applyAlignment="1">
      <alignment horizontal="left" vertical="center" indent="3" readingOrder="1"/>
    </xf>
    <xf numFmtId="165" fontId="0" fillId="9" borderId="7" xfId="0" applyNumberFormat="1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8" borderId="18" xfId="0" applyFill="1" applyBorder="1"/>
    <xf numFmtId="0" fontId="8" fillId="8" borderId="17" xfId="0" applyFont="1" applyFill="1" applyBorder="1"/>
    <xf numFmtId="0" fontId="0" fillId="9" borderId="0" xfId="0" applyFill="1" applyBorder="1"/>
    <xf numFmtId="0" fontId="0" fillId="0" borderId="0" xfId="0" applyAlignment="1"/>
    <xf numFmtId="0" fontId="0" fillId="7" borderId="7" xfId="0" applyFill="1" applyBorder="1" applyAlignment="1">
      <alignment horizontal="center" vertical="center"/>
    </xf>
    <xf numFmtId="165" fontId="0" fillId="7" borderId="7" xfId="0" applyNumberFormat="1" applyFill="1" applyBorder="1" applyAlignment="1">
      <alignment horizontal="center" vertical="center"/>
    </xf>
    <xf numFmtId="0" fontId="0" fillId="7" borderId="0" xfId="0" applyFill="1" applyBorder="1"/>
    <xf numFmtId="0" fontId="9" fillId="6" borderId="13" xfId="0" applyFont="1" applyFill="1" applyBorder="1" applyAlignment="1">
      <alignment horizontal="left"/>
    </xf>
    <xf numFmtId="166" fontId="0" fillId="0" borderId="5" xfId="0" applyNumberFormat="1" applyBorder="1" applyAlignment="1">
      <alignment horizontal="center" vertical="center"/>
    </xf>
    <xf numFmtId="0" fontId="8" fillId="0" borderId="0" xfId="0" applyFont="1"/>
    <xf numFmtId="0" fontId="8" fillId="0" borderId="18" xfId="0" applyFont="1" applyBorder="1"/>
    <xf numFmtId="166" fontId="0" fillId="9" borderId="5" xfId="0" applyNumberFormat="1" applyFill="1" applyBorder="1" applyAlignment="1">
      <alignment horizontal="center" vertical="center"/>
    </xf>
    <xf numFmtId="0" fontId="8" fillId="0" borderId="17" xfId="0" applyFont="1" applyBorder="1"/>
    <xf numFmtId="0" fontId="0" fillId="0" borderId="24" xfId="0" applyBorder="1"/>
    <xf numFmtId="1" fontId="0" fillId="9" borderId="5" xfId="0" applyNumberFormat="1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8" fillId="10" borderId="7" xfId="0" applyFont="1" applyFill="1" applyBorder="1" applyAlignment="1">
      <alignment horizontal="center" vertical="center"/>
    </xf>
    <xf numFmtId="0" fontId="0" fillId="0" borderId="25" xfId="0" applyBorder="1"/>
    <xf numFmtId="0" fontId="0" fillId="0" borderId="9" xfId="0" applyBorder="1"/>
    <xf numFmtId="0" fontId="7" fillId="0" borderId="1" xfId="0" applyFont="1" applyFill="1" applyBorder="1" applyAlignment="1">
      <alignment horizontal="left"/>
    </xf>
    <xf numFmtId="0" fontId="0" fillId="0" borderId="2" xfId="0" applyFill="1" applyBorder="1"/>
    <xf numFmtId="167" fontId="17" fillId="12" borderId="28" xfId="1" applyNumberFormat="1" applyFont="1" applyFill="1" applyBorder="1" applyAlignment="1">
      <alignment horizontal="center"/>
    </xf>
    <xf numFmtId="0" fontId="17" fillId="0" borderId="2" xfId="0" applyFont="1" applyFill="1" applyBorder="1"/>
    <xf numFmtId="0" fontId="17" fillId="0" borderId="2" xfId="0" applyFont="1" applyFill="1" applyBorder="1" applyAlignment="1">
      <alignment horizontal="center"/>
    </xf>
    <xf numFmtId="0" fontId="17" fillId="0" borderId="3" xfId="0" applyFont="1" applyFill="1" applyBorder="1"/>
    <xf numFmtId="0" fontId="17" fillId="0" borderId="4" xfId="0" applyFont="1" applyFill="1" applyBorder="1"/>
    <xf numFmtId="0" fontId="7" fillId="0" borderId="0" xfId="0" applyFont="1" applyFill="1" applyBorder="1"/>
    <xf numFmtId="0" fontId="17" fillId="0" borderId="0" xfId="0" applyFont="1" applyFill="1" applyBorder="1"/>
    <xf numFmtId="0" fontId="7" fillId="12" borderId="29" xfId="0" applyFont="1" applyFill="1" applyBorder="1" applyAlignment="1">
      <alignment horizontal="center"/>
    </xf>
    <xf numFmtId="0" fontId="17" fillId="0" borderId="6" xfId="0" applyFont="1" applyFill="1" applyBorder="1"/>
    <xf numFmtId="166" fontId="17" fillId="12" borderId="30" xfId="0" applyNumberFormat="1" applyFont="1" applyFill="1" applyBorder="1" applyAlignment="1">
      <alignment horizontal="center"/>
    </xf>
    <xf numFmtId="167" fontId="17" fillId="0" borderId="0" xfId="1" applyNumberFormat="1" applyFont="1" applyFill="1" applyBorder="1" applyAlignment="1">
      <alignment horizontal="center"/>
    </xf>
    <xf numFmtId="167" fontId="17" fillId="6" borderId="31" xfId="1" applyNumberFormat="1" applyFont="1" applyFill="1" applyBorder="1" applyAlignment="1">
      <alignment horizontal="center"/>
    </xf>
    <xf numFmtId="0" fontId="7" fillId="13" borderId="1" xfId="0" applyFont="1" applyFill="1" applyBorder="1" applyAlignment="1">
      <alignment horizontal="center"/>
    </xf>
    <xf numFmtId="166" fontId="6" fillId="13" borderId="2" xfId="0" applyNumberFormat="1" applyFont="1" applyFill="1" applyBorder="1" applyAlignment="1">
      <alignment horizontal="center"/>
    </xf>
    <xf numFmtId="0" fontId="7" fillId="13" borderId="3" xfId="0" applyFont="1" applyFill="1" applyBorder="1" applyAlignment="1">
      <alignment horizontal="center"/>
    </xf>
    <xf numFmtId="167" fontId="17" fillId="6" borderId="32" xfId="1" applyNumberFormat="1" applyFont="1" applyFill="1" applyBorder="1" applyAlignment="1">
      <alignment horizontal="center"/>
    </xf>
    <xf numFmtId="0" fontId="7" fillId="12" borderId="21" xfId="0" applyFont="1" applyFill="1" applyBorder="1"/>
    <xf numFmtId="0" fontId="7" fillId="12" borderId="11" xfId="0" applyFont="1" applyFill="1" applyBorder="1" applyAlignment="1">
      <alignment horizontal="right"/>
    </xf>
    <xf numFmtId="166" fontId="17" fillId="12" borderId="23" xfId="0" applyNumberFormat="1" applyFont="1" applyFill="1" applyBorder="1" applyAlignment="1">
      <alignment horizontal="center"/>
    </xf>
    <xf numFmtId="166" fontId="17" fillId="4" borderId="33" xfId="0" applyNumberFormat="1" applyFont="1" applyFill="1" applyBorder="1" applyAlignment="1">
      <alignment horizontal="center"/>
    </xf>
    <xf numFmtId="0" fontId="6" fillId="13" borderId="4" xfId="0" applyFont="1" applyFill="1" applyBorder="1"/>
    <xf numFmtId="0" fontId="7" fillId="13" borderId="0" xfId="0" applyFont="1" applyFill="1" applyBorder="1"/>
    <xf numFmtId="0" fontId="6" fillId="13" borderId="6" xfId="0" applyFont="1" applyFill="1" applyBorder="1"/>
    <xf numFmtId="166" fontId="17" fillId="4" borderId="34" xfId="0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7" fillId="13" borderId="4" xfId="0" applyFont="1" applyFill="1" applyBorder="1" applyAlignment="1">
      <alignment horizontal="center"/>
    </xf>
    <xf numFmtId="0" fontId="7" fillId="13" borderId="6" xfId="0" applyFont="1" applyFill="1" applyBorder="1" applyAlignment="1">
      <alignment horizontal="center"/>
    </xf>
    <xf numFmtId="166" fontId="17" fillId="0" borderId="0" xfId="0" applyNumberFormat="1" applyFont="1" applyFill="1" applyBorder="1" applyAlignment="1">
      <alignment horizontal="center"/>
    </xf>
    <xf numFmtId="166" fontId="7" fillId="12" borderId="35" xfId="0" applyNumberFormat="1" applyFont="1" applyFill="1" applyBorder="1" applyAlignment="1">
      <alignment horizontal="center"/>
    </xf>
    <xf numFmtId="167" fontId="17" fillId="12" borderId="11" xfId="0" applyNumberFormat="1" applyFont="1" applyFill="1" applyBorder="1" applyAlignment="1">
      <alignment horizontal="center"/>
    </xf>
    <xf numFmtId="0" fontId="17" fillId="12" borderId="12" xfId="0" applyFont="1" applyFill="1" applyBorder="1" applyAlignment="1">
      <alignment horizontal="center"/>
    </xf>
    <xf numFmtId="0" fontId="7" fillId="13" borderId="0" xfId="0" applyFont="1" applyFill="1" applyBorder="1" applyAlignment="1">
      <alignment horizontal="center"/>
    </xf>
    <xf numFmtId="166" fontId="17" fillId="0" borderId="13" xfId="0" applyNumberFormat="1" applyFont="1" applyFill="1" applyBorder="1" applyAlignment="1">
      <alignment horizontal="center"/>
    </xf>
    <xf numFmtId="166" fontId="17" fillId="12" borderId="35" xfId="0" applyNumberFormat="1" applyFont="1" applyFill="1" applyBorder="1" applyAlignment="1">
      <alignment horizontal="center"/>
    </xf>
    <xf numFmtId="167" fontId="17" fillId="12" borderId="36" xfId="0" applyNumberFormat="1" applyFont="1" applyFill="1" applyBorder="1" applyAlignment="1">
      <alignment horizontal="center"/>
    </xf>
    <xf numFmtId="0" fontId="7" fillId="12" borderId="23" xfId="0" applyFont="1" applyFill="1" applyBorder="1" applyAlignment="1">
      <alignment horizontal="left"/>
    </xf>
    <xf numFmtId="0" fontId="7" fillId="14" borderId="37" xfId="0" applyFont="1" applyFill="1" applyBorder="1" applyAlignment="1">
      <alignment horizontal="right"/>
    </xf>
    <xf numFmtId="0" fontId="7" fillId="14" borderId="20" xfId="0" applyFont="1" applyFill="1" applyBorder="1" applyAlignment="1"/>
    <xf numFmtId="166" fontId="7" fillId="14" borderId="0" xfId="0" applyNumberFormat="1" applyFont="1" applyFill="1" applyBorder="1" applyAlignment="1">
      <alignment horizontal="center"/>
    </xf>
    <xf numFmtId="167" fontId="17" fillId="6" borderId="38" xfId="1" applyNumberFormat="1" applyFont="1" applyFill="1" applyBorder="1" applyAlignment="1">
      <alignment horizontal="center"/>
    </xf>
    <xf numFmtId="167" fontId="17" fillId="6" borderId="39" xfId="1" applyNumberFormat="1" applyFont="1" applyFill="1" applyBorder="1" applyAlignment="1">
      <alignment horizontal="center"/>
    </xf>
    <xf numFmtId="0" fontId="7" fillId="12" borderId="40" xfId="0" applyFont="1" applyFill="1" applyBorder="1" applyAlignment="1">
      <alignment horizontal="center"/>
    </xf>
    <xf numFmtId="0" fontId="7" fillId="13" borderId="8" xfId="0" applyFont="1" applyFill="1" applyBorder="1" applyAlignment="1">
      <alignment horizontal="center"/>
    </xf>
    <xf numFmtId="0" fontId="7" fillId="13" borderId="27" xfId="0" applyFont="1" applyFill="1" applyBorder="1"/>
    <xf numFmtId="0" fontId="7" fillId="13" borderId="41" xfId="0" applyFont="1" applyFill="1" applyBorder="1" applyAlignment="1">
      <alignment horizontal="center"/>
    </xf>
    <xf numFmtId="166" fontId="17" fillId="4" borderId="42" xfId="0" applyNumberFormat="1" applyFont="1" applyFill="1" applyBorder="1" applyAlignment="1">
      <alignment horizontal="center"/>
    </xf>
    <xf numFmtId="0" fontId="17" fillId="0" borderId="21" xfId="0" applyFont="1" applyFill="1" applyBorder="1" applyAlignment="1">
      <alignment horizontal="center"/>
    </xf>
    <xf numFmtId="0" fontId="7" fillId="0" borderId="22" xfId="0" applyFont="1" applyFill="1" applyBorder="1" applyAlignment="1">
      <alignment horizontal="right"/>
    </xf>
    <xf numFmtId="166" fontId="17" fillId="0" borderId="23" xfId="0" applyNumberFormat="1" applyFont="1" applyFill="1" applyBorder="1" applyAlignment="1">
      <alignment horizontal="center"/>
    </xf>
    <xf numFmtId="166" fontId="17" fillId="12" borderId="43" xfId="0" applyNumberFormat="1" applyFont="1" applyFill="1" applyBorder="1" applyAlignment="1">
      <alignment horizontal="center"/>
    </xf>
    <xf numFmtId="166" fontId="17" fillId="12" borderId="21" xfId="0" applyNumberFormat="1" applyFont="1" applyFill="1" applyBorder="1" applyAlignment="1">
      <alignment horizontal="center"/>
    </xf>
    <xf numFmtId="0" fontId="7" fillId="12" borderId="22" xfId="0" applyFont="1" applyFill="1" applyBorder="1" applyAlignment="1">
      <alignment horizontal="left"/>
    </xf>
    <xf numFmtId="0" fontId="7" fillId="12" borderId="4" xfId="0" applyFont="1" applyFill="1" applyBorder="1" applyAlignment="1">
      <alignment horizontal="right"/>
    </xf>
    <xf numFmtId="167" fontId="17" fillId="12" borderId="6" xfId="1" applyNumberFormat="1" applyFont="1" applyFill="1" applyBorder="1" applyAlignment="1">
      <alignment horizontal="center"/>
    </xf>
    <xf numFmtId="0" fontId="7" fillId="12" borderId="44" xfId="0" applyFont="1" applyFill="1" applyBorder="1" applyAlignment="1">
      <alignment horizontal="center"/>
    </xf>
    <xf numFmtId="0" fontId="17" fillId="0" borderId="8" xfId="0" applyFont="1" applyFill="1" applyBorder="1"/>
    <xf numFmtId="166" fontId="17" fillId="0" borderId="23" xfId="1" applyNumberFormat="1" applyFont="1" applyFill="1" applyBorder="1" applyAlignment="1">
      <alignment horizontal="center"/>
    </xf>
    <xf numFmtId="0" fontId="17" fillId="0" borderId="27" xfId="0" applyFont="1" applyFill="1" applyBorder="1"/>
    <xf numFmtId="167" fontId="17" fillId="12" borderId="45" xfId="1" applyNumberFormat="1" applyFont="1" applyFill="1" applyBorder="1" applyAlignment="1">
      <alignment horizontal="center"/>
    </xf>
    <xf numFmtId="2" fontId="7" fillId="7" borderId="27" xfId="0" applyNumberFormat="1" applyFont="1" applyFill="1" applyBorder="1"/>
    <xf numFmtId="0" fontId="6" fillId="7" borderId="41" xfId="0" applyFont="1" applyFill="1" applyBorder="1"/>
    <xf numFmtId="0" fontId="18" fillId="0" borderId="0" xfId="0" applyFont="1"/>
    <xf numFmtId="166" fontId="0" fillId="0" borderId="0" xfId="0" applyNumberFormat="1"/>
    <xf numFmtId="2" fontId="0" fillId="7" borderId="17" xfId="0" applyNumberFormat="1" applyFill="1" applyBorder="1" applyAlignment="1" applyProtection="1">
      <alignment horizontal="center"/>
    </xf>
    <xf numFmtId="2" fontId="0" fillId="0" borderId="17" xfId="0" applyNumberFormat="1" applyBorder="1" applyAlignment="1">
      <alignment horizontal="center" vertical="center"/>
    </xf>
    <xf numFmtId="1" fontId="0" fillId="9" borderId="47" xfId="0" applyNumberFormat="1" applyFill="1" applyBorder="1" applyAlignment="1">
      <alignment horizontal="center" vertical="center"/>
    </xf>
    <xf numFmtId="0" fontId="8" fillId="0" borderId="19" xfId="0" applyFont="1" applyFill="1" applyBorder="1"/>
    <xf numFmtId="1" fontId="0" fillId="9" borderId="46" xfId="0" applyNumberFormat="1" applyFill="1" applyBorder="1" applyAlignment="1">
      <alignment horizontal="center" vertical="center"/>
    </xf>
    <xf numFmtId="1" fontId="0" fillId="11" borderId="28" xfId="0" applyNumberFormat="1" applyFill="1" applyBorder="1" applyAlignment="1">
      <alignment horizontal="center"/>
    </xf>
    <xf numFmtId="0" fontId="0" fillId="11" borderId="30" xfId="0" applyFill="1" applyBorder="1" applyAlignment="1">
      <alignment horizontal="center" vertical="center"/>
    </xf>
    <xf numFmtId="0" fontId="19" fillId="0" borderId="0" xfId="0" applyFont="1" applyBorder="1"/>
    <xf numFmtId="0" fontId="19" fillId="7" borderId="0" xfId="0" applyFont="1" applyFill="1" applyBorder="1"/>
    <xf numFmtId="1" fontId="0" fillId="15" borderId="13" xfId="0" applyNumberFormat="1" applyFill="1" applyBorder="1" applyAlignment="1">
      <alignment horizontal="center" vertical="center"/>
    </xf>
    <xf numFmtId="0" fontId="8" fillId="7" borderId="0" xfId="0" applyFont="1" applyFill="1" applyBorder="1"/>
    <xf numFmtId="0" fontId="8" fillId="9" borderId="21" xfId="0" applyFont="1" applyFill="1" applyBorder="1"/>
    <xf numFmtId="0" fontId="0" fillId="9" borderId="23" xfId="0" applyFill="1" applyBorder="1"/>
    <xf numFmtId="0" fontId="8" fillId="8" borderId="21" xfId="0" applyFont="1" applyFill="1" applyBorder="1"/>
    <xf numFmtId="0" fontId="0" fillId="8" borderId="23" xfId="0" applyFill="1" applyBorder="1"/>
    <xf numFmtId="0" fontId="8" fillId="9" borderId="1" xfId="0" applyFont="1" applyFill="1" applyBorder="1" applyAlignment="1">
      <alignment horizontal="center"/>
    </xf>
    <xf numFmtId="0" fontId="0" fillId="9" borderId="2" xfId="0" applyFill="1" applyBorder="1" applyAlignment="1">
      <alignment horizontal="left"/>
    </xf>
    <xf numFmtId="0" fontId="0" fillId="9" borderId="2" xfId="0" applyFill="1" applyBorder="1"/>
    <xf numFmtId="0" fontId="0" fillId="9" borderId="3" xfId="0" applyFill="1" applyBorder="1"/>
    <xf numFmtId="0" fontId="8" fillId="9" borderId="4" xfId="0" applyFont="1" applyFill="1" applyBorder="1"/>
    <xf numFmtId="0" fontId="0" fillId="9" borderId="6" xfId="0" applyFill="1" applyBorder="1"/>
    <xf numFmtId="0" fontId="0" fillId="9" borderId="4" xfId="0" applyFill="1" applyBorder="1"/>
    <xf numFmtId="0" fontId="0" fillId="9" borderId="8" xfId="0" applyFill="1" applyBorder="1"/>
    <xf numFmtId="0" fontId="0" fillId="9" borderId="27" xfId="0" applyFill="1" applyBorder="1"/>
    <xf numFmtId="0" fontId="0" fillId="9" borderId="41" xfId="0" applyFill="1" applyBorder="1"/>
    <xf numFmtId="0" fontId="8" fillId="9" borderId="1" xfId="0" applyFont="1" applyFill="1" applyBorder="1"/>
    <xf numFmtId="0" fontId="0" fillId="9" borderId="48" xfId="0" applyFill="1" applyBorder="1"/>
    <xf numFmtId="0" fontId="8" fillId="9" borderId="8" xfId="0" applyFont="1" applyFill="1" applyBorder="1"/>
    <xf numFmtId="0" fontId="0" fillId="9" borderId="49" xfId="0" applyFill="1" applyBorder="1"/>
    <xf numFmtId="0" fontId="11" fillId="9" borderId="45" xfId="0" applyFont="1" applyFill="1" applyBorder="1"/>
    <xf numFmtId="0" fontId="15" fillId="9" borderId="13" xfId="0" applyFont="1" applyFill="1" applyBorder="1" applyAlignment="1">
      <alignment horizontal="center" vertical="center" readingOrder="1"/>
    </xf>
    <xf numFmtId="0" fontId="8" fillId="7" borderId="25" xfId="0" applyFont="1" applyFill="1" applyBorder="1"/>
    <xf numFmtId="0" fontId="8" fillId="7" borderId="7" xfId="0" applyFont="1" applyFill="1" applyBorder="1"/>
    <xf numFmtId="0" fontId="0" fillId="7" borderId="26" xfId="0" applyFont="1" applyFill="1" applyBorder="1"/>
    <xf numFmtId="0" fontId="8" fillId="7" borderId="14" xfId="0" applyFont="1" applyFill="1" applyBorder="1"/>
    <xf numFmtId="0" fontId="0" fillId="10" borderId="14" xfId="0" applyFill="1" applyBorder="1" applyAlignment="1">
      <alignment horizontal="center" vertical="center"/>
    </xf>
    <xf numFmtId="0" fontId="0" fillId="7" borderId="7" xfId="0" applyFill="1" applyBorder="1" applyAlignment="1">
      <alignment horizontal="center"/>
    </xf>
    <xf numFmtId="0" fontId="0" fillId="7" borderId="7" xfId="0" applyFill="1" applyBorder="1"/>
    <xf numFmtId="0" fontId="12" fillId="7" borderId="7" xfId="0" applyFont="1" applyFill="1" applyBorder="1"/>
    <xf numFmtId="0" fontId="8" fillId="7" borderId="17" xfId="0" applyFont="1" applyFill="1" applyBorder="1"/>
    <xf numFmtId="166" fontId="0" fillId="7" borderId="5" xfId="0" applyNumberFormat="1" applyFill="1" applyBorder="1" applyAlignment="1">
      <alignment horizontal="center"/>
    </xf>
    <xf numFmtId="166" fontId="0" fillId="7" borderId="46" xfId="0" applyNumberFormat="1" applyFill="1" applyBorder="1" applyAlignment="1">
      <alignment horizontal="center"/>
    </xf>
    <xf numFmtId="0" fontId="7" fillId="0" borderId="50" xfId="0" applyFont="1" applyBorder="1"/>
    <xf numFmtId="0" fontId="0" fillId="0" borderId="51" xfId="0" applyBorder="1"/>
    <xf numFmtId="0" fontId="0" fillId="0" borderId="52" xfId="0" applyBorder="1"/>
    <xf numFmtId="0" fontId="0" fillId="10" borderId="52" xfId="0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8" fillId="0" borderId="52" xfId="0" applyFont="1" applyBorder="1"/>
    <xf numFmtId="166" fontId="0" fillId="0" borderId="53" xfId="0" applyNumberFormat="1" applyBorder="1" applyAlignment="1">
      <alignment horizontal="center" vertical="center"/>
    </xf>
    <xf numFmtId="0" fontId="0" fillId="0" borderId="54" xfId="0" applyBorder="1"/>
    <xf numFmtId="0" fontId="0" fillId="10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25" xfId="0" applyFont="1" applyBorder="1"/>
    <xf numFmtId="0" fontId="8" fillId="0" borderId="9" xfId="0" applyFont="1" applyBorder="1"/>
    <xf numFmtId="168" fontId="0" fillId="0" borderId="5" xfId="0" applyNumberFormat="1" applyBorder="1" applyAlignment="1">
      <alignment horizontal="center" vertical="center"/>
    </xf>
    <xf numFmtId="0" fontId="20" fillId="9" borderId="21" xfId="0" applyFont="1" applyFill="1" applyBorder="1" applyAlignment="1">
      <alignment vertical="center"/>
    </xf>
    <xf numFmtId="0" fontId="0" fillId="9" borderId="23" xfId="0" applyFill="1" applyBorder="1" applyAlignment="1">
      <alignment vertical="center"/>
    </xf>
    <xf numFmtId="0" fontId="0" fillId="0" borderId="55" xfId="0" applyBorder="1"/>
    <xf numFmtId="1" fontId="0" fillId="15" borderId="28" xfId="0" applyNumberFormat="1" applyFill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1" fontId="22" fillId="16" borderId="7" xfId="0" applyNumberFormat="1" applyFont="1" applyFill="1" applyBorder="1" applyAlignment="1">
      <alignment horizontal="center"/>
    </xf>
    <xf numFmtId="0" fontId="11" fillId="9" borderId="28" xfId="0" applyFont="1" applyFill="1" applyBorder="1"/>
    <xf numFmtId="0" fontId="10" fillId="7" borderId="0" xfId="0" applyFont="1" applyFill="1" applyBorder="1" applyAlignment="1">
      <alignment horizontal="left" vertical="center" indent="4" readingOrder="1"/>
    </xf>
    <xf numFmtId="0" fontId="11" fillId="7" borderId="0" xfId="0" applyFont="1" applyFill="1" applyBorder="1"/>
    <xf numFmtId="1" fontId="0" fillId="7" borderId="5" xfId="0" applyNumberFormat="1" applyFill="1" applyBorder="1" applyAlignment="1" applyProtection="1">
      <alignment horizontal="center"/>
    </xf>
    <xf numFmtId="0" fontId="10" fillId="9" borderId="21" xfId="0" applyFont="1" applyFill="1" applyBorder="1" applyAlignment="1">
      <alignment vertical="center"/>
    </xf>
    <xf numFmtId="2" fontId="0" fillId="10" borderId="5" xfId="0" applyNumberFormat="1" applyFill="1" applyBorder="1" applyAlignment="1" applyProtection="1">
      <alignment horizontal="center"/>
    </xf>
    <xf numFmtId="2" fontId="0" fillId="10" borderId="17" xfId="0" applyNumberFormat="1" applyFill="1" applyBorder="1" applyAlignment="1" applyProtection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mruColors>
      <color rgb="FFCCFFFF"/>
      <color rgb="FF00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7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7.emf"/><Relationship Id="rId5" Type="http://schemas.openxmlformats.org/officeDocument/2006/relationships/image" Target="../media/image6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226786</xdr:colOff>
      <xdr:row>18</xdr:row>
      <xdr:rowOff>90714</xdr:rowOff>
    </xdr:from>
    <xdr:to>
      <xdr:col>6</xdr:col>
      <xdr:colOff>553358</xdr:colOff>
      <xdr:row>29</xdr:row>
      <xdr:rowOff>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9125857" y="3184071"/>
          <a:ext cx="326572" cy="174171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530704</xdr:colOff>
      <xdr:row>30</xdr:row>
      <xdr:rowOff>3342</xdr:rowOff>
    </xdr:from>
    <xdr:to>
      <xdr:col>9</xdr:col>
      <xdr:colOff>754220</xdr:colOff>
      <xdr:row>38</xdr:row>
      <xdr:rowOff>37631</xdr:rowOff>
    </xdr:to>
    <xdr:pic>
      <xdr:nvPicPr>
        <xdr:cNvPr id="7" name="Content Placeholder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309704" y="5110556"/>
          <a:ext cx="4568731" cy="144943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4</xdr:col>
      <xdr:colOff>123827</xdr:colOff>
      <xdr:row>16</xdr:row>
      <xdr:rowOff>99785</xdr:rowOff>
    </xdr:from>
    <xdr:to>
      <xdr:col>6</xdr:col>
      <xdr:colOff>18143</xdr:colOff>
      <xdr:row>29</xdr:row>
      <xdr:rowOff>9525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 flipH="1">
          <a:off x="5639256" y="2866571"/>
          <a:ext cx="3277958" cy="206874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2076450</xdr:colOff>
      <xdr:row>25</xdr:row>
      <xdr:rowOff>83820</xdr:rowOff>
    </xdr:from>
    <xdr:to>
      <xdr:col>3</xdr:col>
      <xdr:colOff>91440</xdr:colOff>
      <xdr:row>31</xdr:row>
      <xdr:rowOff>0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flipH="1">
          <a:off x="3295650" y="4411980"/>
          <a:ext cx="1436370" cy="130302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24" name="Straight Arrow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 flipH="1">
          <a:off x="5295900" y="95250"/>
          <a:ext cx="685801" cy="38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18</xdr:row>
      <xdr:rowOff>152402</xdr:rowOff>
    </xdr:from>
    <xdr:to>
      <xdr:col>11</xdr:col>
      <xdr:colOff>0</xdr:colOff>
      <xdr:row>19</xdr:row>
      <xdr:rowOff>0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V="1">
          <a:off x="14964833" y="3401485"/>
          <a:ext cx="529167" cy="634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8</xdr:row>
      <xdr:rowOff>145143</xdr:rowOff>
    </xdr:to>
    <xdr:cxnSp macro="">
      <xdr:nvCxnSpPr>
        <xdr:cNvPr id="96" name="Straight Arrow Connector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CxnSpPr/>
      </xdr:nvCxnSpPr>
      <xdr:spPr>
        <a:xfrm>
          <a:off x="14787154" y="1506583"/>
          <a:ext cx="679632" cy="5370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98" name="Straight Arrow Connector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CxnSpPr/>
      </xdr:nvCxnSpPr>
      <xdr:spPr>
        <a:xfrm>
          <a:off x="14810528" y="1728258"/>
          <a:ext cx="672133" cy="32793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415638</xdr:colOff>
      <xdr:row>11</xdr:row>
      <xdr:rowOff>79950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E4B4DBE-E3D3-44A7-A824-1A18EDF481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973469" y="602016"/>
          <a:ext cx="2330534" cy="145172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10</xdr:col>
      <xdr:colOff>11545</xdr:colOff>
      <xdr:row>3</xdr:row>
      <xdr:rowOff>17318</xdr:rowOff>
    </xdr:from>
    <xdr:to>
      <xdr:col>13</xdr:col>
      <xdr:colOff>196273</xdr:colOff>
      <xdr:row>4</xdr:row>
      <xdr:rowOff>121227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C443886E-86DD-4062-BA67-31C5E32B19D2}"/>
            </a:ext>
          </a:extLst>
        </xdr:cNvPr>
        <xdr:cNvCxnSpPr/>
      </xdr:nvCxnSpPr>
      <xdr:spPr>
        <a:xfrm flipV="1">
          <a:off x="15130318" y="617682"/>
          <a:ext cx="1974273" cy="28863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2694215</xdr:colOff>
      <xdr:row>5</xdr:row>
      <xdr:rowOff>353788</xdr:rowOff>
    </xdr:from>
    <xdr:to>
      <xdr:col>8</xdr:col>
      <xdr:colOff>3138714</xdr:colOff>
      <xdr:row>8</xdr:row>
      <xdr:rowOff>82947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F827C3CF-5472-4E37-8D6B-19662F3338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081001" y="1279074"/>
          <a:ext cx="444499" cy="412237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2E340281-E16D-48F0-A504-49059DB7C39B}"/>
            </a:ext>
          </a:extLst>
        </xdr:cNvPr>
        <xdr:cNvCxnSpPr/>
      </xdr:nvCxnSpPr>
      <xdr:spPr>
        <a:xfrm flipV="1">
          <a:off x="14905182" y="1050637"/>
          <a:ext cx="577273" cy="178954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3138714</xdr:colOff>
      <xdr:row>7</xdr:row>
      <xdr:rowOff>44320</xdr:rowOff>
    </xdr:from>
    <xdr:to>
      <xdr:col>9</xdr:col>
      <xdr:colOff>63500</xdr:colOff>
      <xdr:row>7</xdr:row>
      <xdr:rowOff>75046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EC55E190-487F-430F-ACAA-73BA4CD10C61}"/>
            </a:ext>
          </a:extLst>
        </xdr:cNvPr>
        <xdr:cNvCxnSpPr>
          <a:endCxn id="18" idx="3"/>
        </xdr:cNvCxnSpPr>
      </xdr:nvCxnSpPr>
      <xdr:spPr>
        <a:xfrm flipH="1" flipV="1">
          <a:off x="13546941" y="1348956"/>
          <a:ext cx="659741" cy="3072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33627</xdr:rowOff>
    </xdr:from>
    <xdr:to>
      <xdr:col>12</xdr:col>
      <xdr:colOff>230141</xdr:colOff>
      <xdr:row>17</xdr:row>
      <xdr:rowOff>79374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2EE16931-3C10-486B-A2AD-22EE27E9D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537847" y="2800413"/>
          <a:ext cx="812223" cy="20903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16</xdr:row>
      <xdr:rowOff>9071</xdr:rowOff>
    </xdr:from>
    <xdr:to>
      <xdr:col>13</xdr:col>
      <xdr:colOff>517712</xdr:colOff>
      <xdr:row>17</xdr:row>
      <xdr:rowOff>68310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AEB300C3-B6A1-41F1-B7E5-D848D17D6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490343" y="2775857"/>
          <a:ext cx="873012" cy="22252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11</xdr:col>
      <xdr:colOff>34012</xdr:colOff>
      <xdr:row>13</xdr:row>
      <xdr:rowOff>151009</xdr:rowOff>
    </xdr:from>
    <xdr:to>
      <xdr:col>12</xdr:col>
      <xdr:colOff>204642</xdr:colOff>
      <xdr:row>15</xdr:row>
      <xdr:rowOff>18143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8AB34D77-546B-4629-BF60-F79103117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518941" y="2427938"/>
          <a:ext cx="805630" cy="19370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312208</xdr:colOff>
      <xdr:row>13</xdr:row>
      <xdr:rowOff>129648</xdr:rowOff>
    </xdr:from>
    <xdr:to>
      <xdr:col>13</xdr:col>
      <xdr:colOff>495436</xdr:colOff>
      <xdr:row>15</xdr:row>
      <xdr:rowOff>21168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B429BFE7-0A55-48B8-B37D-FD99C5363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432137" y="2406577"/>
          <a:ext cx="908942" cy="218091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807357</xdr:colOff>
      <xdr:row>11</xdr:row>
      <xdr:rowOff>161017</xdr:rowOff>
    </xdr:from>
    <xdr:to>
      <xdr:col>11</xdr:col>
      <xdr:colOff>34012</xdr:colOff>
      <xdr:row>14</xdr:row>
      <xdr:rowOff>84577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13DBBB59-FC90-4FD2-B0D8-AF4194927F83}"/>
            </a:ext>
          </a:extLst>
        </xdr:cNvPr>
        <xdr:cNvCxnSpPr>
          <a:endCxn id="27" idx="1"/>
        </xdr:cNvCxnSpPr>
      </xdr:nvCxnSpPr>
      <xdr:spPr>
        <a:xfrm>
          <a:off x="14931571" y="2111374"/>
          <a:ext cx="587370" cy="413417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13</xdr:row>
      <xdr:rowOff>142875</xdr:rowOff>
    </xdr:from>
    <xdr:to>
      <xdr:col>11</xdr:col>
      <xdr:colOff>52918</xdr:colOff>
      <xdr:row>16</xdr:row>
      <xdr:rowOff>138143</xdr:rowOff>
    </xdr:to>
    <xdr:cxnSp macro="">
      <xdr:nvCxnSpPr>
        <xdr:cNvPr id="33" name="Straight Arrow Connector 32">
          <a:extLst>
            <a:ext uri="{FF2B5EF4-FFF2-40B4-BE49-F238E27FC236}">
              <a16:creationId xmlns:a16="http://schemas.microsoft.com/office/drawing/2014/main" id="{B78742AA-67BD-4BDF-9CD8-6D6264779AC9}"/>
            </a:ext>
          </a:extLst>
        </xdr:cNvPr>
        <xdr:cNvCxnSpPr>
          <a:endCxn id="16" idx="1"/>
        </xdr:cNvCxnSpPr>
      </xdr:nvCxnSpPr>
      <xdr:spPr>
        <a:xfrm>
          <a:off x="14960297" y="2419804"/>
          <a:ext cx="577550" cy="4851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1091046</xdr:colOff>
      <xdr:row>31</xdr:row>
      <xdr:rowOff>80818</xdr:rowOff>
    </xdr:from>
    <xdr:to>
      <xdr:col>8</xdr:col>
      <xdr:colOff>1534584</xdr:colOff>
      <xdr:row>32</xdr:row>
      <xdr:rowOff>169333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BCC0F3FA-D357-462E-9645-B2E0B7AE74F2}"/>
            </a:ext>
          </a:extLst>
        </xdr:cNvPr>
        <xdr:cNvSpPr txBox="1"/>
      </xdr:nvSpPr>
      <xdr:spPr>
        <a:xfrm>
          <a:off x="11632046" y="5432136"/>
          <a:ext cx="443538" cy="31365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2456684</xdr:colOff>
      <xdr:row>32</xdr:row>
      <xdr:rowOff>87266</xdr:rowOff>
    </xdr:from>
    <xdr:ext cx="131630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8F264DC-0551-49A6-B3CC-1C7DACFD79ED}"/>
            </a:ext>
          </a:extLst>
        </xdr:cNvPr>
        <xdr:cNvSpPr txBox="1"/>
      </xdr:nvSpPr>
      <xdr:spPr>
        <a:xfrm flipH="1">
          <a:off x="12858260" y="5609005"/>
          <a:ext cx="13163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/>
            <a:t>s</a:t>
          </a:r>
        </a:p>
      </xdr:txBody>
    </xdr:sp>
    <xdr:clientData/>
  </xdr:oneCellAnchor>
  <xdr:twoCellAnchor>
    <xdr:from>
      <xdr:col>10</xdr:col>
      <xdr:colOff>5772</xdr:colOff>
      <xdr:row>23</xdr:row>
      <xdr:rowOff>92364</xdr:rowOff>
    </xdr:from>
    <xdr:to>
      <xdr:col>11</xdr:col>
      <xdr:colOff>12507</xdr:colOff>
      <xdr:row>23</xdr:row>
      <xdr:rowOff>101599</xdr:rowOff>
    </xdr:to>
    <xdr:cxnSp macro="">
      <xdr:nvCxnSpPr>
        <xdr:cNvPr id="25" name="Straight Arrow Connector 24">
          <a:extLst>
            <a:ext uri="{FF2B5EF4-FFF2-40B4-BE49-F238E27FC236}">
              <a16:creationId xmlns:a16="http://schemas.microsoft.com/office/drawing/2014/main" id="{1C1C81DA-3BD0-487C-A854-6292C726B5CD}"/>
            </a:ext>
          </a:extLst>
        </xdr:cNvPr>
        <xdr:cNvCxnSpPr/>
      </xdr:nvCxnSpPr>
      <xdr:spPr>
        <a:xfrm flipV="1">
          <a:off x="15124545" y="4046682"/>
          <a:ext cx="526280" cy="923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69850</xdr:colOff>
      <xdr:row>29</xdr:row>
      <xdr:rowOff>76200</xdr:rowOff>
    </xdr:from>
    <xdr:to>
      <xdr:col>11</xdr:col>
      <xdr:colOff>40165</xdr:colOff>
      <xdr:row>37</xdr:row>
      <xdr:rowOff>92385</xdr:rowOff>
    </xdr:to>
    <xdr:pic>
      <xdr:nvPicPr>
        <xdr:cNvPr id="107" name="Content Placeholder 4">
          <a:extLst>
            <a:ext uri="{FF2B5EF4-FFF2-40B4-BE49-F238E27FC236}">
              <a16:creationId xmlns:a16="http://schemas.microsoft.com/office/drawing/2014/main" id="{53A631C0-DFC0-48CE-8DE7-1C39A5222772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994900" y="5207000"/>
          <a:ext cx="4560432" cy="142588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8</xdr:col>
      <xdr:colOff>1206500</xdr:colOff>
      <xdr:row>31</xdr:row>
      <xdr:rowOff>6350</xdr:rowOff>
    </xdr:from>
    <xdr:to>
      <xdr:col>8</xdr:col>
      <xdr:colOff>1650038</xdr:colOff>
      <xdr:row>32</xdr:row>
      <xdr:rowOff>88785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878D1672-C86A-4F1E-AE04-5B17583B3F6F}"/>
            </a:ext>
          </a:extLst>
        </xdr:cNvPr>
        <xdr:cNvSpPr txBox="1"/>
      </xdr:nvSpPr>
      <xdr:spPr>
        <a:xfrm>
          <a:off x="11131550" y="5511800"/>
          <a:ext cx="443538" cy="30468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2594349</xdr:colOff>
      <xdr:row>31</xdr:row>
      <xdr:rowOff>216274</xdr:rowOff>
    </xdr:from>
    <xdr:ext cx="131630" cy="264560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E6224922-F197-451E-B73B-342C457C38A2}"/>
            </a:ext>
          </a:extLst>
        </xdr:cNvPr>
        <xdr:cNvSpPr txBox="1"/>
      </xdr:nvSpPr>
      <xdr:spPr>
        <a:xfrm flipH="1">
          <a:off x="12987805" y="5697818"/>
          <a:ext cx="13163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/>
            <a:t>s</a:t>
          </a:r>
        </a:p>
      </xdr:txBody>
    </xdr:sp>
    <xdr:clientData/>
  </xdr:oneCellAnchor>
  <xdr:twoCellAnchor>
    <xdr:from>
      <xdr:col>10</xdr:col>
      <xdr:colOff>14007</xdr:colOff>
      <xdr:row>8</xdr:row>
      <xdr:rowOff>84044</xdr:rowOff>
    </xdr:from>
    <xdr:to>
      <xdr:col>10</xdr:col>
      <xdr:colOff>606985</xdr:colOff>
      <xdr:row>9</xdr:row>
      <xdr:rowOff>74706</xdr:rowOff>
    </xdr:to>
    <xdr:cxnSp macro="">
      <xdr:nvCxnSpPr>
        <xdr:cNvPr id="112" name="Straight Arrow Connector 111">
          <a:extLst>
            <a:ext uri="{FF2B5EF4-FFF2-40B4-BE49-F238E27FC236}">
              <a16:creationId xmlns:a16="http://schemas.microsoft.com/office/drawing/2014/main" id="{23480000-CB9F-4244-AEE0-D15C79515AD9}"/>
            </a:ext>
          </a:extLst>
        </xdr:cNvPr>
        <xdr:cNvCxnSpPr/>
      </xdr:nvCxnSpPr>
      <xdr:spPr>
        <a:xfrm>
          <a:off x="14422904" y="1760257"/>
          <a:ext cx="592978" cy="154081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606985</xdr:colOff>
      <xdr:row>9</xdr:row>
      <xdr:rowOff>74706</xdr:rowOff>
    </xdr:from>
    <xdr:to>
      <xdr:col>10</xdr:col>
      <xdr:colOff>602316</xdr:colOff>
      <xdr:row>11</xdr:row>
      <xdr:rowOff>112059</xdr:rowOff>
    </xdr:to>
    <xdr:cxnSp macro="">
      <xdr:nvCxnSpPr>
        <xdr:cNvPr id="114" name="Straight Arrow Connector 113">
          <a:extLst>
            <a:ext uri="{FF2B5EF4-FFF2-40B4-BE49-F238E27FC236}">
              <a16:creationId xmlns:a16="http://schemas.microsoft.com/office/drawing/2014/main" id="{CB97AC14-4CF8-42F6-B32F-D1E6671B1DD0}"/>
            </a:ext>
          </a:extLst>
        </xdr:cNvPr>
        <xdr:cNvCxnSpPr/>
      </xdr:nvCxnSpPr>
      <xdr:spPr>
        <a:xfrm>
          <a:off x="14404228" y="1914338"/>
          <a:ext cx="606985" cy="364192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14007</xdr:colOff>
      <xdr:row>5</xdr:row>
      <xdr:rowOff>93383</xdr:rowOff>
    </xdr:from>
    <xdr:to>
      <xdr:col>10</xdr:col>
      <xdr:colOff>606985</xdr:colOff>
      <xdr:row>5</xdr:row>
      <xdr:rowOff>98052</xdr:rowOff>
    </xdr:to>
    <xdr:cxnSp macro="">
      <xdr:nvCxnSpPr>
        <xdr:cNvPr id="122" name="Straight Arrow Connector 121">
          <a:extLst>
            <a:ext uri="{FF2B5EF4-FFF2-40B4-BE49-F238E27FC236}">
              <a16:creationId xmlns:a16="http://schemas.microsoft.com/office/drawing/2014/main" id="{101B7CFD-51D4-49E3-A48D-F6845E411991}"/>
            </a:ext>
          </a:extLst>
        </xdr:cNvPr>
        <xdr:cNvCxnSpPr/>
      </xdr:nvCxnSpPr>
      <xdr:spPr>
        <a:xfrm flipV="1">
          <a:off x="14422904" y="1255993"/>
          <a:ext cx="592978" cy="4669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23346</xdr:colOff>
      <xdr:row>18</xdr:row>
      <xdr:rowOff>149412</xdr:rowOff>
    </xdr:from>
    <xdr:to>
      <xdr:col>10</xdr:col>
      <xdr:colOff>592978</xdr:colOff>
      <xdr:row>18</xdr:row>
      <xdr:rowOff>154081</xdr:rowOff>
    </xdr:to>
    <xdr:cxnSp macro="">
      <xdr:nvCxnSpPr>
        <xdr:cNvPr id="126" name="Straight Arrow Connector 125">
          <a:extLst>
            <a:ext uri="{FF2B5EF4-FFF2-40B4-BE49-F238E27FC236}">
              <a16:creationId xmlns:a16="http://schemas.microsoft.com/office/drawing/2014/main" id="{AE7E28FE-4F6D-42CC-8AAE-FAB778DADA01}"/>
            </a:ext>
          </a:extLst>
        </xdr:cNvPr>
        <xdr:cNvCxnSpPr/>
      </xdr:nvCxnSpPr>
      <xdr:spPr>
        <a:xfrm>
          <a:off x="14432243" y="3445809"/>
          <a:ext cx="569632" cy="4669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14007</xdr:colOff>
      <xdr:row>23</xdr:row>
      <xdr:rowOff>60699</xdr:rowOff>
    </xdr:from>
    <xdr:to>
      <xdr:col>10</xdr:col>
      <xdr:colOff>570939</xdr:colOff>
      <xdr:row>23</xdr:row>
      <xdr:rowOff>65368</xdr:rowOff>
    </xdr:to>
    <xdr:cxnSp macro="">
      <xdr:nvCxnSpPr>
        <xdr:cNvPr id="128" name="Straight Arrow Connector 127">
          <a:extLst>
            <a:ext uri="{FF2B5EF4-FFF2-40B4-BE49-F238E27FC236}">
              <a16:creationId xmlns:a16="http://schemas.microsoft.com/office/drawing/2014/main" id="{4AC3CFE6-BBA4-44D3-B9F0-C87DDDF95891}"/>
            </a:ext>
          </a:extLst>
        </xdr:cNvPr>
        <xdr:cNvCxnSpPr/>
      </xdr:nvCxnSpPr>
      <xdr:spPr>
        <a:xfrm>
          <a:off x="14422904" y="4164853"/>
          <a:ext cx="556932" cy="4669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555626</xdr:colOff>
      <xdr:row>23</xdr:row>
      <xdr:rowOff>4670</xdr:rowOff>
    </xdr:from>
    <xdr:to>
      <xdr:col>6</xdr:col>
      <xdr:colOff>905809</xdr:colOff>
      <xdr:row>28</xdr:row>
      <xdr:rowOff>144742</xdr:rowOff>
    </xdr:to>
    <xdr:cxnSp macro="">
      <xdr:nvCxnSpPr>
        <xdr:cNvPr id="129" name="Straight Arrow Connector 128">
          <a:extLst>
            <a:ext uri="{FF2B5EF4-FFF2-40B4-BE49-F238E27FC236}">
              <a16:creationId xmlns:a16="http://schemas.microsoft.com/office/drawing/2014/main" id="{E7A1C838-1344-4DB2-AEC7-571ABF85926D}"/>
            </a:ext>
          </a:extLst>
        </xdr:cNvPr>
        <xdr:cNvCxnSpPr/>
      </xdr:nvCxnSpPr>
      <xdr:spPr>
        <a:xfrm flipH="1">
          <a:off x="9543677" y="4108824"/>
          <a:ext cx="350183" cy="980514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588308</xdr:colOff>
      <xdr:row>20</xdr:row>
      <xdr:rowOff>65368</xdr:rowOff>
    </xdr:from>
    <xdr:to>
      <xdr:col>6</xdr:col>
      <xdr:colOff>18677</xdr:colOff>
      <xdr:row>28</xdr:row>
      <xdr:rowOff>154080</xdr:rowOff>
    </xdr:to>
    <xdr:cxnSp macro="">
      <xdr:nvCxnSpPr>
        <xdr:cNvPr id="132" name="Straight Arrow Connector 131">
          <a:extLst>
            <a:ext uri="{FF2B5EF4-FFF2-40B4-BE49-F238E27FC236}">
              <a16:creationId xmlns:a16="http://schemas.microsoft.com/office/drawing/2014/main" id="{1BD8FBD1-B16C-436C-B897-53274C132CE3}"/>
            </a:ext>
          </a:extLst>
        </xdr:cNvPr>
        <xdr:cNvCxnSpPr/>
      </xdr:nvCxnSpPr>
      <xdr:spPr>
        <a:xfrm flipH="1">
          <a:off x="6051176" y="3679265"/>
          <a:ext cx="2955552" cy="1419411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2511985</xdr:colOff>
      <xdr:row>25</xdr:row>
      <xdr:rowOff>88713</xdr:rowOff>
    </xdr:from>
    <xdr:to>
      <xdr:col>3</xdr:col>
      <xdr:colOff>4670</xdr:colOff>
      <xdr:row>31</xdr:row>
      <xdr:rowOff>4669</xdr:rowOff>
    </xdr:to>
    <xdr:cxnSp macro="">
      <xdr:nvCxnSpPr>
        <xdr:cNvPr id="142" name="Straight Arrow Connector 141">
          <a:extLst>
            <a:ext uri="{FF2B5EF4-FFF2-40B4-BE49-F238E27FC236}">
              <a16:creationId xmlns:a16="http://schemas.microsoft.com/office/drawing/2014/main" id="{93A3CCFB-7CCB-462D-A2B2-390413986725}"/>
            </a:ext>
          </a:extLst>
        </xdr:cNvPr>
        <xdr:cNvCxnSpPr/>
      </xdr:nvCxnSpPr>
      <xdr:spPr>
        <a:xfrm flipH="1">
          <a:off x="3735294" y="4515037"/>
          <a:ext cx="1120589" cy="97117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15</xdr:col>
      <xdr:colOff>56402</xdr:colOff>
      <xdr:row>2</xdr:row>
      <xdr:rowOff>52192</xdr:rowOff>
    </xdr:from>
    <xdr:to>
      <xdr:col>18</xdr:col>
      <xdr:colOff>268569</xdr:colOff>
      <xdr:row>8</xdr:row>
      <xdr:rowOff>59861</xdr:rowOff>
    </xdr:to>
    <xdr:pic>
      <xdr:nvPicPr>
        <xdr:cNvPr id="146" name="Picture 145">
          <a:extLst>
            <a:ext uri="{FF2B5EF4-FFF2-40B4-BE49-F238E27FC236}">
              <a16:creationId xmlns:a16="http://schemas.microsoft.com/office/drawing/2014/main" id="{06A7C23F-DA38-4082-94AB-DB9044101E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949484" y="443630"/>
          <a:ext cx="1821414" cy="111239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 editAs="oneCell">
    <xdr:from>
      <xdr:col>11</xdr:col>
      <xdr:colOff>36224</xdr:colOff>
      <xdr:row>15</xdr:row>
      <xdr:rowOff>63636</xdr:rowOff>
    </xdr:from>
    <xdr:to>
      <xdr:col>11</xdr:col>
      <xdr:colOff>1223818</xdr:colOff>
      <xdr:row>17</xdr:row>
      <xdr:rowOff>36955</xdr:rowOff>
    </xdr:to>
    <xdr:pic>
      <xdr:nvPicPr>
        <xdr:cNvPr id="151" name="Picture 150">
          <a:extLst>
            <a:ext uri="{FF2B5EF4-FFF2-40B4-BE49-F238E27FC236}">
              <a16:creationId xmlns:a16="http://schemas.microsoft.com/office/drawing/2014/main" id="{0C33D670-906C-4056-AC42-A7FDC3AD3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328179" y="2903818"/>
          <a:ext cx="1187594" cy="308137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11</xdr:col>
      <xdr:colOff>1331620</xdr:colOff>
      <xdr:row>15</xdr:row>
      <xdr:rowOff>67944</xdr:rowOff>
    </xdr:from>
    <xdr:to>
      <xdr:col>14</xdr:col>
      <xdr:colOff>63500</xdr:colOff>
      <xdr:row>17</xdr:row>
      <xdr:rowOff>60437</xdr:rowOff>
    </xdr:to>
    <xdr:pic>
      <xdr:nvPicPr>
        <xdr:cNvPr id="152" name="Picture 151">
          <a:extLst>
            <a:ext uri="{FF2B5EF4-FFF2-40B4-BE49-F238E27FC236}">
              <a16:creationId xmlns:a16="http://schemas.microsoft.com/office/drawing/2014/main" id="{57E99CCC-667E-44E4-90B6-1E032DACBB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6623575" y="2908126"/>
          <a:ext cx="1277652" cy="327311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11</xdr:col>
      <xdr:colOff>17318</xdr:colOff>
      <xdr:row>13</xdr:row>
      <xdr:rowOff>15588</xdr:rowOff>
    </xdr:from>
    <xdr:to>
      <xdr:col>11</xdr:col>
      <xdr:colOff>1225961</xdr:colOff>
      <xdr:row>14</xdr:row>
      <xdr:rowOff>138547</xdr:rowOff>
    </xdr:to>
    <xdr:pic>
      <xdr:nvPicPr>
        <xdr:cNvPr id="153" name="Picture 152">
          <a:extLst>
            <a:ext uri="{FF2B5EF4-FFF2-40B4-BE49-F238E27FC236}">
              <a16:creationId xmlns:a16="http://schemas.microsoft.com/office/drawing/2014/main" id="{D80CFF90-E5AD-4B92-BC52-30B5F1D7B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5309273" y="2532497"/>
          <a:ext cx="1208643" cy="28459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11</xdr:col>
      <xdr:colOff>1342686</xdr:colOff>
      <xdr:row>13</xdr:row>
      <xdr:rowOff>11544</xdr:rowOff>
    </xdr:from>
    <xdr:to>
      <xdr:col>14</xdr:col>
      <xdr:colOff>71408</xdr:colOff>
      <xdr:row>14</xdr:row>
      <xdr:rowOff>150092</xdr:rowOff>
    </xdr:to>
    <xdr:pic>
      <xdr:nvPicPr>
        <xdr:cNvPr id="154" name="Picture 153">
          <a:extLst>
            <a:ext uri="{FF2B5EF4-FFF2-40B4-BE49-F238E27FC236}">
              <a16:creationId xmlns:a16="http://schemas.microsoft.com/office/drawing/2014/main" id="{C8804D98-8DED-4D59-A549-2072E3DCEE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6634641" y="2528453"/>
          <a:ext cx="1274494" cy="30018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8</xdr:col>
      <xdr:colOff>2245591</xdr:colOff>
      <xdr:row>5</xdr:row>
      <xdr:rowOff>34637</xdr:rowOff>
    </xdr:from>
    <xdr:to>
      <xdr:col>8</xdr:col>
      <xdr:colOff>2690090</xdr:colOff>
      <xdr:row>7</xdr:row>
      <xdr:rowOff>92924</xdr:rowOff>
    </xdr:to>
    <xdr:pic>
      <xdr:nvPicPr>
        <xdr:cNvPr id="155" name="Picture 154">
          <a:extLst>
            <a:ext uri="{FF2B5EF4-FFF2-40B4-BE49-F238E27FC236}">
              <a16:creationId xmlns:a16="http://schemas.microsoft.com/office/drawing/2014/main" id="{BD4E3EB5-17BD-479A-827E-C0EB502A86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942455" y="1200728"/>
          <a:ext cx="444499" cy="41042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8</xdr:col>
      <xdr:colOff>2690090</xdr:colOff>
      <xdr:row>6</xdr:row>
      <xdr:rowOff>49349</xdr:rowOff>
    </xdr:from>
    <xdr:to>
      <xdr:col>9</xdr:col>
      <xdr:colOff>11546</xdr:colOff>
      <xdr:row>7</xdr:row>
      <xdr:rowOff>63501</xdr:rowOff>
    </xdr:to>
    <xdr:cxnSp macro="">
      <xdr:nvCxnSpPr>
        <xdr:cNvPr id="156" name="Straight Arrow Connector 155">
          <a:extLst>
            <a:ext uri="{FF2B5EF4-FFF2-40B4-BE49-F238E27FC236}">
              <a16:creationId xmlns:a16="http://schemas.microsoft.com/office/drawing/2014/main" id="{5D9C4485-A626-4713-AF6B-9A90B719DC59}"/>
            </a:ext>
          </a:extLst>
        </xdr:cNvPr>
        <xdr:cNvCxnSpPr>
          <a:endCxn id="155" idx="3"/>
        </xdr:cNvCxnSpPr>
      </xdr:nvCxnSpPr>
      <xdr:spPr>
        <a:xfrm flipH="1" flipV="1">
          <a:off x="13386954" y="1405940"/>
          <a:ext cx="727365" cy="175788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10</xdr:row>
      <xdr:rowOff>161636</xdr:rowOff>
    </xdr:from>
    <xdr:to>
      <xdr:col>11</xdr:col>
      <xdr:colOff>17318</xdr:colOff>
      <xdr:row>13</xdr:row>
      <xdr:rowOff>157885</xdr:rowOff>
    </xdr:to>
    <xdr:cxnSp macro="">
      <xdr:nvCxnSpPr>
        <xdr:cNvPr id="160" name="Straight Arrow Connector 159">
          <a:extLst>
            <a:ext uri="{FF2B5EF4-FFF2-40B4-BE49-F238E27FC236}">
              <a16:creationId xmlns:a16="http://schemas.microsoft.com/office/drawing/2014/main" id="{9DD39D66-3910-4AB9-A014-6A65132F3C92}"/>
            </a:ext>
          </a:extLst>
        </xdr:cNvPr>
        <xdr:cNvCxnSpPr>
          <a:endCxn id="153" idx="1"/>
        </xdr:cNvCxnSpPr>
      </xdr:nvCxnSpPr>
      <xdr:spPr>
        <a:xfrm>
          <a:off x="14714682" y="2182091"/>
          <a:ext cx="594591" cy="492703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5773</xdr:colOff>
      <xdr:row>13</xdr:row>
      <xdr:rowOff>0</xdr:rowOff>
    </xdr:from>
    <xdr:to>
      <xdr:col>11</xdr:col>
      <xdr:colOff>36224</xdr:colOff>
      <xdr:row>16</xdr:row>
      <xdr:rowOff>50296</xdr:rowOff>
    </xdr:to>
    <xdr:cxnSp macro="">
      <xdr:nvCxnSpPr>
        <xdr:cNvPr id="163" name="Straight Arrow Connector 162">
          <a:extLst>
            <a:ext uri="{FF2B5EF4-FFF2-40B4-BE49-F238E27FC236}">
              <a16:creationId xmlns:a16="http://schemas.microsoft.com/office/drawing/2014/main" id="{EDB44418-06ED-46C9-85C8-B38572D4962F}"/>
            </a:ext>
          </a:extLst>
        </xdr:cNvPr>
        <xdr:cNvCxnSpPr>
          <a:endCxn id="151" idx="1"/>
        </xdr:cNvCxnSpPr>
      </xdr:nvCxnSpPr>
      <xdr:spPr>
        <a:xfrm>
          <a:off x="14720455" y="2516909"/>
          <a:ext cx="607724" cy="540978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150091</xdr:colOff>
      <xdr:row>13</xdr:row>
      <xdr:rowOff>23091</xdr:rowOff>
    </xdr:from>
    <xdr:to>
      <xdr:col>17</xdr:col>
      <xdr:colOff>155864</xdr:colOff>
      <xdr:row>14</xdr:row>
      <xdr:rowOff>132773</xdr:rowOff>
    </xdr:to>
    <xdr:cxnSp macro="">
      <xdr:nvCxnSpPr>
        <xdr:cNvPr id="171" name="Straight Connector 170">
          <a:extLst>
            <a:ext uri="{FF2B5EF4-FFF2-40B4-BE49-F238E27FC236}">
              <a16:creationId xmlns:a16="http://schemas.microsoft.com/office/drawing/2014/main" id="{21B44DD0-DBE4-4CFE-9CB4-E4321C74B508}"/>
            </a:ext>
          </a:extLst>
        </xdr:cNvPr>
        <xdr:cNvCxnSpPr/>
      </xdr:nvCxnSpPr>
      <xdr:spPr>
        <a:xfrm>
          <a:off x="19067318" y="2540000"/>
          <a:ext cx="5773" cy="27131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</xdr:row>
      <xdr:rowOff>26096</xdr:rowOff>
    </xdr:from>
    <xdr:to>
      <xdr:col>15</xdr:col>
      <xdr:colOff>52192</xdr:colOff>
      <xdr:row>5</xdr:row>
      <xdr:rowOff>3856</xdr:rowOff>
    </xdr:to>
    <xdr:cxnSp macro="">
      <xdr:nvCxnSpPr>
        <xdr:cNvPr id="172" name="Straight Arrow Connector 171">
          <a:extLst>
            <a:ext uri="{FF2B5EF4-FFF2-40B4-BE49-F238E27FC236}">
              <a16:creationId xmlns:a16="http://schemas.microsoft.com/office/drawing/2014/main" id="{587D01E5-19A6-4878-A4AA-1397DEDCBCF8}"/>
            </a:ext>
          </a:extLst>
        </xdr:cNvPr>
        <xdr:cNvCxnSpPr/>
      </xdr:nvCxnSpPr>
      <xdr:spPr>
        <a:xfrm flipV="1">
          <a:off x="14691986" y="617603"/>
          <a:ext cx="3253288" cy="369198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37"/>
  <sheetViews>
    <sheetView tabSelected="1" topLeftCell="C1" zoomScale="70" zoomScaleNormal="70" workbookViewId="0">
      <selection activeCell="K8" sqref="K8"/>
    </sheetView>
  </sheetViews>
  <sheetFormatPr defaultRowHeight="12.5" x14ac:dyDescent="0.25"/>
  <cols>
    <col min="3" max="3" width="51.81640625" customWidth="1"/>
    <col min="4" max="4" width="9.7265625" bestFit="1" customWidth="1"/>
    <col min="6" max="6" width="39.7265625" customWidth="1"/>
    <col min="7" max="7" width="14.81640625" customWidth="1"/>
    <col min="9" max="9" width="53.453125" customWidth="1"/>
    <col min="10" max="10" width="12.08984375" customWidth="1"/>
    <col min="11" max="11" width="7.453125" customWidth="1"/>
    <col min="12" max="12" width="9.08984375" customWidth="1"/>
    <col min="13" max="13" width="10.36328125" customWidth="1"/>
    <col min="14" max="14" width="9.08984375" customWidth="1"/>
    <col min="15" max="15" width="11.08984375" customWidth="1"/>
    <col min="16" max="16" width="10.08984375" customWidth="1"/>
  </cols>
  <sheetData>
    <row r="1" spans="2:16" ht="18" thickBot="1" x14ac:dyDescent="0.4">
      <c r="C1" s="30" t="s">
        <v>108</v>
      </c>
      <c r="D1" s="52">
        <v>5</v>
      </c>
      <c r="F1" s="46" t="s">
        <v>156</v>
      </c>
      <c r="G1" s="45"/>
    </row>
    <row r="2" spans="2:16" ht="13" thickBot="1" x14ac:dyDescent="0.3"/>
    <row r="3" spans="2:16" ht="16" thickBot="1" x14ac:dyDescent="0.4">
      <c r="B3" s="36" t="s">
        <v>28</v>
      </c>
      <c r="C3" s="37"/>
      <c r="D3" s="37"/>
      <c r="E3" s="37" t="s">
        <v>29</v>
      </c>
      <c r="F3" s="37"/>
      <c r="G3" s="37"/>
      <c r="H3" s="37" t="s">
        <v>31</v>
      </c>
      <c r="I3" s="37"/>
      <c r="J3" s="171"/>
    </row>
    <row r="4" spans="2:16" ht="14.5" thickBot="1" x14ac:dyDescent="0.3">
      <c r="B4" s="172" t="s">
        <v>80</v>
      </c>
      <c r="C4" s="176" t="s">
        <v>158</v>
      </c>
      <c r="D4" s="174">
        <v>1</v>
      </c>
      <c r="E4" s="173" t="s">
        <v>89</v>
      </c>
      <c r="F4" s="173" t="s">
        <v>64</v>
      </c>
      <c r="G4" s="175">
        <f>D8-D12</f>
        <v>225</v>
      </c>
      <c r="H4" s="176" t="s">
        <v>61</v>
      </c>
      <c r="I4" s="176" t="s">
        <v>113</v>
      </c>
      <c r="J4" s="177">
        <f>(D20^2*AVERAGE(G13:G14)*1000)/2</f>
        <v>50625</v>
      </c>
      <c r="M4" s="42"/>
    </row>
    <row r="5" spans="2:16" ht="12" customHeight="1" thickBot="1" x14ac:dyDescent="0.3">
      <c r="B5" s="62" t="s">
        <v>81</v>
      </c>
      <c r="C5" s="176" t="s">
        <v>159</v>
      </c>
      <c r="D5" s="60">
        <v>1</v>
      </c>
      <c r="E5" s="28" t="s">
        <v>90</v>
      </c>
      <c r="F5" s="28" t="s">
        <v>2</v>
      </c>
      <c r="G5" s="31">
        <f>D9-D13</f>
        <v>225</v>
      </c>
      <c r="H5" s="28" t="s">
        <v>39</v>
      </c>
      <c r="I5" s="28" t="s">
        <v>48</v>
      </c>
      <c r="J5" s="53">
        <f>(D21^2*AVERAGE(G15:G16)*1000)/2</f>
        <v>50625</v>
      </c>
      <c r="M5" s="41"/>
    </row>
    <row r="6" spans="2:16" ht="16.5" customHeight="1" thickBot="1" x14ac:dyDescent="0.3">
      <c r="B6" s="62" t="s">
        <v>82</v>
      </c>
      <c r="C6" s="176" t="s">
        <v>160</v>
      </c>
      <c r="D6" s="60">
        <v>1</v>
      </c>
      <c r="E6" s="28" t="s">
        <v>91</v>
      </c>
      <c r="F6" s="28" t="s">
        <v>66</v>
      </c>
      <c r="G6" s="31">
        <f>D10-D14</f>
        <v>225</v>
      </c>
      <c r="H6" s="28" t="s">
        <v>40</v>
      </c>
      <c r="I6" s="28" t="s">
        <v>47</v>
      </c>
      <c r="J6" s="53">
        <f>SUM(J4:J5)</f>
        <v>101250</v>
      </c>
      <c r="L6" s="184" t="s">
        <v>166</v>
      </c>
      <c r="M6" s="185"/>
    </row>
    <row r="7" spans="2:16" x14ac:dyDescent="0.25">
      <c r="B7" s="62" t="s">
        <v>55</v>
      </c>
      <c r="C7" s="176" t="s">
        <v>161</v>
      </c>
      <c r="D7" s="60">
        <v>1</v>
      </c>
      <c r="E7" s="28" t="s">
        <v>0</v>
      </c>
      <c r="F7" s="28" t="s">
        <v>65</v>
      </c>
      <c r="G7" s="31">
        <f>D11-D15</f>
        <v>225</v>
      </c>
      <c r="H7" s="28" t="s">
        <v>45</v>
      </c>
      <c r="I7" s="28" t="s">
        <v>46</v>
      </c>
      <c r="J7" s="53">
        <f>G10*D1*G21</f>
        <v>1187.4999999999998</v>
      </c>
    </row>
    <row r="8" spans="2:16" ht="13" x14ac:dyDescent="0.3">
      <c r="B8" s="62" t="s">
        <v>83</v>
      </c>
      <c r="C8" s="28" t="s">
        <v>72</v>
      </c>
      <c r="D8" s="60">
        <v>250</v>
      </c>
      <c r="E8" s="29" t="s">
        <v>23</v>
      </c>
      <c r="F8" s="28" t="s">
        <v>19</v>
      </c>
      <c r="G8" s="31">
        <f>G4+G5</f>
        <v>450</v>
      </c>
      <c r="H8" s="167" t="s">
        <v>114</v>
      </c>
      <c r="I8" s="29" t="s">
        <v>122</v>
      </c>
      <c r="J8" s="183">
        <f>J7/J6</f>
        <v>1.1728395061728392E-2</v>
      </c>
      <c r="K8" s="58">
        <f>J8*180/3.142</f>
        <v>0.67190041728552219</v>
      </c>
      <c r="L8" s="55" t="s">
        <v>121</v>
      </c>
      <c r="P8" s="48"/>
    </row>
    <row r="9" spans="2:16" ht="13" thickBot="1" x14ac:dyDescent="0.3">
      <c r="B9" s="62" t="s">
        <v>84</v>
      </c>
      <c r="C9" s="28" t="s">
        <v>73</v>
      </c>
      <c r="D9" s="60">
        <v>250</v>
      </c>
      <c r="E9" s="28" t="s">
        <v>22</v>
      </c>
      <c r="F9" s="28" t="s">
        <v>20</v>
      </c>
      <c r="G9" s="31">
        <f>G6+G7</f>
        <v>450</v>
      </c>
      <c r="H9" s="28" t="s">
        <v>27</v>
      </c>
      <c r="I9" s="28" t="s">
        <v>49</v>
      </c>
      <c r="J9" s="56">
        <f>J8*AVERAGE(G13:G14)*D20*1000/2</f>
        <v>395.83333333333326</v>
      </c>
      <c r="P9" s="35"/>
    </row>
    <row r="10" spans="2:16" ht="13" thickBot="1" x14ac:dyDescent="0.3">
      <c r="B10" s="62" t="s">
        <v>85</v>
      </c>
      <c r="C10" s="28" t="s">
        <v>74</v>
      </c>
      <c r="D10" s="60">
        <v>250</v>
      </c>
      <c r="E10" s="161" t="s">
        <v>170</v>
      </c>
      <c r="F10" s="161" t="s">
        <v>110</v>
      </c>
      <c r="G10" s="49">
        <f>G8+G9</f>
        <v>900</v>
      </c>
      <c r="H10" s="29" t="s">
        <v>30</v>
      </c>
      <c r="I10" s="29" t="s">
        <v>50</v>
      </c>
      <c r="J10" s="56">
        <f>J8*AVERAGE(G15:G16)*D21*1000/2</f>
        <v>395.83333333333326</v>
      </c>
      <c r="L10" s="140" t="s">
        <v>167</v>
      </c>
      <c r="M10" s="141"/>
      <c r="P10" s="35"/>
    </row>
    <row r="11" spans="2:16" ht="13" thickBot="1" x14ac:dyDescent="0.3">
      <c r="B11" s="62" t="s">
        <v>1</v>
      </c>
      <c r="C11" s="28" t="s">
        <v>75</v>
      </c>
      <c r="D11" s="60">
        <v>250</v>
      </c>
      <c r="E11" s="161" t="s">
        <v>109</v>
      </c>
      <c r="F11" s="161" t="s">
        <v>111</v>
      </c>
      <c r="G11" s="165">
        <f>SUM(D8:D11)</f>
        <v>1000</v>
      </c>
      <c r="H11" s="28" t="s">
        <v>56</v>
      </c>
      <c r="I11" s="29" t="s">
        <v>144</v>
      </c>
      <c r="J11" s="53">
        <f>G8*D1*D27/D20</f>
        <v>150</v>
      </c>
      <c r="K11" s="27"/>
      <c r="P11" s="51"/>
    </row>
    <row r="12" spans="2:16" ht="13" thickBot="1" x14ac:dyDescent="0.3">
      <c r="B12" s="62" t="s">
        <v>86</v>
      </c>
      <c r="C12" s="28" t="s">
        <v>76</v>
      </c>
      <c r="D12" s="61">
        <v>25</v>
      </c>
      <c r="E12" s="161" t="s">
        <v>169</v>
      </c>
      <c r="F12" s="166" t="s">
        <v>118</v>
      </c>
      <c r="G12" s="165">
        <f>SUM(D12:D15)</f>
        <v>100</v>
      </c>
      <c r="H12" s="28" t="s">
        <v>59</v>
      </c>
      <c r="I12" s="29" t="s">
        <v>145</v>
      </c>
      <c r="J12" s="53">
        <f>G9*D1*D28/D21</f>
        <v>300</v>
      </c>
      <c r="L12" s="140" t="s">
        <v>168</v>
      </c>
      <c r="M12" s="141"/>
      <c r="P12" s="35"/>
    </row>
    <row r="13" spans="2:16" x14ac:dyDescent="0.25">
      <c r="B13" s="62" t="s">
        <v>87</v>
      </c>
      <c r="C13" s="28" t="s">
        <v>77</v>
      </c>
      <c r="D13" s="60">
        <v>25</v>
      </c>
      <c r="E13" s="28" t="s">
        <v>94</v>
      </c>
      <c r="F13" s="28" t="s">
        <v>71</v>
      </c>
      <c r="G13" s="130">
        <f>D16*D4^2</f>
        <v>45</v>
      </c>
      <c r="H13" s="28" t="s">
        <v>57</v>
      </c>
      <c r="I13" s="29" t="s">
        <v>146</v>
      </c>
      <c r="J13" s="53">
        <f xml:space="preserve"> (SUM(D12:D13)*D1*D23)/D20</f>
        <v>45.833333333333336</v>
      </c>
      <c r="P13" s="35"/>
    </row>
    <row r="14" spans="2:16" x14ac:dyDescent="0.25">
      <c r="B14" s="62" t="s">
        <v>88</v>
      </c>
      <c r="C14" s="28" t="s">
        <v>78</v>
      </c>
      <c r="D14" s="60">
        <v>25</v>
      </c>
      <c r="E14" s="28" t="s">
        <v>95</v>
      </c>
      <c r="F14" s="28" t="s">
        <v>96</v>
      </c>
      <c r="G14" s="130">
        <f>D17*D5^2</f>
        <v>45</v>
      </c>
      <c r="H14" s="28" t="s">
        <v>58</v>
      </c>
      <c r="I14" s="29" t="s">
        <v>147</v>
      </c>
      <c r="J14" s="53">
        <f xml:space="preserve"> (SUM(D14:D15)*D1*D24)/D21</f>
        <v>45.833333333333336</v>
      </c>
    </row>
    <row r="15" spans="2:16" x14ac:dyDescent="0.25">
      <c r="B15" s="62" t="s">
        <v>21</v>
      </c>
      <c r="C15" s="28" t="s">
        <v>79</v>
      </c>
      <c r="D15" s="60">
        <v>25</v>
      </c>
      <c r="E15" s="28" t="s">
        <v>154</v>
      </c>
      <c r="F15" s="28" t="s">
        <v>151</v>
      </c>
      <c r="G15" s="34">
        <f>D18*D6^2</f>
        <v>45</v>
      </c>
      <c r="H15" s="28"/>
      <c r="I15" s="161" t="s">
        <v>148</v>
      </c>
      <c r="J15" s="169">
        <f>J9+J11+J13</f>
        <v>591.66666666666663</v>
      </c>
      <c r="L15" s="128"/>
    </row>
    <row r="16" spans="2:16" ht="13" thickBot="1" x14ac:dyDescent="0.3">
      <c r="B16" s="29" t="s">
        <v>105</v>
      </c>
      <c r="C16" s="28" t="s">
        <v>67</v>
      </c>
      <c r="D16" s="195">
        <v>45</v>
      </c>
      <c r="E16" s="28" t="s">
        <v>155</v>
      </c>
      <c r="F16" s="28" t="s">
        <v>152</v>
      </c>
      <c r="G16" s="34">
        <f>D19*D7^2</f>
        <v>45</v>
      </c>
      <c r="H16" s="28"/>
      <c r="I16" s="161" t="s">
        <v>149</v>
      </c>
      <c r="J16" s="170">
        <f>J10+J12+J14</f>
        <v>741.66666666666663</v>
      </c>
    </row>
    <row r="17" spans="2:16" ht="13" thickBot="1" x14ac:dyDescent="0.3">
      <c r="B17" s="29" t="s">
        <v>106</v>
      </c>
      <c r="C17" s="28" t="s">
        <v>68</v>
      </c>
      <c r="D17" s="195">
        <v>45</v>
      </c>
      <c r="E17" s="28" t="s">
        <v>34</v>
      </c>
      <c r="F17" s="29" t="s">
        <v>175</v>
      </c>
      <c r="G17" s="38">
        <f>(G9*D22)/G10</f>
        <v>1.25</v>
      </c>
      <c r="H17" s="28"/>
      <c r="I17" s="168" t="s">
        <v>150</v>
      </c>
      <c r="J17" s="138">
        <f>J15+J16</f>
        <v>1333.3333333333333</v>
      </c>
      <c r="L17" s="128"/>
      <c r="P17" s="51"/>
    </row>
    <row r="18" spans="2:16" ht="13" thickBot="1" x14ac:dyDescent="0.3">
      <c r="B18" s="28" t="s">
        <v>92</v>
      </c>
      <c r="C18" s="28" t="s">
        <v>69</v>
      </c>
      <c r="D18" s="195">
        <v>45</v>
      </c>
      <c r="E18" s="28" t="s">
        <v>35</v>
      </c>
      <c r="F18" s="28" t="s">
        <v>44</v>
      </c>
      <c r="G18" s="49">
        <f>D28-D27</f>
        <v>0.1</v>
      </c>
      <c r="H18" s="28" t="s">
        <v>97</v>
      </c>
      <c r="I18" s="28" t="s">
        <v>51</v>
      </c>
      <c r="J18" s="131">
        <f>(D8*9.81)+J15</f>
        <v>3044.1666666666665</v>
      </c>
      <c r="P18" s="51"/>
    </row>
    <row r="19" spans="2:16" x14ac:dyDescent="0.25">
      <c r="B19" s="28" t="s">
        <v>93</v>
      </c>
      <c r="C19" s="28" t="s">
        <v>70</v>
      </c>
      <c r="D19" s="196">
        <v>45</v>
      </c>
      <c r="E19" s="28" t="s">
        <v>36</v>
      </c>
      <c r="F19" s="28" t="s">
        <v>41</v>
      </c>
      <c r="G19" s="44">
        <f>G18*G17/D22</f>
        <v>0.05</v>
      </c>
      <c r="H19" s="29" t="s">
        <v>107</v>
      </c>
      <c r="I19" s="28" t="s">
        <v>52</v>
      </c>
      <c r="J19" s="59">
        <f>(D9*9.81)-J15</f>
        <v>1860.8333333333335</v>
      </c>
      <c r="L19" s="144" t="s">
        <v>116</v>
      </c>
      <c r="M19" s="145"/>
      <c r="N19" s="146"/>
      <c r="O19" s="147"/>
      <c r="P19" s="51"/>
    </row>
    <row r="20" spans="2:16" x14ac:dyDescent="0.25">
      <c r="B20" s="62" t="s">
        <v>24</v>
      </c>
      <c r="C20" s="29" t="s">
        <v>184</v>
      </c>
      <c r="D20" s="60">
        <v>1.5</v>
      </c>
      <c r="E20" s="28" t="s">
        <v>37</v>
      </c>
      <c r="F20" s="28" t="s">
        <v>42</v>
      </c>
      <c r="G20" s="49">
        <f>G19+D27</f>
        <v>0.15000000000000002</v>
      </c>
      <c r="H20" s="29" t="s">
        <v>104</v>
      </c>
      <c r="I20" s="28" t="s">
        <v>53</v>
      </c>
      <c r="J20" s="59">
        <f>(D10*9.81)+J16</f>
        <v>3194.1666666666665</v>
      </c>
      <c r="L20" s="148" t="s">
        <v>115</v>
      </c>
      <c r="M20" s="47"/>
      <c r="N20" s="47"/>
      <c r="O20" s="149"/>
      <c r="P20" s="51"/>
    </row>
    <row r="21" spans="2:16" ht="13" thickBot="1" x14ac:dyDescent="0.3">
      <c r="B21" s="62" t="s">
        <v>25</v>
      </c>
      <c r="C21" s="29" t="s">
        <v>182</v>
      </c>
      <c r="D21" s="60">
        <v>1.5</v>
      </c>
      <c r="E21" s="28" t="s">
        <v>63</v>
      </c>
      <c r="F21" s="28" t="s">
        <v>43</v>
      </c>
      <c r="G21" s="50">
        <f>D26-G20</f>
        <v>0.26388888888888884</v>
      </c>
      <c r="H21" s="28" t="s">
        <v>38</v>
      </c>
      <c r="I21" s="28" t="s">
        <v>54</v>
      </c>
      <c r="J21" s="133">
        <f>(D11 *9.81)-J16</f>
        <v>1710.8333333333335</v>
      </c>
      <c r="L21" s="150" t="s">
        <v>120</v>
      </c>
      <c r="M21" s="47"/>
      <c r="N21" s="47"/>
      <c r="O21" s="149"/>
    </row>
    <row r="22" spans="2:16" ht="13" thickBot="1" x14ac:dyDescent="0.3">
      <c r="B22" s="62" t="s">
        <v>26</v>
      </c>
      <c r="C22" s="29" t="s">
        <v>183</v>
      </c>
      <c r="D22" s="60">
        <v>2.5</v>
      </c>
      <c r="E22" s="28"/>
      <c r="F22" s="28"/>
      <c r="G22" s="28"/>
      <c r="H22" s="28"/>
      <c r="I22" s="132" t="s">
        <v>190</v>
      </c>
      <c r="J22" s="134">
        <f>SUM(J18:J21)</f>
        <v>9810</v>
      </c>
      <c r="L22" s="151" t="s">
        <v>119</v>
      </c>
      <c r="M22" s="152"/>
      <c r="N22" s="152"/>
      <c r="O22" s="153"/>
    </row>
    <row r="23" spans="2:16" ht="13" thickBot="1" x14ac:dyDescent="0.3">
      <c r="B23" s="160" t="s">
        <v>124</v>
      </c>
      <c r="C23" s="161" t="s">
        <v>176</v>
      </c>
      <c r="D23" s="60">
        <v>0.27500000000000002</v>
      </c>
      <c r="E23" s="28"/>
      <c r="F23" s="28"/>
      <c r="G23" s="28"/>
      <c r="H23" s="28"/>
      <c r="I23" s="57" t="s">
        <v>185</v>
      </c>
      <c r="J23" s="135">
        <f>G11*9.81</f>
        <v>9810</v>
      </c>
    </row>
    <row r="24" spans="2:16" x14ac:dyDescent="0.25">
      <c r="B24" s="162" t="s">
        <v>123</v>
      </c>
      <c r="C24" s="163" t="s">
        <v>177</v>
      </c>
      <c r="D24" s="164">
        <v>0.27500000000000002</v>
      </c>
      <c r="E24" s="28"/>
      <c r="F24" s="28"/>
      <c r="G24" s="28"/>
      <c r="H24" s="28" t="s">
        <v>62</v>
      </c>
      <c r="I24" s="57" t="s">
        <v>186</v>
      </c>
      <c r="J24" s="187">
        <f>G11*D1*D25/ AVERAGE(D20:D21)</f>
        <v>1333.3333333333333</v>
      </c>
      <c r="L24" s="154" t="s">
        <v>117</v>
      </c>
      <c r="M24" s="146"/>
      <c r="N24" s="146"/>
      <c r="O24" s="155"/>
      <c r="P24" s="147"/>
    </row>
    <row r="25" spans="2:16" ht="13" thickBot="1" x14ac:dyDescent="0.3">
      <c r="B25" s="181" t="s">
        <v>157</v>
      </c>
      <c r="C25" s="29" t="s">
        <v>178</v>
      </c>
      <c r="D25" s="60">
        <v>0.4</v>
      </c>
      <c r="E25" s="28"/>
      <c r="F25" s="28"/>
      <c r="G25" s="28"/>
      <c r="H25" s="29" t="s">
        <v>165</v>
      </c>
      <c r="I25" s="57" t="s">
        <v>187</v>
      </c>
      <c r="J25" s="188">
        <f>J18-J19</f>
        <v>1183.333333333333</v>
      </c>
      <c r="L25" s="156" t="s">
        <v>153</v>
      </c>
      <c r="M25" s="152"/>
      <c r="N25" s="152"/>
      <c r="O25" s="157"/>
      <c r="P25" s="153"/>
    </row>
    <row r="26" spans="2:16" x14ac:dyDescent="0.25">
      <c r="B26" s="62" t="s">
        <v>60</v>
      </c>
      <c r="C26" s="29" t="s">
        <v>179</v>
      </c>
      <c r="D26" s="43">
        <f>((D25*G11)-(SUM(D12:D13)*D23)-( SUM(D14:D15)*D24))/G10</f>
        <v>0.41388888888888886</v>
      </c>
      <c r="E26" s="28"/>
      <c r="F26" s="28"/>
      <c r="G26" s="31"/>
      <c r="H26" s="29" t="s">
        <v>164</v>
      </c>
      <c r="I26" s="57" t="s">
        <v>188</v>
      </c>
      <c r="J26" s="188">
        <f>J20-J21</f>
        <v>1483.333333333333</v>
      </c>
    </row>
    <row r="27" spans="2:16" ht="15.5" x14ac:dyDescent="0.35">
      <c r="B27" s="62" t="s">
        <v>32</v>
      </c>
      <c r="C27" s="29" t="s">
        <v>180</v>
      </c>
      <c r="D27" s="60">
        <v>0.1</v>
      </c>
      <c r="E27" s="28"/>
      <c r="F27" s="28"/>
      <c r="G27" s="31"/>
      <c r="H27" s="54" t="s">
        <v>163</v>
      </c>
      <c r="I27" s="132" t="s">
        <v>189</v>
      </c>
      <c r="J27" s="189">
        <f>J25-J26</f>
        <v>-300</v>
      </c>
    </row>
    <row r="28" spans="2:16" ht="13" thickBot="1" x14ac:dyDescent="0.3">
      <c r="B28" s="178" t="s">
        <v>33</v>
      </c>
      <c r="C28" s="182" t="s">
        <v>181</v>
      </c>
      <c r="D28" s="179">
        <v>0.2</v>
      </c>
      <c r="E28" s="28"/>
      <c r="F28" s="28"/>
      <c r="G28" s="31"/>
      <c r="H28" s="63"/>
      <c r="I28" s="186"/>
      <c r="J28" s="31"/>
    </row>
    <row r="29" spans="2:16" ht="13" thickBot="1" x14ac:dyDescent="0.3">
      <c r="L29" s="137"/>
      <c r="M29" s="137"/>
      <c r="N29" s="137"/>
      <c r="O29" s="137"/>
    </row>
    <row r="30" spans="2:16" ht="14.5" thickBot="1" x14ac:dyDescent="0.35">
      <c r="D30" s="142" t="s">
        <v>112</v>
      </c>
      <c r="E30" s="143"/>
      <c r="G30" s="190" t="s">
        <v>171</v>
      </c>
      <c r="H30" s="39"/>
      <c r="I30" s="39"/>
      <c r="L30" s="136"/>
      <c r="M30" s="136"/>
      <c r="N30" s="136"/>
      <c r="O30" s="136"/>
    </row>
    <row r="31" spans="2:16" ht="15" thickBot="1" x14ac:dyDescent="0.4">
      <c r="G31" s="158" t="s">
        <v>172</v>
      </c>
      <c r="H31" s="40"/>
      <c r="I31" s="39"/>
    </row>
    <row r="32" spans="2:16" ht="17.5" thickBot="1" x14ac:dyDescent="0.3">
      <c r="C32" s="159" t="s">
        <v>162</v>
      </c>
      <c r="F32" s="191" t="s">
        <v>173</v>
      </c>
    </row>
    <row r="33" spans="2:6" ht="14" x14ac:dyDescent="0.3">
      <c r="F33" s="192" t="s">
        <v>174</v>
      </c>
    </row>
    <row r="34" spans="2:6" x14ac:dyDescent="0.25">
      <c r="F34" s="51"/>
    </row>
    <row r="35" spans="2:6" x14ac:dyDescent="0.25">
      <c r="B35" s="54"/>
    </row>
    <row r="36" spans="2:6" x14ac:dyDescent="0.25">
      <c r="B36" s="51"/>
      <c r="C36" s="139"/>
      <c r="D36" s="51"/>
    </row>
    <row r="37" spans="2:6" x14ac:dyDescent="0.25">
      <c r="B37" s="51"/>
      <c r="C37" s="139"/>
      <c r="D37" s="5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01886-98A0-4DA8-8570-79AC99C40277}">
  <dimension ref="B1:P36"/>
  <sheetViews>
    <sheetView topLeftCell="A2" zoomScale="73" zoomScaleNormal="73" workbookViewId="0">
      <selection activeCell="T22" sqref="T22"/>
    </sheetView>
  </sheetViews>
  <sheetFormatPr defaultRowHeight="12.5" x14ac:dyDescent="0.25"/>
  <cols>
    <col min="3" max="3" width="51.90625" customWidth="1"/>
    <col min="6" max="6" width="41.7265625" customWidth="1"/>
    <col min="7" max="7" width="16.7265625" customWidth="1"/>
    <col min="8" max="8" width="7.7265625" customWidth="1"/>
    <col min="9" max="9" width="48.7265625" customWidth="1"/>
    <col min="11" max="11" width="8.26953125" customWidth="1"/>
    <col min="12" max="12" width="22.54296875" customWidth="1"/>
    <col min="13" max="13" width="13.90625" customWidth="1"/>
    <col min="14" max="14" width="8.7265625" hidden="1" customWidth="1"/>
    <col min="15" max="15" width="1.1796875" customWidth="1"/>
    <col min="16" max="16" width="5.54296875" customWidth="1"/>
  </cols>
  <sheetData>
    <row r="1" spans="2:16" ht="18" thickBot="1" x14ac:dyDescent="0.4">
      <c r="C1" s="30" t="s">
        <v>108</v>
      </c>
      <c r="D1" s="52">
        <v>5</v>
      </c>
      <c r="F1" s="46" t="s">
        <v>156</v>
      </c>
      <c r="G1" s="45"/>
    </row>
    <row r="2" spans="2:16" ht="13" thickBot="1" x14ac:dyDescent="0.3"/>
    <row r="3" spans="2:16" ht="16" thickBot="1" x14ac:dyDescent="0.4">
      <c r="B3" s="36" t="s">
        <v>28</v>
      </c>
      <c r="C3" s="37"/>
      <c r="D3" s="37"/>
      <c r="E3" s="37" t="s">
        <v>29</v>
      </c>
      <c r="F3" s="37"/>
      <c r="G3" s="37"/>
      <c r="H3" s="37" t="s">
        <v>31</v>
      </c>
      <c r="I3" s="37"/>
      <c r="J3" s="171"/>
    </row>
    <row r="4" spans="2:16" ht="14.5" thickBot="1" x14ac:dyDescent="0.3">
      <c r="B4" s="172" t="s">
        <v>80</v>
      </c>
      <c r="C4" s="176" t="s">
        <v>158</v>
      </c>
      <c r="D4" s="174">
        <v>1</v>
      </c>
      <c r="E4" s="173" t="s">
        <v>89</v>
      </c>
      <c r="F4" s="173" t="s">
        <v>64</v>
      </c>
      <c r="G4" s="175">
        <v>225</v>
      </c>
      <c r="H4" s="176" t="s">
        <v>61</v>
      </c>
      <c r="I4" s="176" t="s">
        <v>113</v>
      </c>
      <c r="J4" s="177">
        <v>49254.406875000001</v>
      </c>
      <c r="M4" s="42"/>
    </row>
    <row r="5" spans="2:16" ht="16.5" customHeight="1" thickBot="1" x14ac:dyDescent="0.3">
      <c r="B5" s="62" t="s">
        <v>81</v>
      </c>
      <c r="C5" s="176" t="s">
        <v>159</v>
      </c>
      <c r="D5" s="60">
        <v>1</v>
      </c>
      <c r="E5" s="28" t="s">
        <v>90</v>
      </c>
      <c r="F5" s="28" t="s">
        <v>2</v>
      </c>
      <c r="G5" s="31">
        <v>225</v>
      </c>
      <c r="H5" s="28" t="s">
        <v>39</v>
      </c>
      <c r="I5" s="28" t="s">
        <v>48</v>
      </c>
      <c r="J5" s="53">
        <v>49254.406875000001</v>
      </c>
      <c r="M5" s="41"/>
    </row>
    <row r="6" spans="2:16" ht="15" thickBot="1" x14ac:dyDescent="0.3">
      <c r="B6" s="62" t="s">
        <v>82</v>
      </c>
      <c r="C6" s="176" t="s">
        <v>160</v>
      </c>
      <c r="D6" s="60">
        <v>1</v>
      </c>
      <c r="E6" s="28" t="s">
        <v>91</v>
      </c>
      <c r="F6" s="28" t="s">
        <v>66</v>
      </c>
      <c r="G6" s="31">
        <v>225</v>
      </c>
      <c r="H6" s="28" t="s">
        <v>40</v>
      </c>
      <c r="I6" s="28" t="s">
        <v>47</v>
      </c>
      <c r="J6" s="53">
        <v>98508.813750000001</v>
      </c>
      <c r="L6" s="194" t="s">
        <v>191</v>
      </c>
      <c r="M6" s="185"/>
    </row>
    <row r="7" spans="2:16" x14ac:dyDescent="0.25">
      <c r="B7" s="62" t="s">
        <v>55</v>
      </c>
      <c r="C7" s="176" t="s">
        <v>161</v>
      </c>
      <c r="D7" s="60">
        <v>1</v>
      </c>
      <c r="E7" s="28" t="s">
        <v>0</v>
      </c>
      <c r="F7" s="28" t="s">
        <v>65</v>
      </c>
      <c r="G7" s="31">
        <v>225</v>
      </c>
      <c r="H7" s="28" t="s">
        <v>45</v>
      </c>
      <c r="I7" s="28" t="s">
        <v>46</v>
      </c>
      <c r="J7" s="53">
        <v>1187.4999999999998</v>
      </c>
    </row>
    <row r="8" spans="2:16" ht="13" x14ac:dyDescent="0.3">
      <c r="B8" s="62" t="s">
        <v>83</v>
      </c>
      <c r="C8" s="28" t="s">
        <v>72</v>
      </c>
      <c r="D8" s="60">
        <v>250</v>
      </c>
      <c r="E8" s="29" t="s">
        <v>23</v>
      </c>
      <c r="F8" s="28" t="s">
        <v>19</v>
      </c>
      <c r="G8" s="31">
        <v>450</v>
      </c>
      <c r="H8" s="167" t="s">
        <v>114</v>
      </c>
      <c r="I8" s="29" t="s">
        <v>122</v>
      </c>
      <c r="J8" s="183">
        <v>1.2054758907296249E-2</v>
      </c>
      <c r="K8" s="58">
        <v>0.69059726394440646</v>
      </c>
      <c r="L8" s="55" t="s">
        <v>121</v>
      </c>
      <c r="P8" s="48"/>
    </row>
    <row r="9" spans="2:16" ht="13" thickBot="1" x14ac:dyDescent="0.3">
      <c r="B9" s="62" t="s">
        <v>84</v>
      </c>
      <c r="C9" s="28" t="s">
        <v>73</v>
      </c>
      <c r="D9" s="60">
        <v>250</v>
      </c>
      <c r="E9" s="28" t="s">
        <v>22</v>
      </c>
      <c r="F9" s="28" t="s">
        <v>20</v>
      </c>
      <c r="G9" s="31">
        <v>450</v>
      </c>
      <c r="H9" s="28" t="s">
        <v>27</v>
      </c>
      <c r="I9" s="28" t="s">
        <v>49</v>
      </c>
      <c r="J9" s="56">
        <v>395.83333333333326</v>
      </c>
      <c r="P9" s="35"/>
    </row>
    <row r="10" spans="2:16" ht="13" thickBot="1" x14ac:dyDescent="0.3">
      <c r="B10" s="62" t="s">
        <v>85</v>
      </c>
      <c r="C10" s="28" t="s">
        <v>74</v>
      </c>
      <c r="D10" s="60">
        <v>250</v>
      </c>
      <c r="E10" s="161" t="s">
        <v>170</v>
      </c>
      <c r="F10" s="161" t="s">
        <v>110</v>
      </c>
      <c r="G10" s="49">
        <v>900</v>
      </c>
      <c r="H10" s="29" t="s">
        <v>30</v>
      </c>
      <c r="I10" s="29" t="s">
        <v>50</v>
      </c>
      <c r="J10" s="56">
        <v>395.83333333333326</v>
      </c>
      <c r="L10" s="140" t="s">
        <v>167</v>
      </c>
      <c r="M10" s="141"/>
      <c r="P10" s="35"/>
    </row>
    <row r="11" spans="2:16" ht="13" thickBot="1" x14ac:dyDescent="0.3">
      <c r="B11" s="62" t="s">
        <v>1</v>
      </c>
      <c r="C11" s="28" t="s">
        <v>75</v>
      </c>
      <c r="D11" s="60">
        <v>250</v>
      </c>
      <c r="E11" s="161" t="s">
        <v>196</v>
      </c>
      <c r="F11" s="161" t="s">
        <v>111</v>
      </c>
      <c r="G11" s="165">
        <v>1000</v>
      </c>
      <c r="H11" s="28" t="s">
        <v>56</v>
      </c>
      <c r="I11" s="29" t="s">
        <v>144</v>
      </c>
      <c r="J11" s="53">
        <v>150</v>
      </c>
      <c r="K11" s="27"/>
      <c r="P11" s="51"/>
    </row>
    <row r="12" spans="2:16" ht="13" thickBot="1" x14ac:dyDescent="0.3">
      <c r="B12" s="62" t="s">
        <v>86</v>
      </c>
      <c r="C12" s="28" t="s">
        <v>76</v>
      </c>
      <c r="D12" s="61">
        <v>25</v>
      </c>
      <c r="E12" s="161" t="s">
        <v>169</v>
      </c>
      <c r="F12" s="166" t="s">
        <v>118</v>
      </c>
      <c r="G12" s="165">
        <v>100</v>
      </c>
      <c r="H12" s="28" t="s">
        <v>59</v>
      </c>
      <c r="I12" s="29" t="s">
        <v>145</v>
      </c>
      <c r="J12" s="53">
        <v>300</v>
      </c>
      <c r="L12" s="140" t="s">
        <v>168</v>
      </c>
      <c r="M12" s="141"/>
      <c r="P12" s="35"/>
    </row>
    <row r="13" spans="2:16" x14ac:dyDescent="0.25">
      <c r="B13" s="62" t="s">
        <v>87</v>
      </c>
      <c r="C13" s="28" t="s">
        <v>77</v>
      </c>
      <c r="D13" s="60">
        <v>25</v>
      </c>
      <c r="E13" s="29" t="s">
        <v>105</v>
      </c>
      <c r="F13" s="28" t="s">
        <v>67</v>
      </c>
      <c r="G13" s="193">
        <v>43.781694999999999</v>
      </c>
      <c r="H13" s="28" t="s">
        <v>57</v>
      </c>
      <c r="I13" s="29" t="s">
        <v>146</v>
      </c>
      <c r="J13" s="53">
        <v>45.833333333333336</v>
      </c>
      <c r="P13" s="35"/>
    </row>
    <row r="14" spans="2:16" x14ac:dyDescent="0.25">
      <c r="B14" s="62" t="s">
        <v>88</v>
      </c>
      <c r="C14" s="28" t="s">
        <v>78</v>
      </c>
      <c r="D14" s="60">
        <v>25</v>
      </c>
      <c r="E14" s="29" t="s">
        <v>106</v>
      </c>
      <c r="F14" s="28" t="s">
        <v>68</v>
      </c>
      <c r="G14" s="33">
        <v>43.781694999999999</v>
      </c>
      <c r="H14" s="28" t="s">
        <v>58</v>
      </c>
      <c r="I14" s="29" t="s">
        <v>147</v>
      </c>
      <c r="J14" s="53">
        <v>45.833333333333336</v>
      </c>
    </row>
    <row r="15" spans="2:16" x14ac:dyDescent="0.25">
      <c r="B15" s="62" t="s">
        <v>21</v>
      </c>
      <c r="C15" s="28" t="s">
        <v>79</v>
      </c>
      <c r="D15" s="60">
        <v>25</v>
      </c>
      <c r="E15" s="28" t="s">
        <v>92</v>
      </c>
      <c r="F15" s="28" t="s">
        <v>69</v>
      </c>
      <c r="G15" s="33">
        <v>43.781694999999999</v>
      </c>
      <c r="H15" s="28"/>
      <c r="I15" s="161" t="s">
        <v>148</v>
      </c>
      <c r="J15" s="169">
        <v>591.66666666666663</v>
      </c>
      <c r="L15" s="128"/>
    </row>
    <row r="16" spans="2:16" ht="13" thickBot="1" x14ac:dyDescent="0.3">
      <c r="B16" s="62" t="s">
        <v>98</v>
      </c>
      <c r="C16" s="28" t="s">
        <v>100</v>
      </c>
      <c r="D16" s="60">
        <v>250</v>
      </c>
      <c r="E16" s="28" t="s">
        <v>93</v>
      </c>
      <c r="F16" s="28" t="s">
        <v>70</v>
      </c>
      <c r="G16" s="129">
        <v>43.781694999999999</v>
      </c>
      <c r="H16" s="28"/>
      <c r="I16" s="161" t="s">
        <v>149</v>
      </c>
      <c r="J16" s="170">
        <v>741.66666666666663</v>
      </c>
    </row>
    <row r="17" spans="2:16" ht="13" thickBot="1" x14ac:dyDescent="0.3">
      <c r="B17" s="62" t="s">
        <v>99</v>
      </c>
      <c r="C17" s="28" t="s">
        <v>101</v>
      </c>
      <c r="D17" s="60">
        <v>250</v>
      </c>
      <c r="E17" s="28" t="s">
        <v>94</v>
      </c>
      <c r="F17" s="28" t="s">
        <v>71</v>
      </c>
      <c r="G17" s="130">
        <v>43.781694999999999</v>
      </c>
      <c r="H17" s="28"/>
      <c r="I17" s="168" t="s">
        <v>150</v>
      </c>
      <c r="J17" s="138">
        <v>1333.3333333333333</v>
      </c>
      <c r="L17" s="128"/>
      <c r="P17" s="51"/>
    </row>
    <row r="18" spans="2:16" ht="13" thickBot="1" x14ac:dyDescent="0.3">
      <c r="B18" s="62" t="s">
        <v>92</v>
      </c>
      <c r="C18" s="28" t="s">
        <v>102</v>
      </c>
      <c r="D18" s="60">
        <v>250</v>
      </c>
      <c r="E18" s="28" t="s">
        <v>95</v>
      </c>
      <c r="F18" s="28" t="s">
        <v>96</v>
      </c>
      <c r="G18" s="130">
        <v>43.781694999999999</v>
      </c>
      <c r="H18" s="28" t="s">
        <v>97</v>
      </c>
      <c r="I18" s="28" t="s">
        <v>51</v>
      </c>
      <c r="J18" s="131">
        <v>3044.1666666666665</v>
      </c>
      <c r="P18" s="51"/>
    </row>
    <row r="19" spans="2:16" x14ac:dyDescent="0.25">
      <c r="B19" s="62" t="s">
        <v>93</v>
      </c>
      <c r="C19" s="28" t="s">
        <v>103</v>
      </c>
      <c r="D19" s="60">
        <v>250</v>
      </c>
      <c r="E19" s="28" t="s">
        <v>154</v>
      </c>
      <c r="F19" s="28" t="s">
        <v>151</v>
      </c>
      <c r="G19" s="34">
        <v>43.781694999999999</v>
      </c>
      <c r="H19" s="29" t="s">
        <v>107</v>
      </c>
      <c r="I19" s="28" t="s">
        <v>52</v>
      </c>
      <c r="J19" s="59">
        <v>1860.8333333333335</v>
      </c>
      <c r="L19" s="144" t="s">
        <v>116</v>
      </c>
      <c r="M19" s="145"/>
      <c r="N19" s="146"/>
      <c r="O19" s="147"/>
      <c r="P19" s="51"/>
    </row>
    <row r="20" spans="2:16" x14ac:dyDescent="0.25">
      <c r="B20" s="62" t="s">
        <v>24</v>
      </c>
      <c r="C20" s="29" t="s">
        <v>184</v>
      </c>
      <c r="D20" s="60">
        <v>1.5</v>
      </c>
      <c r="E20" s="28" t="s">
        <v>155</v>
      </c>
      <c r="F20" s="28" t="s">
        <v>152</v>
      </c>
      <c r="G20" s="34">
        <v>43.781694999999999</v>
      </c>
      <c r="H20" s="29" t="s">
        <v>104</v>
      </c>
      <c r="I20" s="28" t="s">
        <v>53</v>
      </c>
      <c r="J20" s="59">
        <v>3194.1666666666665</v>
      </c>
      <c r="L20" s="148" t="s">
        <v>115</v>
      </c>
      <c r="M20" s="47"/>
      <c r="N20" s="47"/>
      <c r="O20" s="149"/>
      <c r="P20" s="51"/>
    </row>
    <row r="21" spans="2:16" ht="13" thickBot="1" x14ac:dyDescent="0.3">
      <c r="B21" s="62" t="s">
        <v>25</v>
      </c>
      <c r="C21" s="29" t="s">
        <v>182</v>
      </c>
      <c r="D21" s="60">
        <v>1.5</v>
      </c>
      <c r="E21" s="28" t="s">
        <v>34</v>
      </c>
      <c r="F21" s="29" t="s">
        <v>175</v>
      </c>
      <c r="G21" s="38">
        <v>1.25</v>
      </c>
      <c r="H21" s="28" t="s">
        <v>38</v>
      </c>
      <c r="I21" s="28" t="s">
        <v>54</v>
      </c>
      <c r="J21" s="133">
        <v>1710.8333333333335</v>
      </c>
      <c r="L21" s="150" t="s">
        <v>120</v>
      </c>
      <c r="M21" s="47"/>
      <c r="N21" s="47"/>
      <c r="O21" s="149"/>
    </row>
    <row r="22" spans="2:16" ht="13" thickBot="1" x14ac:dyDescent="0.3">
      <c r="B22" s="62" t="s">
        <v>26</v>
      </c>
      <c r="C22" s="29" t="s">
        <v>183</v>
      </c>
      <c r="D22" s="60">
        <v>2.5</v>
      </c>
      <c r="E22" s="28" t="s">
        <v>35</v>
      </c>
      <c r="F22" s="28" t="s">
        <v>44</v>
      </c>
      <c r="G22" s="49">
        <v>0.1</v>
      </c>
      <c r="H22" s="28"/>
      <c r="I22" s="132" t="s">
        <v>190</v>
      </c>
      <c r="J22" s="134">
        <v>9810</v>
      </c>
      <c r="L22" s="151" t="s">
        <v>119</v>
      </c>
      <c r="M22" s="152"/>
      <c r="N22" s="152"/>
      <c r="O22" s="153"/>
    </row>
    <row r="23" spans="2:16" ht="13" thickBot="1" x14ac:dyDescent="0.3">
      <c r="B23" s="160" t="s">
        <v>124</v>
      </c>
      <c r="C23" s="161" t="s">
        <v>176</v>
      </c>
      <c r="D23" s="60">
        <v>0.27500000000000002</v>
      </c>
      <c r="E23" s="28" t="s">
        <v>36</v>
      </c>
      <c r="F23" s="29" t="s">
        <v>195</v>
      </c>
      <c r="G23" s="44">
        <v>0.05</v>
      </c>
      <c r="H23" s="28"/>
      <c r="I23" s="57" t="s">
        <v>185</v>
      </c>
      <c r="J23" s="135">
        <v>9810</v>
      </c>
    </row>
    <row r="24" spans="2:16" x14ac:dyDescent="0.25">
      <c r="B24" s="162" t="s">
        <v>123</v>
      </c>
      <c r="C24" s="163" t="s">
        <v>177</v>
      </c>
      <c r="D24" s="164">
        <v>0.27500000000000002</v>
      </c>
      <c r="E24" s="28" t="s">
        <v>37</v>
      </c>
      <c r="F24" s="28" t="s">
        <v>42</v>
      </c>
      <c r="G24" s="49">
        <v>0.15000000000000002</v>
      </c>
      <c r="H24" s="28" t="s">
        <v>62</v>
      </c>
      <c r="I24" s="57" t="s">
        <v>186</v>
      </c>
      <c r="J24" s="187">
        <v>1333.3333333333333</v>
      </c>
      <c r="L24" s="154" t="s">
        <v>194</v>
      </c>
      <c r="M24" s="146"/>
      <c r="N24" s="146"/>
      <c r="O24" s="155"/>
      <c r="P24" s="147"/>
    </row>
    <row r="25" spans="2:16" ht="13" thickBot="1" x14ac:dyDescent="0.3">
      <c r="B25" s="181" t="s">
        <v>157</v>
      </c>
      <c r="C25" s="29" t="s">
        <v>178</v>
      </c>
      <c r="D25" s="60">
        <v>0.4</v>
      </c>
      <c r="E25" s="28" t="s">
        <v>63</v>
      </c>
      <c r="F25" s="28" t="s">
        <v>43</v>
      </c>
      <c r="G25" s="50">
        <v>0.26388888888888884</v>
      </c>
      <c r="H25" s="29" t="s">
        <v>165</v>
      </c>
      <c r="I25" s="57" t="s">
        <v>187</v>
      </c>
      <c r="J25" s="188">
        <v>1183.333333333333</v>
      </c>
      <c r="L25" s="156" t="s">
        <v>153</v>
      </c>
      <c r="M25" s="152"/>
      <c r="N25" s="152"/>
      <c r="O25" s="157"/>
      <c r="P25" s="153"/>
    </row>
    <row r="26" spans="2:16" x14ac:dyDescent="0.25">
      <c r="B26" s="62" t="s">
        <v>60</v>
      </c>
      <c r="C26" s="29" t="s">
        <v>179</v>
      </c>
      <c r="D26" s="43">
        <v>0.41388888888888886</v>
      </c>
      <c r="F26" s="28"/>
      <c r="G26" s="31"/>
      <c r="H26" s="29" t="s">
        <v>164</v>
      </c>
      <c r="I26" s="57" t="s">
        <v>188</v>
      </c>
      <c r="J26" s="188">
        <v>1483.333333333333</v>
      </c>
    </row>
    <row r="27" spans="2:16" ht="15.5" x14ac:dyDescent="0.35">
      <c r="B27" s="62" t="s">
        <v>32</v>
      </c>
      <c r="C27" s="29" t="s">
        <v>180</v>
      </c>
      <c r="D27" s="60">
        <v>0.1</v>
      </c>
      <c r="E27" s="28"/>
      <c r="F27" s="28"/>
      <c r="G27" s="31"/>
      <c r="H27" s="54" t="s">
        <v>163</v>
      </c>
      <c r="I27" s="132" t="s">
        <v>189</v>
      </c>
      <c r="J27" s="189">
        <v>-300</v>
      </c>
    </row>
    <row r="28" spans="2:16" ht="13" thickBot="1" x14ac:dyDescent="0.3">
      <c r="B28" s="178" t="s">
        <v>33</v>
      </c>
      <c r="C28" s="182" t="s">
        <v>181</v>
      </c>
      <c r="D28" s="179">
        <v>0.2</v>
      </c>
      <c r="E28" s="63"/>
      <c r="F28" s="63"/>
      <c r="G28" s="180"/>
      <c r="H28" s="63"/>
      <c r="I28" s="186"/>
      <c r="J28" s="31"/>
    </row>
    <row r="29" spans="2:16" ht="13" thickBot="1" x14ac:dyDescent="0.3">
      <c r="L29" s="137"/>
      <c r="M29" s="137"/>
      <c r="N29" s="137"/>
      <c r="O29" s="137"/>
    </row>
    <row r="30" spans="2:16" ht="14.5" thickBot="1" x14ac:dyDescent="0.35">
      <c r="D30" s="142" t="s">
        <v>112</v>
      </c>
      <c r="E30" s="143"/>
      <c r="G30" s="190" t="s">
        <v>192</v>
      </c>
      <c r="H30" s="39"/>
      <c r="I30" s="39"/>
      <c r="L30" s="136"/>
      <c r="M30" s="136"/>
      <c r="N30" s="136"/>
      <c r="O30" s="136"/>
    </row>
    <row r="31" spans="2:16" ht="15" thickBot="1" x14ac:dyDescent="0.4">
      <c r="G31" s="158" t="s">
        <v>172</v>
      </c>
      <c r="H31" s="40"/>
      <c r="I31" s="39"/>
    </row>
    <row r="32" spans="2:16" ht="17.5" thickBot="1" x14ac:dyDescent="0.3">
      <c r="C32" s="159" t="s">
        <v>162</v>
      </c>
      <c r="F32" s="191" t="s">
        <v>193</v>
      </c>
    </row>
    <row r="33" spans="2:6" ht="14" x14ac:dyDescent="0.3">
      <c r="F33" s="192" t="s">
        <v>174</v>
      </c>
    </row>
    <row r="34" spans="2:6" x14ac:dyDescent="0.25">
      <c r="F34" s="51"/>
    </row>
    <row r="35" spans="2:6" x14ac:dyDescent="0.25">
      <c r="B35" s="54"/>
    </row>
    <row r="36" spans="2:6" x14ac:dyDescent="0.25">
      <c r="B36" s="51"/>
      <c r="C36" s="139"/>
      <c r="D36" s="5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4:H23"/>
  <sheetViews>
    <sheetView topLeftCell="B1" workbookViewId="0">
      <selection activeCell="H9" sqref="H9"/>
    </sheetView>
  </sheetViews>
  <sheetFormatPr defaultRowHeight="12.5" x14ac:dyDescent="0.25"/>
  <cols>
    <col min="6" max="6" width="12.08984375" customWidth="1"/>
  </cols>
  <sheetData>
    <row r="4" spans="3:8" ht="13" thickBot="1" x14ac:dyDescent="0.3"/>
    <row r="5" spans="3:8" ht="17.5" x14ac:dyDescent="0.35">
      <c r="C5" s="2" t="s">
        <v>3</v>
      </c>
      <c r="D5" s="3"/>
      <c r="E5" s="3"/>
      <c r="F5" s="3"/>
      <c r="G5" s="4"/>
      <c r="H5" s="5"/>
    </row>
    <row r="6" spans="3:8" ht="17.5" x14ac:dyDescent="0.35">
      <c r="C6" s="17"/>
      <c r="D6" s="7"/>
      <c r="E6" s="7"/>
      <c r="F6" s="7"/>
      <c r="G6" s="18"/>
      <c r="H6" s="19"/>
    </row>
    <row r="7" spans="3:8" ht="13.5" x14ac:dyDescent="0.3">
      <c r="C7" s="6" t="s">
        <v>18</v>
      </c>
      <c r="D7" s="7"/>
      <c r="E7" s="7"/>
      <c r="F7" s="7"/>
      <c r="G7" s="7"/>
      <c r="H7" s="8">
        <v>1</v>
      </c>
    </row>
    <row r="8" spans="3:8" ht="13.5" x14ac:dyDescent="0.3">
      <c r="C8" s="6"/>
      <c r="D8" s="7"/>
      <c r="E8" s="11"/>
      <c r="F8" s="7"/>
      <c r="G8" s="9" t="s">
        <v>4</v>
      </c>
      <c r="H8" s="25">
        <v>9806.65</v>
      </c>
    </row>
    <row r="9" spans="3:8" ht="13.5" x14ac:dyDescent="0.3">
      <c r="C9" s="6"/>
      <c r="D9" s="7"/>
      <c r="E9" s="7"/>
      <c r="F9" s="7"/>
      <c r="G9" s="9" t="s">
        <v>5</v>
      </c>
      <c r="H9" s="32">
        <v>0.17512678000000001</v>
      </c>
    </row>
    <row r="10" spans="3:8" ht="13.5" x14ac:dyDescent="0.3">
      <c r="C10" s="6"/>
      <c r="D10" s="7"/>
      <c r="E10" s="7"/>
      <c r="F10" s="7"/>
      <c r="G10" s="9"/>
      <c r="H10" s="25"/>
    </row>
    <row r="11" spans="3:8" x14ac:dyDescent="0.25">
      <c r="C11" s="12"/>
      <c r="D11" s="7"/>
      <c r="E11" s="7"/>
      <c r="F11" s="7"/>
      <c r="G11" s="9" t="s">
        <v>6</v>
      </c>
      <c r="H11" s="25">
        <v>175.126777258</v>
      </c>
    </row>
    <row r="12" spans="3:8" ht="13.5" x14ac:dyDescent="0.3">
      <c r="C12" s="6"/>
      <c r="D12" s="7"/>
      <c r="E12" s="7"/>
      <c r="F12" s="7"/>
      <c r="G12" s="9" t="s">
        <v>7</v>
      </c>
      <c r="H12" s="25">
        <v>1.7857959999999999E-2</v>
      </c>
    </row>
    <row r="13" spans="3:8" ht="13.5" x14ac:dyDescent="0.3">
      <c r="C13" s="6"/>
      <c r="D13" s="7"/>
      <c r="E13" s="7"/>
      <c r="F13" s="7"/>
      <c r="G13" s="9" t="s">
        <v>8</v>
      </c>
      <c r="H13" s="25">
        <v>0.10197162</v>
      </c>
    </row>
    <row r="14" spans="3:8" x14ac:dyDescent="0.25">
      <c r="C14" s="10"/>
      <c r="D14" s="9"/>
      <c r="E14" s="13"/>
      <c r="F14" s="7"/>
      <c r="G14" s="9" t="s">
        <v>9</v>
      </c>
      <c r="H14" s="25">
        <v>5.7101490500000001</v>
      </c>
    </row>
    <row r="15" spans="3:8" x14ac:dyDescent="0.25">
      <c r="C15" s="10"/>
      <c r="D15" s="7"/>
      <c r="E15" s="7"/>
      <c r="F15" s="7"/>
      <c r="G15" s="9" t="s">
        <v>10</v>
      </c>
      <c r="H15" s="25">
        <v>1000</v>
      </c>
    </row>
    <row r="16" spans="3:8" x14ac:dyDescent="0.25">
      <c r="C16" s="10"/>
      <c r="D16" s="7"/>
      <c r="E16" s="7"/>
      <c r="F16" s="7"/>
      <c r="G16" s="9" t="s">
        <v>11</v>
      </c>
      <c r="H16" s="25">
        <v>1E-3</v>
      </c>
    </row>
    <row r="17" spans="3:8" x14ac:dyDescent="0.25">
      <c r="C17" s="10"/>
      <c r="D17" s="7"/>
      <c r="E17" s="7"/>
      <c r="F17" s="7"/>
      <c r="G17" s="9" t="s">
        <v>12</v>
      </c>
      <c r="H17" s="25">
        <v>1.0197E-4</v>
      </c>
    </row>
    <row r="18" spans="3:8" ht="13.5" x14ac:dyDescent="0.3">
      <c r="C18" s="10"/>
      <c r="D18" s="7"/>
      <c r="E18" s="7"/>
      <c r="F18" s="7"/>
      <c r="G18" s="9" t="s">
        <v>13</v>
      </c>
      <c r="H18" s="26">
        <v>5.7101499999999998E-3</v>
      </c>
    </row>
    <row r="19" spans="3:8" x14ac:dyDescent="0.25">
      <c r="C19" s="10"/>
      <c r="D19" s="7"/>
      <c r="E19" s="13" t="s">
        <v>14</v>
      </c>
      <c r="F19" s="13" t="s">
        <v>15</v>
      </c>
      <c r="G19" s="13" t="s">
        <v>16</v>
      </c>
      <c r="H19" s="14" t="s">
        <v>17</v>
      </c>
    </row>
    <row r="20" spans="3:8" x14ac:dyDescent="0.25">
      <c r="C20" s="15" t="s">
        <v>14</v>
      </c>
      <c r="D20" s="1">
        <v>148.85776300000003</v>
      </c>
      <c r="E20" s="20">
        <v>148.85776300000003</v>
      </c>
      <c r="F20" s="20">
        <v>148857.76300000004</v>
      </c>
      <c r="G20" s="20">
        <v>15.179267242686063</v>
      </c>
      <c r="H20" s="21">
        <v>850.00001397957533</v>
      </c>
    </row>
    <row r="21" spans="3:8" x14ac:dyDescent="0.25">
      <c r="C21" s="15" t="s">
        <v>15</v>
      </c>
      <c r="D21" s="1">
        <v>100</v>
      </c>
      <c r="E21" s="20">
        <v>0.1</v>
      </c>
      <c r="F21" s="20">
        <v>100</v>
      </c>
      <c r="G21" s="20">
        <v>1.0196999999999999E-2</v>
      </c>
      <c r="H21" s="21">
        <v>0.57101499999999994</v>
      </c>
    </row>
    <row r="22" spans="3:8" x14ac:dyDescent="0.25">
      <c r="C22" s="15" t="s">
        <v>16</v>
      </c>
      <c r="D22" s="1">
        <v>1.0197162000000001E-2</v>
      </c>
      <c r="E22" s="20">
        <v>9.9999998727300005E-2</v>
      </c>
      <c r="F22" s="20">
        <v>99.99999872730001</v>
      </c>
      <c r="G22" s="20">
        <v>1.0197162000000001E-2</v>
      </c>
      <c r="H22" s="21">
        <v>0.57101489731274868</v>
      </c>
    </row>
    <row r="23" spans="3:8" ht="13" thickBot="1" x14ac:dyDescent="0.3">
      <c r="C23" s="16" t="s">
        <v>17</v>
      </c>
      <c r="D23" s="22">
        <v>900</v>
      </c>
      <c r="E23" s="23">
        <v>157.614102</v>
      </c>
      <c r="F23" s="23">
        <v>157614.09953219999</v>
      </c>
      <c r="G23" s="23">
        <v>16.072164000000001</v>
      </c>
      <c r="H23" s="24">
        <v>900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2:L23"/>
  <sheetViews>
    <sheetView workbookViewId="0">
      <selection activeCell="F20" sqref="F20"/>
    </sheetView>
  </sheetViews>
  <sheetFormatPr defaultRowHeight="12.5" x14ac:dyDescent="0.25"/>
  <cols>
    <col min="2" max="2" width="3.90625" customWidth="1"/>
    <col min="3" max="3" width="19.6328125" customWidth="1"/>
    <col min="8" max="8" width="12.36328125" customWidth="1"/>
    <col min="12" max="12" width="21.08984375" customWidth="1"/>
  </cols>
  <sheetData>
    <row r="2" spans="3:12" ht="25" x14ac:dyDescent="0.5">
      <c r="C2" s="127" t="s">
        <v>143</v>
      </c>
      <c r="D2" s="127"/>
      <c r="E2" s="127"/>
    </row>
    <row r="4" spans="3:12" ht="13" thickBot="1" x14ac:dyDescent="0.3"/>
    <row r="5" spans="3:12" ht="15.5" x14ac:dyDescent="0.35">
      <c r="C5" s="64"/>
      <c r="D5" s="65"/>
      <c r="E5" s="65"/>
      <c r="F5" s="65"/>
      <c r="G5" s="65"/>
      <c r="H5" s="66">
        <f>H7/H11</f>
        <v>0.5</v>
      </c>
      <c r="I5" s="67"/>
      <c r="J5" s="68"/>
      <c r="K5" s="67"/>
      <c r="L5" s="69"/>
    </row>
    <row r="6" spans="3:12" ht="15.5" x14ac:dyDescent="0.35">
      <c r="C6" s="70"/>
      <c r="D6" s="71"/>
      <c r="E6" s="72"/>
      <c r="F6" s="72"/>
      <c r="G6" s="72"/>
      <c r="H6" s="73" t="s">
        <v>125</v>
      </c>
      <c r="I6" s="72"/>
      <c r="J6" s="72"/>
      <c r="K6" s="72"/>
      <c r="L6" s="74"/>
    </row>
    <row r="7" spans="3:12" ht="16" thickBot="1" x14ac:dyDescent="0.4">
      <c r="C7" s="70"/>
      <c r="D7" s="72"/>
      <c r="E7" s="72"/>
      <c r="F7" s="72"/>
      <c r="G7" s="72"/>
      <c r="H7" s="75">
        <f>F9+J9</f>
        <v>4905</v>
      </c>
      <c r="I7" s="72"/>
      <c r="J7" s="72"/>
      <c r="K7" s="72"/>
      <c r="L7" s="74"/>
    </row>
    <row r="8" spans="3:12" ht="16" thickBot="1" x14ac:dyDescent="0.4">
      <c r="C8" s="70"/>
      <c r="D8" s="72"/>
      <c r="E8" s="76"/>
      <c r="F8" s="77">
        <f>F9/H11</f>
        <v>0.31031260618416578</v>
      </c>
      <c r="G8" s="78" t="s">
        <v>126</v>
      </c>
      <c r="H8" s="79"/>
      <c r="I8" s="80" t="s">
        <v>127</v>
      </c>
      <c r="J8" s="81">
        <f>J9/H11</f>
        <v>0.18968739381583419</v>
      </c>
      <c r="K8" s="72"/>
      <c r="L8" s="74"/>
    </row>
    <row r="9" spans="3:12" ht="16" thickBot="1" x14ac:dyDescent="0.4">
      <c r="C9" s="82" t="s">
        <v>128</v>
      </c>
      <c r="D9" s="83" t="s">
        <v>129</v>
      </c>
      <c r="E9" s="84">
        <f>F9-J9</f>
        <v>1183.333333333333</v>
      </c>
      <c r="F9" s="85">
        <f>'Live calc'!J18</f>
        <v>3044.1666666666665</v>
      </c>
      <c r="G9" s="86"/>
      <c r="H9" s="87"/>
      <c r="I9" s="88"/>
      <c r="J9" s="89">
        <f>'Live calc'!J19</f>
        <v>1860.8333333333335</v>
      </c>
      <c r="K9" s="72"/>
      <c r="L9" s="74"/>
    </row>
    <row r="10" spans="3:12" ht="16" thickBot="1" x14ac:dyDescent="0.4">
      <c r="C10" s="70"/>
      <c r="D10" s="90"/>
      <c r="E10" s="72"/>
      <c r="F10" s="90"/>
      <c r="G10" s="91"/>
      <c r="H10" s="87"/>
      <c r="I10" s="92"/>
      <c r="J10" s="93"/>
      <c r="K10" s="72"/>
      <c r="L10" s="74"/>
    </row>
    <row r="11" spans="3:12" ht="16" thickBot="1" x14ac:dyDescent="0.4">
      <c r="C11" s="70"/>
      <c r="D11" s="94" t="s">
        <v>130</v>
      </c>
      <c r="E11" s="95">
        <f>F11/H11</f>
        <v>0.63591573224600739</v>
      </c>
      <c r="F11" s="96">
        <f>F9+F13</f>
        <v>6238.333333333333</v>
      </c>
      <c r="G11" s="97"/>
      <c r="H11" s="98">
        <f>H7+H14</f>
        <v>9810</v>
      </c>
      <c r="I11" s="97"/>
      <c r="J11" s="99">
        <f>J9+J13</f>
        <v>3571.666666666667</v>
      </c>
      <c r="K11" s="100">
        <f>J11/H11</f>
        <v>0.36408426775399255</v>
      </c>
      <c r="L11" s="101" t="s">
        <v>131</v>
      </c>
    </row>
    <row r="12" spans="3:12" ht="16" thickBot="1" x14ac:dyDescent="0.4">
      <c r="C12" s="102" t="s">
        <v>132</v>
      </c>
      <c r="D12" s="103" t="s">
        <v>133</v>
      </c>
      <c r="E12" s="104">
        <f>E13-E9</f>
        <v>300</v>
      </c>
      <c r="F12" s="105">
        <f>F13/H11</f>
        <v>0.32560312606184166</v>
      </c>
      <c r="G12" s="91"/>
      <c r="H12" s="87"/>
      <c r="I12" s="92"/>
      <c r="J12" s="106">
        <f>J13/H11</f>
        <v>0.17439687393815836</v>
      </c>
      <c r="K12" s="72"/>
      <c r="L12" s="74"/>
    </row>
    <row r="13" spans="3:12" ht="16" thickBot="1" x14ac:dyDescent="0.4">
      <c r="C13" s="82" t="s">
        <v>134</v>
      </c>
      <c r="D13" s="107" t="s">
        <v>135</v>
      </c>
      <c r="E13" s="84">
        <f>F13-J13</f>
        <v>1483.333333333333</v>
      </c>
      <c r="F13" s="85">
        <f>'Live calc'!J20</f>
        <v>3194.1666666666665</v>
      </c>
      <c r="G13" s="108" t="s">
        <v>136</v>
      </c>
      <c r="H13" s="109"/>
      <c r="I13" s="110" t="s">
        <v>137</v>
      </c>
      <c r="J13" s="111">
        <f>'Live calc'!J21</f>
        <v>1710.8333333333335</v>
      </c>
      <c r="K13" s="72"/>
      <c r="L13" s="74"/>
    </row>
    <row r="14" spans="3:12" ht="16" thickBot="1" x14ac:dyDescent="0.4">
      <c r="C14" s="70"/>
      <c r="D14" s="112"/>
      <c r="E14" s="113" t="s">
        <v>138</v>
      </c>
      <c r="F14" s="114">
        <f>F13-F9</f>
        <v>150</v>
      </c>
      <c r="G14" s="76"/>
      <c r="H14" s="115">
        <f>F13+J13</f>
        <v>4905</v>
      </c>
      <c r="I14" s="76"/>
      <c r="J14" s="116">
        <f>J13-J9</f>
        <v>-150</v>
      </c>
      <c r="K14" s="117" t="s">
        <v>139</v>
      </c>
      <c r="L14" s="101"/>
    </row>
    <row r="15" spans="3:12" ht="16" thickBot="1" x14ac:dyDescent="0.4">
      <c r="C15" s="70"/>
      <c r="D15" s="90"/>
      <c r="E15" s="118" t="s">
        <v>140</v>
      </c>
      <c r="F15" s="119">
        <f>(F13+J9)/H11</f>
        <v>0.51529051987767582</v>
      </c>
      <c r="G15" s="72"/>
      <c r="H15" s="120" t="s">
        <v>141</v>
      </c>
      <c r="I15" s="72"/>
      <c r="J15" s="72"/>
      <c r="K15" s="72"/>
      <c r="L15" s="74"/>
    </row>
    <row r="16" spans="3:12" ht="16" thickBot="1" x14ac:dyDescent="0.4">
      <c r="C16" s="121"/>
      <c r="D16" s="112"/>
      <c r="E16" s="113" t="s">
        <v>142</v>
      </c>
      <c r="F16" s="122">
        <f>F13-J9</f>
        <v>1333.333333333333</v>
      </c>
      <c r="G16" s="123"/>
      <c r="H16" s="124">
        <f>H14/H11</f>
        <v>0.5</v>
      </c>
      <c r="I16" s="123"/>
      <c r="J16" s="123"/>
      <c r="K16" s="125"/>
      <c r="L16" s="126"/>
    </row>
    <row r="19" spans="5:10" x14ac:dyDescent="0.25">
      <c r="E19">
        <v>156</v>
      </c>
    </row>
    <row r="23" spans="5:10" x14ac:dyDescent="0.25">
      <c r="J23" s="5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Live calc</vt:lpstr>
      <vt:lpstr>No Formulae</vt:lpstr>
      <vt:lpstr>Spring Rate Conversion</vt:lpstr>
      <vt:lpstr>Load Spliits</vt:lpstr>
    </vt:vector>
  </TitlesOfParts>
  <Company>Swansea Institute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Dowden</dc:creator>
  <cp:lastModifiedBy>Roger</cp:lastModifiedBy>
  <cp:lastPrinted>2011-02-13T19:11:45Z</cp:lastPrinted>
  <dcterms:created xsi:type="dcterms:W3CDTF">2008-02-09T17:39:24Z</dcterms:created>
  <dcterms:modified xsi:type="dcterms:W3CDTF">2018-04-02T21:41:33Z</dcterms:modified>
</cp:coreProperties>
</file>