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esleypatrick/Desktop/"/>
    </mc:Choice>
  </mc:AlternateContent>
  <xr:revisionPtr revIDLastSave="0" documentId="8_{B1EEAC4C-E5E2-B348-8343-1CCBC843FEC0}" xr6:coauthVersionLast="47" xr6:coauthVersionMax="47" xr10:uidLastSave="{00000000-0000-0000-0000-000000000000}"/>
  <bookViews>
    <workbookView xWindow="0" yWindow="500" windowWidth="38400" windowHeight="18460" xr2:uid="{8E00B624-BAE4-FF4C-9C12-F91531A6D241}"/>
  </bookViews>
  <sheets>
    <sheet name="VEHICLE" sheetId="1" r:id="rId1"/>
    <sheet name="TRACK" sheetId="2" r:id="rId2"/>
    <sheet name="BSFC" sheetId="4" r:id="rId3"/>
    <sheet name="DUTY CYCLE" sheetId="5" r:id="rId4"/>
    <sheet name="GRAPHS" sheetId="6" r:id="rId5"/>
  </sheets>
  <calcPr calcId="191029" iterate="1" iterateCount="5000" iterateDelta="1E-56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9" i="4" l="1"/>
  <c r="B40" i="4" s="1"/>
  <c r="B41" i="4" s="1"/>
  <c r="T18" i="5" l="1"/>
  <c r="J12" i="1"/>
  <c r="J6" i="1"/>
  <c r="J7" i="1"/>
  <c r="J8" i="1"/>
  <c r="J9" i="1"/>
  <c r="J10" i="1"/>
  <c r="J11" i="1"/>
  <c r="J5" i="1"/>
  <c r="N51" i="1"/>
  <c r="N31" i="1"/>
  <c r="N32" i="1"/>
  <c r="N33" i="1"/>
  <c r="N34" i="1"/>
  <c r="N35" i="1"/>
  <c r="N36" i="1"/>
  <c r="N37" i="1"/>
  <c r="N38" i="1"/>
  <c r="N52" i="1"/>
  <c r="N53" i="1"/>
  <c r="N54" i="1"/>
  <c r="AB4" i="5" l="1"/>
  <c r="AE10" i="5"/>
  <c r="AE11" i="5"/>
  <c r="AE20" i="5"/>
  <c r="AE21" i="5"/>
  <c r="AE28" i="5"/>
  <c r="AE29" i="5"/>
  <c r="AE30" i="5"/>
  <c r="AE37" i="5"/>
  <c r="AE38" i="5"/>
  <c r="AE44" i="5"/>
  <c r="AE45" i="5"/>
  <c r="AE52" i="5"/>
  <c r="AE53" i="5"/>
  <c r="AE54" i="5"/>
  <c r="AE60" i="5"/>
  <c r="AE61" i="5"/>
  <c r="AE62" i="5"/>
  <c r="AE69" i="5"/>
  <c r="AE70" i="5"/>
  <c r="AE78" i="5"/>
  <c r="AE84" i="5"/>
  <c r="AE85" i="5"/>
  <c r="AE86" i="5"/>
  <c r="AE101" i="5"/>
  <c r="AE107" i="5"/>
  <c r="AE108" i="5"/>
  <c r="AE109" i="5"/>
  <c r="AE115" i="5"/>
  <c r="AE116" i="5"/>
  <c r="AE117" i="5"/>
  <c r="AE124" i="5"/>
  <c r="AE125" i="5"/>
  <c r="AE126" i="5"/>
  <c r="AE133" i="5"/>
  <c r="AE134" i="5"/>
  <c r="AE135" i="5"/>
  <c r="S4" i="5"/>
  <c r="Q8" i="5"/>
  <c r="Q12" i="5"/>
  <c r="Q16" i="5"/>
  <c r="Q19" i="5"/>
  <c r="Q20" i="5"/>
  <c r="Q24" i="5"/>
  <c r="Q26" i="5"/>
  <c r="Q28" i="5"/>
  <c r="Q36" i="5"/>
  <c r="Q40" i="5"/>
  <c r="Q42" i="5"/>
  <c r="Q44" i="5"/>
  <c r="Q60" i="5"/>
  <c r="Q68" i="5"/>
  <c r="P70" i="5"/>
  <c r="P71" i="5"/>
  <c r="P72" i="5"/>
  <c r="Q72" i="5" s="1"/>
  <c r="P73" i="5"/>
  <c r="Q73" i="5" s="1"/>
  <c r="P74" i="5"/>
  <c r="Q74" i="5" s="1"/>
  <c r="P75" i="5"/>
  <c r="P76" i="5"/>
  <c r="Q76" i="5" s="1"/>
  <c r="P77" i="5"/>
  <c r="P78" i="5"/>
  <c r="P79" i="5"/>
  <c r="P80" i="5"/>
  <c r="Q80" i="5" s="1"/>
  <c r="P81" i="5"/>
  <c r="P82" i="5"/>
  <c r="Q82" i="5" s="1"/>
  <c r="P83" i="5"/>
  <c r="P84" i="5"/>
  <c r="Q84" i="5" s="1"/>
  <c r="P85" i="5"/>
  <c r="P86" i="5"/>
  <c r="P87" i="5"/>
  <c r="P88" i="5"/>
  <c r="Q88" i="5" s="1"/>
  <c r="P89" i="5"/>
  <c r="Q89" i="5" s="1"/>
  <c r="P90" i="5"/>
  <c r="Q90" i="5" s="1"/>
  <c r="P91" i="5"/>
  <c r="P92" i="5"/>
  <c r="Q92" i="5" s="1"/>
  <c r="P93" i="5"/>
  <c r="P94" i="5"/>
  <c r="P95" i="5"/>
  <c r="P96" i="5"/>
  <c r="P97" i="5"/>
  <c r="Q97" i="5" s="1"/>
  <c r="P98" i="5"/>
  <c r="Q98" i="5" s="1"/>
  <c r="P99" i="5"/>
  <c r="P100" i="5"/>
  <c r="Q100" i="5" s="1"/>
  <c r="P101" i="5"/>
  <c r="P102" i="5"/>
  <c r="P103" i="5"/>
  <c r="P104" i="5"/>
  <c r="Q104" i="5" s="1"/>
  <c r="P105" i="5"/>
  <c r="Q105" i="5" s="1"/>
  <c r="P106" i="5"/>
  <c r="Q106" i="5" s="1"/>
  <c r="P107" i="5"/>
  <c r="P108" i="5"/>
  <c r="Q108" i="5" s="1"/>
  <c r="P109" i="5"/>
  <c r="P110" i="5"/>
  <c r="P111" i="5"/>
  <c r="P112" i="5"/>
  <c r="Q112" i="5" s="1"/>
  <c r="P113" i="5"/>
  <c r="P114" i="5"/>
  <c r="Q114" i="5" s="1"/>
  <c r="P115" i="5"/>
  <c r="P116" i="5"/>
  <c r="P117" i="5"/>
  <c r="P118" i="5"/>
  <c r="P119" i="5"/>
  <c r="P120" i="5"/>
  <c r="Q120" i="5" s="1"/>
  <c r="P121" i="5"/>
  <c r="Q121" i="5" s="1"/>
  <c r="P122" i="5"/>
  <c r="P123" i="5"/>
  <c r="P124" i="5"/>
  <c r="Q124" i="5" s="1"/>
  <c r="P125" i="5"/>
  <c r="P126" i="5"/>
  <c r="P127" i="5"/>
  <c r="P128" i="5"/>
  <c r="Q128" i="5" s="1"/>
  <c r="P129" i="5"/>
  <c r="Q129" i="5" s="1"/>
  <c r="P130" i="5"/>
  <c r="Q130" i="5" s="1"/>
  <c r="P131" i="5"/>
  <c r="Q132" i="5"/>
  <c r="Q136" i="5"/>
  <c r="Q32" i="5"/>
  <c r="Q48" i="5"/>
  <c r="Q56" i="5"/>
  <c r="Q64" i="5"/>
  <c r="Q96" i="5"/>
  <c r="E4" i="5"/>
  <c r="M6" i="5"/>
  <c r="R6" i="5" s="1"/>
  <c r="Q6" i="5"/>
  <c r="M7" i="5"/>
  <c r="AE7" i="5" s="1"/>
  <c r="Q7" i="5"/>
  <c r="M8" i="5"/>
  <c r="R8" i="5" s="1"/>
  <c r="M9" i="5"/>
  <c r="AE9" i="5" s="1"/>
  <c r="Q9" i="5"/>
  <c r="M10" i="5"/>
  <c r="R10" i="5" s="1"/>
  <c r="Q10" i="5"/>
  <c r="M11" i="5"/>
  <c r="R11" i="5" s="1"/>
  <c r="Q11" i="5"/>
  <c r="M12" i="5"/>
  <c r="AE12" i="5" s="1"/>
  <c r="M13" i="5"/>
  <c r="R13" i="5" s="1"/>
  <c r="Q13" i="5"/>
  <c r="M14" i="5"/>
  <c r="R14" i="5" s="1"/>
  <c r="Q14" i="5"/>
  <c r="M15" i="5"/>
  <c r="AE15" i="5" s="1"/>
  <c r="Q15" i="5"/>
  <c r="M16" i="5"/>
  <c r="R16" i="5" s="1"/>
  <c r="M17" i="5"/>
  <c r="R17" i="5" s="1"/>
  <c r="Q17" i="5"/>
  <c r="M18" i="5"/>
  <c r="R18" i="5" s="1"/>
  <c r="Q18" i="5"/>
  <c r="M19" i="5"/>
  <c r="R19" i="5" s="1"/>
  <c r="M20" i="5"/>
  <c r="M21" i="5"/>
  <c r="R21" i="5" s="1"/>
  <c r="Q21" i="5"/>
  <c r="M22" i="5"/>
  <c r="R22" i="5" s="1"/>
  <c r="Q22" i="5"/>
  <c r="M23" i="5"/>
  <c r="AE23" i="5" s="1"/>
  <c r="Q23" i="5"/>
  <c r="M24" i="5"/>
  <c r="R24" i="5" s="1"/>
  <c r="M25" i="5"/>
  <c r="AE25" i="5" s="1"/>
  <c r="Q25" i="5"/>
  <c r="M26" i="5"/>
  <c r="R26" i="5" s="1"/>
  <c r="M27" i="5"/>
  <c r="R27" i="5" s="1"/>
  <c r="Q27" i="5"/>
  <c r="M28" i="5"/>
  <c r="R28" i="5" s="1"/>
  <c r="M29" i="5"/>
  <c r="R29" i="5" s="1"/>
  <c r="Q29" i="5"/>
  <c r="M30" i="5"/>
  <c r="R30" i="5" s="1"/>
  <c r="Q30" i="5"/>
  <c r="M31" i="5"/>
  <c r="AE31" i="5" s="1"/>
  <c r="Q31" i="5"/>
  <c r="M32" i="5"/>
  <c r="R32" i="5" s="1"/>
  <c r="M33" i="5"/>
  <c r="R33" i="5" s="1"/>
  <c r="Q33" i="5"/>
  <c r="M34" i="5"/>
  <c r="AE34" i="5" s="1"/>
  <c r="Q34" i="5"/>
  <c r="M35" i="5"/>
  <c r="R35" i="5" s="1"/>
  <c r="Q35" i="5"/>
  <c r="M36" i="5"/>
  <c r="R36" i="5" s="1"/>
  <c r="M37" i="5"/>
  <c r="R37" i="5" s="1"/>
  <c r="Q37" i="5"/>
  <c r="M38" i="5"/>
  <c r="R38" i="5" s="1"/>
  <c r="Q38" i="5"/>
  <c r="M39" i="5"/>
  <c r="AE39" i="5" s="1"/>
  <c r="Q39" i="5"/>
  <c r="M40" i="5"/>
  <c r="R40" i="5" s="1"/>
  <c r="M41" i="5"/>
  <c r="AE41" i="5" s="1"/>
  <c r="Q41" i="5"/>
  <c r="M42" i="5"/>
  <c r="R42" i="5" s="1"/>
  <c r="M43" i="5"/>
  <c r="R43" i="5" s="1"/>
  <c r="Q43" i="5"/>
  <c r="M44" i="5"/>
  <c r="R44" i="5" s="1"/>
  <c r="M45" i="5"/>
  <c r="R45" i="5" s="1"/>
  <c r="Q45" i="5"/>
  <c r="M46" i="5"/>
  <c r="R46" i="5" s="1"/>
  <c r="Q46" i="5"/>
  <c r="M47" i="5"/>
  <c r="R47" i="5" s="1"/>
  <c r="Q47" i="5"/>
  <c r="M48" i="5"/>
  <c r="AE48" i="5" s="1"/>
  <c r="M49" i="5"/>
  <c r="R49" i="5" s="1"/>
  <c r="Q49" i="5"/>
  <c r="M50" i="5"/>
  <c r="R50" i="5" s="1"/>
  <c r="Q50" i="5"/>
  <c r="M51" i="5"/>
  <c r="AE51" i="5" s="1"/>
  <c r="Q51" i="5"/>
  <c r="M52" i="5"/>
  <c r="R52" i="5" s="1"/>
  <c r="Q52" i="5"/>
  <c r="M53" i="5"/>
  <c r="R53" i="5" s="1"/>
  <c r="Q53" i="5"/>
  <c r="M54" i="5"/>
  <c r="R54" i="5" s="1"/>
  <c r="Q54" i="5"/>
  <c r="M55" i="5"/>
  <c r="AE55" i="5" s="1"/>
  <c r="Q55" i="5"/>
  <c r="M56" i="5"/>
  <c r="R56" i="5" s="1"/>
  <c r="M57" i="5"/>
  <c r="AE57" i="5" s="1"/>
  <c r="Q57" i="5"/>
  <c r="M58" i="5"/>
  <c r="R58" i="5" s="1"/>
  <c r="Q58" i="5"/>
  <c r="M59" i="5"/>
  <c r="N59" i="5" s="1"/>
  <c r="O59" i="5" s="1"/>
  <c r="Q59" i="5"/>
  <c r="M60" i="5"/>
  <c r="R60" i="5" s="1"/>
  <c r="M61" i="5"/>
  <c r="Q61" i="5"/>
  <c r="M62" i="5"/>
  <c r="R62" i="5" s="1"/>
  <c r="Q62" i="5"/>
  <c r="M63" i="5"/>
  <c r="AE63" i="5" s="1"/>
  <c r="Q63" i="5"/>
  <c r="M64" i="5"/>
  <c r="R64" i="5" s="1"/>
  <c r="M65" i="5"/>
  <c r="R65" i="5" s="1"/>
  <c r="Q65" i="5"/>
  <c r="M66" i="5"/>
  <c r="R66" i="5" s="1"/>
  <c r="Q66" i="5"/>
  <c r="M67" i="5"/>
  <c r="R67" i="5" s="1"/>
  <c r="Q67" i="5"/>
  <c r="M68" i="5"/>
  <c r="R68" i="5" s="1"/>
  <c r="M69" i="5"/>
  <c r="R69" i="5" s="1"/>
  <c r="Q69" i="5"/>
  <c r="M70" i="5"/>
  <c r="R70" i="5" s="1"/>
  <c r="Q70" i="5"/>
  <c r="M71" i="5"/>
  <c r="AE71" i="5" s="1"/>
  <c r="Q71" i="5"/>
  <c r="M72" i="5"/>
  <c r="AE72" i="5" s="1"/>
  <c r="M73" i="5"/>
  <c r="R73" i="5" s="1"/>
  <c r="M74" i="5"/>
  <c r="AE74" i="5" s="1"/>
  <c r="M75" i="5"/>
  <c r="R75" i="5" s="1"/>
  <c r="Q75" i="5"/>
  <c r="M76" i="5"/>
  <c r="AE76" i="5" s="1"/>
  <c r="M77" i="5"/>
  <c r="R77" i="5" s="1"/>
  <c r="Q77" i="5"/>
  <c r="M78" i="5"/>
  <c r="R78" i="5" s="1"/>
  <c r="Q78" i="5"/>
  <c r="M79" i="5"/>
  <c r="R79" i="5" s="1"/>
  <c r="Q79" i="5"/>
  <c r="M80" i="5"/>
  <c r="R80" i="5" s="1"/>
  <c r="M81" i="5"/>
  <c r="R81" i="5" s="1"/>
  <c r="Q81" i="5"/>
  <c r="M82" i="5"/>
  <c r="AE82" i="5" s="1"/>
  <c r="M83" i="5"/>
  <c r="AE83" i="5" s="1"/>
  <c r="Q83" i="5"/>
  <c r="M84" i="5"/>
  <c r="M85" i="5"/>
  <c r="R85" i="5" s="1"/>
  <c r="Q85" i="5"/>
  <c r="M86" i="5"/>
  <c r="Q86" i="5"/>
  <c r="M87" i="5"/>
  <c r="R87" i="5" s="1"/>
  <c r="Q87" i="5"/>
  <c r="M88" i="5"/>
  <c r="R88" i="5" s="1"/>
  <c r="M89" i="5"/>
  <c r="AE89" i="5" s="1"/>
  <c r="M90" i="5"/>
  <c r="AE90" i="5" s="1"/>
  <c r="M91" i="5"/>
  <c r="AE91" i="5" s="1"/>
  <c r="Q91" i="5"/>
  <c r="M92" i="5"/>
  <c r="AE92" i="5" s="1"/>
  <c r="M93" i="5"/>
  <c r="R93" i="5" s="1"/>
  <c r="Q93" i="5"/>
  <c r="M94" i="5"/>
  <c r="R94" i="5" s="1"/>
  <c r="Q94" i="5"/>
  <c r="M95" i="5"/>
  <c r="R95" i="5" s="1"/>
  <c r="Q95" i="5"/>
  <c r="M96" i="5"/>
  <c r="R96" i="5" s="1"/>
  <c r="M97" i="5"/>
  <c r="R97" i="5" s="1"/>
  <c r="M98" i="5"/>
  <c r="R98" i="5" s="1"/>
  <c r="M99" i="5"/>
  <c r="R99" i="5" s="1"/>
  <c r="Q99" i="5"/>
  <c r="M100" i="5"/>
  <c r="AE100" i="5" s="1"/>
  <c r="M101" i="5"/>
  <c r="R101" i="5" s="1"/>
  <c r="Q101" i="5"/>
  <c r="M102" i="5"/>
  <c r="AE102" i="5" s="1"/>
  <c r="Q102" i="5"/>
  <c r="M103" i="5"/>
  <c r="R103" i="5" s="1"/>
  <c r="Q103" i="5"/>
  <c r="M104" i="5"/>
  <c r="R104" i="5" s="1"/>
  <c r="M105" i="5"/>
  <c r="R105" i="5" s="1"/>
  <c r="M106" i="5"/>
  <c r="AE106" i="5" s="1"/>
  <c r="M107" i="5"/>
  <c r="R107" i="5" s="1"/>
  <c r="Q107" i="5"/>
  <c r="M108" i="5"/>
  <c r="R108" i="5" s="1"/>
  <c r="M109" i="5"/>
  <c r="R109" i="5" s="1"/>
  <c r="Q109" i="5"/>
  <c r="M110" i="5"/>
  <c r="R110" i="5" s="1"/>
  <c r="Q110" i="5"/>
  <c r="M111" i="5"/>
  <c r="R111" i="5" s="1"/>
  <c r="Q111" i="5"/>
  <c r="M112" i="5"/>
  <c r="AE112" i="5" s="1"/>
  <c r="M113" i="5"/>
  <c r="AE113" i="5" s="1"/>
  <c r="Q113" i="5"/>
  <c r="M114" i="5"/>
  <c r="AE114" i="5" s="1"/>
  <c r="M115" i="5"/>
  <c r="Q115" i="5"/>
  <c r="M116" i="5"/>
  <c r="R116" i="5" s="1"/>
  <c r="Q116" i="5"/>
  <c r="M117" i="5"/>
  <c r="R117" i="5" s="1"/>
  <c r="Q117" i="5"/>
  <c r="M118" i="5"/>
  <c r="AE118" i="5" s="1"/>
  <c r="Q118" i="5"/>
  <c r="M119" i="5"/>
  <c r="R119" i="5" s="1"/>
  <c r="Q119" i="5"/>
  <c r="M120" i="5"/>
  <c r="R120" i="5" s="1"/>
  <c r="M121" i="5"/>
  <c r="R121" i="5" s="1"/>
  <c r="M122" i="5"/>
  <c r="R122" i="5" s="1"/>
  <c r="Q122" i="5"/>
  <c r="M123" i="5"/>
  <c r="AE123" i="5" s="1"/>
  <c r="Q123" i="5"/>
  <c r="M124" i="5"/>
  <c r="R124" i="5" s="1"/>
  <c r="M125" i="5"/>
  <c r="R125" i="5" s="1"/>
  <c r="Q125" i="5"/>
  <c r="M126" i="5"/>
  <c r="R126" i="5" s="1"/>
  <c r="Q126" i="5"/>
  <c r="M127" i="5"/>
  <c r="R127" i="5" s="1"/>
  <c r="Q127" i="5"/>
  <c r="M128" i="5"/>
  <c r="R128" i="5" s="1"/>
  <c r="M129" i="5"/>
  <c r="R129" i="5" s="1"/>
  <c r="M130" i="5"/>
  <c r="R130" i="5" s="1"/>
  <c r="M131" i="5"/>
  <c r="R131" i="5" s="1"/>
  <c r="Q131" i="5"/>
  <c r="M132" i="5"/>
  <c r="R132" i="5" s="1"/>
  <c r="M133" i="5"/>
  <c r="R133" i="5" s="1"/>
  <c r="Q133" i="5"/>
  <c r="M134" i="5"/>
  <c r="R134" i="5" s="1"/>
  <c r="Q134" i="5"/>
  <c r="M135" i="5"/>
  <c r="Q135" i="5"/>
  <c r="M136" i="5"/>
  <c r="R136" i="5" s="1"/>
  <c r="M137" i="5"/>
  <c r="R137" i="5" s="1"/>
  <c r="Q137" i="5"/>
  <c r="M138" i="5"/>
  <c r="R138" i="5" s="1"/>
  <c r="Q138" i="5"/>
  <c r="M139" i="5"/>
  <c r="R139" i="5" s="1"/>
  <c r="Q139" i="5"/>
  <c r="M4" i="5"/>
  <c r="I4" i="5" s="1"/>
  <c r="M5" i="5"/>
  <c r="I5" i="5" s="1"/>
  <c r="Q5" i="5"/>
  <c r="T4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5" i="5"/>
  <c r="AE22" i="5" l="1"/>
  <c r="AE77" i="5"/>
  <c r="AE99" i="5"/>
  <c r="AE68" i="5"/>
  <c r="AE36" i="5"/>
  <c r="AE4" i="5"/>
  <c r="AE132" i="5"/>
  <c r="AE98" i="5"/>
  <c r="AE75" i="5"/>
  <c r="AE67" i="5"/>
  <c r="AE59" i="5"/>
  <c r="AE43" i="5"/>
  <c r="AE35" i="5"/>
  <c r="AE27" i="5"/>
  <c r="AE19" i="5"/>
  <c r="AE139" i="5"/>
  <c r="AE130" i="5"/>
  <c r="AE122" i="5"/>
  <c r="AE105" i="5"/>
  <c r="AE97" i="5"/>
  <c r="AE66" i="5"/>
  <c r="AE58" i="5"/>
  <c r="AE50" i="5"/>
  <c r="AE42" i="5"/>
  <c r="AE26" i="5"/>
  <c r="AE18" i="5"/>
  <c r="AE8" i="5"/>
  <c r="AE46" i="5"/>
  <c r="AE138" i="5"/>
  <c r="AE129" i="5"/>
  <c r="AE121" i="5"/>
  <c r="AE104" i="5"/>
  <c r="AE81" i="5"/>
  <c r="AE73" i="5"/>
  <c r="AE65" i="5"/>
  <c r="AE49" i="5"/>
  <c r="AE33" i="5"/>
  <c r="AE17" i="5"/>
  <c r="N83" i="5"/>
  <c r="O83" i="5" s="1"/>
  <c r="AE137" i="5"/>
  <c r="AE128" i="5"/>
  <c r="AE119" i="5"/>
  <c r="AE111" i="5"/>
  <c r="AE103" i="5"/>
  <c r="AE80" i="5"/>
  <c r="AE64" i="5"/>
  <c r="AE56" i="5"/>
  <c r="AE40" i="5"/>
  <c r="AE32" i="5"/>
  <c r="AE24" i="5"/>
  <c r="AE16" i="5"/>
  <c r="AE136" i="5"/>
  <c r="AE127" i="5"/>
  <c r="AE110" i="5"/>
  <c r="AE87" i="5"/>
  <c r="AE79" i="5"/>
  <c r="AE47" i="5"/>
  <c r="AE131" i="5"/>
  <c r="AE120" i="5"/>
  <c r="AE96" i="5"/>
  <c r="AE95" i="5"/>
  <c r="AE94" i="5"/>
  <c r="AE93" i="5"/>
  <c r="AE88" i="5"/>
  <c r="AE13" i="5"/>
  <c r="AE14" i="5"/>
  <c r="AE6" i="5"/>
  <c r="AE5" i="5"/>
  <c r="N115" i="5"/>
  <c r="O115" i="5" s="1"/>
  <c r="N51" i="5"/>
  <c r="O51" i="5" s="1"/>
  <c r="N57" i="5"/>
  <c r="O57" i="5" s="1"/>
  <c r="N139" i="5"/>
  <c r="O139" i="5" s="1"/>
  <c r="N134" i="5"/>
  <c r="O134" i="5" s="1"/>
  <c r="N132" i="5"/>
  <c r="O132" i="5" s="1"/>
  <c r="N126" i="5"/>
  <c r="O126" i="5" s="1"/>
  <c r="N118" i="5"/>
  <c r="O118" i="5" s="1"/>
  <c r="R115" i="5"/>
  <c r="N109" i="5"/>
  <c r="O109" i="5" s="1"/>
  <c r="N108" i="5"/>
  <c r="O108" i="5" s="1"/>
  <c r="N107" i="5"/>
  <c r="O107" i="5" s="1"/>
  <c r="N101" i="5"/>
  <c r="O101" i="5" s="1"/>
  <c r="R100" i="5"/>
  <c r="N99" i="5"/>
  <c r="O99" i="5" s="1"/>
  <c r="N91" i="5"/>
  <c r="O91" i="5" s="1"/>
  <c r="N86" i="5"/>
  <c r="O86" i="5" s="1"/>
  <c r="R83" i="5"/>
  <c r="N73" i="5"/>
  <c r="O73" i="5" s="1"/>
  <c r="R72" i="5"/>
  <c r="N71" i="5"/>
  <c r="O71" i="5" s="1"/>
  <c r="N70" i="5"/>
  <c r="O70" i="5" s="1"/>
  <c r="N69" i="5"/>
  <c r="O69" i="5" s="1"/>
  <c r="N65" i="5"/>
  <c r="O65" i="5" s="1"/>
  <c r="N55" i="5"/>
  <c r="O55" i="5" s="1"/>
  <c r="N54" i="5"/>
  <c r="O54" i="5" s="1"/>
  <c r="N53" i="5"/>
  <c r="O53" i="5" s="1"/>
  <c r="N47" i="5"/>
  <c r="O47" i="5" s="1"/>
  <c r="N45" i="5"/>
  <c r="O45" i="5" s="1"/>
  <c r="N37" i="5"/>
  <c r="O37" i="5" s="1"/>
  <c r="N12" i="5"/>
  <c r="O12" i="5" s="1"/>
  <c r="N20" i="5"/>
  <c r="O20" i="5" s="1"/>
  <c r="N79" i="5"/>
  <c r="O79" i="5" s="1"/>
  <c r="N67" i="5"/>
  <c r="O67" i="5" s="1"/>
  <c r="N58" i="5"/>
  <c r="O58" i="5" s="1"/>
  <c r="N38" i="5"/>
  <c r="O38" i="5" s="1"/>
  <c r="N117" i="5"/>
  <c r="O117" i="5" s="1"/>
  <c r="R118" i="5"/>
  <c r="N94" i="5"/>
  <c r="O94" i="5" s="1"/>
  <c r="R91" i="5"/>
  <c r="N87" i="5"/>
  <c r="O87" i="5" s="1"/>
  <c r="N56" i="5"/>
  <c r="O56" i="5" s="1"/>
  <c r="N40" i="5"/>
  <c r="O40" i="5" s="1"/>
  <c r="N125" i="5"/>
  <c r="O125" i="5" s="1"/>
  <c r="N120" i="5"/>
  <c r="O120" i="5" s="1"/>
  <c r="N110" i="5"/>
  <c r="O110" i="5" s="1"/>
  <c r="N104" i="5"/>
  <c r="O104" i="5" s="1"/>
  <c r="N100" i="5"/>
  <c r="O100" i="5" s="1"/>
  <c r="R59" i="5"/>
  <c r="R57" i="5"/>
  <c r="R55" i="5"/>
  <c r="N46" i="5"/>
  <c r="O46" i="5" s="1"/>
  <c r="N36" i="5"/>
  <c r="O36" i="5" s="1"/>
  <c r="N119" i="5"/>
  <c r="O119" i="5" s="1"/>
  <c r="N135" i="5"/>
  <c r="O135" i="5" s="1"/>
  <c r="N130" i="5"/>
  <c r="O130" i="5" s="1"/>
  <c r="R86" i="5"/>
  <c r="N80" i="5"/>
  <c r="O80" i="5" s="1"/>
  <c r="N72" i="5"/>
  <c r="O72" i="5" s="1"/>
  <c r="N68" i="5"/>
  <c r="O68" i="5" s="1"/>
  <c r="N66" i="5"/>
  <c r="O66" i="5" s="1"/>
  <c r="N52" i="5"/>
  <c r="O52" i="5" s="1"/>
  <c r="N50" i="5"/>
  <c r="O50" i="5" s="1"/>
  <c r="N44" i="5"/>
  <c r="O44" i="5" s="1"/>
  <c r="N133" i="5"/>
  <c r="O133" i="5" s="1"/>
  <c r="N131" i="5"/>
  <c r="O131" i="5" s="1"/>
  <c r="N116" i="5"/>
  <c r="O116" i="5" s="1"/>
  <c r="N95" i="5"/>
  <c r="O95" i="5" s="1"/>
  <c r="N78" i="5"/>
  <c r="O78" i="5" s="1"/>
  <c r="R71" i="5"/>
  <c r="R51" i="5"/>
  <c r="N29" i="5"/>
  <c r="O29" i="5" s="1"/>
  <c r="N30" i="5"/>
  <c r="O30" i="5" s="1"/>
  <c r="N28" i="5"/>
  <c r="O28" i="5" s="1"/>
  <c r="N22" i="5"/>
  <c r="O22" i="5" s="1"/>
  <c r="N21" i="5"/>
  <c r="O21" i="5" s="1"/>
  <c r="R20" i="5"/>
  <c r="N19" i="5"/>
  <c r="O19" i="5" s="1"/>
  <c r="N17" i="5"/>
  <c r="O17" i="5" s="1"/>
  <c r="N18" i="5"/>
  <c r="O18" i="5" s="1"/>
  <c r="N14" i="5"/>
  <c r="O14" i="5" s="1"/>
  <c r="R12" i="5"/>
  <c r="N13" i="5"/>
  <c r="O13" i="5" s="1"/>
  <c r="N11" i="5"/>
  <c r="O11" i="5" s="1"/>
  <c r="N8" i="5"/>
  <c r="O8" i="5" s="1"/>
  <c r="I132" i="5"/>
  <c r="I124" i="5"/>
  <c r="I20" i="5"/>
  <c r="I70" i="5"/>
  <c r="I62" i="5"/>
  <c r="I12" i="5"/>
  <c r="I54" i="5"/>
  <c r="I113" i="5"/>
  <c r="I40" i="5"/>
  <c r="I131" i="5"/>
  <c r="I61" i="5"/>
  <c r="I17" i="5"/>
  <c r="I133" i="5"/>
  <c r="I76" i="5"/>
  <c r="I24" i="5"/>
  <c r="N6" i="5"/>
  <c r="O6" i="5" s="1"/>
  <c r="N136" i="5"/>
  <c r="O136" i="5" s="1"/>
  <c r="N84" i="5"/>
  <c r="O84" i="5" s="1"/>
  <c r="N85" i="5"/>
  <c r="O85" i="5" s="1"/>
  <c r="R84" i="5"/>
  <c r="R112" i="5"/>
  <c r="N112" i="5"/>
  <c r="O112" i="5" s="1"/>
  <c r="N137" i="5"/>
  <c r="O137" i="5" s="1"/>
  <c r="I135" i="5"/>
  <c r="I134" i="5"/>
  <c r="N127" i="5"/>
  <c r="O127" i="5" s="1"/>
  <c r="N124" i="5"/>
  <c r="O124" i="5" s="1"/>
  <c r="R123" i="5"/>
  <c r="N123" i="5"/>
  <c r="O123" i="5" s="1"/>
  <c r="N103" i="5"/>
  <c r="O103" i="5" s="1"/>
  <c r="R89" i="5"/>
  <c r="N89" i="5"/>
  <c r="O89" i="5" s="1"/>
  <c r="I84" i="5"/>
  <c r="I82" i="5"/>
  <c r="N138" i="5"/>
  <c r="O138" i="5" s="1"/>
  <c r="N128" i="5"/>
  <c r="O128" i="5" s="1"/>
  <c r="I116" i="5"/>
  <c r="I112" i="5"/>
  <c r="N97" i="5"/>
  <c r="O97" i="5" s="1"/>
  <c r="N96" i="5"/>
  <c r="O96" i="5" s="1"/>
  <c r="N129" i="5"/>
  <c r="O129" i="5" s="1"/>
  <c r="I127" i="5"/>
  <c r="I123" i="5"/>
  <c r="N122" i="5"/>
  <c r="O122" i="5" s="1"/>
  <c r="R102" i="5"/>
  <c r="N102" i="5"/>
  <c r="O102" i="5" s="1"/>
  <c r="N92" i="5"/>
  <c r="O92" i="5" s="1"/>
  <c r="R92" i="5"/>
  <c r="I90" i="5"/>
  <c r="I125" i="5"/>
  <c r="N114" i="5"/>
  <c r="O114" i="5" s="1"/>
  <c r="R114" i="5"/>
  <c r="I111" i="5"/>
  <c r="I103" i="5"/>
  <c r="I92" i="5"/>
  <c r="R135" i="5"/>
  <c r="I138" i="5"/>
  <c r="N121" i="5"/>
  <c r="O121" i="5" s="1"/>
  <c r="I115" i="5"/>
  <c r="I110" i="5"/>
  <c r="I102" i="5"/>
  <c r="R74" i="5"/>
  <c r="N74" i="5"/>
  <c r="O74" i="5" s="1"/>
  <c r="N75" i="5"/>
  <c r="O75" i="5" s="1"/>
  <c r="N63" i="5"/>
  <c r="O63" i="5" s="1"/>
  <c r="R63" i="5"/>
  <c r="I137" i="5"/>
  <c r="I139" i="5"/>
  <c r="I129" i="5"/>
  <c r="I122" i="5"/>
  <c r="I114" i="5"/>
  <c r="R113" i="5"/>
  <c r="N113" i="5"/>
  <c r="O113" i="5" s="1"/>
  <c r="N81" i="5"/>
  <c r="O81" i="5" s="1"/>
  <c r="I126" i="5"/>
  <c r="I130" i="5"/>
  <c r="N106" i="5"/>
  <c r="O106" i="5" s="1"/>
  <c r="R106" i="5"/>
  <c r="N105" i="5"/>
  <c r="O105" i="5" s="1"/>
  <c r="N88" i="5"/>
  <c r="O88" i="5" s="1"/>
  <c r="N76" i="5"/>
  <c r="O76" i="5" s="1"/>
  <c r="N77" i="5"/>
  <c r="O77" i="5" s="1"/>
  <c r="R76" i="5"/>
  <c r="I75" i="5"/>
  <c r="I74" i="5"/>
  <c r="I100" i="5"/>
  <c r="I99" i="5"/>
  <c r="I83" i="5"/>
  <c r="R82" i="5"/>
  <c r="N82" i="5"/>
  <c r="O82" i="5" s="1"/>
  <c r="I71" i="5"/>
  <c r="R61" i="5"/>
  <c r="N61" i="5"/>
  <c r="O61" i="5" s="1"/>
  <c r="N62" i="5"/>
  <c r="O62" i="5" s="1"/>
  <c r="R48" i="5"/>
  <c r="N48" i="5"/>
  <c r="O48" i="5" s="1"/>
  <c r="I43" i="5"/>
  <c r="R41" i="5"/>
  <c r="N41" i="5"/>
  <c r="O41" i="5" s="1"/>
  <c r="R25" i="5"/>
  <c r="N25" i="5"/>
  <c r="O25" i="5" s="1"/>
  <c r="I35" i="5"/>
  <c r="I67" i="5"/>
  <c r="I68" i="5"/>
  <c r="I69" i="5"/>
  <c r="I79" i="5"/>
  <c r="I87" i="5"/>
  <c r="I95" i="5"/>
  <c r="I27" i="5"/>
  <c r="I36" i="5"/>
  <c r="I55" i="5"/>
  <c r="I80" i="5"/>
  <c r="I88" i="5"/>
  <c r="I96" i="5"/>
  <c r="I48" i="5"/>
  <c r="I49" i="5"/>
  <c r="I53" i="5"/>
  <c r="I63" i="5"/>
  <c r="I81" i="5"/>
  <c r="I89" i="5"/>
  <c r="I32" i="5"/>
  <c r="I33" i="5"/>
  <c r="I57" i="5"/>
  <c r="I77" i="5"/>
  <c r="I85" i="5"/>
  <c r="I93" i="5"/>
  <c r="I101" i="5"/>
  <c r="I109" i="5"/>
  <c r="I117" i="5"/>
  <c r="I121" i="5"/>
  <c r="I106" i="5"/>
  <c r="I105" i="5"/>
  <c r="I104" i="5"/>
  <c r="N98" i="5"/>
  <c r="O98" i="5" s="1"/>
  <c r="I94" i="5"/>
  <c r="I65" i="5"/>
  <c r="I136" i="5"/>
  <c r="I128" i="5"/>
  <c r="I120" i="5"/>
  <c r="I108" i="5"/>
  <c r="I107" i="5"/>
  <c r="I97" i="5"/>
  <c r="N93" i="5"/>
  <c r="O93" i="5" s="1"/>
  <c r="I86" i="5"/>
  <c r="I73" i="5"/>
  <c r="N60" i="5"/>
  <c r="O60" i="5" s="1"/>
  <c r="R31" i="5"/>
  <c r="N31" i="5"/>
  <c r="O31" i="5" s="1"/>
  <c r="N32" i="5"/>
  <c r="O32" i="5" s="1"/>
  <c r="I119" i="5"/>
  <c r="I118" i="5"/>
  <c r="N111" i="5"/>
  <c r="O111" i="5" s="1"/>
  <c r="I98" i="5"/>
  <c r="I91" i="5"/>
  <c r="R90" i="5"/>
  <c r="N90" i="5"/>
  <c r="O90" i="5" s="1"/>
  <c r="I78" i="5"/>
  <c r="N64" i="5"/>
  <c r="O64" i="5" s="1"/>
  <c r="N34" i="5"/>
  <c r="O34" i="5" s="1"/>
  <c r="N35" i="5"/>
  <c r="O35" i="5" s="1"/>
  <c r="R34" i="5"/>
  <c r="R15" i="5"/>
  <c r="N15" i="5"/>
  <c r="O15" i="5" s="1"/>
  <c r="R23" i="5"/>
  <c r="N23" i="5"/>
  <c r="O23" i="5" s="1"/>
  <c r="N24" i="5"/>
  <c r="O24" i="5" s="1"/>
  <c r="R9" i="5"/>
  <c r="I44" i="5"/>
  <c r="I58" i="5"/>
  <c r="I66" i="5"/>
  <c r="I41" i="5"/>
  <c r="I59" i="5"/>
  <c r="I16" i="5"/>
  <c r="I19" i="5"/>
  <c r="I60" i="5"/>
  <c r="I9" i="5"/>
  <c r="N9" i="5"/>
  <c r="O9" i="5" s="1"/>
  <c r="I25" i="5"/>
  <c r="I28" i="5"/>
  <c r="I42" i="5"/>
  <c r="I50" i="5"/>
  <c r="I51" i="5"/>
  <c r="I52" i="5"/>
  <c r="I56" i="5"/>
  <c r="I64" i="5"/>
  <c r="I72" i="5"/>
  <c r="N16" i="5"/>
  <c r="O16" i="5" s="1"/>
  <c r="R39" i="5"/>
  <c r="N39" i="5"/>
  <c r="O39" i="5" s="1"/>
  <c r="N49" i="5"/>
  <c r="O49" i="5" s="1"/>
  <c r="N26" i="5"/>
  <c r="O26" i="5" s="1"/>
  <c r="N27" i="5"/>
  <c r="O27" i="5" s="1"/>
  <c r="R7" i="5"/>
  <c r="N7" i="5"/>
  <c r="O7" i="5" s="1"/>
  <c r="N33" i="5"/>
  <c r="O33" i="5" s="1"/>
  <c r="I11" i="5"/>
  <c r="I8" i="5"/>
  <c r="N42" i="5"/>
  <c r="O42" i="5" s="1"/>
  <c r="N43" i="5"/>
  <c r="O43" i="5" s="1"/>
  <c r="N10" i="5"/>
  <c r="O10" i="5" s="1"/>
  <c r="I13" i="5"/>
  <c r="I21" i="5"/>
  <c r="I29" i="5"/>
  <c r="I37" i="5"/>
  <c r="I45" i="5"/>
  <c r="I6" i="5"/>
  <c r="J6" i="5" s="1"/>
  <c r="H6" i="5" s="1"/>
  <c r="I14" i="5"/>
  <c r="I22" i="5"/>
  <c r="I30" i="5"/>
  <c r="I38" i="5"/>
  <c r="I46" i="5"/>
  <c r="I7" i="5"/>
  <c r="I15" i="5"/>
  <c r="I23" i="5"/>
  <c r="I31" i="5"/>
  <c r="I39" i="5"/>
  <c r="I47" i="5"/>
  <c r="I10" i="5"/>
  <c r="I18" i="5"/>
  <c r="I26" i="5"/>
  <c r="I34" i="5"/>
  <c r="R5" i="5"/>
  <c r="N5" i="5"/>
  <c r="O5" i="5" s="1"/>
  <c r="J5" i="5"/>
  <c r="H5" i="5" s="1"/>
  <c r="U4" i="5"/>
  <c r="Z4" i="5"/>
  <c r="AF4" i="5" l="1"/>
  <c r="J91" i="5"/>
  <c r="H91" i="5" s="1"/>
  <c r="S91" i="5" s="1"/>
  <c r="T91" i="5" s="1"/>
  <c r="Z91" i="5" s="1"/>
  <c r="AF91" i="5" s="1"/>
  <c r="S5" i="5"/>
  <c r="T5" i="5" s="1"/>
  <c r="U5" i="5" s="1"/>
  <c r="E5" i="5"/>
  <c r="S6" i="5"/>
  <c r="T6" i="5" s="1"/>
  <c r="Z6" i="5" s="1"/>
  <c r="AF6" i="5" s="1"/>
  <c r="E6" i="5"/>
  <c r="W4" i="5"/>
  <c r="X4" i="5" s="1"/>
  <c r="Y4" i="5" s="1"/>
  <c r="V4" i="5"/>
  <c r="J25" i="5"/>
  <c r="H25" i="5" s="1"/>
  <c r="J69" i="5"/>
  <c r="H69" i="5" s="1"/>
  <c r="J55" i="5"/>
  <c r="H55" i="5" s="1"/>
  <c r="J24" i="5"/>
  <c r="H24" i="5" s="1"/>
  <c r="J93" i="5"/>
  <c r="H93" i="5" s="1"/>
  <c r="J49" i="5"/>
  <c r="H49" i="5" s="1"/>
  <c r="J130" i="5"/>
  <c r="H130" i="5" s="1"/>
  <c r="J20" i="5"/>
  <c r="H20" i="5" s="1"/>
  <c r="J34" i="5"/>
  <c r="H34" i="5" s="1"/>
  <c r="J53" i="5"/>
  <c r="H53" i="5" s="1"/>
  <c r="J114" i="5"/>
  <c r="H114" i="5" s="1"/>
  <c r="J41" i="5"/>
  <c r="H41" i="5" s="1"/>
  <c r="J125" i="5"/>
  <c r="H125" i="5" s="1"/>
  <c r="J133" i="5"/>
  <c r="H133" i="5" s="1"/>
  <c r="J21" i="5"/>
  <c r="H21" i="5" s="1"/>
  <c r="J10" i="5"/>
  <c r="H10" i="5" s="1"/>
  <c r="J81" i="5"/>
  <c r="H81" i="5" s="1"/>
  <c r="J104" i="5"/>
  <c r="H104" i="5" s="1"/>
  <c r="J85" i="5"/>
  <c r="H85" i="5" s="1"/>
  <c r="J27" i="5"/>
  <c r="H27" i="5" s="1"/>
  <c r="J18" i="5"/>
  <c r="H18" i="5" s="1"/>
  <c r="J13" i="5"/>
  <c r="H13" i="5" s="1"/>
  <c r="J58" i="5"/>
  <c r="H58" i="5" s="1"/>
  <c r="J12" i="5"/>
  <c r="H12" i="5" s="1"/>
  <c r="J77" i="5"/>
  <c r="H77" i="5" s="1"/>
  <c r="J71" i="5"/>
  <c r="H71" i="5" s="1"/>
  <c r="J38" i="5"/>
  <c r="H38" i="5" s="1"/>
  <c r="J56" i="5"/>
  <c r="H56" i="5" s="1"/>
  <c r="J105" i="5"/>
  <c r="H105" i="5" s="1"/>
  <c r="J101" i="5"/>
  <c r="H101" i="5" s="1"/>
  <c r="J84" i="5"/>
  <c r="H84" i="5" s="1"/>
  <c r="J62" i="5"/>
  <c r="H62" i="5" s="1"/>
  <c r="J136" i="5"/>
  <c r="H136" i="5" s="1"/>
  <c r="J121" i="5"/>
  <c r="H121" i="5" s="1"/>
  <c r="J126" i="5"/>
  <c r="H126" i="5" s="1"/>
  <c r="J45" i="5"/>
  <c r="H45" i="5" s="1"/>
  <c r="J8" i="5"/>
  <c r="H8" i="5" s="1"/>
  <c r="J16" i="5"/>
  <c r="H16" i="5" s="1"/>
  <c r="J97" i="5"/>
  <c r="H97" i="5" s="1"/>
  <c r="J118" i="5"/>
  <c r="H118" i="5" s="1"/>
  <c r="J95" i="5"/>
  <c r="H95" i="5" s="1"/>
  <c r="J75" i="5"/>
  <c r="H75" i="5" s="1"/>
  <c r="J52" i="5"/>
  <c r="H52" i="5" s="1"/>
  <c r="J57" i="5"/>
  <c r="H57" i="5" s="1"/>
  <c r="J87" i="5"/>
  <c r="H87" i="5" s="1"/>
  <c r="J137" i="5"/>
  <c r="H137" i="5" s="1"/>
  <c r="J134" i="5"/>
  <c r="H134" i="5" s="1"/>
  <c r="J110" i="5"/>
  <c r="H110" i="5" s="1"/>
  <c r="J90" i="5"/>
  <c r="H90" i="5" s="1"/>
  <c r="J47" i="5"/>
  <c r="H47" i="5" s="1"/>
  <c r="J30" i="5"/>
  <c r="H30" i="5" s="1"/>
  <c r="J42" i="5"/>
  <c r="H42" i="5" s="1"/>
  <c r="J59" i="5"/>
  <c r="H59" i="5" s="1"/>
  <c r="J70" i="5"/>
  <c r="H70" i="5" s="1"/>
  <c r="J39" i="5"/>
  <c r="H39" i="5" s="1"/>
  <c r="J28" i="5"/>
  <c r="H28" i="5" s="1"/>
  <c r="J132" i="5"/>
  <c r="H132" i="5" s="1"/>
  <c r="J22" i="5"/>
  <c r="H22" i="5" s="1"/>
  <c r="J66" i="5"/>
  <c r="H66" i="5" s="1"/>
  <c r="J17" i="5"/>
  <c r="H17" i="5" s="1"/>
  <c r="J63" i="5"/>
  <c r="H63" i="5" s="1"/>
  <c r="J35" i="5"/>
  <c r="H35" i="5" s="1"/>
  <c r="J36" i="5"/>
  <c r="H36" i="5" s="1"/>
  <c r="J106" i="5"/>
  <c r="H106" i="5" s="1"/>
  <c r="J50" i="5"/>
  <c r="H50" i="5" s="1"/>
  <c r="J67" i="5"/>
  <c r="H67" i="5" s="1"/>
  <c r="J74" i="5"/>
  <c r="H74" i="5" s="1"/>
  <c r="J43" i="5"/>
  <c r="H43" i="5" s="1"/>
  <c r="J111" i="5"/>
  <c r="H111" i="5" s="1"/>
  <c r="J115" i="5"/>
  <c r="H115" i="5" s="1"/>
  <c r="J76" i="5"/>
  <c r="H76" i="5" s="1"/>
  <c r="J107" i="5"/>
  <c r="H107" i="5" s="1"/>
  <c r="J54" i="5"/>
  <c r="H54" i="5" s="1"/>
  <c r="J123" i="5"/>
  <c r="H123" i="5" s="1"/>
  <c r="J112" i="5"/>
  <c r="H112" i="5" s="1"/>
  <c r="J82" i="5"/>
  <c r="H82" i="5" s="1"/>
  <c r="J127" i="5"/>
  <c r="H127" i="5" s="1"/>
  <c r="J116" i="5"/>
  <c r="H116" i="5" s="1"/>
  <c r="J113" i="5"/>
  <c r="H113" i="5" s="1"/>
  <c r="J131" i="5"/>
  <c r="H131" i="5" s="1"/>
  <c r="J14" i="5"/>
  <c r="H14" i="5" s="1"/>
  <c r="J108" i="5"/>
  <c r="H108" i="5" s="1"/>
  <c r="J65" i="5"/>
  <c r="H65" i="5" s="1"/>
  <c r="J48" i="5"/>
  <c r="H48" i="5" s="1"/>
  <c r="J122" i="5"/>
  <c r="H122" i="5" s="1"/>
  <c r="J15" i="5"/>
  <c r="H15" i="5" s="1"/>
  <c r="J9" i="5"/>
  <c r="H9" i="5" s="1"/>
  <c r="J44" i="5"/>
  <c r="H44" i="5" s="1"/>
  <c r="J78" i="5"/>
  <c r="H78" i="5" s="1"/>
  <c r="J119" i="5"/>
  <c r="H119" i="5" s="1"/>
  <c r="J120" i="5"/>
  <c r="H120" i="5" s="1"/>
  <c r="J33" i="5"/>
  <c r="H33" i="5" s="1"/>
  <c r="J96" i="5"/>
  <c r="H96" i="5" s="1"/>
  <c r="J79" i="5"/>
  <c r="H79" i="5" s="1"/>
  <c r="J83" i="5"/>
  <c r="H83" i="5" s="1"/>
  <c r="J138" i="5"/>
  <c r="H138" i="5" s="1"/>
  <c r="J37" i="5"/>
  <c r="H37" i="5" s="1"/>
  <c r="J60" i="5"/>
  <c r="H60" i="5" s="1"/>
  <c r="J61" i="5"/>
  <c r="H61" i="5" s="1"/>
  <c r="J128" i="5"/>
  <c r="H128" i="5" s="1"/>
  <c r="J117" i="5"/>
  <c r="H117" i="5" s="1"/>
  <c r="J88" i="5"/>
  <c r="H88" i="5" s="1"/>
  <c r="J99" i="5"/>
  <c r="H99" i="5" s="1"/>
  <c r="J129" i="5"/>
  <c r="H129" i="5" s="1"/>
  <c r="J92" i="5"/>
  <c r="H92" i="5" s="1"/>
  <c r="J40" i="5"/>
  <c r="H40" i="5" s="1"/>
  <c r="J135" i="5"/>
  <c r="H135" i="5" s="1"/>
  <c r="J124" i="5"/>
  <c r="H124" i="5" s="1"/>
  <c r="J98" i="5"/>
  <c r="H98" i="5" s="1"/>
  <c r="J31" i="5"/>
  <c r="H31" i="5" s="1"/>
  <c r="J72" i="5"/>
  <c r="H72" i="5" s="1"/>
  <c r="J23" i="5"/>
  <c r="H23" i="5" s="1"/>
  <c r="J64" i="5"/>
  <c r="H64" i="5" s="1"/>
  <c r="J73" i="5"/>
  <c r="H73" i="5" s="1"/>
  <c r="J26" i="5"/>
  <c r="H26" i="5" s="1"/>
  <c r="J7" i="5"/>
  <c r="H7" i="5" s="1"/>
  <c r="J11" i="5"/>
  <c r="H11" i="5" s="1"/>
  <c r="J86" i="5"/>
  <c r="H86" i="5" s="1"/>
  <c r="J94" i="5"/>
  <c r="H94" i="5" s="1"/>
  <c r="J32" i="5"/>
  <c r="H32" i="5" s="1"/>
  <c r="J46" i="5"/>
  <c r="H46" i="5" s="1"/>
  <c r="J29" i="5"/>
  <c r="H29" i="5" s="1"/>
  <c r="J51" i="5"/>
  <c r="H51" i="5" s="1"/>
  <c r="J19" i="5"/>
  <c r="H19" i="5" s="1"/>
  <c r="J109" i="5"/>
  <c r="H109" i="5" s="1"/>
  <c r="J89" i="5"/>
  <c r="H89" i="5" s="1"/>
  <c r="J80" i="5"/>
  <c r="H80" i="5" s="1"/>
  <c r="J68" i="5"/>
  <c r="H68" i="5" s="1"/>
  <c r="J100" i="5"/>
  <c r="H100" i="5" s="1"/>
  <c r="J139" i="5"/>
  <c r="H139" i="5" s="1"/>
  <c r="J102" i="5"/>
  <c r="H102" i="5" s="1"/>
  <c r="J103" i="5"/>
  <c r="H103" i="5" s="1"/>
  <c r="AA4" i="5"/>
  <c r="V5" i="5" l="1"/>
  <c r="E91" i="5"/>
  <c r="U91" i="5"/>
  <c r="V91" i="5" s="1"/>
  <c r="Z5" i="5"/>
  <c r="AA6" i="5" s="1"/>
  <c r="S102" i="5"/>
  <c r="T102" i="5" s="1"/>
  <c r="Z102" i="5" s="1"/>
  <c r="AF102" i="5" s="1"/>
  <c r="E102" i="5"/>
  <c r="S135" i="5"/>
  <c r="T135" i="5" s="1"/>
  <c r="U135" i="5" s="1"/>
  <c r="E135" i="5"/>
  <c r="S112" i="5"/>
  <c r="T112" i="5" s="1"/>
  <c r="Z112" i="5" s="1"/>
  <c r="AF112" i="5" s="1"/>
  <c r="E112" i="5"/>
  <c r="S97" i="5"/>
  <c r="T97" i="5" s="1"/>
  <c r="U97" i="5" s="1"/>
  <c r="E97" i="5"/>
  <c r="S58" i="5"/>
  <c r="T58" i="5" s="1"/>
  <c r="U58" i="5" s="1"/>
  <c r="E58" i="5"/>
  <c r="S60" i="5"/>
  <c r="T60" i="5" s="1"/>
  <c r="U60" i="5" s="1"/>
  <c r="E60" i="5"/>
  <c r="S123" i="5"/>
  <c r="T123" i="5" s="1"/>
  <c r="U123" i="5" s="1"/>
  <c r="E123" i="5"/>
  <c r="S137" i="5"/>
  <c r="T137" i="5" s="1"/>
  <c r="U137" i="5" s="1"/>
  <c r="E137" i="5"/>
  <c r="S133" i="5"/>
  <c r="T133" i="5" s="1"/>
  <c r="Z133" i="5" s="1"/>
  <c r="AF133" i="5" s="1"/>
  <c r="E133" i="5"/>
  <c r="S64" i="5"/>
  <c r="T64" i="5" s="1"/>
  <c r="Z64" i="5" s="1"/>
  <c r="AF64" i="5" s="1"/>
  <c r="E64" i="5"/>
  <c r="S54" i="5"/>
  <c r="T54" i="5" s="1"/>
  <c r="Z54" i="5" s="1"/>
  <c r="AF54" i="5" s="1"/>
  <c r="E54" i="5"/>
  <c r="S68" i="5"/>
  <c r="T68" i="5" s="1"/>
  <c r="Z68" i="5" s="1"/>
  <c r="AF68" i="5" s="1"/>
  <c r="E68" i="5"/>
  <c r="S32" i="5"/>
  <c r="T32" i="5" s="1"/>
  <c r="Z32" i="5" s="1"/>
  <c r="AF32" i="5" s="1"/>
  <c r="E32" i="5"/>
  <c r="S23" i="5"/>
  <c r="T23" i="5" s="1"/>
  <c r="U23" i="5" s="1"/>
  <c r="E23" i="5"/>
  <c r="S129" i="5"/>
  <c r="T129" i="5" s="1"/>
  <c r="U129" i="5" s="1"/>
  <c r="E129" i="5"/>
  <c r="S138" i="5"/>
  <c r="T138" i="5" s="1"/>
  <c r="Z138" i="5" s="1"/>
  <c r="AF138" i="5" s="1"/>
  <c r="E138" i="5"/>
  <c r="S44" i="5"/>
  <c r="T44" i="5" s="1"/>
  <c r="Z44" i="5" s="1"/>
  <c r="AF44" i="5" s="1"/>
  <c r="E44" i="5"/>
  <c r="S131" i="5"/>
  <c r="T131" i="5" s="1"/>
  <c r="U131" i="5" s="1"/>
  <c r="E131" i="5"/>
  <c r="S107" i="5"/>
  <c r="T107" i="5" s="1"/>
  <c r="U107" i="5" s="1"/>
  <c r="E107" i="5"/>
  <c r="S67" i="5"/>
  <c r="T67" i="5" s="1"/>
  <c r="U67" i="5" s="1"/>
  <c r="E67" i="5"/>
  <c r="S17" i="5"/>
  <c r="T17" i="5" s="1"/>
  <c r="Z17" i="5" s="1"/>
  <c r="AF17" i="5" s="1"/>
  <c r="E17" i="5"/>
  <c r="S42" i="5"/>
  <c r="T42" i="5" s="1"/>
  <c r="U42" i="5" s="1"/>
  <c r="E42" i="5"/>
  <c r="S57" i="5"/>
  <c r="T57" i="5" s="1"/>
  <c r="U57" i="5" s="1"/>
  <c r="E57" i="5"/>
  <c r="S45" i="5"/>
  <c r="T45" i="5" s="1"/>
  <c r="U45" i="5" s="1"/>
  <c r="E45" i="5"/>
  <c r="S56" i="5"/>
  <c r="T56" i="5" s="1"/>
  <c r="U56" i="5" s="1"/>
  <c r="E56" i="5"/>
  <c r="S27" i="5"/>
  <c r="T27" i="5" s="1"/>
  <c r="Z27" i="5" s="1"/>
  <c r="AF27" i="5" s="1"/>
  <c r="E27" i="5"/>
  <c r="S41" i="5"/>
  <c r="T41" i="5" s="1"/>
  <c r="Z41" i="5" s="1"/>
  <c r="AF41" i="5" s="1"/>
  <c r="E41" i="5"/>
  <c r="S24" i="5"/>
  <c r="T24" i="5" s="1"/>
  <c r="Z24" i="5" s="1"/>
  <c r="AF24" i="5" s="1"/>
  <c r="E24" i="5"/>
  <c r="S126" i="5"/>
  <c r="T126" i="5" s="1"/>
  <c r="Z126" i="5" s="1"/>
  <c r="AF126" i="5" s="1"/>
  <c r="E126" i="5"/>
  <c r="S55" i="5"/>
  <c r="T55" i="5" s="1"/>
  <c r="U55" i="5" s="1"/>
  <c r="E55" i="5"/>
  <c r="S51" i="5"/>
  <c r="T51" i="5" s="1"/>
  <c r="Z51" i="5" s="1"/>
  <c r="AF51" i="5" s="1"/>
  <c r="E51" i="5"/>
  <c r="S120" i="5"/>
  <c r="T120" i="5" s="1"/>
  <c r="U120" i="5" s="1"/>
  <c r="E120" i="5"/>
  <c r="S39" i="5"/>
  <c r="T39" i="5" s="1"/>
  <c r="Z39" i="5" s="1"/>
  <c r="AF39" i="5" s="1"/>
  <c r="E39" i="5"/>
  <c r="S21" i="5"/>
  <c r="T21" i="5" s="1"/>
  <c r="U21" i="5" s="1"/>
  <c r="E21" i="5"/>
  <c r="S29" i="5"/>
  <c r="T29" i="5" s="1"/>
  <c r="Z29" i="5" s="1"/>
  <c r="AF29" i="5" s="1"/>
  <c r="E29" i="5"/>
  <c r="S119" i="5"/>
  <c r="T119" i="5" s="1"/>
  <c r="Z119" i="5" s="1"/>
  <c r="AF119" i="5" s="1"/>
  <c r="E119" i="5"/>
  <c r="S43" i="5"/>
  <c r="T43" i="5" s="1"/>
  <c r="Z43" i="5" s="1"/>
  <c r="AF43" i="5" s="1"/>
  <c r="E43" i="5"/>
  <c r="S16" i="5"/>
  <c r="T16" i="5" s="1"/>
  <c r="U16" i="5" s="1"/>
  <c r="E16" i="5"/>
  <c r="S49" i="5"/>
  <c r="T49" i="5" s="1"/>
  <c r="U49" i="5" s="1"/>
  <c r="E49" i="5"/>
  <c r="S46" i="5"/>
  <c r="T46" i="5" s="1"/>
  <c r="Z46" i="5" s="1"/>
  <c r="AF46" i="5" s="1"/>
  <c r="E46" i="5"/>
  <c r="S78" i="5"/>
  <c r="T78" i="5" s="1"/>
  <c r="U78" i="5" s="1"/>
  <c r="E78" i="5"/>
  <c r="S63" i="5"/>
  <c r="T63" i="5" s="1"/>
  <c r="Z63" i="5" s="1"/>
  <c r="AF63" i="5" s="1"/>
  <c r="E63" i="5"/>
  <c r="S87" i="5"/>
  <c r="T87" i="5" s="1"/>
  <c r="U87" i="5" s="1"/>
  <c r="E87" i="5"/>
  <c r="S18" i="5"/>
  <c r="Z18" i="5" s="1"/>
  <c r="AF18" i="5" s="1"/>
  <c r="E18" i="5"/>
  <c r="S80" i="5"/>
  <c r="T80" i="5" s="1"/>
  <c r="U80" i="5" s="1"/>
  <c r="E80" i="5"/>
  <c r="S72" i="5"/>
  <c r="T72" i="5" s="1"/>
  <c r="Z72" i="5" s="1"/>
  <c r="AF72" i="5" s="1"/>
  <c r="E72" i="5"/>
  <c r="S9" i="5"/>
  <c r="T9" i="5" s="1"/>
  <c r="Z9" i="5" s="1"/>
  <c r="AF9" i="5" s="1"/>
  <c r="E9" i="5"/>
  <c r="S50" i="5"/>
  <c r="T50" i="5" s="1"/>
  <c r="U50" i="5" s="1"/>
  <c r="E50" i="5"/>
  <c r="S52" i="5"/>
  <c r="T52" i="5" s="1"/>
  <c r="Z52" i="5" s="1"/>
  <c r="AF52" i="5" s="1"/>
  <c r="E52" i="5"/>
  <c r="S114" i="5"/>
  <c r="T114" i="5" s="1"/>
  <c r="Z114" i="5" s="1"/>
  <c r="AF114" i="5" s="1"/>
  <c r="E114" i="5"/>
  <c r="S89" i="5"/>
  <c r="T89" i="5" s="1"/>
  <c r="Z89" i="5" s="1"/>
  <c r="AF89" i="5" s="1"/>
  <c r="E89" i="5"/>
  <c r="S86" i="5"/>
  <c r="T86" i="5" s="1"/>
  <c r="Z86" i="5" s="1"/>
  <c r="AF86" i="5" s="1"/>
  <c r="E86" i="5"/>
  <c r="S31" i="5"/>
  <c r="T31" i="5" s="1"/>
  <c r="U31" i="5" s="1"/>
  <c r="E31" i="5"/>
  <c r="S88" i="5"/>
  <c r="T88" i="5" s="1"/>
  <c r="Z88" i="5" s="1"/>
  <c r="AF88" i="5" s="1"/>
  <c r="E88" i="5"/>
  <c r="S79" i="5"/>
  <c r="T79" i="5" s="1"/>
  <c r="U79" i="5" s="1"/>
  <c r="E79" i="5"/>
  <c r="S15" i="5"/>
  <c r="T15" i="5" s="1"/>
  <c r="Z15" i="5" s="1"/>
  <c r="AF15" i="5" s="1"/>
  <c r="E15" i="5"/>
  <c r="S116" i="5"/>
  <c r="T116" i="5" s="1"/>
  <c r="Z116" i="5" s="1"/>
  <c r="AF116" i="5" s="1"/>
  <c r="E116" i="5"/>
  <c r="U6" i="5"/>
  <c r="S106" i="5"/>
  <c r="T106" i="5" s="1"/>
  <c r="U106" i="5" s="1"/>
  <c r="E106" i="5"/>
  <c r="S22" i="5"/>
  <c r="T22" i="5" s="1"/>
  <c r="U22" i="5" s="1"/>
  <c r="E22" i="5"/>
  <c r="S47" i="5"/>
  <c r="T47" i="5" s="1"/>
  <c r="Z47" i="5" s="1"/>
  <c r="AF47" i="5" s="1"/>
  <c r="E47" i="5"/>
  <c r="S75" i="5"/>
  <c r="T75" i="5" s="1"/>
  <c r="Z75" i="5" s="1"/>
  <c r="AF75" i="5" s="1"/>
  <c r="E75" i="5"/>
  <c r="S121" i="5"/>
  <c r="T121" i="5" s="1"/>
  <c r="Z121" i="5" s="1"/>
  <c r="AF121" i="5" s="1"/>
  <c r="E121" i="5"/>
  <c r="S71" i="5"/>
  <c r="T71" i="5" s="1"/>
  <c r="Z71" i="5" s="1"/>
  <c r="AF71" i="5" s="1"/>
  <c r="E71" i="5"/>
  <c r="S104" i="5"/>
  <c r="T104" i="5" s="1"/>
  <c r="Z104" i="5" s="1"/>
  <c r="AF104" i="5" s="1"/>
  <c r="E104" i="5"/>
  <c r="S53" i="5"/>
  <c r="T53" i="5" s="1"/>
  <c r="Z53" i="5" s="1"/>
  <c r="AF53" i="5" s="1"/>
  <c r="E53" i="5"/>
  <c r="S69" i="5"/>
  <c r="T69" i="5" s="1"/>
  <c r="Z69" i="5" s="1"/>
  <c r="AF69" i="5" s="1"/>
  <c r="E69" i="5"/>
  <c r="S61" i="5"/>
  <c r="T61" i="5" s="1"/>
  <c r="Z61" i="5" s="1"/>
  <c r="AF61" i="5" s="1"/>
  <c r="E61" i="5"/>
  <c r="S111" i="5"/>
  <c r="T111" i="5" s="1"/>
  <c r="Z111" i="5" s="1"/>
  <c r="AF111" i="5" s="1"/>
  <c r="E111" i="5"/>
  <c r="S84" i="5"/>
  <c r="T84" i="5" s="1"/>
  <c r="U84" i="5" s="1"/>
  <c r="E84" i="5"/>
  <c r="S139" i="5"/>
  <c r="T139" i="5" s="1"/>
  <c r="Z139" i="5" s="1"/>
  <c r="AF139" i="5" s="1"/>
  <c r="E139" i="5"/>
  <c r="S40" i="5"/>
  <c r="T40" i="5" s="1"/>
  <c r="Z40" i="5" s="1"/>
  <c r="AF40" i="5" s="1"/>
  <c r="E40" i="5"/>
  <c r="S35" i="5"/>
  <c r="T35" i="5" s="1"/>
  <c r="Z35" i="5" s="1"/>
  <c r="AF35" i="5" s="1"/>
  <c r="E35" i="5"/>
  <c r="S101" i="5"/>
  <c r="T101" i="5" s="1"/>
  <c r="Z101" i="5" s="1"/>
  <c r="AF101" i="5" s="1"/>
  <c r="E101" i="5"/>
  <c r="S92" i="5"/>
  <c r="T92" i="5" s="1"/>
  <c r="U92" i="5" s="1"/>
  <c r="E92" i="5"/>
  <c r="S14" i="5"/>
  <c r="T14" i="5" s="1"/>
  <c r="U14" i="5" s="1"/>
  <c r="E14" i="5"/>
  <c r="S59" i="5"/>
  <c r="T59" i="5" s="1"/>
  <c r="U59" i="5" s="1"/>
  <c r="E59" i="5"/>
  <c r="S105" i="5"/>
  <c r="T105" i="5" s="1"/>
  <c r="Z105" i="5" s="1"/>
  <c r="AF105" i="5" s="1"/>
  <c r="E105" i="5"/>
  <c r="S93" i="5"/>
  <c r="T93" i="5" s="1"/>
  <c r="Z93" i="5" s="1"/>
  <c r="AF93" i="5" s="1"/>
  <c r="E93" i="5"/>
  <c r="S99" i="5"/>
  <c r="T99" i="5" s="1"/>
  <c r="U99" i="5" s="1"/>
  <c r="E99" i="5"/>
  <c r="S30" i="5"/>
  <c r="T30" i="5" s="1"/>
  <c r="Z30" i="5" s="1"/>
  <c r="AF30" i="5" s="1"/>
  <c r="E30" i="5"/>
  <c r="S85" i="5"/>
  <c r="T85" i="5" s="1"/>
  <c r="Z85" i="5" s="1"/>
  <c r="AF85" i="5" s="1"/>
  <c r="E85" i="5"/>
  <c r="S11" i="5"/>
  <c r="T11" i="5" s="1"/>
  <c r="U11" i="5" s="1"/>
  <c r="E11" i="5"/>
  <c r="S98" i="5"/>
  <c r="T98" i="5" s="1"/>
  <c r="Z98" i="5" s="1"/>
  <c r="AF98" i="5" s="1"/>
  <c r="E98" i="5"/>
  <c r="S117" i="5"/>
  <c r="T117" i="5" s="1"/>
  <c r="U117" i="5" s="1"/>
  <c r="E117" i="5"/>
  <c r="S96" i="5"/>
  <c r="T96" i="5" s="1"/>
  <c r="Z96" i="5" s="1"/>
  <c r="AF96" i="5" s="1"/>
  <c r="E96" i="5"/>
  <c r="S122" i="5"/>
  <c r="T122" i="5" s="1"/>
  <c r="Z122" i="5" s="1"/>
  <c r="AF122" i="5" s="1"/>
  <c r="E122" i="5"/>
  <c r="S127" i="5"/>
  <c r="T127" i="5" s="1"/>
  <c r="Z127" i="5" s="1"/>
  <c r="AF127" i="5" s="1"/>
  <c r="E127" i="5"/>
  <c r="S76" i="5"/>
  <c r="T76" i="5" s="1"/>
  <c r="U76" i="5" s="1"/>
  <c r="E76" i="5"/>
  <c r="S36" i="5"/>
  <c r="T36" i="5" s="1"/>
  <c r="Z36" i="5" s="1"/>
  <c r="AF36" i="5" s="1"/>
  <c r="E36" i="5"/>
  <c r="S132" i="5"/>
  <c r="T132" i="5" s="1"/>
  <c r="U132" i="5" s="1"/>
  <c r="E132" i="5"/>
  <c r="S90" i="5"/>
  <c r="T90" i="5" s="1"/>
  <c r="Z90" i="5" s="1"/>
  <c r="AF90" i="5" s="1"/>
  <c r="E90" i="5"/>
  <c r="S95" i="5"/>
  <c r="T95" i="5" s="1"/>
  <c r="U95" i="5" s="1"/>
  <c r="E95" i="5"/>
  <c r="S136" i="5"/>
  <c r="T136" i="5" s="1"/>
  <c r="U136" i="5" s="1"/>
  <c r="E136" i="5"/>
  <c r="S77" i="5"/>
  <c r="T77" i="5" s="1"/>
  <c r="U77" i="5" s="1"/>
  <c r="E77" i="5"/>
  <c r="S81" i="5"/>
  <c r="T81" i="5" s="1"/>
  <c r="Z81" i="5" s="1"/>
  <c r="AF81" i="5" s="1"/>
  <c r="E81" i="5"/>
  <c r="S34" i="5"/>
  <c r="E34" i="5"/>
  <c r="S25" i="5"/>
  <c r="T25" i="5" s="1"/>
  <c r="Z25" i="5" s="1"/>
  <c r="AF25" i="5" s="1"/>
  <c r="E25" i="5"/>
  <c r="S26" i="5"/>
  <c r="T26" i="5" s="1"/>
  <c r="Z26" i="5" s="1"/>
  <c r="AF26" i="5" s="1"/>
  <c r="E26" i="5"/>
  <c r="S65" i="5"/>
  <c r="T65" i="5" s="1"/>
  <c r="U65" i="5" s="1"/>
  <c r="E65" i="5"/>
  <c r="S134" i="5"/>
  <c r="T134" i="5" s="1"/>
  <c r="Z134" i="5" s="1"/>
  <c r="AF134" i="5" s="1"/>
  <c r="E134" i="5"/>
  <c r="S130" i="5"/>
  <c r="T130" i="5" s="1"/>
  <c r="Z130" i="5" s="1"/>
  <c r="AF130" i="5" s="1"/>
  <c r="E130" i="5"/>
  <c r="S73" i="5"/>
  <c r="T73" i="5" s="1"/>
  <c r="Z73" i="5" s="1"/>
  <c r="AF73" i="5" s="1"/>
  <c r="E73" i="5"/>
  <c r="S108" i="5"/>
  <c r="T108" i="5" s="1"/>
  <c r="U108" i="5" s="1"/>
  <c r="E108" i="5"/>
  <c r="S70" i="5"/>
  <c r="T70" i="5" s="1"/>
  <c r="Z70" i="5" s="1"/>
  <c r="AF70" i="5" s="1"/>
  <c r="E70" i="5"/>
  <c r="S13" i="5"/>
  <c r="T13" i="5" s="1"/>
  <c r="U13" i="5" s="1"/>
  <c r="E13" i="5"/>
  <c r="S100" i="5"/>
  <c r="T100" i="5" s="1"/>
  <c r="U100" i="5" s="1"/>
  <c r="E100" i="5"/>
  <c r="S37" i="5"/>
  <c r="T37" i="5" s="1"/>
  <c r="U37" i="5" s="1"/>
  <c r="E37" i="5"/>
  <c r="S74" i="5"/>
  <c r="T74" i="5" s="1"/>
  <c r="Z74" i="5" s="1"/>
  <c r="AF74" i="5" s="1"/>
  <c r="E74" i="5"/>
  <c r="S8" i="5"/>
  <c r="T8" i="5" s="1"/>
  <c r="Z8" i="5" s="1"/>
  <c r="AF8" i="5" s="1"/>
  <c r="E8" i="5"/>
  <c r="S125" i="5"/>
  <c r="T125" i="5" s="1"/>
  <c r="U125" i="5" s="1"/>
  <c r="E125" i="5"/>
  <c r="S94" i="5"/>
  <c r="T94" i="5" s="1"/>
  <c r="U94" i="5" s="1"/>
  <c r="E94" i="5"/>
  <c r="S83" i="5"/>
  <c r="T83" i="5" s="1"/>
  <c r="U83" i="5" s="1"/>
  <c r="E83" i="5"/>
  <c r="S113" i="5"/>
  <c r="T113" i="5" s="1"/>
  <c r="Z113" i="5" s="1"/>
  <c r="AF113" i="5" s="1"/>
  <c r="E113" i="5"/>
  <c r="S66" i="5"/>
  <c r="T66" i="5" s="1"/>
  <c r="Z66" i="5" s="1"/>
  <c r="AF66" i="5" s="1"/>
  <c r="E66" i="5"/>
  <c r="S38" i="5"/>
  <c r="T38" i="5" s="1"/>
  <c r="Z38" i="5" s="1"/>
  <c r="AF38" i="5" s="1"/>
  <c r="E38" i="5"/>
  <c r="S109" i="5"/>
  <c r="T109" i="5" s="1"/>
  <c r="Z109" i="5" s="1"/>
  <c r="AF109" i="5" s="1"/>
  <c r="E109" i="5"/>
  <c r="S103" i="5"/>
  <c r="T103" i="5" s="1"/>
  <c r="U103" i="5" s="1"/>
  <c r="E103" i="5"/>
  <c r="S19" i="5"/>
  <c r="T19" i="5" s="1"/>
  <c r="U19" i="5" s="1"/>
  <c r="E19" i="5"/>
  <c r="S7" i="5"/>
  <c r="T7" i="5" s="1"/>
  <c r="Z7" i="5" s="1"/>
  <c r="AF7" i="5" s="1"/>
  <c r="E7" i="5"/>
  <c r="S124" i="5"/>
  <c r="T124" i="5" s="1"/>
  <c r="Z124" i="5" s="1"/>
  <c r="AF124" i="5" s="1"/>
  <c r="E124" i="5"/>
  <c r="S128" i="5"/>
  <c r="T128" i="5" s="1"/>
  <c r="Z128" i="5" s="1"/>
  <c r="AF128" i="5" s="1"/>
  <c r="E128" i="5"/>
  <c r="S33" i="5"/>
  <c r="T33" i="5" s="1"/>
  <c r="Z33" i="5" s="1"/>
  <c r="AF33" i="5" s="1"/>
  <c r="E33" i="5"/>
  <c r="S48" i="5"/>
  <c r="T48" i="5" s="1"/>
  <c r="Z48" i="5" s="1"/>
  <c r="AF48" i="5" s="1"/>
  <c r="E48" i="5"/>
  <c r="S82" i="5"/>
  <c r="T82" i="5" s="1"/>
  <c r="Z82" i="5" s="1"/>
  <c r="AF82" i="5" s="1"/>
  <c r="E82" i="5"/>
  <c r="S115" i="5"/>
  <c r="T115" i="5" s="1"/>
  <c r="U115" i="5" s="1"/>
  <c r="E115" i="5"/>
  <c r="S28" i="5"/>
  <c r="T28" i="5" s="1"/>
  <c r="U28" i="5" s="1"/>
  <c r="E28" i="5"/>
  <c r="S110" i="5"/>
  <c r="T110" i="5" s="1"/>
  <c r="U110" i="5" s="1"/>
  <c r="E110" i="5"/>
  <c r="S118" i="5"/>
  <c r="T118" i="5" s="1"/>
  <c r="U118" i="5" s="1"/>
  <c r="E118" i="5"/>
  <c r="S62" i="5"/>
  <c r="T62" i="5" s="1"/>
  <c r="Z62" i="5" s="1"/>
  <c r="AF62" i="5" s="1"/>
  <c r="E62" i="5"/>
  <c r="S12" i="5"/>
  <c r="T12" i="5" s="1"/>
  <c r="Z12" i="5" s="1"/>
  <c r="AF12" i="5" s="1"/>
  <c r="E12" i="5"/>
  <c r="S10" i="5"/>
  <c r="T10" i="5" s="1"/>
  <c r="Z10" i="5" s="1"/>
  <c r="AF10" i="5" s="1"/>
  <c r="E10" i="5"/>
  <c r="S20" i="5"/>
  <c r="T20" i="5" s="1"/>
  <c r="U20" i="5" s="1"/>
  <c r="E20" i="5"/>
  <c r="W5" i="5"/>
  <c r="X5" i="5" s="1"/>
  <c r="Y5" i="5" s="1"/>
  <c r="AB5" i="5" s="1"/>
  <c r="AC5" i="5" s="1"/>
  <c r="Z55" i="5"/>
  <c r="AF55" i="5" s="1"/>
  <c r="Z49" i="5"/>
  <c r="AF49" i="5" s="1"/>
  <c r="U85" i="5" l="1"/>
  <c r="U36" i="5"/>
  <c r="AD5" i="5"/>
  <c r="W31" i="5"/>
  <c r="W6" i="5"/>
  <c r="X6" i="5" s="1"/>
  <c r="Y6" i="5" s="1"/>
  <c r="AB6" i="5" s="1"/>
  <c r="AC6" i="5" s="1"/>
  <c r="W16" i="5"/>
  <c r="X16" i="5" s="1"/>
  <c r="Y16" i="5" s="1"/>
  <c r="AB16" i="5" s="1"/>
  <c r="AC16" i="5" s="1"/>
  <c r="AD16" i="5" s="1"/>
  <c r="W21" i="5"/>
  <c r="X21" i="5" s="1"/>
  <c r="Y21" i="5" s="1"/>
  <c r="AB21" i="5" s="1"/>
  <c r="AC21" i="5" s="1"/>
  <c r="AD21" i="5" s="1"/>
  <c r="W55" i="5"/>
  <c r="X55" i="5" s="1"/>
  <c r="Y55" i="5" s="1"/>
  <c r="AB55" i="5" s="1"/>
  <c r="AC55" i="5" s="1"/>
  <c r="AD55" i="5" s="1"/>
  <c r="W42" i="5"/>
  <c r="X42" i="5" s="1"/>
  <c r="Y42" i="5" s="1"/>
  <c r="AB42" i="5" s="1"/>
  <c r="AC42" i="5" s="1"/>
  <c r="AD42" i="5" s="1"/>
  <c r="W131" i="5"/>
  <c r="X131" i="5" s="1"/>
  <c r="Y131" i="5" s="1"/>
  <c r="AB131" i="5" s="1"/>
  <c r="AC131" i="5" s="1"/>
  <c r="AD131" i="5" s="1"/>
  <c r="W23" i="5"/>
  <c r="X23" i="5" s="1"/>
  <c r="Y23" i="5" s="1"/>
  <c r="AB23" i="5" s="1"/>
  <c r="AC23" i="5" s="1"/>
  <c r="AD23" i="5" s="1"/>
  <c r="W60" i="5"/>
  <c r="X60" i="5" s="1"/>
  <c r="Y60" i="5" s="1"/>
  <c r="AB60" i="5" s="1"/>
  <c r="AC60" i="5" s="1"/>
  <c r="AD60" i="5" s="1"/>
  <c r="W135" i="5"/>
  <c r="X135" i="5" s="1"/>
  <c r="Y135" i="5" s="1"/>
  <c r="AB135" i="5" s="1"/>
  <c r="AC135" i="5" s="1"/>
  <c r="AD135" i="5" s="1"/>
  <c r="W115" i="5"/>
  <c r="X115" i="5" s="1"/>
  <c r="Y115" i="5" s="1"/>
  <c r="AB115" i="5" s="1"/>
  <c r="AC115" i="5" s="1"/>
  <c r="AD115" i="5" s="1"/>
  <c r="W103" i="5"/>
  <c r="X103" i="5" s="1"/>
  <c r="Y103" i="5" s="1"/>
  <c r="AB103" i="5" s="1"/>
  <c r="AC103" i="5" s="1"/>
  <c r="AD103" i="5" s="1"/>
  <c r="W13" i="5"/>
  <c r="X13" i="5" s="1"/>
  <c r="Y13" i="5" s="1"/>
  <c r="AB13" i="5" s="1"/>
  <c r="AC13" i="5" s="1"/>
  <c r="AD13" i="5" s="1"/>
  <c r="W136" i="5"/>
  <c r="X136" i="5" s="1"/>
  <c r="Y136" i="5" s="1"/>
  <c r="AB136" i="5" s="1"/>
  <c r="AC136" i="5" s="1"/>
  <c r="AD136" i="5" s="1"/>
  <c r="W84" i="5"/>
  <c r="X84" i="5" s="1"/>
  <c r="Y84" i="5" s="1"/>
  <c r="AB84" i="5" s="1"/>
  <c r="AC84" i="5" s="1"/>
  <c r="AD84" i="5" s="1"/>
  <c r="W91" i="5"/>
  <c r="X91" i="5" s="1"/>
  <c r="Y91" i="5" s="1"/>
  <c r="AB91" i="5" s="1"/>
  <c r="AC91" i="5" s="1"/>
  <c r="AD91" i="5" s="1"/>
  <c r="W56" i="5"/>
  <c r="X56" i="5" s="1"/>
  <c r="Y56" i="5" s="1"/>
  <c r="AB56" i="5" s="1"/>
  <c r="AC56" i="5" s="1"/>
  <c r="AD56" i="5" s="1"/>
  <c r="W118" i="5"/>
  <c r="X118" i="5" s="1"/>
  <c r="Y118" i="5" s="1"/>
  <c r="AB118" i="5" s="1"/>
  <c r="AC118" i="5" s="1"/>
  <c r="AD118" i="5" s="1"/>
  <c r="W117" i="5"/>
  <c r="X117" i="5" s="1"/>
  <c r="Y117" i="5" s="1"/>
  <c r="AB117" i="5" s="1"/>
  <c r="AC117" i="5" s="1"/>
  <c r="AD117" i="5" s="1"/>
  <c r="Z31" i="5"/>
  <c r="AF31" i="5" s="1"/>
  <c r="W120" i="5"/>
  <c r="X120" i="5" s="1"/>
  <c r="Y120" i="5" s="1"/>
  <c r="AB120" i="5" s="1"/>
  <c r="AC120" i="5" s="1"/>
  <c r="AD120" i="5" s="1"/>
  <c r="W67" i="5"/>
  <c r="X67" i="5" s="1"/>
  <c r="Y67" i="5" s="1"/>
  <c r="AB67" i="5" s="1"/>
  <c r="AC67" i="5" s="1"/>
  <c r="AD67" i="5" s="1"/>
  <c r="W94" i="5"/>
  <c r="W37" i="5"/>
  <c r="W108" i="5"/>
  <c r="X108" i="5" s="1"/>
  <c r="Y108" i="5" s="1"/>
  <c r="AB108" i="5" s="1"/>
  <c r="AC108" i="5" s="1"/>
  <c r="AD108" i="5" s="1"/>
  <c r="W65" i="5"/>
  <c r="X65" i="5" s="1"/>
  <c r="Y65" i="5" s="1"/>
  <c r="AB65" i="5" s="1"/>
  <c r="AC65" i="5" s="1"/>
  <c r="AD65" i="5" s="1"/>
  <c r="W99" i="5"/>
  <c r="X99" i="5" s="1"/>
  <c r="Y99" i="5" s="1"/>
  <c r="AB99" i="5" s="1"/>
  <c r="AC99" i="5" s="1"/>
  <c r="AD99" i="5" s="1"/>
  <c r="W14" i="5"/>
  <c r="X14" i="5" s="1"/>
  <c r="Y14" i="5" s="1"/>
  <c r="AB14" i="5" s="1"/>
  <c r="AC14" i="5" s="1"/>
  <c r="AD14" i="5" s="1"/>
  <c r="W22" i="5"/>
  <c r="X22" i="5" s="1"/>
  <c r="Y22" i="5" s="1"/>
  <c r="AB22" i="5" s="1"/>
  <c r="AC22" i="5" s="1"/>
  <c r="AD22" i="5" s="1"/>
  <c r="W78" i="5"/>
  <c r="W36" i="5"/>
  <c r="W20" i="5"/>
  <c r="X20" i="5" s="1"/>
  <c r="Y20" i="5" s="1"/>
  <c r="AB20" i="5" s="1"/>
  <c r="AC20" i="5" s="1"/>
  <c r="AD20" i="5" s="1"/>
  <c r="W83" i="5"/>
  <c r="X83" i="5" s="1"/>
  <c r="Y83" i="5" s="1"/>
  <c r="AB83" i="5" s="1"/>
  <c r="AC83" i="5" s="1"/>
  <c r="AD83" i="5" s="1"/>
  <c r="W76" i="5"/>
  <c r="X76" i="5" s="1"/>
  <c r="Y76" i="5" s="1"/>
  <c r="AB76" i="5" s="1"/>
  <c r="AC76" i="5" s="1"/>
  <c r="AD76" i="5" s="1"/>
  <c r="W59" i="5"/>
  <c r="X59" i="5" s="1"/>
  <c r="Y59" i="5" s="1"/>
  <c r="AB59" i="5" s="1"/>
  <c r="AC59" i="5" s="1"/>
  <c r="AD59" i="5" s="1"/>
  <c r="AA5" i="5"/>
  <c r="AF5" i="5"/>
  <c r="U52" i="5"/>
  <c r="W137" i="5"/>
  <c r="X137" i="5" s="1"/>
  <c r="Y137" i="5" s="1"/>
  <c r="AB137" i="5" s="1"/>
  <c r="AC137" i="5" s="1"/>
  <c r="AD137" i="5" s="1"/>
  <c r="Z16" i="5"/>
  <c r="AF16" i="5" s="1"/>
  <c r="W110" i="5"/>
  <c r="X110" i="5" s="1"/>
  <c r="Y110" i="5" s="1"/>
  <c r="AB110" i="5" s="1"/>
  <c r="AC110" i="5" s="1"/>
  <c r="AD110" i="5" s="1"/>
  <c r="U32" i="5"/>
  <c r="V32" i="5" s="1"/>
  <c r="W79" i="5"/>
  <c r="X79" i="5" s="1"/>
  <c r="Y79" i="5" s="1"/>
  <c r="AB79" i="5" s="1"/>
  <c r="AC79" i="5" s="1"/>
  <c r="AD79" i="5" s="1"/>
  <c r="W87" i="5"/>
  <c r="X87" i="5" s="1"/>
  <c r="Y87" i="5" s="1"/>
  <c r="AB87" i="5" s="1"/>
  <c r="AC87" i="5" s="1"/>
  <c r="AD87" i="5" s="1"/>
  <c r="W49" i="5"/>
  <c r="X49" i="5" s="1"/>
  <c r="Y49" i="5" s="1"/>
  <c r="AB49" i="5" s="1"/>
  <c r="AC49" i="5" s="1"/>
  <c r="AD49" i="5" s="1"/>
  <c r="W57" i="5"/>
  <c r="X57" i="5" s="1"/>
  <c r="Y57" i="5" s="1"/>
  <c r="AB57" i="5" s="1"/>
  <c r="AC57" i="5" s="1"/>
  <c r="AD57" i="5" s="1"/>
  <c r="W107" i="5"/>
  <c r="X107" i="5" s="1"/>
  <c r="Y107" i="5" s="1"/>
  <c r="AB107" i="5" s="1"/>
  <c r="AC107" i="5" s="1"/>
  <c r="AD107" i="5" s="1"/>
  <c r="W129" i="5"/>
  <c r="X129" i="5" s="1"/>
  <c r="Y129" i="5" s="1"/>
  <c r="AB129" i="5" s="1"/>
  <c r="AC129" i="5" s="1"/>
  <c r="AD129" i="5" s="1"/>
  <c r="W123" i="5"/>
  <c r="X123" i="5" s="1"/>
  <c r="Y123" i="5" s="1"/>
  <c r="AB123" i="5" s="1"/>
  <c r="AC123" i="5" s="1"/>
  <c r="AD123" i="5" s="1"/>
  <c r="W80" i="5"/>
  <c r="X80" i="5" s="1"/>
  <c r="Y80" i="5" s="1"/>
  <c r="AB80" i="5" s="1"/>
  <c r="AC80" i="5" s="1"/>
  <c r="AD80" i="5" s="1"/>
  <c r="W58" i="5"/>
  <c r="X58" i="5" s="1"/>
  <c r="Y58" i="5" s="1"/>
  <c r="AB58" i="5" s="1"/>
  <c r="AC58" i="5" s="1"/>
  <c r="AD58" i="5" s="1"/>
  <c r="W95" i="5"/>
  <c r="X95" i="5" s="1"/>
  <c r="Y95" i="5" s="1"/>
  <c r="AB95" i="5" s="1"/>
  <c r="AC95" i="5" s="1"/>
  <c r="AD95" i="5" s="1"/>
  <c r="W50" i="5"/>
  <c r="X50" i="5" s="1"/>
  <c r="Y50" i="5" s="1"/>
  <c r="AB50" i="5" s="1"/>
  <c r="AC50" i="5" s="1"/>
  <c r="AD50" i="5" s="1"/>
  <c r="W45" i="5"/>
  <c r="X45" i="5" s="1"/>
  <c r="Y45" i="5" s="1"/>
  <c r="AB45" i="5" s="1"/>
  <c r="AC45" i="5" s="1"/>
  <c r="AD45" i="5" s="1"/>
  <c r="W97" i="5"/>
  <c r="X97" i="5" s="1"/>
  <c r="Y97" i="5" s="1"/>
  <c r="AB97" i="5" s="1"/>
  <c r="AC97" i="5" s="1"/>
  <c r="AD97" i="5" s="1"/>
  <c r="W28" i="5"/>
  <c r="X28" i="5" s="1"/>
  <c r="Y28" i="5" s="1"/>
  <c r="AB28" i="5" s="1"/>
  <c r="AC28" i="5"/>
  <c r="AD28" i="5" s="1"/>
  <c r="W19" i="5"/>
  <c r="X19" i="5" s="1"/>
  <c r="Y19" i="5" s="1"/>
  <c r="AB19" i="5" s="1"/>
  <c r="AC19" i="5" s="1"/>
  <c r="AD19" i="5" s="1"/>
  <c r="W125" i="5"/>
  <c r="X125" i="5" s="1"/>
  <c r="Y125" i="5" s="1"/>
  <c r="AB125" i="5" s="1"/>
  <c r="AC125" i="5" s="1"/>
  <c r="AD125" i="5" s="1"/>
  <c r="W100" i="5"/>
  <c r="X100" i="5" s="1"/>
  <c r="Y100" i="5" s="1"/>
  <c r="W77" i="5"/>
  <c r="X77" i="5" s="1"/>
  <c r="Y77" i="5" s="1"/>
  <c r="AB77" i="5" s="1"/>
  <c r="AC77" i="5" s="1"/>
  <c r="AD77" i="5" s="1"/>
  <c r="W132" i="5"/>
  <c r="X132" i="5" s="1"/>
  <c r="Y132" i="5" s="1"/>
  <c r="AB132" i="5" s="1"/>
  <c r="AC132" i="5" s="1"/>
  <c r="AD132" i="5" s="1"/>
  <c r="W11" i="5"/>
  <c r="X11" i="5" s="1"/>
  <c r="Y11" i="5" s="1"/>
  <c r="AB11" i="5" s="1"/>
  <c r="AC11" i="5" s="1"/>
  <c r="AD11" i="5" s="1"/>
  <c r="W92" i="5"/>
  <c r="X92" i="5" s="1"/>
  <c r="Y92" i="5" s="1"/>
  <c r="AB92" i="5" s="1"/>
  <c r="AC92" i="5" s="1"/>
  <c r="AD92" i="5" s="1"/>
  <c r="W106" i="5"/>
  <c r="X106" i="5" s="1"/>
  <c r="Y106" i="5" s="1"/>
  <c r="AB106" i="5" s="1"/>
  <c r="AC106" i="5" s="1"/>
  <c r="AD106" i="5" s="1"/>
  <c r="Z135" i="5"/>
  <c r="AF135" i="5" s="1"/>
  <c r="U102" i="5"/>
  <c r="Z80" i="5"/>
  <c r="AF80" i="5" s="1"/>
  <c r="Z136" i="5"/>
  <c r="AF136" i="5" s="1"/>
  <c r="U96" i="5"/>
  <c r="U116" i="5"/>
  <c r="Z58" i="5"/>
  <c r="AF58" i="5" s="1"/>
  <c r="T34" i="5"/>
  <c r="U34" i="5" s="1"/>
  <c r="Z60" i="5"/>
  <c r="AF60" i="5" s="1"/>
  <c r="U44" i="5"/>
  <c r="Z78" i="5"/>
  <c r="AF78" i="5" s="1"/>
  <c r="U75" i="5"/>
  <c r="U43" i="5"/>
  <c r="U128" i="5"/>
  <c r="Z103" i="5"/>
  <c r="AF103" i="5" s="1"/>
  <c r="U39" i="5"/>
  <c r="U63" i="5"/>
  <c r="V58" i="5"/>
  <c r="U114" i="5"/>
  <c r="V56" i="5"/>
  <c r="U126" i="5"/>
  <c r="U64" i="5"/>
  <c r="Z84" i="5"/>
  <c r="AF84" i="5" s="1"/>
  <c r="Z23" i="5"/>
  <c r="AF23" i="5" s="1"/>
  <c r="Z56" i="5"/>
  <c r="AF56" i="5" s="1"/>
  <c r="Z129" i="5"/>
  <c r="AF129" i="5" s="1"/>
  <c r="Z115" i="5"/>
  <c r="AF115" i="5" s="1"/>
  <c r="U101" i="5"/>
  <c r="V16" i="5"/>
  <c r="U113" i="5"/>
  <c r="U133" i="5"/>
  <c r="U88" i="5"/>
  <c r="Z107" i="5"/>
  <c r="AF107" i="5" s="1"/>
  <c r="U72" i="5"/>
  <c r="V28" i="5"/>
  <c r="Z131" i="5"/>
  <c r="AF131" i="5" s="1"/>
  <c r="U17" i="5"/>
  <c r="Z92" i="5"/>
  <c r="AF92" i="5" s="1"/>
  <c r="U105" i="5"/>
  <c r="V77" i="5"/>
  <c r="U51" i="5"/>
  <c r="U62" i="5"/>
  <c r="U46" i="5"/>
  <c r="Z106" i="5"/>
  <c r="AF106" i="5" s="1"/>
  <c r="Z123" i="5"/>
  <c r="AF123" i="5" s="1"/>
  <c r="U26" i="5"/>
  <c r="Z11" i="5"/>
  <c r="U139" i="5"/>
  <c r="U25" i="5"/>
  <c r="Z21" i="5"/>
  <c r="AF21" i="5" s="1"/>
  <c r="V42" i="5"/>
  <c r="V125" i="5"/>
  <c r="V55" i="5"/>
  <c r="V13" i="5"/>
  <c r="U8" i="5"/>
  <c r="U130" i="5"/>
  <c r="U112" i="5"/>
  <c r="V87" i="5"/>
  <c r="V20" i="5"/>
  <c r="U54" i="5"/>
  <c r="U134" i="5"/>
  <c r="U29" i="5"/>
  <c r="U12" i="5"/>
  <c r="U35" i="5"/>
  <c r="Z13" i="5"/>
  <c r="AF13" i="5" s="1"/>
  <c r="U119" i="5"/>
  <c r="Z125" i="5"/>
  <c r="AF125" i="5" s="1"/>
  <c r="U122" i="5"/>
  <c r="Z94" i="5"/>
  <c r="AF94" i="5" s="1"/>
  <c r="U68" i="5"/>
  <c r="U121" i="5"/>
  <c r="Z42" i="5"/>
  <c r="AF42" i="5" s="1"/>
  <c r="U53" i="5"/>
  <c r="U124" i="5"/>
  <c r="V137" i="5"/>
  <c r="U24" i="5"/>
  <c r="Z76" i="5"/>
  <c r="AF76" i="5" s="1"/>
  <c r="Z87" i="5"/>
  <c r="AF87" i="5" s="1"/>
  <c r="U69" i="5"/>
  <c r="Z118" i="5"/>
  <c r="AF118" i="5" s="1"/>
  <c r="U18" i="5"/>
  <c r="U127" i="5"/>
  <c r="V110" i="5"/>
  <c r="Z132" i="5"/>
  <c r="AF132" i="5" s="1"/>
  <c r="U111" i="5"/>
  <c r="Z117" i="5"/>
  <c r="AF117" i="5" s="1"/>
  <c r="Z45" i="5"/>
  <c r="AF45" i="5" s="1"/>
  <c r="Z108" i="5"/>
  <c r="AF108" i="5" s="1"/>
  <c r="V6" i="5"/>
  <c r="U73" i="5"/>
  <c r="Z100" i="5"/>
  <c r="AF100" i="5" s="1"/>
  <c r="U89" i="5"/>
  <c r="Z99" i="5"/>
  <c r="AF99" i="5" s="1"/>
  <c r="Z65" i="5"/>
  <c r="AF65" i="5" s="1"/>
  <c r="V21" i="5"/>
  <c r="U33" i="5"/>
  <c r="Z19" i="5"/>
  <c r="AF19" i="5" s="1"/>
  <c r="U61" i="5"/>
  <c r="Z77" i="5"/>
  <c r="AF77" i="5" s="1"/>
  <c r="U27" i="5"/>
  <c r="V136" i="5"/>
  <c r="Z22" i="5"/>
  <c r="AF22" i="5" s="1"/>
  <c r="U66" i="5"/>
  <c r="Z28" i="5"/>
  <c r="AF28" i="5" s="1"/>
  <c r="U93" i="5"/>
  <c r="AA7" i="5"/>
  <c r="AA8" i="5"/>
  <c r="Z83" i="5"/>
  <c r="AF83" i="5" s="1"/>
  <c r="Z59" i="5"/>
  <c r="AF59" i="5" s="1"/>
  <c r="U109" i="5"/>
  <c r="U98" i="5"/>
  <c r="Z79" i="5"/>
  <c r="AF79" i="5" s="1"/>
  <c r="U41" i="5"/>
  <c r="V22" i="5"/>
  <c r="Z37" i="5"/>
  <c r="AF37" i="5" s="1"/>
  <c r="Z67" i="5"/>
  <c r="AF67" i="5" s="1"/>
  <c r="U90" i="5"/>
  <c r="Z14" i="5"/>
  <c r="AF14" i="5" s="1"/>
  <c r="U138" i="5"/>
  <c r="U7" i="5"/>
  <c r="U47" i="5"/>
  <c r="U38" i="5"/>
  <c r="U70" i="5"/>
  <c r="V49" i="5"/>
  <c r="U81" i="5"/>
  <c r="U30" i="5"/>
  <c r="U104" i="5"/>
  <c r="U71" i="5"/>
  <c r="U15" i="5"/>
  <c r="U86" i="5"/>
  <c r="U40" i="5"/>
  <c r="Z50" i="5"/>
  <c r="AF50" i="5" s="1"/>
  <c r="U82" i="5"/>
  <c r="Z120" i="5"/>
  <c r="AF120" i="5" s="1"/>
  <c r="U74" i="5"/>
  <c r="U9" i="5"/>
  <c r="U48" i="5"/>
  <c r="Z57" i="5"/>
  <c r="AF57" i="5" s="1"/>
  <c r="Z110" i="5"/>
  <c r="AF110" i="5" s="1"/>
  <c r="Z95" i="5"/>
  <c r="AF95" i="5" s="1"/>
  <c r="U10" i="5"/>
  <c r="V118" i="5"/>
  <c r="V59" i="5"/>
  <c r="V57" i="5"/>
  <c r="V95" i="5"/>
  <c r="V97" i="5"/>
  <c r="V45" i="5"/>
  <c r="Z97" i="5"/>
  <c r="AF97" i="5" s="1"/>
  <c r="Z137" i="5"/>
  <c r="AF137" i="5" s="1"/>
  <c r="Z20" i="5"/>
  <c r="AF20" i="5" s="1"/>
  <c r="V8" i="5"/>
  <c r="W85" i="5"/>
  <c r="X85" i="5" s="1"/>
  <c r="Y85" i="5" s="1"/>
  <c r="AB85" i="5" s="1"/>
  <c r="AC85" i="5" s="1"/>
  <c r="AD85" i="5" s="1"/>
  <c r="W52" i="5"/>
  <c r="X52" i="5" s="1"/>
  <c r="Y52" i="5" s="1"/>
  <c r="AB52" i="5" s="1"/>
  <c r="V85" i="5"/>
  <c r="V52" i="5"/>
  <c r="V132" i="5"/>
  <c r="AA9" i="5"/>
  <c r="V60" i="5"/>
  <c r="V107" i="5"/>
  <c r="V67" i="5"/>
  <c r="V92" i="5"/>
  <c r="V94" i="5"/>
  <c r="X94" i="5"/>
  <c r="Y94" i="5" s="1"/>
  <c r="AB94" i="5" s="1"/>
  <c r="AC94" i="5" s="1"/>
  <c r="AD94" i="5" s="1"/>
  <c r="V84" i="5"/>
  <c r="V36" i="5"/>
  <c r="X36" i="5"/>
  <c r="Y36" i="5" s="1"/>
  <c r="AB36" i="5" s="1"/>
  <c r="AC36" i="5" s="1"/>
  <c r="AD36" i="5" s="1"/>
  <c r="V11" i="5"/>
  <c r="V76" i="5"/>
  <c r="V117" i="5"/>
  <c r="X31" i="5"/>
  <c r="Y31" i="5" s="1"/>
  <c r="AB31" i="5" s="1"/>
  <c r="AC31" i="5" s="1"/>
  <c r="AD31" i="5" s="1"/>
  <c r="V31" i="5"/>
  <c r="V106" i="5"/>
  <c r="V80" i="5"/>
  <c r="V37" i="5"/>
  <c r="X37" i="5"/>
  <c r="Y37" i="5" s="1"/>
  <c r="AB37" i="5" s="1"/>
  <c r="AC37" i="5" s="1"/>
  <c r="AD37" i="5" s="1"/>
  <c r="V14" i="5"/>
  <c r="V108" i="5"/>
  <c r="V129" i="5"/>
  <c r="V19" i="5"/>
  <c r="V103" i="5"/>
  <c r="V23" i="5"/>
  <c r="V120" i="5"/>
  <c r="V123" i="5"/>
  <c r="V100" i="5"/>
  <c r="V115" i="5"/>
  <c r="V83" i="5"/>
  <c r="AA10" i="5"/>
  <c r="V79" i="5"/>
  <c r="V99" i="5"/>
  <c r="V65" i="5"/>
  <c r="V50" i="5"/>
  <c r="V78" i="5"/>
  <c r="X78" i="5"/>
  <c r="Y78" i="5" s="1"/>
  <c r="AB78" i="5" s="1"/>
  <c r="AC78" i="5" s="1"/>
  <c r="AD78" i="5" s="1"/>
  <c r="V135" i="5"/>
  <c r="V131" i="5"/>
  <c r="AB100" i="5" l="1"/>
  <c r="AC100" i="5" s="1"/>
  <c r="AD100" i="5" s="1"/>
  <c r="AD6" i="5"/>
  <c r="W40" i="5"/>
  <c r="X40" i="5" s="1"/>
  <c r="Y40" i="5" s="1"/>
  <c r="AB40" i="5" s="1"/>
  <c r="AC40" i="5" s="1"/>
  <c r="AD40" i="5" s="1"/>
  <c r="V70" i="5"/>
  <c r="W46" i="5"/>
  <c r="X46" i="5" s="1"/>
  <c r="Y46" i="5" s="1"/>
  <c r="AB46" i="5" s="1"/>
  <c r="AC46" i="5" s="1"/>
  <c r="AD46" i="5" s="1"/>
  <c r="W114" i="5"/>
  <c r="X114" i="5" s="1"/>
  <c r="Y114" i="5" s="1"/>
  <c r="AB114" i="5" s="1"/>
  <c r="AC114" i="5" s="1"/>
  <c r="AD114" i="5" s="1"/>
  <c r="W32" i="5"/>
  <c r="X32" i="5" s="1"/>
  <c r="Y32" i="5" s="1"/>
  <c r="AB32" i="5" s="1"/>
  <c r="AC32" i="5" s="1"/>
  <c r="AD32" i="5" s="1"/>
  <c r="W61" i="5"/>
  <c r="X61" i="5" s="1"/>
  <c r="Y61" i="5" s="1"/>
  <c r="AB61" i="5" s="1"/>
  <c r="AC61" i="5" s="1"/>
  <c r="AD61" i="5" s="1"/>
  <c r="W124" i="5"/>
  <c r="X124" i="5" s="1"/>
  <c r="Y124" i="5" s="1"/>
  <c r="AB124" i="5" s="1"/>
  <c r="AC124" i="5" s="1"/>
  <c r="AD124" i="5" s="1"/>
  <c r="W102" i="5"/>
  <c r="X102" i="5" s="1"/>
  <c r="Y102" i="5" s="1"/>
  <c r="AB102" i="5" s="1"/>
  <c r="AC102" i="5" s="1"/>
  <c r="AD102" i="5" s="1"/>
  <c r="W48" i="5"/>
  <c r="X48" i="5" s="1"/>
  <c r="Y48" i="5" s="1"/>
  <c r="AB48" i="5" s="1"/>
  <c r="AC48" i="5" s="1"/>
  <c r="AD48" i="5" s="1"/>
  <c r="W15" i="5"/>
  <c r="X15" i="5" s="1"/>
  <c r="Y15" i="5" s="1"/>
  <c r="AB15" i="5" s="1"/>
  <c r="AC15" i="5" s="1"/>
  <c r="AD15" i="5" s="1"/>
  <c r="V47" i="5"/>
  <c r="W41" i="5"/>
  <c r="X41" i="5" s="1"/>
  <c r="Y41" i="5" s="1"/>
  <c r="AB41" i="5" s="1"/>
  <c r="AC41" i="5" s="1"/>
  <c r="AD41" i="5" s="1"/>
  <c r="V93" i="5"/>
  <c r="V18" i="5"/>
  <c r="W53" i="5"/>
  <c r="X53" i="5" s="1"/>
  <c r="Y53" i="5" s="1"/>
  <c r="AB53" i="5" s="1"/>
  <c r="AC53" i="5" s="1"/>
  <c r="AD53" i="5" s="1"/>
  <c r="W112" i="5"/>
  <c r="X112" i="5" s="1"/>
  <c r="Y112" i="5" s="1"/>
  <c r="AB112" i="5" s="1"/>
  <c r="AC112" i="5" s="1"/>
  <c r="AD112" i="5" s="1"/>
  <c r="W25" i="5"/>
  <c r="X25" i="5" s="1"/>
  <c r="Y25" i="5" s="1"/>
  <c r="AB25" i="5" s="1"/>
  <c r="AC25" i="5" s="1"/>
  <c r="AD25" i="5" s="1"/>
  <c r="W51" i="5"/>
  <c r="X51" i="5" s="1"/>
  <c r="Y51" i="5" s="1"/>
  <c r="AB51" i="5" s="1"/>
  <c r="AC51" i="5" s="1"/>
  <c r="AD51" i="5" s="1"/>
  <c r="W63" i="5"/>
  <c r="X63" i="5" s="1"/>
  <c r="Y63" i="5" s="1"/>
  <c r="AB63" i="5" s="1"/>
  <c r="AC63" i="5" s="1"/>
  <c r="AD63" i="5" s="1"/>
  <c r="V62" i="5"/>
  <c r="W9" i="5"/>
  <c r="X9" i="5" s="1"/>
  <c r="Y9" i="5" s="1"/>
  <c r="AB9" i="5" s="1"/>
  <c r="AC9" i="5" s="1"/>
  <c r="AD9" i="5" s="1"/>
  <c r="V71" i="5"/>
  <c r="W7" i="5"/>
  <c r="X7" i="5" s="1"/>
  <c r="Y7" i="5" s="1"/>
  <c r="AB7" i="5" s="1"/>
  <c r="AC7" i="5" s="1"/>
  <c r="W33" i="5"/>
  <c r="X33" i="5" s="1"/>
  <c r="Y33" i="5" s="1"/>
  <c r="AB33" i="5" s="1"/>
  <c r="AC33" i="5" s="1"/>
  <c r="AD33" i="5" s="1"/>
  <c r="W35" i="5"/>
  <c r="X35" i="5" s="1"/>
  <c r="Y35" i="5" s="1"/>
  <c r="AB35" i="5" s="1"/>
  <c r="AC35" i="5" s="1"/>
  <c r="AD35" i="5" s="1"/>
  <c r="W130" i="5"/>
  <c r="X130" i="5" s="1"/>
  <c r="Y130" i="5" s="1"/>
  <c r="AB130" i="5" s="1"/>
  <c r="AC130" i="5" s="1"/>
  <c r="AD130" i="5" s="1"/>
  <c r="W139" i="5"/>
  <c r="X139" i="5" s="1"/>
  <c r="Y139" i="5" s="1"/>
  <c r="AB139" i="5" s="1"/>
  <c r="AC139" i="5" s="1"/>
  <c r="AD139" i="5" s="1"/>
  <c r="W88" i="5"/>
  <c r="X88" i="5" s="1"/>
  <c r="Y88" i="5" s="1"/>
  <c r="AB88" i="5" s="1"/>
  <c r="AC88" i="5" s="1"/>
  <c r="AD88" i="5" s="1"/>
  <c r="W39" i="5"/>
  <c r="X39" i="5" s="1"/>
  <c r="Y39" i="5" s="1"/>
  <c r="AB39" i="5" s="1"/>
  <c r="AC39" i="5" s="1"/>
  <c r="AD39" i="5" s="1"/>
  <c r="W86" i="5"/>
  <c r="X86" i="5" s="1"/>
  <c r="Y86" i="5" s="1"/>
  <c r="AB86" i="5" s="1"/>
  <c r="AC86" i="5" s="1"/>
  <c r="AD86" i="5" s="1"/>
  <c r="W73" i="5"/>
  <c r="X73" i="5" s="1"/>
  <c r="Y73" i="5" s="1"/>
  <c r="AB73" i="5" s="1"/>
  <c r="AC73" i="5" s="1"/>
  <c r="AD73" i="5" s="1"/>
  <c r="W119" i="5"/>
  <c r="X119" i="5" s="1"/>
  <c r="Y119" i="5" s="1"/>
  <c r="AB119" i="5" s="1"/>
  <c r="AC119" i="5" s="1"/>
  <c r="AD119" i="5" s="1"/>
  <c r="W72" i="5"/>
  <c r="X72" i="5" s="1"/>
  <c r="Y72" i="5" s="1"/>
  <c r="AB72" i="5" s="1"/>
  <c r="AC72" i="5" s="1"/>
  <c r="AD72" i="5" s="1"/>
  <c r="W44" i="5"/>
  <c r="X44" i="5" s="1"/>
  <c r="Y44" i="5" s="1"/>
  <c r="AB44" i="5" s="1"/>
  <c r="AC44" i="5" s="1"/>
  <c r="AD44" i="5" s="1"/>
  <c r="V102" i="5"/>
  <c r="W74" i="5"/>
  <c r="X74" i="5" s="1"/>
  <c r="Y74" i="5" s="1"/>
  <c r="AB74" i="5" s="1"/>
  <c r="AC74" i="5" s="1"/>
  <c r="AD74" i="5" s="1"/>
  <c r="W104" i="5"/>
  <c r="X104" i="5" s="1"/>
  <c r="Y104" i="5" s="1"/>
  <c r="AB104" i="5" s="1"/>
  <c r="AC104" i="5" s="1"/>
  <c r="AD104" i="5" s="1"/>
  <c r="W138" i="5"/>
  <c r="X138" i="5" s="1"/>
  <c r="Y138" i="5" s="1"/>
  <c r="AB138" i="5" s="1"/>
  <c r="AC138" i="5" s="1"/>
  <c r="AD138" i="5" s="1"/>
  <c r="W98" i="5"/>
  <c r="X98" i="5" s="1"/>
  <c r="Y98" i="5" s="1"/>
  <c r="AB98" i="5" s="1"/>
  <c r="AC98" i="5" s="1"/>
  <c r="AD98" i="5" s="1"/>
  <c r="W66" i="5"/>
  <c r="X66" i="5" s="1"/>
  <c r="Y66" i="5" s="1"/>
  <c r="AB66" i="5" s="1"/>
  <c r="AC66" i="5" s="1"/>
  <c r="AD66" i="5" s="1"/>
  <c r="W69" i="5"/>
  <c r="X69" i="5" s="1"/>
  <c r="Y69" i="5" s="1"/>
  <c r="AB69" i="5" s="1"/>
  <c r="AC69" i="5" s="1"/>
  <c r="AD69" i="5" s="1"/>
  <c r="W121" i="5"/>
  <c r="X121" i="5" s="1"/>
  <c r="Y121" i="5" s="1"/>
  <c r="AB121" i="5" s="1"/>
  <c r="AC121" i="5" s="1"/>
  <c r="AD121" i="5" s="1"/>
  <c r="V12" i="5"/>
  <c r="W8" i="5"/>
  <c r="X8" i="5" s="1"/>
  <c r="Y8" i="5" s="1"/>
  <c r="AB8" i="5" s="1"/>
  <c r="AC8" i="5" s="1"/>
  <c r="AD8" i="5" s="1"/>
  <c r="AA13" i="5"/>
  <c r="AF11" i="5"/>
  <c r="W105" i="5"/>
  <c r="X105" i="5" s="1"/>
  <c r="Y105" i="5" s="1"/>
  <c r="AB105" i="5" s="1"/>
  <c r="AC105" i="5" s="1"/>
  <c r="AD105" i="5" s="1"/>
  <c r="W133" i="5"/>
  <c r="X133" i="5" s="1"/>
  <c r="Y133" i="5" s="1"/>
  <c r="AB133" i="5" s="1"/>
  <c r="AC133" i="5" s="1"/>
  <c r="AD133" i="5" s="1"/>
  <c r="V38" i="5"/>
  <c r="W30" i="5"/>
  <c r="X30" i="5" s="1"/>
  <c r="Y30" i="5" s="1"/>
  <c r="AB30" i="5" s="1"/>
  <c r="AC30" i="5" s="1"/>
  <c r="AD30" i="5" s="1"/>
  <c r="W109" i="5"/>
  <c r="X109" i="5" s="1"/>
  <c r="Y109" i="5" s="1"/>
  <c r="AB109" i="5" s="1"/>
  <c r="AC109" i="5" s="1"/>
  <c r="AD109" i="5" s="1"/>
  <c r="W68" i="5"/>
  <c r="X68" i="5" s="1"/>
  <c r="Y68" i="5" s="1"/>
  <c r="AB68" i="5" s="1"/>
  <c r="AC68" i="5" s="1"/>
  <c r="AD68" i="5" s="1"/>
  <c r="W29" i="5"/>
  <c r="X29" i="5" s="1"/>
  <c r="Y29" i="5" s="1"/>
  <c r="AB29" i="5" s="1"/>
  <c r="AC29" i="5" s="1"/>
  <c r="AD29" i="5" s="1"/>
  <c r="W26" i="5"/>
  <c r="X26" i="5" s="1"/>
  <c r="Y26" i="5" s="1"/>
  <c r="AB26" i="5" s="1"/>
  <c r="AC26" i="5" s="1"/>
  <c r="AD26" i="5" s="1"/>
  <c r="W113" i="5"/>
  <c r="X113" i="5" s="1"/>
  <c r="Y113" i="5" s="1"/>
  <c r="AB113" i="5" s="1"/>
  <c r="AC113" i="5" s="1"/>
  <c r="AD113" i="5" s="1"/>
  <c r="W64" i="5"/>
  <c r="X64" i="5" s="1"/>
  <c r="Y64" i="5" s="1"/>
  <c r="AB64" i="5" s="1"/>
  <c r="AC64" i="5" s="1"/>
  <c r="AD64" i="5" s="1"/>
  <c r="W128" i="5"/>
  <c r="X128" i="5" s="1"/>
  <c r="Y128" i="5" s="1"/>
  <c r="AB128" i="5" s="1"/>
  <c r="AC128" i="5" s="1"/>
  <c r="AD128" i="5" s="1"/>
  <c r="W116" i="5"/>
  <c r="X116" i="5" s="1"/>
  <c r="Y116" i="5" s="1"/>
  <c r="AB116" i="5" s="1"/>
  <c r="AC116" i="5" s="1"/>
  <c r="AD116" i="5" s="1"/>
  <c r="W127" i="5"/>
  <c r="X127" i="5" s="1"/>
  <c r="Y127" i="5" s="1"/>
  <c r="AB127" i="5" s="1"/>
  <c r="AC127" i="5" s="1"/>
  <c r="AD127" i="5" s="1"/>
  <c r="W82" i="5"/>
  <c r="X82" i="5" s="1"/>
  <c r="Y82" i="5" s="1"/>
  <c r="AB82" i="5" s="1"/>
  <c r="AC82" i="5" s="1"/>
  <c r="AD82" i="5" s="1"/>
  <c r="V81" i="5"/>
  <c r="W90" i="5"/>
  <c r="X90" i="5" s="1"/>
  <c r="Y90" i="5" s="1"/>
  <c r="AB90" i="5" s="1"/>
  <c r="AC90" i="5" s="1"/>
  <c r="AD90" i="5" s="1"/>
  <c r="W111" i="5"/>
  <c r="X111" i="5" s="1"/>
  <c r="Y111" i="5" s="1"/>
  <c r="AB111" i="5" s="1"/>
  <c r="AC111" i="5" s="1"/>
  <c r="AD111" i="5" s="1"/>
  <c r="W134" i="5"/>
  <c r="X134" i="5" s="1"/>
  <c r="Y134" i="5" s="1"/>
  <c r="AB134" i="5" s="1"/>
  <c r="AC134" i="5" s="1"/>
  <c r="AD134" i="5" s="1"/>
  <c r="V17" i="5"/>
  <c r="V126" i="5"/>
  <c r="W43" i="5"/>
  <c r="X43" i="5" s="1"/>
  <c r="Y43" i="5" s="1"/>
  <c r="AB43" i="5" s="1"/>
  <c r="AC43" i="5" s="1"/>
  <c r="AD43" i="5" s="1"/>
  <c r="W96" i="5"/>
  <c r="X96" i="5" s="1"/>
  <c r="Y96" i="5" s="1"/>
  <c r="AB96" i="5" s="1"/>
  <c r="AC96" i="5" s="1"/>
  <c r="AD96" i="5" s="1"/>
  <c r="AC52" i="5"/>
  <c r="AD52" i="5" s="1"/>
  <c r="W27" i="5"/>
  <c r="X27" i="5" s="1"/>
  <c r="Y27" i="5" s="1"/>
  <c r="AB27" i="5" s="1"/>
  <c r="AC27" i="5" s="1"/>
  <c r="AD27" i="5" s="1"/>
  <c r="W89" i="5"/>
  <c r="X89" i="5" s="1"/>
  <c r="Y89" i="5" s="1"/>
  <c r="AB89" i="5" s="1"/>
  <c r="AC89" i="5" s="1"/>
  <c r="AD89" i="5" s="1"/>
  <c r="V24" i="5"/>
  <c r="W122" i="5"/>
  <c r="X122" i="5" s="1"/>
  <c r="Y122" i="5" s="1"/>
  <c r="AB122" i="5" s="1"/>
  <c r="AC122" i="5" s="1"/>
  <c r="AD122" i="5" s="1"/>
  <c r="W54" i="5"/>
  <c r="X54" i="5" s="1"/>
  <c r="Y54" i="5" s="1"/>
  <c r="AB54" i="5" s="1"/>
  <c r="AC54" i="5" s="1"/>
  <c r="AD54" i="5" s="1"/>
  <c r="V101" i="5"/>
  <c r="W75" i="5"/>
  <c r="X75" i="5" s="1"/>
  <c r="Y75" i="5" s="1"/>
  <c r="AB75" i="5" s="1"/>
  <c r="AC75" i="5" s="1"/>
  <c r="AD75" i="5" s="1"/>
  <c r="V128" i="5"/>
  <c r="V116" i="5"/>
  <c r="V96" i="5"/>
  <c r="V44" i="5"/>
  <c r="V75" i="5"/>
  <c r="W34" i="5"/>
  <c r="X34" i="5" s="1"/>
  <c r="Y34" i="5" s="1"/>
  <c r="AB34" i="5" s="1"/>
  <c r="AC34" i="5" s="1"/>
  <c r="AD34" i="5" s="1"/>
  <c r="V34" i="5"/>
  <c r="Z34" i="5"/>
  <c r="AA60" i="5" s="1"/>
  <c r="V43" i="5"/>
  <c r="V64" i="5"/>
  <c r="V39" i="5"/>
  <c r="V114" i="5"/>
  <c r="W126" i="5"/>
  <c r="X126" i="5" s="1"/>
  <c r="Y126" i="5" s="1"/>
  <c r="AB126" i="5" s="1"/>
  <c r="AC126" i="5" s="1"/>
  <c r="AD126" i="5" s="1"/>
  <c r="V63" i="5"/>
  <c r="V46" i="5"/>
  <c r="W101" i="5"/>
  <c r="X101" i="5" s="1"/>
  <c r="Y101" i="5" s="1"/>
  <c r="AB101" i="5" s="1"/>
  <c r="AC101" i="5" s="1"/>
  <c r="AD101" i="5" s="1"/>
  <c r="V124" i="5"/>
  <c r="V127" i="5"/>
  <c r="V113" i="5"/>
  <c r="V130" i="5"/>
  <c r="V35" i="5"/>
  <c r="V72" i="5"/>
  <c r="V133" i="5"/>
  <c r="V26" i="5"/>
  <c r="V139" i="5"/>
  <c r="V88" i="5"/>
  <c r="V105" i="5"/>
  <c r="W17" i="5"/>
  <c r="X17" i="5" s="1"/>
  <c r="Y17" i="5" s="1"/>
  <c r="AB17" i="5" s="1"/>
  <c r="AC17" i="5" s="1"/>
  <c r="AD17" i="5" s="1"/>
  <c r="V61" i="5"/>
  <c r="AA11" i="5"/>
  <c r="V53" i="5"/>
  <c r="V51" i="5"/>
  <c r="AA12" i="5"/>
  <c r="W70" i="5"/>
  <c r="X70" i="5" s="1"/>
  <c r="Y70" i="5" s="1"/>
  <c r="AB70" i="5" s="1"/>
  <c r="AC70" i="5" s="1"/>
  <c r="AD70" i="5" s="1"/>
  <c r="V9" i="5"/>
  <c r="W18" i="5"/>
  <c r="X18" i="5" s="1"/>
  <c r="Y18" i="5" s="1"/>
  <c r="AB18" i="5" s="1"/>
  <c r="AC18" i="5" s="1"/>
  <c r="AD18" i="5" s="1"/>
  <c r="W24" i="5"/>
  <c r="X24" i="5" s="1"/>
  <c r="Y24" i="5" s="1"/>
  <c r="AB24" i="5" s="1"/>
  <c r="AC24" i="5" s="1"/>
  <c r="AD24" i="5" s="1"/>
  <c r="V54" i="5"/>
  <c r="V40" i="5"/>
  <c r="V25" i="5"/>
  <c r="W62" i="5"/>
  <c r="X62" i="5" s="1"/>
  <c r="Y62" i="5" s="1"/>
  <c r="AB62" i="5" s="1"/>
  <c r="AC62" i="5" s="1"/>
  <c r="AD62" i="5" s="1"/>
  <c r="AA14" i="5"/>
  <c r="V112" i="5"/>
  <c r="V86" i="5"/>
  <c r="W38" i="5"/>
  <c r="X38" i="5" s="1"/>
  <c r="Y38" i="5" s="1"/>
  <c r="AB38" i="5" s="1"/>
  <c r="AC38" i="5" s="1"/>
  <c r="AD38" i="5" s="1"/>
  <c r="V73" i="5"/>
  <c r="V119" i="5"/>
  <c r="V122" i="5"/>
  <c r="V27" i="5"/>
  <c r="W12" i="5"/>
  <c r="X12" i="5" s="1"/>
  <c r="Y12" i="5" s="1"/>
  <c r="AB12" i="5" s="1"/>
  <c r="AC12" i="5" s="1"/>
  <c r="AD12" i="5" s="1"/>
  <c r="V29" i="5"/>
  <c r="V134" i="5"/>
  <c r="V68" i="5"/>
  <c r="V90" i="5"/>
  <c r="V89" i="5"/>
  <c r="V7" i="5"/>
  <c r="V74" i="5"/>
  <c r="V121" i="5"/>
  <c r="V33" i="5"/>
  <c r="V82" i="5"/>
  <c r="AA33" i="5"/>
  <c r="V48" i="5"/>
  <c r="V66" i="5"/>
  <c r="V109" i="5"/>
  <c r="V15" i="5"/>
  <c r="V111" i="5"/>
  <c r="V98" i="5"/>
  <c r="AA20" i="5"/>
  <c r="V69" i="5"/>
  <c r="AA26" i="5"/>
  <c r="W93" i="5"/>
  <c r="X93" i="5" s="1"/>
  <c r="Y93" i="5" s="1"/>
  <c r="AB93" i="5" s="1"/>
  <c r="AC93" i="5" s="1"/>
  <c r="AD93" i="5" s="1"/>
  <c r="V30" i="5"/>
  <c r="AA30" i="5"/>
  <c r="AA32" i="5"/>
  <c r="V41" i="5"/>
  <c r="AA27" i="5"/>
  <c r="AA17" i="5"/>
  <c r="W81" i="5"/>
  <c r="X81" i="5" s="1"/>
  <c r="Y81" i="5" s="1"/>
  <c r="AB81" i="5" s="1"/>
  <c r="AC81" i="5" s="1"/>
  <c r="AD81" i="5" s="1"/>
  <c r="W47" i="5"/>
  <c r="X47" i="5" s="1"/>
  <c r="Y47" i="5" s="1"/>
  <c r="AB47" i="5" s="1"/>
  <c r="AC47" i="5" s="1"/>
  <c r="AD47" i="5" s="1"/>
  <c r="V104" i="5"/>
  <c r="AA29" i="5"/>
  <c r="AA23" i="5"/>
  <c r="V138" i="5"/>
  <c r="AA16" i="5"/>
  <c r="AA22" i="5"/>
  <c r="AA19" i="5"/>
  <c r="AA18" i="5"/>
  <c r="W71" i="5"/>
  <c r="X71" i="5" s="1"/>
  <c r="Y71" i="5" s="1"/>
  <c r="AB71" i="5" s="1"/>
  <c r="AC71" i="5" s="1"/>
  <c r="AD71" i="5" s="1"/>
  <c r="W10" i="5"/>
  <c r="X10" i="5" s="1"/>
  <c r="Y10" i="5" s="1"/>
  <c r="AB10" i="5" s="1"/>
  <c r="AC10" i="5" s="1"/>
  <c r="AD10" i="5" s="1"/>
  <c r="V10" i="5"/>
  <c r="AA28" i="5"/>
  <c r="AA24" i="5"/>
  <c r="AA31" i="5"/>
  <c r="AA25" i="5"/>
  <c r="AA15" i="5"/>
  <c r="AA21" i="5"/>
  <c r="AA50" i="5" l="1"/>
  <c r="AA95" i="5"/>
  <c r="AA119" i="5"/>
  <c r="AA137" i="5"/>
  <c r="AA69" i="5"/>
  <c r="AA84" i="5"/>
  <c r="AA64" i="5"/>
  <c r="AA98" i="5"/>
  <c r="AA118" i="5"/>
  <c r="AA94" i="5"/>
  <c r="AA114" i="5"/>
  <c r="AA79" i="5"/>
  <c r="AA42" i="5"/>
  <c r="AA75" i="5"/>
  <c r="AA77" i="5"/>
  <c r="AA76" i="5"/>
  <c r="AA104" i="5"/>
  <c r="AA112" i="5"/>
  <c r="AA43" i="5"/>
  <c r="AA101" i="5"/>
  <c r="AA115" i="5"/>
  <c r="AA139" i="5"/>
  <c r="AA49" i="5"/>
  <c r="AA111" i="5"/>
  <c r="AA66" i="5"/>
  <c r="AA65" i="5"/>
  <c r="AA58" i="5"/>
  <c r="AA90" i="5"/>
  <c r="AA113" i="5"/>
  <c r="AA71" i="5"/>
  <c r="AA128" i="5"/>
  <c r="AA51" i="5"/>
  <c r="AA55" i="5"/>
  <c r="AA54" i="5"/>
  <c r="AA126" i="5"/>
  <c r="AA68" i="5"/>
  <c r="AA80" i="5"/>
  <c r="AA36" i="5"/>
  <c r="AA129" i="5"/>
  <c r="AA34" i="5"/>
  <c r="AA81" i="5"/>
  <c r="AA97" i="5"/>
  <c r="AA136" i="5"/>
  <c r="AA87" i="5"/>
  <c r="AA116" i="5"/>
  <c r="AA62" i="5"/>
  <c r="AA73" i="5"/>
  <c r="AA52" i="5"/>
  <c r="AD7" i="5"/>
  <c r="AC140" i="5"/>
  <c r="AA41" i="5"/>
  <c r="AF34" i="5"/>
  <c r="AA88" i="5"/>
  <c r="AA53" i="5"/>
  <c r="AA93" i="5"/>
  <c r="AA100" i="5"/>
  <c r="AA56" i="5"/>
  <c r="AA122" i="5"/>
  <c r="AA109" i="5"/>
  <c r="AA135" i="5"/>
  <c r="AA59" i="5"/>
  <c r="AA105" i="5"/>
  <c r="AA124" i="5"/>
  <c r="AA61" i="5"/>
  <c r="AA39" i="5"/>
  <c r="AA45" i="5"/>
  <c r="AA92" i="5"/>
  <c r="AA120" i="5"/>
  <c r="AA96" i="5"/>
  <c r="AA103" i="5"/>
  <c r="AA125" i="5"/>
  <c r="AA102" i="5"/>
  <c r="AA121" i="5"/>
  <c r="AA37" i="5"/>
  <c r="AA48" i="5"/>
  <c r="AA38" i="5"/>
  <c r="AA74" i="5"/>
  <c r="AA78" i="5"/>
  <c r="AA132" i="5"/>
  <c r="AA35" i="5"/>
  <c r="AA82" i="5"/>
  <c r="AA86" i="5"/>
  <c r="AA72" i="5"/>
  <c r="AA106" i="5"/>
  <c r="AA67" i="5"/>
  <c r="AA108" i="5"/>
  <c r="AA138" i="5"/>
  <c r="AA47" i="5"/>
  <c r="AA63" i="5"/>
  <c r="AA44" i="5"/>
  <c r="AA110" i="5"/>
  <c r="AA123" i="5"/>
  <c r="AA91" i="5"/>
  <c r="AA46" i="5"/>
  <c r="AA131" i="5"/>
  <c r="AA57" i="5"/>
  <c r="AA40" i="5"/>
  <c r="AA83" i="5"/>
  <c r="AA85" i="5"/>
  <c r="AA117" i="5"/>
  <c r="AA127" i="5"/>
  <c r="AA70" i="5"/>
  <c r="AA133" i="5"/>
  <c r="AA107" i="5"/>
  <c r="AA134" i="5"/>
  <c r="AA89" i="5"/>
  <c r="AA99" i="5"/>
  <c r="AA130" i="5"/>
  <c r="AD140" i="5" l="1"/>
  <c r="B34" i="4"/>
  <c r="B35" i="4" s="1"/>
  <c r="B36" i="4" s="1"/>
  <c r="B37" i="4" s="1"/>
  <c r="B42" i="4" s="1"/>
  <c r="B43" i="4" s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E34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5" i="2"/>
  <c r="E36" i="2"/>
  <c r="E9" i="2"/>
  <c r="D36" i="2" l="1"/>
  <c r="I28" i="1"/>
  <c r="H27" i="1"/>
  <c r="E53" i="1"/>
  <c r="E54" i="1"/>
  <c r="E52" i="1"/>
  <c r="C59" i="1"/>
  <c r="C58" i="1"/>
  <c r="E55" i="1"/>
  <c r="E51" i="1"/>
  <c r="C46" i="1"/>
  <c r="C47" i="1" s="1"/>
  <c r="C35" i="1"/>
  <c r="C37" i="1" s="1"/>
  <c r="C38" i="1" s="1"/>
  <c r="C32" i="1"/>
  <c r="C27" i="1"/>
  <c r="C26" i="1"/>
  <c r="C20" i="1"/>
  <c r="C12" i="1"/>
  <c r="C69" i="1" l="1"/>
  <c r="H26" i="1"/>
  <c r="I27" i="1"/>
  <c r="E62" i="1"/>
  <c r="E61" i="1"/>
  <c r="F53" i="1"/>
  <c r="E63" i="1"/>
  <c r="C68" i="1"/>
  <c r="C70" i="1"/>
  <c r="F52" i="1"/>
  <c r="F54" i="1"/>
  <c r="S8" i="1" l="1"/>
  <c r="T8" i="1" s="1"/>
  <c r="S10" i="1"/>
  <c r="T10" i="1" s="1"/>
  <c r="S12" i="1"/>
  <c r="T12" i="1" s="1"/>
  <c r="S14" i="1"/>
  <c r="T14" i="1" s="1"/>
  <c r="S16" i="1"/>
  <c r="T16" i="1" s="1"/>
  <c r="S18" i="1"/>
  <c r="T18" i="1" s="1"/>
  <c r="S20" i="1"/>
  <c r="T20" i="1" s="1"/>
  <c r="S22" i="1"/>
  <c r="T22" i="1" s="1"/>
  <c r="S25" i="1"/>
  <c r="T25" i="1" s="1"/>
  <c r="S5" i="1"/>
  <c r="T5" i="1" s="1"/>
  <c r="S6" i="1"/>
  <c r="T6" i="1" s="1"/>
  <c r="S23" i="1"/>
  <c r="T23" i="1" s="1"/>
  <c r="S26" i="1"/>
  <c r="S7" i="1"/>
  <c r="T7" i="1" s="1"/>
  <c r="S9" i="1"/>
  <c r="T9" i="1" s="1"/>
  <c r="S11" i="1"/>
  <c r="T11" i="1" s="1"/>
  <c r="S13" i="1"/>
  <c r="T13" i="1" s="1"/>
  <c r="S15" i="1"/>
  <c r="T15" i="1" s="1"/>
  <c r="S17" i="1"/>
  <c r="T17" i="1" s="1"/>
  <c r="S19" i="1"/>
  <c r="T19" i="1" s="1"/>
  <c r="S21" i="1"/>
  <c r="T21" i="1" s="1"/>
  <c r="S27" i="1"/>
  <c r="S24" i="1"/>
  <c r="T24" i="1" s="1"/>
  <c r="S28" i="1"/>
  <c r="K7" i="1"/>
  <c r="L7" i="1" s="1"/>
  <c r="K15" i="1"/>
  <c r="L15" i="1" s="1"/>
  <c r="K23" i="1"/>
  <c r="L23" i="1" s="1"/>
  <c r="K8" i="1"/>
  <c r="L8" i="1" s="1"/>
  <c r="K16" i="1"/>
  <c r="L16" i="1" s="1"/>
  <c r="K24" i="1"/>
  <c r="L24" i="1" s="1"/>
  <c r="K9" i="1"/>
  <c r="K17" i="1"/>
  <c r="K25" i="1"/>
  <c r="K10" i="1"/>
  <c r="K18" i="1"/>
  <c r="L18" i="1" s="1"/>
  <c r="K26" i="1"/>
  <c r="K11" i="1"/>
  <c r="L11" i="1" s="1"/>
  <c r="K19" i="1"/>
  <c r="L19" i="1" s="1"/>
  <c r="K27" i="1"/>
  <c r="K14" i="1"/>
  <c r="L14" i="1" s="1"/>
  <c r="K20" i="1"/>
  <c r="L20" i="1" s="1"/>
  <c r="K21" i="1"/>
  <c r="L21" i="1" s="1"/>
  <c r="K22" i="1"/>
  <c r="L22" i="1" s="1"/>
  <c r="K28" i="1"/>
  <c r="K5" i="1"/>
  <c r="L5" i="1" s="1"/>
  <c r="K12" i="1"/>
  <c r="L12" i="1" s="1"/>
  <c r="K13" i="1"/>
  <c r="L13" i="1" s="1"/>
  <c r="K6" i="1"/>
  <c r="L6" i="1" s="1"/>
  <c r="O6" i="1"/>
  <c r="P6" i="1" s="1"/>
  <c r="O9" i="1"/>
  <c r="P9" i="1" s="1"/>
  <c r="O11" i="1"/>
  <c r="P11" i="1" s="1"/>
  <c r="O13" i="1"/>
  <c r="P13" i="1" s="1"/>
  <c r="O15" i="1"/>
  <c r="P15" i="1" s="1"/>
  <c r="O17" i="1"/>
  <c r="P17" i="1" s="1"/>
  <c r="O19" i="1"/>
  <c r="P19" i="1" s="1"/>
  <c r="O21" i="1"/>
  <c r="P21" i="1" s="1"/>
  <c r="O23" i="1"/>
  <c r="P23" i="1" s="1"/>
  <c r="O26" i="1"/>
  <c r="O7" i="1"/>
  <c r="P7" i="1" s="1"/>
  <c r="O5" i="1"/>
  <c r="P5" i="1" s="1"/>
  <c r="O8" i="1"/>
  <c r="P8" i="1" s="1"/>
  <c r="O14" i="1"/>
  <c r="P14" i="1" s="1"/>
  <c r="O18" i="1"/>
  <c r="P18" i="1" s="1"/>
  <c r="O10" i="1"/>
  <c r="P10" i="1" s="1"/>
  <c r="O12" i="1"/>
  <c r="P12" i="1" s="1"/>
  <c r="O16" i="1"/>
  <c r="P16" i="1" s="1"/>
  <c r="O22" i="1"/>
  <c r="P22" i="1" s="1"/>
  <c r="O28" i="1"/>
  <c r="O24" i="1"/>
  <c r="P24" i="1" s="1"/>
  <c r="O27" i="1"/>
  <c r="O25" i="1"/>
  <c r="P25" i="1" s="1"/>
  <c r="O20" i="1"/>
  <c r="P20" i="1" s="1"/>
  <c r="H25" i="1"/>
  <c r="I26" i="1"/>
  <c r="L17" i="1" l="1"/>
  <c r="T28" i="1"/>
  <c r="U28" i="1"/>
  <c r="V28" i="1" s="1"/>
  <c r="L27" i="1"/>
  <c r="M27" i="1"/>
  <c r="N27" i="1" s="1"/>
  <c r="L9" i="1"/>
  <c r="P27" i="1"/>
  <c r="Q27" i="1"/>
  <c r="R27" i="1" s="1"/>
  <c r="T27" i="1"/>
  <c r="U27" i="1"/>
  <c r="V27" i="1" s="1"/>
  <c r="T26" i="1"/>
  <c r="U26" i="1"/>
  <c r="V26" i="1" s="1"/>
  <c r="P28" i="1"/>
  <c r="Q28" i="1"/>
  <c r="R28" i="1" s="1"/>
  <c r="L28" i="1"/>
  <c r="M28" i="1"/>
  <c r="N28" i="1" s="1"/>
  <c r="L26" i="1"/>
  <c r="M26" i="1"/>
  <c r="N26" i="1" s="1"/>
  <c r="P26" i="1"/>
  <c r="Q26" i="1"/>
  <c r="R26" i="1" s="1"/>
  <c r="L10" i="1"/>
  <c r="H24" i="1"/>
  <c r="I25" i="1"/>
  <c r="M25" i="1"/>
  <c r="U25" i="1"/>
  <c r="V25" i="1" s="1"/>
  <c r="Q25" i="1"/>
  <c r="R25" i="1" s="1"/>
  <c r="N25" i="1"/>
  <c r="L25" i="1"/>
  <c r="H23" i="1" l="1"/>
  <c r="M24" i="1"/>
  <c r="N24" i="1" s="1"/>
  <c r="Q24" i="1"/>
  <c r="R24" i="1" s="1"/>
  <c r="I24" i="1"/>
  <c r="U24" i="1"/>
  <c r="V24" i="1" s="1"/>
  <c r="H22" i="1" l="1"/>
  <c r="I23" i="1"/>
  <c r="M23" i="1"/>
  <c r="N23" i="1" s="1"/>
  <c r="Q23" i="1"/>
  <c r="R23" i="1" s="1"/>
  <c r="U23" i="1"/>
  <c r="V23" i="1" s="1"/>
  <c r="H21" i="1" l="1"/>
  <c r="I22" i="1"/>
  <c r="M22" i="1"/>
  <c r="N22" i="1" s="1"/>
  <c r="Q22" i="1"/>
  <c r="R22" i="1" s="1"/>
  <c r="U22" i="1"/>
  <c r="V22" i="1" s="1"/>
  <c r="H20" i="1" l="1"/>
  <c r="Q21" i="1"/>
  <c r="R21" i="1" s="1"/>
  <c r="M21" i="1"/>
  <c r="N21" i="1" s="1"/>
  <c r="I21" i="1"/>
  <c r="U21" i="1"/>
  <c r="V21" i="1" s="1"/>
  <c r="H19" i="1" l="1"/>
  <c r="I20" i="1"/>
  <c r="M20" i="1"/>
  <c r="N20" i="1" s="1"/>
  <c r="Q20" i="1"/>
  <c r="R20" i="1" s="1"/>
  <c r="U20" i="1"/>
  <c r="V20" i="1" s="1"/>
  <c r="H18" i="1" l="1"/>
  <c r="Q19" i="1"/>
  <c r="R19" i="1" s="1"/>
  <c r="I19" i="1"/>
  <c r="M19" i="1"/>
  <c r="N19" i="1" s="1"/>
  <c r="U19" i="1"/>
  <c r="V19" i="1" s="1"/>
  <c r="H17" i="1" l="1"/>
  <c r="I18" i="1"/>
  <c r="M18" i="1"/>
  <c r="N18" i="1" s="1"/>
  <c r="Q18" i="1"/>
  <c r="R18" i="1" s="1"/>
  <c r="U18" i="1"/>
  <c r="V18" i="1" s="1"/>
  <c r="H16" i="1" l="1"/>
  <c r="M17" i="1"/>
  <c r="N17" i="1" s="1"/>
  <c r="Q17" i="1"/>
  <c r="R17" i="1" s="1"/>
  <c r="I17" i="1"/>
  <c r="U17" i="1"/>
  <c r="V17" i="1" s="1"/>
  <c r="H15" i="1" l="1"/>
  <c r="M16" i="1"/>
  <c r="N16" i="1" s="1"/>
  <c r="I16" i="1"/>
  <c r="Q16" i="1"/>
  <c r="R16" i="1" s="1"/>
  <c r="U16" i="1"/>
  <c r="V16" i="1" s="1"/>
  <c r="H14" i="1" l="1"/>
  <c r="Q15" i="1"/>
  <c r="R15" i="1" s="1"/>
  <c r="I15" i="1"/>
  <c r="M15" i="1"/>
  <c r="N15" i="1" s="1"/>
  <c r="U15" i="1"/>
  <c r="V15" i="1" s="1"/>
  <c r="H13" i="1" l="1"/>
  <c r="Q14" i="1"/>
  <c r="R14" i="1" s="1"/>
  <c r="M14" i="1"/>
  <c r="N14" i="1" s="1"/>
  <c r="I14" i="1"/>
  <c r="U14" i="1"/>
  <c r="V14" i="1" s="1"/>
  <c r="H12" i="1" l="1"/>
  <c r="Q13" i="1"/>
  <c r="R13" i="1" s="1"/>
  <c r="M13" i="1"/>
  <c r="N13" i="1" s="1"/>
  <c r="I13" i="1"/>
  <c r="U13" i="1"/>
  <c r="V13" i="1" s="1"/>
  <c r="H11" i="1" l="1"/>
  <c r="I12" i="1"/>
  <c r="M12" i="1"/>
  <c r="N12" i="1" s="1"/>
  <c r="Q12" i="1"/>
  <c r="R12" i="1" s="1"/>
  <c r="U12" i="1"/>
  <c r="V12" i="1" s="1"/>
  <c r="H10" i="1" l="1"/>
  <c r="I11" i="1"/>
  <c r="Q11" i="1"/>
  <c r="R11" i="1" s="1"/>
  <c r="M11" i="1"/>
  <c r="N11" i="1" s="1"/>
  <c r="U11" i="1"/>
  <c r="V11" i="1" s="1"/>
  <c r="H9" i="1" l="1"/>
  <c r="M10" i="1"/>
  <c r="N10" i="1" s="1"/>
  <c r="Q10" i="1"/>
  <c r="R10" i="1" s="1"/>
  <c r="I10" i="1"/>
  <c r="U10" i="1"/>
  <c r="V10" i="1" s="1"/>
  <c r="H8" i="1" l="1"/>
  <c r="M9" i="1"/>
  <c r="N9" i="1" s="1"/>
  <c r="Q9" i="1"/>
  <c r="R9" i="1" s="1"/>
  <c r="I9" i="1"/>
  <c r="U9" i="1"/>
  <c r="V9" i="1" s="1"/>
  <c r="H7" i="1" l="1"/>
  <c r="M8" i="1"/>
  <c r="N8" i="1" s="1"/>
  <c r="I8" i="1"/>
  <c r="Q8" i="1"/>
  <c r="R8" i="1" s="1"/>
  <c r="U8" i="1"/>
  <c r="V8" i="1" s="1"/>
  <c r="H6" i="1" l="1"/>
  <c r="I7" i="1"/>
  <c r="Q7" i="1"/>
  <c r="R7" i="1" s="1"/>
  <c r="M7" i="1"/>
  <c r="N7" i="1" s="1"/>
  <c r="U7" i="1"/>
  <c r="V7" i="1" s="1"/>
  <c r="H5" i="1" l="1"/>
  <c r="I6" i="1"/>
  <c r="M6" i="1"/>
  <c r="N6" i="1" s="1"/>
  <c r="Q6" i="1"/>
  <c r="R6" i="1" s="1"/>
  <c r="U6" i="1"/>
  <c r="V6" i="1" s="1"/>
  <c r="I5" i="1" l="1"/>
  <c r="U5" i="1"/>
  <c r="V5" i="1" s="1"/>
  <c r="M5" i="1"/>
  <c r="N5" i="1" s="1"/>
  <c r="Q5" i="1"/>
  <c r="R5" i="1" s="1"/>
  <c r="J13" i="1"/>
  <c r="J14" i="1" s="1"/>
  <c r="J15" i="1" s="1"/>
  <c r="J16" i="1" s="1"/>
  <c r="J17" i="1" s="1"/>
  <c r="J18" i="1" s="1"/>
  <c r="J19" i="1" l="1"/>
  <c r="J20" i="1" s="1"/>
  <c r="J21" i="1" s="1"/>
  <c r="J22" i="1" s="1"/>
  <c r="J23" i="1" s="1"/>
  <c r="J25" i="1"/>
  <c r="J26" i="1" s="1"/>
  <c r="J27" i="1" s="1"/>
  <c r="J28" i="1" s="1"/>
  <c r="N39" i="1"/>
  <c r="N40" i="1"/>
  <c r="N41" i="1"/>
  <c r="N42" i="1"/>
  <c r="N43" i="1"/>
  <c r="N44" i="1"/>
  <c r="N45" i="1"/>
  <c r="N46" i="1"/>
  <c r="N47" i="1"/>
  <c r="N48" i="1"/>
  <c r="N4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tc={7C9B76C6-7D0E-D146-805D-757A8C9D965A}</author>
  </authors>
  <commentList>
    <comment ref="C5" authorId="0" shapeId="0" xr:uid="{7C9B76C6-7D0E-D146-805D-757A8C9D965A}">
      <text>
        <t>[Threaded comment]
Your version of Excel allows you to read this threaded comment; however, any edits to it will get removed if the file is opened in a newer version of Excel. Learn more: https://go.microsoft.com/fwlink/?linkid=870924
Comment:
    RR for field 0.1-0.35</t>
      </text>
    </comment>
  </commentList>
</comments>
</file>

<file path=xl/sharedStrings.xml><?xml version="1.0" encoding="utf-8"?>
<sst xmlns="http://schemas.openxmlformats.org/spreadsheetml/2006/main" count="436" uniqueCount="168">
  <si>
    <t>VEHICLE</t>
  </si>
  <si>
    <t>NAME</t>
  </si>
  <si>
    <t>ENGINE</t>
  </si>
  <si>
    <t>TRANSMISSION</t>
  </si>
  <si>
    <t>DRIVE</t>
  </si>
  <si>
    <t>DIFFERENTIAL</t>
  </si>
  <si>
    <t>Renegade DX10-C</t>
  </si>
  <si>
    <t>4-Stroke Petrol ICE</t>
  </si>
  <si>
    <t>Automatic CVT</t>
  </si>
  <si>
    <t>CVT Clutch</t>
  </si>
  <si>
    <t>Locked Rear Axle</t>
  </si>
  <si>
    <t>ENGINE SPECIFICATION</t>
  </si>
  <si>
    <t>VOLUME</t>
  </si>
  <si>
    <t>POWER</t>
  </si>
  <si>
    <t>TORQUE</t>
  </si>
  <si>
    <t>cc</t>
  </si>
  <si>
    <t>BHP @6500RPM</t>
  </si>
  <si>
    <t>NM</t>
  </si>
  <si>
    <t>Kw @5500RPM</t>
  </si>
  <si>
    <t>VEHICLE DIMENSIONS</t>
  </si>
  <si>
    <t>LENGTH</t>
  </si>
  <si>
    <t>WIDTH</t>
  </si>
  <si>
    <t>HEIGHT</t>
  </si>
  <si>
    <t>GROUND CLEARANCE</t>
  </si>
  <si>
    <t>C.o.G</t>
  </si>
  <si>
    <t>FRONTAL AREA</t>
  </si>
  <si>
    <t>"Very Low"</t>
  </si>
  <si>
    <t>m</t>
  </si>
  <si>
    <t>m²</t>
  </si>
  <si>
    <t>VEHICLE CHARACTERISTICS</t>
  </si>
  <si>
    <t>MAX VELOCITY</t>
  </si>
  <si>
    <t>FRONTAL AERO AREA</t>
  </si>
  <si>
    <t>COEFFICIENT OF DRAG</t>
  </si>
  <si>
    <t>ASSUMPTION</t>
  </si>
  <si>
    <t>mph</t>
  </si>
  <si>
    <t>m/s</t>
  </si>
  <si>
    <t>WHEEL DIMENSIONS</t>
  </si>
  <si>
    <t>FRONT WHEEL SIZE</t>
  </si>
  <si>
    <t>FRONT TYRE SIDE WALL</t>
  </si>
  <si>
    <t>REAR WHEEL SIZE</t>
  </si>
  <si>
    <t>REAR TYRE SIDE WALL</t>
  </si>
  <si>
    <t>ROLLING RADIUS</t>
  </si>
  <si>
    <t>ROLLING CIRCUMFERENCE</t>
  </si>
  <si>
    <t>in</t>
  </si>
  <si>
    <t>WEIGHT</t>
  </si>
  <si>
    <t>CURB WEIGHT</t>
  </si>
  <si>
    <t>DRIVER</t>
  </si>
  <si>
    <t>PASSENGER</t>
  </si>
  <si>
    <t>DRIVER KIT</t>
  </si>
  <si>
    <t>PASSENGER KIT</t>
  </si>
  <si>
    <t>FUEL</t>
  </si>
  <si>
    <t>TOTAL</t>
  </si>
  <si>
    <t>FUEL TANK</t>
  </si>
  <si>
    <t>l</t>
  </si>
  <si>
    <t>kg</t>
  </si>
  <si>
    <t>GEARING</t>
  </si>
  <si>
    <t>PRIMARY</t>
  </si>
  <si>
    <t>FIRST</t>
  </si>
  <si>
    <t>SECOND</t>
  </si>
  <si>
    <t>THIRD</t>
  </si>
  <si>
    <t>FINAL</t>
  </si>
  <si>
    <t>REDUCTION</t>
  </si>
  <si>
    <t>INPUT</t>
  </si>
  <si>
    <t>OUTPUT</t>
  </si>
  <si>
    <t>RATIO</t>
  </si>
  <si>
    <t>FINAL RATIO</t>
  </si>
  <si>
    <t>RPM</t>
  </si>
  <si>
    <t>φ</t>
  </si>
  <si>
    <t>REAR WHEEL TRAVEL</t>
  </si>
  <si>
    <t>SPROCKET ROTATION</t>
  </si>
  <si>
    <t>WHEEL TRAVEL (m)</t>
  </si>
  <si>
    <t>WHEEL TRAVEL</t>
  </si>
  <si>
    <t>INERTIA AND REDUCED MASSES</t>
  </si>
  <si>
    <t>ENGINE INERTIA</t>
  </si>
  <si>
    <t>WHEEL INERTIA</t>
  </si>
  <si>
    <t>kgm²</t>
  </si>
  <si>
    <t>ACCELERATION</t>
  </si>
  <si>
    <t>VELOCITY</t>
  </si>
  <si>
    <t>BHP</t>
  </si>
  <si>
    <t>W</t>
  </si>
  <si>
    <t>FORCE</t>
  </si>
  <si>
    <t>m/s²</t>
  </si>
  <si>
    <t>N</t>
  </si>
  <si>
    <t>STRAIGHT 1</t>
  </si>
  <si>
    <t>TURN 1</t>
  </si>
  <si>
    <t>TURN 2</t>
  </si>
  <si>
    <t>STRAIGHT 2</t>
  </si>
  <si>
    <t>TURN 3</t>
  </si>
  <si>
    <t>STRAIGHT 3</t>
  </si>
  <si>
    <t>TURN 4</t>
  </si>
  <si>
    <t>STRAIGHT 4</t>
  </si>
  <si>
    <t>TURN 5</t>
  </si>
  <si>
    <t>TURN 6</t>
  </si>
  <si>
    <t>STRAIGHT 5</t>
  </si>
  <si>
    <t>TURN 7</t>
  </si>
  <si>
    <t>STRAIGHT 6</t>
  </si>
  <si>
    <t>TURN 8</t>
  </si>
  <si>
    <t>STRAIGHT 7</t>
  </si>
  <si>
    <t>TURN 9</t>
  </si>
  <si>
    <t xml:space="preserve">STRAIGHT 8 </t>
  </si>
  <si>
    <t>TURN 10</t>
  </si>
  <si>
    <t>STRAIGHT 9</t>
  </si>
  <si>
    <t>TURN 11</t>
  </si>
  <si>
    <t>STRAIGHT 10</t>
  </si>
  <si>
    <t>TURN 12</t>
  </si>
  <si>
    <t>TURN 13</t>
  </si>
  <si>
    <t>STRAIGHT 11</t>
  </si>
  <si>
    <t>TURN 14</t>
  </si>
  <si>
    <t>STRAIGHT 12</t>
  </si>
  <si>
    <t>TURN 15</t>
  </si>
  <si>
    <t>STRAIGHT 13</t>
  </si>
  <si>
    <t>START</t>
  </si>
  <si>
    <t>SURFACE</t>
  </si>
  <si>
    <t>TARMAC</t>
  </si>
  <si>
    <t>GRAVEL</t>
  </si>
  <si>
    <t>MUD</t>
  </si>
  <si>
    <t>FINISH</t>
  </si>
  <si>
    <t>DISTANCE</t>
  </si>
  <si>
    <t>ROLLING RESISTANCE COEFFICIENTS</t>
  </si>
  <si>
    <t>TIME</t>
  </si>
  <si>
    <t>SECTOR</t>
  </si>
  <si>
    <t>GRADIENT</t>
  </si>
  <si>
    <t>TOTAL DISTANCE</t>
  </si>
  <si>
    <t>GEAR</t>
  </si>
  <si>
    <t>M/S</t>
  </si>
  <si>
    <t>M/S²</t>
  </si>
  <si>
    <t>ACCELERATION FORCE</t>
  </si>
  <si>
    <t>RR COEFFICIENT</t>
  </si>
  <si>
    <t>ROLLING DRAG</t>
  </si>
  <si>
    <t>AERO RESISTANCE</t>
  </si>
  <si>
    <t>GRADIENT RESISTANCE</t>
  </si>
  <si>
    <t>TOTAL RESISTANCE</t>
  </si>
  <si>
    <t>TOTAL RESISTIVE POWER</t>
  </si>
  <si>
    <t>Kw</t>
  </si>
  <si>
    <t>POWER REMAINING</t>
  </si>
  <si>
    <t>POWER REQ PER SECOND</t>
  </si>
  <si>
    <t>N/M</t>
  </si>
  <si>
    <t>CORRECTED TORQUE</t>
  </si>
  <si>
    <t>WD</t>
  </si>
  <si>
    <t>J</t>
  </si>
  <si>
    <t>CUMULATIVE WD</t>
  </si>
  <si>
    <t>FUEL CONSUMPTION</t>
  </si>
  <si>
    <t>G/KwH</t>
  </si>
  <si>
    <t>FUEL CONSUMTION</t>
  </si>
  <si>
    <t>G/S</t>
  </si>
  <si>
    <t>CO₂ PRODUCTION</t>
  </si>
  <si>
    <t>KE</t>
  </si>
  <si>
    <t>KJ</t>
  </si>
  <si>
    <t>TOTAL ENERGY</t>
  </si>
  <si>
    <t>STRAIGHT 8</t>
  </si>
  <si>
    <t>ELEVATION</t>
  </si>
  <si>
    <t>△ ELEVATION</t>
  </si>
  <si>
    <t>Brake Specific Fuel Consumption (g/kwh)</t>
  </si>
  <si>
    <t>Torque (N/m)</t>
  </si>
  <si>
    <t>Engine RPM</t>
  </si>
  <si>
    <t>s</t>
  </si>
  <si>
    <t>△ DISTANCE</t>
  </si>
  <si>
    <t>°</t>
  </si>
  <si>
    <t>PER LAP</t>
  </si>
  <si>
    <t>G</t>
  </si>
  <si>
    <t>KG</t>
  </si>
  <si>
    <t>L</t>
  </si>
  <si>
    <t>GALLON</t>
  </si>
  <si>
    <t>PER HOUR</t>
  </si>
  <si>
    <t>TOTAL LAPS</t>
  </si>
  <si>
    <t xml:space="preserve">KM </t>
  </si>
  <si>
    <t>Mi</t>
  </si>
  <si>
    <t>MPG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</si>
</sst>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&quot;m&quot;"/>
    <numFmt numFmtId="165" formatCode="0.000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0" tint="-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5">
    <xf numFmtId="0" fontId="0" fillId="0" borderId="0" xfId="0"/>
    <xf numFmtId="0" fontId="0" fillId="3" borderId="0" xfId="0" applyFill="1"/>
    <xf numFmtId="0" fontId="0" fillId="4" borderId="1" xfId="0" applyFill="1" applyBorder="1"/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right"/>
    </xf>
    <xf numFmtId="0" fontId="0" fillId="4" borderId="4" xfId="0" applyFill="1" applyBorder="1" applyAlignment="1">
      <alignment horizontal="right"/>
    </xf>
    <xf numFmtId="0" fontId="0" fillId="3" borderId="2" xfId="0" applyFill="1" applyBorder="1"/>
    <xf numFmtId="0" fontId="0" fillId="3" borderId="0" xfId="0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 applyAlignment="1"/>
    <xf numFmtId="0" fontId="0" fillId="3" borderId="9" xfId="0" applyFill="1" applyBorder="1" applyAlignment="1"/>
    <xf numFmtId="0" fontId="2" fillId="4" borderId="1" xfId="1" applyFont="1" applyFill="1" applyBorder="1" applyAlignment="1">
      <alignment horizontal="right" vertical="center"/>
    </xf>
    <xf numFmtId="0" fontId="0" fillId="3" borderId="12" xfId="0" applyFill="1" applyBorder="1"/>
    <xf numFmtId="0" fontId="0" fillId="3" borderId="3" xfId="0" applyFill="1" applyBorder="1"/>
    <xf numFmtId="0" fontId="0" fillId="3" borderId="17" xfId="0" applyFill="1" applyBorder="1"/>
    <xf numFmtId="0" fontId="0" fillId="3" borderId="18" xfId="0" applyFill="1" applyBorder="1"/>
    <xf numFmtId="0" fontId="0" fillId="3" borderId="19" xfId="0" applyFill="1" applyBorder="1"/>
    <xf numFmtId="0" fontId="0" fillId="3" borderId="20" xfId="0" applyFill="1" applyBorder="1"/>
    <xf numFmtId="0" fontId="0" fillId="4" borderId="1" xfId="0" applyFill="1" applyBorder="1" applyAlignment="1">
      <alignment horizontal="center"/>
    </xf>
    <xf numFmtId="164" fontId="0" fillId="3" borderId="8" xfId="0" applyNumberFormat="1" applyFill="1" applyBorder="1"/>
    <xf numFmtId="164" fontId="0" fillId="3" borderId="2" xfId="0" applyNumberFormat="1" applyFill="1" applyBorder="1"/>
    <xf numFmtId="164" fontId="0" fillId="3" borderId="6" xfId="0" applyNumberFormat="1" applyFill="1" applyBorder="1"/>
    <xf numFmtId="164" fontId="0" fillId="3" borderId="14" xfId="0" applyNumberFormat="1" applyFill="1" applyBorder="1"/>
    <xf numFmtId="164" fontId="0" fillId="3" borderId="16" xfId="0" applyNumberFormat="1" applyFill="1" applyBorder="1"/>
    <xf numFmtId="164" fontId="0" fillId="3" borderId="13" xfId="0" applyNumberFormat="1" applyFill="1" applyBorder="1"/>
    <xf numFmtId="0" fontId="0" fillId="3" borderId="26" xfId="0" applyFill="1" applyBorder="1"/>
    <xf numFmtId="164" fontId="0" fillId="3" borderId="27" xfId="0" applyNumberFormat="1" applyFill="1" applyBorder="1"/>
    <xf numFmtId="164" fontId="0" fillId="3" borderId="21" xfId="0" applyNumberFormat="1" applyFill="1" applyBorder="1"/>
    <xf numFmtId="0" fontId="0" fillId="3" borderId="28" xfId="0" applyFill="1" applyBorder="1"/>
    <xf numFmtId="164" fontId="0" fillId="3" borderId="29" xfId="0" applyNumberFormat="1" applyFill="1" applyBorder="1"/>
    <xf numFmtId="164" fontId="0" fillId="3" borderId="15" xfId="0" applyNumberFormat="1" applyFill="1" applyBorder="1"/>
    <xf numFmtId="165" fontId="0" fillId="3" borderId="1" xfId="0" applyNumberFormat="1" applyFill="1" applyBorder="1"/>
    <xf numFmtId="0" fontId="0" fillId="5" borderId="1" xfId="0" applyFill="1" applyBorder="1"/>
    <xf numFmtId="2" fontId="0" fillId="3" borderId="0" xfId="0" applyNumberFormat="1" applyFill="1" applyBorder="1"/>
    <xf numFmtId="165" fontId="0" fillId="3" borderId="0" xfId="0" applyNumberFormat="1" applyFill="1" applyBorder="1"/>
    <xf numFmtId="0" fontId="0" fillId="3" borderId="0" xfId="0" applyFill="1" applyAlignment="1">
      <alignment horizontal="center" vertical="center" wrapText="1"/>
    </xf>
    <xf numFmtId="0" fontId="0" fillId="4" borderId="21" xfId="0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25" xfId="0" applyFill="1" applyBorder="1"/>
    <xf numFmtId="0" fontId="0" fillId="4" borderId="13" xfId="0" applyFill="1" applyBorder="1"/>
    <xf numFmtId="0" fontId="0" fillId="4" borderId="16" xfId="0" applyFill="1" applyBorder="1"/>
    <xf numFmtId="0" fontId="0" fillId="4" borderId="24" xfId="0" applyFill="1" applyBorder="1"/>
    <xf numFmtId="164" fontId="0" fillId="4" borderId="25" xfId="0" applyNumberFormat="1" applyFill="1" applyBorder="1"/>
    <xf numFmtId="164" fontId="0" fillId="4" borderId="10" xfId="0" applyNumberFormat="1" applyFill="1" applyBorder="1"/>
    <xf numFmtId="0" fontId="0" fillId="3" borderId="30" xfId="0" applyFill="1" applyBorder="1" applyAlignment="1">
      <alignment horizontal="right"/>
    </xf>
    <xf numFmtId="164" fontId="0" fillId="3" borderId="31" xfId="0" applyNumberFormat="1" applyFill="1" applyBorder="1"/>
    <xf numFmtId="0" fontId="0" fillId="3" borderId="31" xfId="0" applyFill="1" applyBorder="1"/>
    <xf numFmtId="0" fontId="0" fillId="3" borderId="2" xfId="0" applyFill="1" applyBorder="1" applyAlignment="1">
      <alignment horizontal="center"/>
    </xf>
    <xf numFmtId="0" fontId="0" fillId="3" borderId="32" xfId="0" applyFill="1" applyBorder="1"/>
    <xf numFmtId="0" fontId="0" fillId="3" borderId="33" xfId="0" applyFill="1" applyBorder="1"/>
    <xf numFmtId="0" fontId="0" fillId="3" borderId="1" xfId="0" applyFill="1" applyBorder="1" applyAlignment="1">
      <alignment horizontal="center" vertical="center" wrapText="1"/>
    </xf>
    <xf numFmtId="2" fontId="0" fillId="3" borderId="1" xfId="0" applyNumberFormat="1" applyFill="1" applyBorder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/>
    <xf numFmtId="0" fontId="0" fillId="3" borderId="34" xfId="0" applyFill="1" applyBorder="1" applyAlignment="1"/>
    <xf numFmtId="0" fontId="0" fillId="3" borderId="34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3" borderId="0" xfId="0" applyFill="1" applyBorder="1" applyAlignment="1">
      <alignment wrapText="1"/>
    </xf>
    <xf numFmtId="0" fontId="0" fillId="3" borderId="0" xfId="0" applyFill="1" applyBorder="1" applyAlignment="1">
      <alignment horizontal="center"/>
    </xf>
    <xf numFmtId="0" fontId="4" fillId="3" borderId="0" xfId="0" applyFont="1" applyFill="1" applyBorder="1" applyAlignment="1">
      <alignment vertical="center" wrapText="1"/>
    </xf>
    <xf numFmtId="0" fontId="0" fillId="4" borderId="1" xfId="0" applyFill="1" applyBorder="1" applyAlignment="1"/>
    <xf numFmtId="2" fontId="0" fillId="3" borderId="1" xfId="0" applyNumberFormat="1" applyFill="1" applyBorder="1" applyAlignment="1"/>
    <xf numFmtId="2" fontId="0" fillId="3" borderId="0" xfId="0" applyNumberFormat="1" applyFill="1"/>
    <xf numFmtId="2" fontId="0" fillId="3" borderId="0" xfId="0" applyNumberFormat="1" applyFill="1" applyBorder="1" applyAlignment="1">
      <alignment horizontal="center"/>
    </xf>
    <xf numFmtId="2" fontId="0" fillId="4" borderId="1" xfId="0" applyNumberFormat="1" applyFill="1" applyBorder="1" applyAlignment="1"/>
    <xf numFmtId="2" fontId="0" fillId="4" borderId="1" xfId="0" applyNumberFormat="1" applyFill="1" applyBorder="1"/>
    <xf numFmtId="1" fontId="0" fillId="3" borderId="1" xfId="0" applyNumberFormat="1" applyFill="1" applyBorder="1"/>
    <xf numFmtId="2" fontId="0" fillId="4" borderId="1" xfId="0" applyNumberFormat="1" applyFill="1" applyBorder="1" applyAlignment="1">
      <alignment horizontal="center"/>
    </xf>
    <xf numFmtId="0" fontId="0" fillId="3" borderId="4" xfId="0" applyFill="1" applyBorder="1"/>
    <xf numFmtId="0" fontId="0" fillId="3" borderId="4" xfId="0" applyFill="1" applyBorder="1" applyAlignment="1">
      <alignment horizontal="center" vertical="center" wrapText="1"/>
    </xf>
    <xf numFmtId="2" fontId="0" fillId="3" borderId="4" xfId="0" applyNumberFormat="1" applyFill="1" applyBorder="1"/>
    <xf numFmtId="165" fontId="0" fillId="3" borderId="4" xfId="0" applyNumberFormat="1" applyFill="1" applyBorder="1"/>
    <xf numFmtId="0" fontId="5" fillId="3" borderId="0" xfId="0" applyFont="1" applyFill="1"/>
    <xf numFmtId="0" fontId="5" fillId="3" borderId="0" xfId="0" applyFont="1" applyFill="1" applyBorder="1"/>
    <xf numFmtId="0" fontId="0" fillId="4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</cellXfs>
  <cellStyles count="2">
    <cellStyle name="60% - Accent5" xfId="1" builtinId="4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CHANGE</a:t>
            </a:r>
            <a:r>
              <a:rPr lang="en-GB" baseline="0"/>
              <a:t> IN ELEVATION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'DUTY CYCLE'!$F$4:$F$139</c:f>
              <c:numCache>
                <c:formatCode>0.00</c:formatCode>
                <c:ptCount val="136"/>
                <c:pt idx="0">
                  <c:v>5</c:v>
                </c:pt>
                <c:pt idx="1">
                  <c:v>5.0999999999999996</c:v>
                </c:pt>
                <c:pt idx="2">
                  <c:v>5.3</c:v>
                </c:pt>
                <c:pt idx="3">
                  <c:v>5.6</c:v>
                </c:pt>
                <c:pt idx="4">
                  <c:v>6</c:v>
                </c:pt>
                <c:pt idx="5">
                  <c:v>6.5</c:v>
                </c:pt>
                <c:pt idx="6">
                  <c:v>7.1</c:v>
                </c:pt>
                <c:pt idx="7">
                  <c:v>7.45</c:v>
                </c:pt>
                <c:pt idx="8">
                  <c:v>7.8</c:v>
                </c:pt>
                <c:pt idx="9">
                  <c:v>8.15</c:v>
                </c:pt>
                <c:pt idx="10">
                  <c:v>8.5</c:v>
                </c:pt>
                <c:pt idx="11">
                  <c:v>8.35</c:v>
                </c:pt>
                <c:pt idx="12">
                  <c:v>9.1999999999999993</c:v>
                </c:pt>
                <c:pt idx="13">
                  <c:v>9.5500000000000007</c:v>
                </c:pt>
                <c:pt idx="14">
                  <c:v>9.9</c:v>
                </c:pt>
                <c:pt idx="15">
                  <c:v>10.25</c:v>
                </c:pt>
                <c:pt idx="16">
                  <c:v>10.6</c:v>
                </c:pt>
                <c:pt idx="17">
                  <c:v>10.65</c:v>
                </c:pt>
                <c:pt idx="18">
                  <c:v>11.1</c:v>
                </c:pt>
                <c:pt idx="19">
                  <c:v>10.8</c:v>
                </c:pt>
                <c:pt idx="20">
                  <c:v>10.5</c:v>
                </c:pt>
                <c:pt idx="21">
                  <c:v>10.199999999999999</c:v>
                </c:pt>
                <c:pt idx="22">
                  <c:v>9.9</c:v>
                </c:pt>
                <c:pt idx="23">
                  <c:v>9.6</c:v>
                </c:pt>
                <c:pt idx="24">
                  <c:v>9.3000000000000007</c:v>
                </c:pt>
                <c:pt idx="25">
                  <c:v>9</c:v>
                </c:pt>
                <c:pt idx="26">
                  <c:v>8.6999999999999993</c:v>
                </c:pt>
                <c:pt idx="27">
                  <c:v>8.4</c:v>
                </c:pt>
                <c:pt idx="28">
                  <c:v>8.1</c:v>
                </c:pt>
                <c:pt idx="29">
                  <c:v>7.8</c:v>
                </c:pt>
                <c:pt idx="30">
                  <c:v>7.5</c:v>
                </c:pt>
                <c:pt idx="31">
                  <c:v>7.2</c:v>
                </c:pt>
                <c:pt idx="32">
                  <c:v>6.9</c:v>
                </c:pt>
                <c:pt idx="33">
                  <c:v>6.6</c:v>
                </c:pt>
                <c:pt idx="34">
                  <c:v>6.3</c:v>
                </c:pt>
                <c:pt idx="35">
                  <c:v>6</c:v>
                </c:pt>
                <c:pt idx="36">
                  <c:v>5.7</c:v>
                </c:pt>
                <c:pt idx="37">
                  <c:v>5.4</c:v>
                </c:pt>
                <c:pt idx="38">
                  <c:v>5.0999999999999996</c:v>
                </c:pt>
                <c:pt idx="39">
                  <c:v>4.8</c:v>
                </c:pt>
                <c:pt idx="40">
                  <c:v>4.5</c:v>
                </c:pt>
                <c:pt idx="41">
                  <c:v>4.2</c:v>
                </c:pt>
                <c:pt idx="42">
                  <c:v>3.9</c:v>
                </c:pt>
                <c:pt idx="43">
                  <c:v>3.6</c:v>
                </c:pt>
                <c:pt idx="44">
                  <c:v>3.3</c:v>
                </c:pt>
                <c:pt idx="45">
                  <c:v>3</c:v>
                </c:pt>
                <c:pt idx="46">
                  <c:v>2.7</c:v>
                </c:pt>
                <c:pt idx="47">
                  <c:v>2.4</c:v>
                </c:pt>
                <c:pt idx="48">
                  <c:v>2.1</c:v>
                </c:pt>
                <c:pt idx="49">
                  <c:v>1.8</c:v>
                </c:pt>
                <c:pt idx="50">
                  <c:v>1.5</c:v>
                </c:pt>
                <c:pt idx="51">
                  <c:v>1.2</c:v>
                </c:pt>
                <c:pt idx="52">
                  <c:v>0.9</c:v>
                </c:pt>
                <c:pt idx="53">
                  <c:v>0.6</c:v>
                </c:pt>
                <c:pt idx="54">
                  <c:v>0.3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0.2</c:v>
                </c:pt>
                <c:pt idx="71">
                  <c:v>0.4</c:v>
                </c:pt>
                <c:pt idx="72">
                  <c:v>0.6</c:v>
                </c:pt>
                <c:pt idx="73">
                  <c:v>0.8</c:v>
                </c:pt>
                <c:pt idx="74">
                  <c:v>1</c:v>
                </c:pt>
                <c:pt idx="75">
                  <c:v>1.2</c:v>
                </c:pt>
                <c:pt idx="76">
                  <c:v>1.4</c:v>
                </c:pt>
                <c:pt idx="77">
                  <c:v>1.6</c:v>
                </c:pt>
                <c:pt idx="78">
                  <c:v>1.8</c:v>
                </c:pt>
                <c:pt idx="79">
                  <c:v>2</c:v>
                </c:pt>
                <c:pt idx="80">
                  <c:v>2.2000000000000002</c:v>
                </c:pt>
                <c:pt idx="81">
                  <c:v>2.4</c:v>
                </c:pt>
                <c:pt idx="82">
                  <c:v>2.6</c:v>
                </c:pt>
                <c:pt idx="83">
                  <c:v>2.8</c:v>
                </c:pt>
                <c:pt idx="84">
                  <c:v>3</c:v>
                </c:pt>
                <c:pt idx="85">
                  <c:v>3.2</c:v>
                </c:pt>
                <c:pt idx="86">
                  <c:v>3.4</c:v>
                </c:pt>
                <c:pt idx="87">
                  <c:v>3.6</c:v>
                </c:pt>
                <c:pt idx="88">
                  <c:v>3.8</c:v>
                </c:pt>
                <c:pt idx="89">
                  <c:v>4</c:v>
                </c:pt>
                <c:pt idx="90">
                  <c:v>4.2</c:v>
                </c:pt>
                <c:pt idx="91">
                  <c:v>4.4000000000000004</c:v>
                </c:pt>
                <c:pt idx="92">
                  <c:v>4.5999999999999996</c:v>
                </c:pt>
                <c:pt idx="93">
                  <c:v>4.5999999999999996</c:v>
                </c:pt>
                <c:pt idx="94">
                  <c:v>4.5999999999999996</c:v>
                </c:pt>
                <c:pt idx="95">
                  <c:v>4.5999999999999996</c:v>
                </c:pt>
                <c:pt idx="96">
                  <c:v>4.5999999999999996</c:v>
                </c:pt>
                <c:pt idx="97">
                  <c:v>4.5999999999999996</c:v>
                </c:pt>
                <c:pt idx="98">
                  <c:v>4.9000000000000004</c:v>
                </c:pt>
                <c:pt idx="99">
                  <c:v>5.25</c:v>
                </c:pt>
                <c:pt idx="100">
                  <c:v>5.6</c:v>
                </c:pt>
                <c:pt idx="101">
                  <c:v>5.95</c:v>
                </c:pt>
                <c:pt idx="102">
                  <c:v>6.3</c:v>
                </c:pt>
                <c:pt idx="103">
                  <c:v>6.65</c:v>
                </c:pt>
                <c:pt idx="104">
                  <c:v>7</c:v>
                </c:pt>
                <c:pt idx="105">
                  <c:v>7.35</c:v>
                </c:pt>
                <c:pt idx="106">
                  <c:v>7.7</c:v>
                </c:pt>
                <c:pt idx="107">
                  <c:v>8.0500000000000007</c:v>
                </c:pt>
                <c:pt idx="108">
                  <c:v>8.4</c:v>
                </c:pt>
                <c:pt idx="109">
                  <c:v>8.75</c:v>
                </c:pt>
                <c:pt idx="110">
                  <c:v>9</c:v>
                </c:pt>
                <c:pt idx="111">
                  <c:v>8.5</c:v>
                </c:pt>
                <c:pt idx="112">
                  <c:v>8</c:v>
                </c:pt>
                <c:pt idx="113">
                  <c:v>7.5</c:v>
                </c:pt>
                <c:pt idx="114">
                  <c:v>7</c:v>
                </c:pt>
                <c:pt idx="115">
                  <c:v>6.5</c:v>
                </c:pt>
                <c:pt idx="116">
                  <c:v>6</c:v>
                </c:pt>
                <c:pt idx="117">
                  <c:v>5.5</c:v>
                </c:pt>
                <c:pt idx="118">
                  <c:v>5</c:v>
                </c:pt>
                <c:pt idx="119">
                  <c:v>4.5</c:v>
                </c:pt>
                <c:pt idx="120">
                  <c:v>4</c:v>
                </c:pt>
                <c:pt idx="121">
                  <c:v>3.5</c:v>
                </c:pt>
                <c:pt idx="122">
                  <c:v>3</c:v>
                </c:pt>
                <c:pt idx="123">
                  <c:v>2.5</c:v>
                </c:pt>
                <c:pt idx="124">
                  <c:v>2</c:v>
                </c:pt>
                <c:pt idx="125">
                  <c:v>1.5</c:v>
                </c:pt>
                <c:pt idx="126">
                  <c:v>1</c:v>
                </c:pt>
                <c:pt idx="127">
                  <c:v>0.5</c:v>
                </c:pt>
                <c:pt idx="128">
                  <c:v>0</c:v>
                </c:pt>
                <c:pt idx="129">
                  <c:v>0</c:v>
                </c:pt>
                <c:pt idx="130">
                  <c:v>0.2</c:v>
                </c:pt>
                <c:pt idx="131">
                  <c:v>0.6</c:v>
                </c:pt>
                <c:pt idx="132">
                  <c:v>1</c:v>
                </c:pt>
                <c:pt idx="133">
                  <c:v>1.4</c:v>
                </c:pt>
                <c:pt idx="134">
                  <c:v>1.8</c:v>
                </c:pt>
                <c:pt idx="135">
                  <c:v>2.2000000000000002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C5D-A046-A3EB-756C5AF218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9758304"/>
        <c:axId val="289759952"/>
      </c:scatterChart>
      <c:valAx>
        <c:axId val="289758304"/>
        <c:scaling>
          <c:orientation val="minMax"/>
          <c:max val="135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9759952"/>
        <c:crosses val="autoZero"/>
        <c:crossBetween val="midCat"/>
      </c:valAx>
      <c:valAx>
        <c:axId val="289759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ELEVATION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9758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REQUIRED PER SECOND (KW)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'DUTY CYCLE'!$W$4:$W$139</c:f>
              <c:numCache>
                <c:formatCode>General</c:formatCode>
                <c:ptCount val="136"/>
                <c:pt idx="0">
                  <c:v>0</c:v>
                </c:pt>
                <c:pt idx="1">
                  <c:v>1.4836390927197198</c:v>
                </c:pt>
                <c:pt idx="2">
                  <c:v>1.2259258678560596</c:v>
                </c:pt>
                <c:pt idx="3">
                  <c:v>2.5348513396219419</c:v>
                </c:pt>
                <c:pt idx="4">
                  <c:v>3.3065713554756786</c:v>
                </c:pt>
                <c:pt idx="5">
                  <c:v>4.7808085419833848</c:v>
                </c:pt>
                <c:pt idx="6">
                  <c:v>4.9751031204358114</c:v>
                </c:pt>
                <c:pt idx="7">
                  <c:v>4.368753383999195</c:v>
                </c:pt>
                <c:pt idx="8">
                  <c:v>5.0926295302806182</c:v>
                </c:pt>
                <c:pt idx="9">
                  <c:v>7.4301644546631991</c:v>
                </c:pt>
                <c:pt idx="10">
                  <c:v>6.2992743468505283</c:v>
                </c:pt>
                <c:pt idx="11">
                  <c:v>3.4153230017901088</c:v>
                </c:pt>
                <c:pt idx="12">
                  <c:v>5.3171687113178692</c:v>
                </c:pt>
                <c:pt idx="13">
                  <c:v>4.9153842095932934</c:v>
                </c:pt>
                <c:pt idx="14">
                  <c:v>5.1528358134861332</c:v>
                </c:pt>
                <c:pt idx="15">
                  <c:v>1.5244578207016943</c:v>
                </c:pt>
                <c:pt idx="16">
                  <c:v>2.0606506290757616</c:v>
                </c:pt>
                <c:pt idx="17">
                  <c:v>2.5208975039513537</c:v>
                </c:pt>
                <c:pt idx="18">
                  <c:v>4.8903925776411414</c:v>
                </c:pt>
                <c:pt idx="19">
                  <c:v>0.87322195085630872</c:v>
                </c:pt>
                <c:pt idx="20">
                  <c:v>1.0268922411468331</c:v>
                </c:pt>
                <c:pt idx="21">
                  <c:v>1.1836609972034962</c:v>
                </c:pt>
                <c:pt idx="22">
                  <c:v>8.5926008598167289</c:v>
                </c:pt>
                <c:pt idx="23">
                  <c:v>2.8083489572869693</c:v>
                </c:pt>
                <c:pt idx="24">
                  <c:v>3.0817400236360579</c:v>
                </c:pt>
                <c:pt idx="25">
                  <c:v>0.33457458042412819</c:v>
                </c:pt>
                <c:pt idx="26">
                  <c:v>0.33457458042412819</c:v>
                </c:pt>
                <c:pt idx="27">
                  <c:v>3.3623961545348235</c:v>
                </c:pt>
                <c:pt idx="28">
                  <c:v>0.21660009733775287</c:v>
                </c:pt>
                <c:pt idx="29">
                  <c:v>0.2166000973377476</c:v>
                </c:pt>
                <c:pt idx="30">
                  <c:v>6.9525499114563862</c:v>
                </c:pt>
                <c:pt idx="31">
                  <c:v>3.6400234165376766</c:v>
                </c:pt>
                <c:pt idx="32">
                  <c:v>10.170964697647516</c:v>
                </c:pt>
                <c:pt idx="33">
                  <c:v>0.88025311566733966</c:v>
                </c:pt>
                <c:pt idx="34">
                  <c:v>0.88025311566733466</c:v>
                </c:pt>
                <c:pt idx="35">
                  <c:v>1.1836609972034984</c:v>
                </c:pt>
                <c:pt idx="36">
                  <c:v>5.0859804753092632</c:v>
                </c:pt>
                <c:pt idx="37">
                  <c:v>0.64628214946469742</c:v>
                </c:pt>
                <c:pt idx="38">
                  <c:v>2.541879200333093</c:v>
                </c:pt>
                <c:pt idx="39">
                  <c:v>0.5490721081022788</c:v>
                </c:pt>
                <c:pt idx="40">
                  <c:v>2.8083489572869698</c:v>
                </c:pt>
                <c:pt idx="41">
                  <c:v>0.44528399896081688</c:v>
                </c:pt>
                <c:pt idx="42">
                  <c:v>3.0817400236360504</c:v>
                </c:pt>
                <c:pt idx="43">
                  <c:v>0.33457458042412347</c:v>
                </c:pt>
                <c:pt idx="44">
                  <c:v>0.33457458042412608</c:v>
                </c:pt>
                <c:pt idx="45">
                  <c:v>3.3623961545348178</c:v>
                </c:pt>
                <c:pt idx="46">
                  <c:v>0.2166000973377476</c:v>
                </c:pt>
                <c:pt idx="47">
                  <c:v>3.6506614878739954</c:v>
                </c:pt>
                <c:pt idx="48">
                  <c:v>9.1016411810943665E-2</c:v>
                </c:pt>
                <c:pt idx="49">
                  <c:v>3.9468804507545956</c:v>
                </c:pt>
                <c:pt idx="50">
                  <c:v>7.3745926010828802</c:v>
                </c:pt>
                <c:pt idx="51">
                  <c:v>6.9525499114563925</c:v>
                </c:pt>
                <c:pt idx="52">
                  <c:v>6.5028214707106953</c:v>
                </c:pt>
                <c:pt idx="53">
                  <c:v>9.2048492940586435</c:v>
                </c:pt>
                <c:pt idx="54">
                  <c:v>1.0268922411468342</c:v>
                </c:pt>
                <c:pt idx="55">
                  <c:v>0.88025311566734143</c:v>
                </c:pt>
                <c:pt idx="56">
                  <c:v>2.8522640002889372</c:v>
                </c:pt>
                <c:pt idx="57">
                  <c:v>0.84976137563403897</c:v>
                </c:pt>
                <c:pt idx="58">
                  <c:v>3.0123753270556439</c:v>
                </c:pt>
                <c:pt idx="59">
                  <c:v>1.2597340918591922</c:v>
                </c:pt>
                <c:pt idx="60">
                  <c:v>3.5367862633665639</c:v>
                </c:pt>
                <c:pt idx="61">
                  <c:v>1.3435691030302566</c:v>
                </c:pt>
                <c:pt idx="62">
                  <c:v>5.9292683812450386</c:v>
                </c:pt>
                <c:pt idx="63">
                  <c:v>1.5101098792644747</c:v>
                </c:pt>
                <c:pt idx="64">
                  <c:v>4.8881447936032343</c:v>
                </c:pt>
                <c:pt idx="65">
                  <c:v>1.6345118373554475</c:v>
                </c:pt>
                <c:pt idx="66">
                  <c:v>5.1821395519314057</c:v>
                </c:pt>
                <c:pt idx="67">
                  <c:v>5.4833910203056275</c:v>
                </c:pt>
                <c:pt idx="68">
                  <c:v>5.7922447563471255</c:v>
                </c:pt>
                <c:pt idx="69">
                  <c:v>5.0668042602491106</c:v>
                </c:pt>
                <c:pt idx="70">
                  <c:v>10.703328955179785</c:v>
                </c:pt>
                <c:pt idx="71">
                  <c:v>0.30769080446226965</c:v>
                </c:pt>
                <c:pt idx="72">
                  <c:v>2.2148361612764575</c:v>
                </c:pt>
                <c:pt idx="73">
                  <c:v>4.2945813273917199</c:v>
                </c:pt>
                <c:pt idx="74">
                  <c:v>5.0416972336857633</c:v>
                </c:pt>
                <c:pt idx="75">
                  <c:v>5.433397555328864</c:v>
                </c:pt>
                <c:pt idx="76">
                  <c:v>5.7139408829803244</c:v>
                </c:pt>
                <c:pt idx="77">
                  <c:v>6.0010461051123842</c:v>
                </c:pt>
                <c:pt idx="78">
                  <c:v>6.2950594667980191</c:v>
                </c:pt>
                <c:pt idx="79">
                  <c:v>2.878744862737844</c:v>
                </c:pt>
                <c:pt idx="80">
                  <c:v>6.5963270605867752</c:v>
                </c:pt>
                <c:pt idx="81">
                  <c:v>6.9051948653790749</c:v>
                </c:pt>
                <c:pt idx="82">
                  <c:v>7.2220087742144718</c:v>
                </c:pt>
                <c:pt idx="83">
                  <c:v>8.9517372700841467</c:v>
                </c:pt>
                <c:pt idx="84">
                  <c:v>8.9517372700841467</c:v>
                </c:pt>
                <c:pt idx="85">
                  <c:v>8.9517372700841467</c:v>
                </c:pt>
                <c:pt idx="86">
                  <c:v>8.9517372700841467</c:v>
                </c:pt>
                <c:pt idx="87">
                  <c:v>8.9517372700841467</c:v>
                </c:pt>
                <c:pt idx="88">
                  <c:v>8.9517372700841467</c:v>
                </c:pt>
                <c:pt idx="89">
                  <c:v>8.9517372700841467</c:v>
                </c:pt>
                <c:pt idx="90">
                  <c:v>8.9517372700841467</c:v>
                </c:pt>
                <c:pt idx="91">
                  <c:v>8.9517372700841467</c:v>
                </c:pt>
                <c:pt idx="92">
                  <c:v>8.9517372700841431</c:v>
                </c:pt>
                <c:pt idx="93">
                  <c:v>7.1498384840960965</c:v>
                </c:pt>
                <c:pt idx="94">
                  <c:v>1.1113919271316941</c:v>
                </c:pt>
                <c:pt idx="95">
                  <c:v>5.4682595538772096</c:v>
                </c:pt>
                <c:pt idx="96">
                  <c:v>3.1072302827824188</c:v>
                </c:pt>
                <c:pt idx="97">
                  <c:v>2.9428073671190313</c:v>
                </c:pt>
                <c:pt idx="98">
                  <c:v>8.9716462037006224</c:v>
                </c:pt>
                <c:pt idx="99">
                  <c:v>9.6080155289342102</c:v>
                </c:pt>
                <c:pt idx="100">
                  <c:v>9.9701986308632158</c:v>
                </c:pt>
                <c:pt idx="101">
                  <c:v>10.336065741831291</c:v>
                </c:pt>
                <c:pt idx="102">
                  <c:v>7.9521340458135503</c:v>
                </c:pt>
                <c:pt idx="103">
                  <c:v>5.3930497745092083</c:v>
                </c:pt>
                <c:pt idx="104">
                  <c:v>5.2215812082616244</c:v>
                </c:pt>
                <c:pt idx="105">
                  <c:v>9.9701986308632158</c:v>
                </c:pt>
                <c:pt idx="106">
                  <c:v>10.336065741831291</c:v>
                </c:pt>
                <c:pt idx="107">
                  <c:v>5.3930497745092083</c:v>
                </c:pt>
                <c:pt idx="108">
                  <c:v>5.2215812082616244</c:v>
                </c:pt>
                <c:pt idx="109">
                  <c:v>5.0536401299531155</c:v>
                </c:pt>
                <c:pt idx="110">
                  <c:v>9.0523471733484264</c:v>
                </c:pt>
                <c:pt idx="111">
                  <c:v>7.6102940792892682</c:v>
                </c:pt>
                <c:pt idx="112">
                  <c:v>6.8035874121305095</c:v>
                </c:pt>
                <c:pt idx="113">
                  <c:v>7.3320459445910062</c:v>
                </c:pt>
                <c:pt idx="114">
                  <c:v>7.8677997390143792</c:v>
                </c:pt>
                <c:pt idx="115">
                  <c:v>8.4111878109917146</c:v>
                </c:pt>
                <c:pt idx="116">
                  <c:v>8.9625505066390367</c:v>
                </c:pt>
                <c:pt idx="117">
                  <c:v>9.5222291907122703</c:v>
                </c:pt>
                <c:pt idx="118">
                  <c:v>5.4551879954025528</c:v>
                </c:pt>
                <c:pt idx="119">
                  <c:v>5.4551879954025528</c:v>
                </c:pt>
                <c:pt idx="120">
                  <c:v>1.1538314116443482</c:v>
                </c:pt>
                <c:pt idx="121">
                  <c:v>0.92783201162180695</c:v>
                </c:pt>
                <c:pt idx="122">
                  <c:v>0.70980723526926015</c:v>
                </c:pt>
                <c:pt idx="123">
                  <c:v>5.8295767186113476</c:v>
                </c:pt>
                <c:pt idx="124">
                  <c:v>6.484265344806456</c:v>
                </c:pt>
                <c:pt idx="125">
                  <c:v>7.3320459445910062</c:v>
                </c:pt>
                <c:pt idx="126">
                  <c:v>7.8677997390143792</c:v>
                </c:pt>
                <c:pt idx="127">
                  <c:v>8.4111878109917146</c:v>
                </c:pt>
                <c:pt idx="128">
                  <c:v>2.8354797594773884</c:v>
                </c:pt>
                <c:pt idx="129">
                  <c:v>1.7117040663852245</c:v>
                </c:pt>
                <c:pt idx="130">
                  <c:v>7.0335909646583774</c:v>
                </c:pt>
                <c:pt idx="131">
                  <c:v>8.459066371561855</c:v>
                </c:pt>
                <c:pt idx="132">
                  <c:v>4.2293435284397347</c:v>
                </c:pt>
                <c:pt idx="133">
                  <c:v>4.2293435284397329</c:v>
                </c:pt>
                <c:pt idx="134">
                  <c:v>4.2293435284397347</c:v>
                </c:pt>
                <c:pt idx="135">
                  <c:v>4.2293435284397347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FEF-AE40-BF87-2CE7ED31BA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9853536"/>
        <c:axId val="289855184"/>
      </c:scatterChart>
      <c:valAx>
        <c:axId val="289853536"/>
        <c:scaling>
          <c:orientation val="minMax"/>
          <c:max val="13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9855184"/>
        <c:crosses val="autoZero"/>
        <c:crossBetween val="midCat"/>
      </c:valAx>
      <c:valAx>
        <c:axId val="289855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REQUIREMENT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98535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'DUTY CYCLE'!$N$4:$N$139</c:f>
              <c:numCache>
                <c:formatCode>General</c:formatCode>
                <c:ptCount val="136"/>
                <c:pt idx="0">
                  <c:v>0</c:v>
                </c:pt>
                <c:pt idx="1">
                  <c:v>0.82363513790772214</c:v>
                </c:pt>
                <c:pt idx="2">
                  <c:v>0</c:v>
                </c:pt>
                <c:pt idx="3">
                  <c:v>0.54909009193848157</c:v>
                </c:pt>
                <c:pt idx="4">
                  <c:v>0.54909009193848135</c:v>
                </c:pt>
                <c:pt idx="5">
                  <c:v>0.82363513790772158</c:v>
                </c:pt>
                <c:pt idx="6">
                  <c:v>0.54909009193848135</c:v>
                </c:pt>
                <c:pt idx="7">
                  <c:v>0.71519414796375802</c:v>
                </c:pt>
                <c:pt idx="8">
                  <c:v>0.80556163958372995</c:v>
                </c:pt>
                <c:pt idx="9">
                  <c:v>1.2083424593755927</c:v>
                </c:pt>
                <c:pt idx="10">
                  <c:v>0.80556163958372728</c:v>
                </c:pt>
                <c:pt idx="11">
                  <c:v>-0.79856891701789756</c:v>
                </c:pt>
                <c:pt idx="12">
                  <c:v>0</c:v>
                </c:pt>
                <c:pt idx="13">
                  <c:v>0.52725128146365652</c:v>
                </c:pt>
                <c:pt idx="14">
                  <c:v>0.52725128146365652</c:v>
                </c:pt>
                <c:pt idx="15">
                  <c:v>-0.25593364590941547</c:v>
                </c:pt>
                <c:pt idx="16">
                  <c:v>-1.2083424593755918</c:v>
                </c:pt>
                <c:pt idx="17">
                  <c:v>0.40278081979186453</c:v>
                </c:pt>
                <c:pt idx="18">
                  <c:v>0.40278081979186275</c:v>
                </c:pt>
                <c:pt idx="19">
                  <c:v>0.40278081979186453</c:v>
                </c:pt>
                <c:pt idx="20">
                  <c:v>0.40278081979186364</c:v>
                </c:pt>
                <c:pt idx="21">
                  <c:v>0.40278081979186631</c:v>
                </c:pt>
                <c:pt idx="22">
                  <c:v>1.5593771321803054</c:v>
                </c:pt>
                <c:pt idx="23">
                  <c:v>0.52725128146365563</c:v>
                </c:pt>
                <c:pt idx="24">
                  <c:v>0.52725128146365563</c:v>
                </c:pt>
                <c:pt idx="25">
                  <c:v>0</c:v>
                </c:pt>
                <c:pt idx="26">
                  <c:v>0</c:v>
                </c:pt>
                <c:pt idx="27">
                  <c:v>0.52725128146365563</c:v>
                </c:pt>
                <c:pt idx="28">
                  <c:v>0</c:v>
                </c:pt>
                <c:pt idx="29">
                  <c:v>0</c:v>
                </c:pt>
                <c:pt idx="30">
                  <c:v>-1.0545025629273113</c:v>
                </c:pt>
                <c:pt idx="31">
                  <c:v>-0.52725128146365563</c:v>
                </c:pt>
                <c:pt idx="32">
                  <c:v>-1.9621579519721717</c:v>
                </c:pt>
                <c:pt idx="33">
                  <c:v>0</c:v>
                </c:pt>
                <c:pt idx="34">
                  <c:v>0</c:v>
                </c:pt>
                <c:pt idx="35">
                  <c:v>0.40278081979186631</c:v>
                </c:pt>
                <c:pt idx="36">
                  <c:v>1.0321258507166533</c:v>
                </c:pt>
                <c:pt idx="37">
                  <c:v>0</c:v>
                </c:pt>
                <c:pt idx="38">
                  <c:v>0.52725128146365208</c:v>
                </c:pt>
                <c:pt idx="39">
                  <c:v>0</c:v>
                </c:pt>
                <c:pt idx="40">
                  <c:v>0.52725128146365563</c:v>
                </c:pt>
                <c:pt idx="41">
                  <c:v>0</c:v>
                </c:pt>
                <c:pt idx="42">
                  <c:v>0.52725128146365563</c:v>
                </c:pt>
                <c:pt idx="43">
                  <c:v>0</c:v>
                </c:pt>
                <c:pt idx="44">
                  <c:v>0</c:v>
                </c:pt>
                <c:pt idx="45">
                  <c:v>0.52725128146365563</c:v>
                </c:pt>
                <c:pt idx="46">
                  <c:v>0</c:v>
                </c:pt>
                <c:pt idx="47">
                  <c:v>0.52725128146365385</c:v>
                </c:pt>
                <c:pt idx="48">
                  <c:v>0</c:v>
                </c:pt>
                <c:pt idx="49">
                  <c:v>0.52725128146365741</c:v>
                </c:pt>
                <c:pt idx="50">
                  <c:v>-1.0545025629273113</c:v>
                </c:pt>
                <c:pt idx="51">
                  <c:v>-1.0545025629273113</c:v>
                </c:pt>
                <c:pt idx="52">
                  <c:v>-1.0545025629273077</c:v>
                </c:pt>
                <c:pt idx="53">
                  <c:v>-1.8376874903003833</c:v>
                </c:pt>
                <c:pt idx="54">
                  <c:v>0.40278081979186364</c:v>
                </c:pt>
                <c:pt idx="55">
                  <c:v>0</c:v>
                </c:pt>
                <c:pt idx="56">
                  <c:v>0.40278081979186631</c:v>
                </c:pt>
                <c:pt idx="57">
                  <c:v>0</c:v>
                </c:pt>
                <c:pt idx="58">
                  <c:v>0.40278081979186453</c:v>
                </c:pt>
                <c:pt idx="59">
                  <c:v>0</c:v>
                </c:pt>
                <c:pt idx="60">
                  <c:v>0.40278081979186453</c:v>
                </c:pt>
                <c:pt idx="61">
                  <c:v>0</c:v>
                </c:pt>
                <c:pt idx="62">
                  <c:v>0.75381549259657632</c:v>
                </c:pt>
                <c:pt idx="63">
                  <c:v>0</c:v>
                </c:pt>
                <c:pt idx="64">
                  <c:v>0.52725128146365563</c:v>
                </c:pt>
                <c:pt idx="65">
                  <c:v>0</c:v>
                </c:pt>
                <c:pt idx="66">
                  <c:v>0.52725128146365563</c:v>
                </c:pt>
                <c:pt idx="67">
                  <c:v>0.52725128146365563</c:v>
                </c:pt>
                <c:pt idx="68">
                  <c:v>0.52725128146365385</c:v>
                </c:pt>
                <c:pt idx="69">
                  <c:v>-1.0545025629273095</c:v>
                </c:pt>
                <c:pt idx="70">
                  <c:v>-2.6138796951076166</c:v>
                </c:pt>
                <c:pt idx="71">
                  <c:v>-0.40278081979186631</c:v>
                </c:pt>
                <c:pt idx="72">
                  <c:v>0</c:v>
                </c:pt>
                <c:pt idx="73">
                  <c:v>0.40278081979186631</c:v>
                </c:pt>
                <c:pt idx="74">
                  <c:v>0.5048745692529959</c:v>
                </c:pt>
                <c:pt idx="75">
                  <c:v>0.52725128146365741</c:v>
                </c:pt>
                <c:pt idx="76">
                  <c:v>0.52725128146365208</c:v>
                </c:pt>
                <c:pt idx="77">
                  <c:v>0.52725128146365563</c:v>
                </c:pt>
                <c:pt idx="78">
                  <c:v>0.52725128146365563</c:v>
                </c:pt>
                <c:pt idx="79">
                  <c:v>0</c:v>
                </c:pt>
                <c:pt idx="80">
                  <c:v>0.52725128146365563</c:v>
                </c:pt>
                <c:pt idx="81">
                  <c:v>0.52725128146365385</c:v>
                </c:pt>
                <c:pt idx="82">
                  <c:v>0.52725128146365741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-2.1817294405392644</c:v>
                </c:pt>
                <c:pt idx="94">
                  <c:v>-1.20834245937559</c:v>
                </c:pt>
                <c:pt idx="95">
                  <c:v>0</c:v>
                </c:pt>
                <c:pt idx="96">
                  <c:v>-0.40278081979186453</c:v>
                </c:pt>
                <c:pt idx="97">
                  <c:v>-0.40278081979186453</c:v>
                </c:pt>
                <c:pt idx="98">
                  <c:v>0.40278081979186453</c:v>
                </c:pt>
                <c:pt idx="99">
                  <c:v>0.40278081979186453</c:v>
                </c:pt>
                <c:pt idx="100">
                  <c:v>0.4027808197918592</c:v>
                </c:pt>
                <c:pt idx="101">
                  <c:v>0.40278081979186631</c:v>
                </c:pt>
                <c:pt idx="102">
                  <c:v>0</c:v>
                </c:pt>
                <c:pt idx="103">
                  <c:v>-0.40278081979186631</c:v>
                </c:pt>
                <c:pt idx="104">
                  <c:v>-0.4027808197918592</c:v>
                </c:pt>
                <c:pt idx="105">
                  <c:v>0.4027808197918592</c:v>
                </c:pt>
                <c:pt idx="106">
                  <c:v>0.40278081979186631</c:v>
                </c:pt>
                <c:pt idx="107">
                  <c:v>-0.40278081979186631</c:v>
                </c:pt>
                <c:pt idx="108">
                  <c:v>-0.4027808197918592</c:v>
                </c:pt>
                <c:pt idx="109">
                  <c:v>-0.40278081979186453</c:v>
                </c:pt>
                <c:pt idx="110">
                  <c:v>0.40278081979186453</c:v>
                </c:pt>
                <c:pt idx="111">
                  <c:v>0.75381549259657632</c:v>
                </c:pt>
                <c:pt idx="112">
                  <c:v>0.52725128146365563</c:v>
                </c:pt>
                <c:pt idx="113">
                  <c:v>0.52725128146365563</c:v>
                </c:pt>
                <c:pt idx="114">
                  <c:v>0.52725128146365563</c:v>
                </c:pt>
                <c:pt idx="115">
                  <c:v>0.52725128146365385</c:v>
                </c:pt>
                <c:pt idx="116">
                  <c:v>0.52725128146365741</c:v>
                </c:pt>
                <c:pt idx="117">
                  <c:v>0.52725128146365385</c:v>
                </c:pt>
                <c:pt idx="118">
                  <c:v>0</c:v>
                </c:pt>
                <c:pt idx="119">
                  <c:v>0</c:v>
                </c:pt>
                <c:pt idx="120">
                  <c:v>-0.52725128146365385</c:v>
                </c:pt>
                <c:pt idx="121">
                  <c:v>-0.52725128146365741</c:v>
                </c:pt>
                <c:pt idx="122">
                  <c:v>-0.52725128146365385</c:v>
                </c:pt>
                <c:pt idx="123">
                  <c:v>-1.5300076974038177</c:v>
                </c:pt>
                <c:pt idx="124">
                  <c:v>0.47550513447650644</c:v>
                </c:pt>
                <c:pt idx="125">
                  <c:v>0.52725128146365563</c:v>
                </c:pt>
                <c:pt idx="126">
                  <c:v>0.52725128146365563</c:v>
                </c:pt>
                <c:pt idx="127">
                  <c:v>0.52725128146365385</c:v>
                </c:pt>
                <c:pt idx="128">
                  <c:v>0.52725128146365741</c:v>
                </c:pt>
                <c:pt idx="129">
                  <c:v>0</c:v>
                </c:pt>
                <c:pt idx="130">
                  <c:v>0.52725128146365385</c:v>
                </c:pt>
                <c:pt idx="131">
                  <c:v>0.52725128146365563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5E7-EA40-9559-F7DB67AB07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2778240"/>
        <c:axId val="392779920"/>
      </c:scatterChart>
      <c:valAx>
        <c:axId val="392778240"/>
        <c:scaling>
          <c:orientation val="minMax"/>
          <c:max val="13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779920"/>
        <c:crosses val="autoZero"/>
        <c:crossBetween val="midCat"/>
      </c:valAx>
      <c:valAx>
        <c:axId val="392779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(M/S²)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7782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FUEL</a:t>
            </a:r>
            <a:r>
              <a:rPr lang="en-GB" baseline="0"/>
              <a:t> CONSUMPTION VS TORQUE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31959979825211"/>
          <c:y val="0.17132381209057437"/>
          <c:w val="0.73542062446169076"/>
          <c:h val="0.57333753783964758"/>
        </c:manualLayout>
      </c:layout>
      <c:scatterChart>
        <c:scatterStyle val="smoothMarker"/>
        <c:varyColors val="0"/>
        <c:ser>
          <c:idx val="0"/>
          <c:order val="0"/>
          <c:tx>
            <c:v>TORQUE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'DUTY CYCLE'!$X$4:$X$139</c:f>
              <c:numCache>
                <c:formatCode>General</c:formatCode>
                <c:ptCount val="136"/>
                <c:pt idx="0">
                  <c:v>0</c:v>
                </c:pt>
                <c:pt idx="1">
                  <c:v>9.44513981482873</c:v>
                </c:pt>
                <c:pt idx="2">
                  <c:v>7.8044864693405422</c:v>
                </c:pt>
                <c:pt idx="3">
                  <c:v>12.103023621118345</c:v>
                </c:pt>
                <c:pt idx="4">
                  <c:v>12.630172221840548</c:v>
                </c:pt>
                <c:pt idx="5">
                  <c:v>14.047187287986697</c:v>
                </c:pt>
                <c:pt idx="6">
                  <c:v>12.668996064148359</c:v>
                </c:pt>
                <c:pt idx="7">
                  <c:v>13.90617392425834</c:v>
                </c:pt>
                <c:pt idx="8">
                  <c:v>13.894579938512873</c:v>
                </c:pt>
                <c:pt idx="9">
                  <c:v>16.694786836875458</c:v>
                </c:pt>
                <c:pt idx="10">
                  <c:v>12.663924002440826</c:v>
                </c:pt>
                <c:pt idx="11">
                  <c:v>10.035056085975617</c:v>
                </c:pt>
                <c:pt idx="12">
                  <c:v>15.623144929104036</c:v>
                </c:pt>
                <c:pt idx="13">
                  <c:v>13.41098904261637</c:v>
                </c:pt>
                <c:pt idx="14">
                  <c:v>13.12158865051625</c:v>
                </c:pt>
                <c:pt idx="15">
                  <c:v>3.0647368130497639</c:v>
                </c:pt>
                <c:pt idx="16">
                  <c:v>4.9194410040424676</c:v>
                </c:pt>
                <c:pt idx="17">
                  <c:v>5.6641877475088762</c:v>
                </c:pt>
                <c:pt idx="18">
                  <c:v>10.377735365220042</c:v>
                </c:pt>
                <c:pt idx="19">
                  <c:v>1.7555063986753219</c:v>
                </c:pt>
                <c:pt idx="20">
                  <c:v>1.9612197144147971</c:v>
                </c:pt>
                <c:pt idx="21">
                  <c:v>2.1529771274287834</c:v>
                </c:pt>
                <c:pt idx="22">
                  <c:v>17.274377695016874</c:v>
                </c:pt>
                <c:pt idx="23">
                  <c:v>5.3635514217502944</c:v>
                </c:pt>
                <c:pt idx="24">
                  <c:v>5.6054189495521491</c:v>
                </c:pt>
                <c:pt idx="25">
                  <c:v>0.60856226637025024</c:v>
                </c:pt>
                <c:pt idx="26">
                  <c:v>0.60856226637025024</c:v>
                </c:pt>
                <c:pt idx="27">
                  <c:v>5.8379123850261561</c:v>
                </c:pt>
                <c:pt idx="28">
                  <c:v>0.37606883089624427</c:v>
                </c:pt>
                <c:pt idx="29">
                  <c:v>0.37606883089623511</c:v>
                </c:pt>
                <c:pt idx="30">
                  <c:v>13.278392226016837</c:v>
                </c:pt>
                <c:pt idx="31">
                  <c:v>7.3178238279438359</c:v>
                </c:pt>
                <c:pt idx="32">
                  <c:v>19.425111691725203</c:v>
                </c:pt>
                <c:pt idx="33">
                  <c:v>1.6811596143659882</c:v>
                </c:pt>
                <c:pt idx="34">
                  <c:v>1.6811596143659786</c:v>
                </c:pt>
                <c:pt idx="35">
                  <c:v>2.1529771274287874</c:v>
                </c:pt>
                <c:pt idx="36">
                  <c:v>10.792785774857821</c:v>
                </c:pt>
                <c:pt idx="37">
                  <c:v>1.3714533162581561</c:v>
                </c:pt>
                <c:pt idx="38">
                  <c:v>5.1101386039008743</c:v>
                </c:pt>
                <c:pt idx="39">
                  <c:v>1.1038426120214551</c:v>
                </c:pt>
                <c:pt idx="40">
                  <c:v>5.3635514217502953</c:v>
                </c:pt>
                <c:pt idx="41">
                  <c:v>0.85042979417208464</c:v>
                </c:pt>
                <c:pt idx="42">
                  <c:v>5.6054189495521358</c:v>
                </c:pt>
                <c:pt idx="43">
                  <c:v>0.60856226637024158</c:v>
                </c:pt>
                <c:pt idx="44">
                  <c:v>0.60856226637024624</c:v>
                </c:pt>
                <c:pt idx="45">
                  <c:v>5.8379123850261463</c:v>
                </c:pt>
                <c:pt idx="46">
                  <c:v>0.37606883089623511</c:v>
                </c:pt>
                <c:pt idx="47">
                  <c:v>6.0628259619167961</c:v>
                </c:pt>
                <c:pt idx="48">
                  <c:v>0.15115525400555738</c:v>
                </c:pt>
                <c:pt idx="49">
                  <c:v>6.2816553353036184</c:v>
                </c:pt>
                <c:pt idx="50">
                  <c:v>12.804031262741001</c:v>
                </c:pt>
                <c:pt idx="51">
                  <c:v>13.27839222601685</c:v>
                </c:pt>
                <c:pt idx="52">
                  <c:v>13.799415748102877</c:v>
                </c:pt>
                <c:pt idx="53">
                  <c:v>18.505228617667914</c:v>
                </c:pt>
                <c:pt idx="54">
                  <c:v>1.9612197144147994</c:v>
                </c:pt>
                <c:pt idx="55">
                  <c:v>1.6811596143659917</c:v>
                </c:pt>
                <c:pt idx="56">
                  <c:v>5.188021881703401</c:v>
                </c:pt>
                <c:pt idx="57">
                  <c:v>1.5456425529225848</c:v>
                </c:pt>
                <c:pt idx="58">
                  <c:v>5.2301937136251349</c:v>
                </c:pt>
                <c:pt idx="59">
                  <c:v>2.1871953567356752</c:v>
                </c:pt>
                <c:pt idx="60">
                  <c:v>5.8737079979927227</c:v>
                </c:pt>
                <c:pt idx="61">
                  <c:v>2.2313286692119236</c:v>
                </c:pt>
                <c:pt idx="62">
                  <c:v>11.920072064761623</c:v>
                </c:pt>
                <c:pt idx="63">
                  <c:v>3.0358920239601654</c:v>
                </c:pt>
                <c:pt idx="64">
                  <c:v>9.3356688774104075</c:v>
                </c:pt>
                <c:pt idx="65">
                  <c:v>3.1216876614880262</c:v>
                </c:pt>
                <c:pt idx="66">
                  <c:v>9.4258642912217478</c:v>
                </c:pt>
                <c:pt idx="67">
                  <c:v>9.5204594813165695</c:v>
                </c:pt>
                <c:pt idx="68">
                  <c:v>9.619454447694844</c:v>
                </c:pt>
                <c:pt idx="69">
                  <c:v>9.2160793565453734</c:v>
                </c:pt>
                <c:pt idx="70">
                  <c:v>19.468430980062564</c:v>
                </c:pt>
                <c:pt idx="71">
                  <c:v>0.58764614968910422</c:v>
                </c:pt>
                <c:pt idx="72">
                  <c:v>4.2300254784699183</c:v>
                </c:pt>
                <c:pt idx="73">
                  <c:v>7.8114725344519504</c:v>
                </c:pt>
                <c:pt idx="74">
                  <c:v>11.328155806783396</c:v>
                </c:pt>
                <c:pt idx="75">
                  <c:v>11.53002771618678</c:v>
                </c:pt>
                <c:pt idx="76">
                  <c:v>11.487182350246583</c:v>
                </c:pt>
                <c:pt idx="77">
                  <c:v>11.46115381621202</c:v>
                </c:pt>
                <c:pt idx="78">
                  <c:v>11.450169499409553</c:v>
                </c:pt>
                <c:pt idx="79">
                  <c:v>5.2361882834871736</c:v>
                </c:pt>
                <c:pt idx="80">
                  <c:v>11.452778813926011</c:v>
                </c:pt>
                <c:pt idx="81">
                  <c:v>11.467783260916741</c:v>
                </c:pt>
                <c:pt idx="82">
                  <c:v>11.49418395469273</c:v>
                </c:pt>
                <c:pt idx="83">
                  <c:v>14.247132357938408</c:v>
                </c:pt>
                <c:pt idx="84">
                  <c:v>14.247132357938408</c:v>
                </c:pt>
                <c:pt idx="85">
                  <c:v>14.247132357938408</c:v>
                </c:pt>
                <c:pt idx="86">
                  <c:v>14.247132357938408</c:v>
                </c:pt>
                <c:pt idx="87">
                  <c:v>14.247132357938408</c:v>
                </c:pt>
                <c:pt idx="88">
                  <c:v>14.247132357938408</c:v>
                </c:pt>
                <c:pt idx="89">
                  <c:v>14.247132357938408</c:v>
                </c:pt>
                <c:pt idx="90">
                  <c:v>14.247132357938408</c:v>
                </c:pt>
                <c:pt idx="91">
                  <c:v>14.247132357938408</c:v>
                </c:pt>
                <c:pt idx="92">
                  <c:v>14.247132357938401</c:v>
                </c:pt>
                <c:pt idx="93">
                  <c:v>10.503988957408222</c:v>
                </c:pt>
                <c:pt idx="94">
                  <c:v>1.8457410669436867</c:v>
                </c:pt>
                <c:pt idx="95">
                  <c:v>9.0813969193986797</c:v>
                </c:pt>
                <c:pt idx="96">
                  <c:v>5.3948842781416344</c:v>
                </c:pt>
                <c:pt idx="97">
                  <c:v>5.3527124462198836</c:v>
                </c:pt>
                <c:pt idx="98">
                  <c:v>15.576892810806454</c:v>
                </c:pt>
                <c:pt idx="99">
                  <c:v>15.95648519721987</c:v>
                </c:pt>
                <c:pt idx="100">
                  <c:v>15.868063957099277</c:v>
                </c:pt>
                <c:pt idx="101">
                  <c:v>15.792345167378382</c:v>
                </c:pt>
                <c:pt idx="102">
                  <c:v>12.149965838597559</c:v>
                </c:pt>
                <c:pt idx="103">
                  <c:v>8.5833052995377201</c:v>
                </c:pt>
                <c:pt idx="104">
                  <c:v>8.6717265396583194</c:v>
                </c:pt>
                <c:pt idx="105">
                  <c:v>15.868063957099277</c:v>
                </c:pt>
                <c:pt idx="106">
                  <c:v>15.792345167378382</c:v>
                </c:pt>
                <c:pt idx="107">
                  <c:v>8.5833052995377201</c:v>
                </c:pt>
                <c:pt idx="108">
                  <c:v>8.6717265396583194</c:v>
                </c:pt>
                <c:pt idx="109">
                  <c:v>8.7743106249775291</c:v>
                </c:pt>
                <c:pt idx="110">
                  <c:v>15.033660513624502</c:v>
                </c:pt>
                <c:pt idx="111">
                  <c:v>15.299569529707851</c:v>
                </c:pt>
                <c:pt idx="112">
                  <c:v>12.993894808780402</c:v>
                </c:pt>
                <c:pt idx="113">
                  <c:v>13.336358343526214</c:v>
                </c:pt>
                <c:pt idx="114">
                  <c:v>13.660355124231957</c:v>
                </c:pt>
                <c:pt idx="115">
                  <c:v>13.96885687715092</c:v>
                </c:pt>
                <c:pt idx="116">
                  <c:v>14.264342158423736</c:v>
                </c:pt>
                <c:pt idx="117">
                  <c:v>14.548894511575643</c:v>
                </c:pt>
                <c:pt idx="118">
                  <c:v>8.3349132956532852</c:v>
                </c:pt>
                <c:pt idx="119">
                  <c:v>8.3349132956532852</c:v>
                </c:pt>
                <c:pt idx="120">
                  <c:v>1.836379726578975</c:v>
                </c:pt>
                <c:pt idx="121">
                  <c:v>1.5408944453061646</c:v>
                </c:pt>
                <c:pt idx="122">
                  <c:v>1.2323926923872146</c:v>
                </c:pt>
                <c:pt idx="123">
                  <c:v>8.9069371286441008</c:v>
                </c:pt>
                <c:pt idx="124">
                  <c:v>12.384034583345047</c:v>
                </c:pt>
                <c:pt idx="125">
                  <c:v>13.336358343526214</c:v>
                </c:pt>
                <c:pt idx="126">
                  <c:v>13.660355124231957</c:v>
                </c:pt>
                <c:pt idx="127">
                  <c:v>13.96885687715092</c:v>
                </c:pt>
                <c:pt idx="128">
                  <c:v>4.5128061975784481</c:v>
                </c:pt>
                <c:pt idx="129">
                  <c:v>2.7242616327570621</c:v>
                </c:pt>
                <c:pt idx="130">
                  <c:v>10.746535389233985</c:v>
                </c:pt>
                <c:pt idx="131">
                  <c:v>12.427405172090701</c:v>
                </c:pt>
                <c:pt idx="132">
                  <c:v>6.2134239561683238</c:v>
                </c:pt>
                <c:pt idx="133">
                  <c:v>6.2134239561683211</c:v>
                </c:pt>
                <c:pt idx="134">
                  <c:v>6.2134239561683238</c:v>
                </c:pt>
                <c:pt idx="135">
                  <c:v>6.2134239561683238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92F-9A4D-9A1A-A7A29C8A53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2711215"/>
        <c:axId val="1482712863"/>
      </c:scatterChart>
      <c:scatterChart>
        <c:scatterStyle val="smoothMarker"/>
        <c:varyColors val="0"/>
        <c:ser>
          <c:idx val="1"/>
          <c:order val="1"/>
          <c:tx>
            <c:v>FUEL CONSUMPTION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'DUTY CYCLE'!$AC$4:$AC$140</c:f>
              <c:numCache>
                <c:formatCode>General</c:formatCode>
                <c:ptCount val="137"/>
                <c:pt idx="0">
                  <c:v>0</c:v>
                </c:pt>
                <c:pt idx="1">
                  <c:v>0.26858727046850533</c:v>
                </c:pt>
                <c:pt idx="2">
                  <c:v>0.23160181309454853</c:v>
                </c:pt>
                <c:pt idx="3">
                  <c:v>0.44034362013351014</c:v>
                </c:pt>
                <c:pt idx="4">
                  <c:v>0.53676943060280369</c:v>
                </c:pt>
                <c:pt idx="5">
                  <c:v>0.72144007895289797</c:v>
                </c:pt>
                <c:pt idx="6">
                  <c:v>0.69857240232144835</c:v>
                </c:pt>
                <c:pt idx="7">
                  <c:v>0.67286858562769736</c:v>
                </c:pt>
                <c:pt idx="8">
                  <c:v>0.74082281901015667</c:v>
                </c:pt>
                <c:pt idx="9">
                  <c:v>1.0436088645607335</c:v>
                </c:pt>
                <c:pt idx="10">
                  <c:v>0.71576735350330389</c:v>
                </c:pt>
                <c:pt idx="11">
                  <c:v>0.53378388023939938</c:v>
                </c:pt>
                <c:pt idx="12">
                  <c:v>0.81668610410363462</c:v>
                </c:pt>
                <c:pt idx="13">
                  <c:v>0.71503901177517248</c:v>
                </c:pt>
                <c:pt idx="14">
                  <c:v>0.7510799643328917</c:v>
                </c:pt>
                <c:pt idx="15">
                  <c:v>0.30957433594783423</c:v>
                </c:pt>
                <c:pt idx="16">
                  <c:v>0.40530103094812631</c:v>
                </c:pt>
                <c:pt idx="17">
                  <c:v>0.43605139659566616</c:v>
                </c:pt>
                <c:pt idx="18">
                  <c:v>0.64178051361376776</c:v>
                </c:pt>
                <c:pt idx="19">
                  <c:v>0.21646537079045991</c:v>
                </c:pt>
                <c:pt idx="20">
                  <c:v>0.25135569099812943</c:v>
                </c:pt>
                <c:pt idx="21">
                  <c:v>0.25895678143267747</c:v>
                </c:pt>
                <c:pt idx="22">
                  <c:v>1.1943178358085533</c:v>
                </c:pt>
                <c:pt idx="23">
                  <c:v>0.42542117841795596</c:v>
                </c:pt>
                <c:pt idx="24">
                  <c:v>0.46043085737740014</c:v>
                </c:pt>
                <c:pt idx="25">
                  <c:v>8.920214091675184E-2</c:v>
                </c:pt>
                <c:pt idx="26">
                  <c:v>8.920214091675184E-2</c:v>
                </c:pt>
                <c:pt idx="27">
                  <c:v>0.49593664136109028</c:v>
                </c:pt>
                <c:pt idx="28">
                  <c:v>5.6428745755337774E-2</c:v>
                </c:pt>
                <c:pt idx="29">
                  <c:v>5.64287457553364E-2</c:v>
                </c:pt>
                <c:pt idx="30">
                  <c:v>0.69284180912121718</c:v>
                </c:pt>
                <c:pt idx="31">
                  <c:v>0.53005923099637753</c:v>
                </c:pt>
                <c:pt idx="32">
                  <c:v>1.4174296650278995</c:v>
                </c:pt>
                <c:pt idx="33">
                  <c:v>0.21546236428344334</c:v>
                </c:pt>
                <c:pt idx="34">
                  <c:v>0.21546236428344215</c:v>
                </c:pt>
                <c:pt idx="35">
                  <c:v>0.25895678143267797</c:v>
                </c:pt>
                <c:pt idx="36">
                  <c:v>0.66744808516947107</c:v>
                </c:pt>
                <c:pt idx="37">
                  <c:v>0.16157622782305306</c:v>
                </c:pt>
                <c:pt idx="38">
                  <c:v>0.42484750589998149</c:v>
                </c:pt>
                <c:pt idx="39">
                  <c:v>0.13611098227032228</c:v>
                </c:pt>
                <c:pt idx="40">
                  <c:v>0.42542117841795607</c:v>
                </c:pt>
                <c:pt idx="41">
                  <c:v>0.11964421873139826</c:v>
                </c:pt>
                <c:pt idx="42">
                  <c:v>0.46043085737739897</c:v>
                </c:pt>
                <c:pt idx="43">
                  <c:v>8.9202140916750591E-2</c:v>
                </c:pt>
                <c:pt idx="44">
                  <c:v>8.9202140916751285E-2</c:v>
                </c:pt>
                <c:pt idx="45">
                  <c:v>0.4959366413610895</c:v>
                </c:pt>
                <c:pt idx="46">
                  <c:v>5.64287457553364E-2</c:v>
                </c:pt>
                <c:pt idx="47">
                  <c:v>0.53841951918443365</c:v>
                </c:pt>
                <c:pt idx="48">
                  <c:v>2.4366454875390419E-2</c:v>
                </c:pt>
                <c:pt idx="49">
                  <c:v>0.64227026109211072</c:v>
                </c:pt>
                <c:pt idx="50">
                  <c:v>0.63092300242230726</c:v>
                </c:pt>
                <c:pt idx="51">
                  <c:v>0.69284180912121773</c:v>
                </c:pt>
                <c:pt idx="52">
                  <c:v>0.79693127043825485</c:v>
                </c:pt>
                <c:pt idx="53">
                  <c:v>1.304431578892604</c:v>
                </c:pt>
                <c:pt idx="54">
                  <c:v>0.25135569099812971</c:v>
                </c:pt>
                <c:pt idx="55">
                  <c:v>0.21546236428344379</c:v>
                </c:pt>
                <c:pt idx="56">
                  <c:v>0.4261457322964699</c:v>
                </c:pt>
                <c:pt idx="57">
                  <c:v>0.2062327352580903</c:v>
                </c:pt>
                <c:pt idx="58">
                  <c:v>0.44431031727303255</c:v>
                </c:pt>
                <c:pt idx="59">
                  <c:v>0.27532086612547779</c:v>
                </c:pt>
                <c:pt idx="60">
                  <c:v>0.54710389714004903</c:v>
                </c:pt>
                <c:pt idx="61">
                  <c:v>0.30330978089800026</c:v>
                </c:pt>
                <c:pt idx="62">
                  <c:v>0.75487622035401891</c:v>
                </c:pt>
                <c:pt idx="63">
                  <c:v>0.30666067419719217</c:v>
                </c:pt>
                <c:pt idx="64">
                  <c:v>0.55064076567386688</c:v>
                </c:pt>
                <c:pt idx="65">
                  <c:v>0.32576765292214455</c:v>
                </c:pt>
                <c:pt idx="66">
                  <c:v>0.57298865100667251</c:v>
                </c:pt>
                <c:pt idx="67">
                  <c:v>0.59539630758286965</c:v>
                </c:pt>
                <c:pt idx="68">
                  <c:v>0.67060478770654564</c:v>
                </c:pt>
                <c:pt idx="69">
                  <c:v>0.56023603936195743</c:v>
                </c:pt>
                <c:pt idx="70">
                  <c:v>1.4693753111266208</c:v>
                </c:pt>
                <c:pt idx="71">
                  <c:v>8.2674037236094594E-2</c:v>
                </c:pt>
                <c:pt idx="72">
                  <c:v>0.39370286742467969</c:v>
                </c:pt>
                <c:pt idx="73">
                  <c:v>0.53099151174186943</c:v>
                </c:pt>
                <c:pt idx="74">
                  <c:v>0.67129732085456395</c:v>
                </c:pt>
                <c:pt idx="75">
                  <c:v>0.70324263583283031</c:v>
                </c:pt>
                <c:pt idx="76">
                  <c:v>0.72746211163488839</c:v>
                </c:pt>
                <c:pt idx="77">
                  <c:v>0.53065412533744194</c:v>
                </c:pt>
                <c:pt idx="78">
                  <c:v>0.54356973428728972</c:v>
                </c:pt>
                <c:pt idx="79">
                  <c:v>0.43010213553228127</c:v>
                </c:pt>
                <c:pt idx="80">
                  <c:v>0.60931471156853323</c:v>
                </c:pt>
                <c:pt idx="81">
                  <c:v>0.68752516141593678</c:v>
                </c:pt>
                <c:pt idx="82">
                  <c:v>0.69560002152899025</c:v>
                </c:pt>
                <c:pt idx="83">
                  <c:v>0.90610390217718284</c:v>
                </c:pt>
                <c:pt idx="84">
                  <c:v>0.90610390217718284</c:v>
                </c:pt>
                <c:pt idx="85">
                  <c:v>0.90610390217718284</c:v>
                </c:pt>
                <c:pt idx="86">
                  <c:v>0.90610390217718284</c:v>
                </c:pt>
                <c:pt idx="87">
                  <c:v>0.90610390217718284</c:v>
                </c:pt>
                <c:pt idx="88">
                  <c:v>0.90610390217718284</c:v>
                </c:pt>
                <c:pt idx="89">
                  <c:v>0.90610390217718284</c:v>
                </c:pt>
                <c:pt idx="90">
                  <c:v>0.90610390217718284</c:v>
                </c:pt>
                <c:pt idx="91">
                  <c:v>0.90610390217718284</c:v>
                </c:pt>
                <c:pt idx="92">
                  <c:v>0.9061039021771824</c:v>
                </c:pt>
                <c:pt idx="93">
                  <c:v>1.075619658918004</c:v>
                </c:pt>
                <c:pt idx="94">
                  <c:v>0.27421609490215509</c:v>
                </c:pt>
                <c:pt idx="95">
                  <c:v>0.63309497293493744</c:v>
                </c:pt>
                <c:pt idx="96">
                  <c:v>0.45830094954762235</c:v>
                </c:pt>
                <c:pt idx="97">
                  <c:v>0.4396734665309201</c:v>
                </c:pt>
                <c:pt idx="98">
                  <c:v>0.94446073485447457</c:v>
                </c:pt>
                <c:pt idx="99">
                  <c:v>1.0805777840442501</c:v>
                </c:pt>
                <c:pt idx="100">
                  <c:v>1.1073735680431489</c:v>
                </c:pt>
                <c:pt idx="101">
                  <c:v>1.2348498619182982</c:v>
                </c:pt>
                <c:pt idx="102">
                  <c:v>0.84446506201168825</c:v>
                </c:pt>
                <c:pt idx="103">
                  <c:v>0.68253842829138189</c:v>
                </c:pt>
                <c:pt idx="104">
                  <c:v>0.67010553449011012</c:v>
                </c:pt>
                <c:pt idx="105">
                  <c:v>1.1073735680431489</c:v>
                </c:pt>
                <c:pt idx="106">
                  <c:v>1.2348498619182982</c:v>
                </c:pt>
                <c:pt idx="107">
                  <c:v>0.68253842829138189</c:v>
                </c:pt>
                <c:pt idx="108">
                  <c:v>0.67010553449011012</c:v>
                </c:pt>
                <c:pt idx="109">
                  <c:v>0.61219434547624696</c:v>
                </c:pt>
                <c:pt idx="110">
                  <c:v>1.018083830060289</c:v>
                </c:pt>
                <c:pt idx="111">
                  <c:v>1.0041515310013245</c:v>
                </c:pt>
                <c:pt idx="112">
                  <c:v>0.63819299463111789</c:v>
                </c:pt>
                <c:pt idx="113">
                  <c:v>0.71542141943049664</c:v>
                </c:pt>
                <c:pt idx="114">
                  <c:v>0.7248314034950164</c:v>
                </c:pt>
                <c:pt idx="115">
                  <c:v>0.83540645588756157</c:v>
                </c:pt>
                <c:pt idx="116">
                  <c:v>0.90719842892008606</c:v>
                </c:pt>
                <c:pt idx="117">
                  <c:v>1.0438521348313379</c:v>
                </c:pt>
                <c:pt idx="118">
                  <c:v>0.73623516833368119</c:v>
                </c:pt>
                <c:pt idx="119">
                  <c:v>0.73623516833368119</c:v>
                </c:pt>
                <c:pt idx="120">
                  <c:v>0.28257757301624253</c:v>
                </c:pt>
                <c:pt idx="121">
                  <c:v>0.22892596638592883</c:v>
                </c:pt>
                <c:pt idx="122">
                  <c:v>0.17002550577821934</c:v>
                </c:pt>
                <c:pt idx="123">
                  <c:v>0.78676287606550599</c:v>
                </c:pt>
                <c:pt idx="124">
                  <c:v>0.60823981051622145</c:v>
                </c:pt>
                <c:pt idx="125">
                  <c:v>0.71542141943049664</c:v>
                </c:pt>
                <c:pt idx="126">
                  <c:v>0.7248314034950164</c:v>
                </c:pt>
                <c:pt idx="127">
                  <c:v>0.83540645588756157</c:v>
                </c:pt>
                <c:pt idx="128">
                  <c:v>0.53588712741607702</c:v>
                </c:pt>
                <c:pt idx="129">
                  <c:v>0.39436066948089943</c:v>
                </c:pt>
                <c:pt idx="130">
                  <c:v>0.7261703155164253</c:v>
                </c:pt>
                <c:pt idx="131">
                  <c:v>1.1509632908150629</c:v>
                </c:pt>
                <c:pt idx="132">
                  <c:v>0.76054508225468787</c:v>
                </c:pt>
                <c:pt idx="133">
                  <c:v>0.76054508225468742</c:v>
                </c:pt>
                <c:pt idx="134">
                  <c:v>0.76054508225468787</c:v>
                </c:pt>
                <c:pt idx="135">
                  <c:v>0.76054508225468787</c:v>
                </c:pt>
                <c:pt idx="136">
                  <c:v>81.817131763998447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92F-9A4D-9A1A-A7A29C8A53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41439855"/>
        <c:axId val="1752989375"/>
      </c:scatterChart>
      <c:valAx>
        <c:axId val="1482711215"/>
        <c:scaling>
          <c:orientation val="minMax"/>
          <c:max val="13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2712863"/>
        <c:crosses val="autoZero"/>
        <c:crossBetween val="midCat"/>
      </c:valAx>
      <c:valAx>
        <c:axId val="1482712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2711215"/>
        <c:crosses val="autoZero"/>
        <c:crossBetween val="midCat"/>
      </c:valAx>
      <c:valAx>
        <c:axId val="1752989375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CONSUMPTION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1439855"/>
        <c:crosses val="max"/>
        <c:crossBetween val="midCat"/>
      </c:valAx>
      <c:valAx>
        <c:axId val="144143985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5298937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FUEL</a:t>
            </a:r>
            <a:r>
              <a:rPr lang="en-GB" baseline="0"/>
              <a:t> CONSUMPTION VS WORK DONE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822632769037714"/>
          <c:y val="0.17132381209057437"/>
          <c:w val="0.70254586002923758"/>
          <c:h val="0.58719495051885273"/>
        </c:manualLayout>
      </c:layout>
      <c:scatterChart>
        <c:scatterStyle val="smoothMarker"/>
        <c:varyColors val="0"/>
        <c:ser>
          <c:idx val="0"/>
          <c:order val="0"/>
          <c:tx>
            <c:v>WORK DONE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'DUTY CYCLE'!$Z$4:$Z$139</c:f>
              <c:numCache>
                <c:formatCode>General</c:formatCode>
                <c:ptCount val="136"/>
                <c:pt idx="0">
                  <c:v>0</c:v>
                </c:pt>
                <c:pt idx="1">
                  <c:v>900.66524874631</c:v>
                </c:pt>
                <c:pt idx="2">
                  <c:v>744.21659023088512</c:v>
                </c:pt>
                <c:pt idx="3">
                  <c:v>1154.1144963447728</c:v>
                </c:pt>
                <c:pt idx="4">
                  <c:v>1204.382087392004</c:v>
                </c:pt>
                <c:pt idx="5">
                  <c:v>1339.5051508986014</c:v>
                </c:pt>
                <c:pt idx="6">
                  <c:v>1208.0842332866107</c:v>
                </c:pt>
                <c:pt idx="7">
                  <c:v>903.87318390200767</c:v>
                </c:pt>
                <c:pt idx="8">
                  <c:v>903.11959827400142</c:v>
                </c:pt>
                <c:pt idx="9">
                  <c:v>1085.1273840670547</c:v>
                </c:pt>
                <c:pt idx="10">
                  <c:v>823.12945107147607</c:v>
                </c:pt>
                <c:pt idx="11">
                  <c:v>-498.27693780951802</c:v>
                </c:pt>
                <c:pt idx="12">
                  <c:v>775.74582020598928</c:v>
                </c:pt>
                <c:pt idx="13">
                  <c:v>665.9042556314937</c:v>
                </c:pt>
                <c:pt idx="14">
                  <c:v>651.53447633568589</c:v>
                </c:pt>
                <c:pt idx="15">
                  <c:v>199.20169531323626</c:v>
                </c:pt>
                <c:pt idx="16">
                  <c:v>-319.75371713029261</c:v>
                </c:pt>
                <c:pt idx="17">
                  <c:v>368.16074942286014</c:v>
                </c:pt>
                <c:pt idx="18">
                  <c:v>674.53181280085107</c:v>
                </c:pt>
                <c:pt idx="19">
                  <c:v>114.10436591498595</c:v>
                </c:pt>
                <c:pt idx="20">
                  <c:v>127.47531544295938</c:v>
                </c:pt>
                <c:pt idx="21">
                  <c:v>139.93915951551276</c:v>
                </c:pt>
                <c:pt idx="22">
                  <c:v>857.73551704083229</c:v>
                </c:pt>
                <c:pt idx="23">
                  <c:v>266.31978489373807</c:v>
                </c:pt>
                <c:pt idx="24">
                  <c:v>278.32938504705396</c:v>
                </c:pt>
                <c:pt idx="25">
                  <c:v>-30.217324144024246</c:v>
                </c:pt>
                <c:pt idx="26">
                  <c:v>-30.217324144024246</c:v>
                </c:pt>
                <c:pt idx="27">
                  <c:v>289.87352751086161</c:v>
                </c:pt>
                <c:pt idx="28">
                  <c:v>-18.673181680216601</c:v>
                </c:pt>
                <c:pt idx="29">
                  <c:v>-18.673181680216146</c:v>
                </c:pt>
                <c:pt idx="30">
                  <c:v>-659.32034267949336</c:v>
                </c:pt>
                <c:pt idx="31">
                  <c:v>-363.3564991742528</c:v>
                </c:pt>
                <c:pt idx="32">
                  <c:v>-1262.5929783477941</c:v>
                </c:pt>
                <c:pt idx="33">
                  <c:v>-109.27197527953393</c:v>
                </c:pt>
                <c:pt idx="34">
                  <c:v>-109.27197527953331</c:v>
                </c:pt>
                <c:pt idx="35">
                  <c:v>139.93915951551301</c:v>
                </c:pt>
                <c:pt idx="36">
                  <c:v>535.90096560057691</c:v>
                </c:pt>
                <c:pt idx="37">
                  <c:v>-68.097632232354897</c:v>
                </c:pt>
                <c:pt idx="38">
                  <c:v>253.73691920789926</c:v>
                </c:pt>
                <c:pt idx="39">
                  <c:v>-54.809789983175477</c:v>
                </c:pt>
                <c:pt idx="40">
                  <c:v>266.31978489373813</c:v>
                </c:pt>
                <c:pt idx="41">
                  <c:v>-42.226924297339167</c:v>
                </c:pt>
                <c:pt idx="42">
                  <c:v>278.32938504705328</c:v>
                </c:pt>
                <c:pt idx="43">
                  <c:v>-30.21732414402382</c:v>
                </c:pt>
                <c:pt idx="44">
                  <c:v>-30.217324144024047</c:v>
                </c:pt>
                <c:pt idx="45">
                  <c:v>289.87352751086115</c:v>
                </c:pt>
                <c:pt idx="46">
                  <c:v>-18.673181680216146</c:v>
                </c:pt>
                <c:pt idx="47">
                  <c:v>301.04130249933189</c:v>
                </c:pt>
                <c:pt idx="48">
                  <c:v>-7.5054066917441276</c:v>
                </c:pt>
                <c:pt idx="49">
                  <c:v>311.90697471279816</c:v>
                </c:pt>
                <c:pt idx="50">
                  <c:v>-635.7666000623708</c:v>
                </c:pt>
                <c:pt idx="51">
                  <c:v>-659.32034267949393</c:v>
                </c:pt>
                <c:pt idx="52">
                  <c:v>-685.19105061450739</c:v>
                </c:pt>
                <c:pt idx="53">
                  <c:v>-1202.8024387288906</c:v>
                </c:pt>
                <c:pt idx="54">
                  <c:v>127.47531544295953</c:v>
                </c:pt>
                <c:pt idx="55">
                  <c:v>-109.27197527953416</c:v>
                </c:pt>
                <c:pt idx="56">
                  <c:v>337.21093105188032</c:v>
                </c:pt>
                <c:pt idx="57">
                  <c:v>100.46364032938507</c:v>
                </c:pt>
                <c:pt idx="58">
                  <c:v>339.95201484658128</c:v>
                </c:pt>
                <c:pt idx="59">
                  <c:v>142.16327522408702</c:v>
                </c:pt>
                <c:pt idx="60">
                  <c:v>381.77914201080421</c:v>
                </c:pt>
                <c:pt idx="61">
                  <c:v>145.03185128831001</c:v>
                </c:pt>
                <c:pt idx="62">
                  <c:v>591.87481923483017</c:v>
                </c:pt>
                <c:pt idx="63">
                  <c:v>150.74305198286729</c:v>
                </c:pt>
                <c:pt idx="64">
                  <c:v>463.54982580921279</c:v>
                </c:pt>
                <c:pt idx="65">
                  <c:v>155.00311661813549</c:v>
                </c:pt>
                <c:pt idx="66">
                  <c:v>468.02835529757169</c:v>
                </c:pt>
                <c:pt idx="67">
                  <c:v>472.72534963902126</c:v>
                </c:pt>
                <c:pt idx="68">
                  <c:v>477.64080883356041</c:v>
                </c:pt>
                <c:pt idx="69">
                  <c:v>-457.61177227565906</c:v>
                </c:pt>
                <c:pt idx="70">
                  <c:v>-1265.408644489115</c:v>
                </c:pt>
                <c:pt idx="71">
                  <c:v>38.195811387104783</c:v>
                </c:pt>
                <c:pt idx="72">
                  <c:v>274.94310210959998</c:v>
                </c:pt>
                <c:pt idx="73">
                  <c:v>507.72991831789761</c:v>
                </c:pt>
                <c:pt idx="74">
                  <c:v>562.48402979248226</c:v>
                </c:pt>
                <c:pt idx="75">
                  <c:v>572.50770240432291</c:v>
                </c:pt>
                <c:pt idx="76">
                  <c:v>570.38027455966494</c:v>
                </c:pt>
                <c:pt idx="77">
                  <c:v>569.08786342381313</c:v>
                </c:pt>
                <c:pt idx="78">
                  <c:v>568.54245224789429</c:v>
                </c:pt>
                <c:pt idx="79">
                  <c:v>259.99574305681705</c:v>
                </c:pt>
                <c:pt idx="80">
                  <c:v>568.67201417917829</c:v>
                </c:pt>
                <c:pt idx="81">
                  <c:v>569.41703940235743</c:v>
                </c:pt>
                <c:pt idx="82">
                  <c:v>570.7279296194165</c:v>
                </c:pt>
                <c:pt idx="83">
                  <c:v>707.42180442833808</c:v>
                </c:pt>
                <c:pt idx="84">
                  <c:v>707.42180442833819</c:v>
                </c:pt>
                <c:pt idx="85">
                  <c:v>707.42180442833819</c:v>
                </c:pt>
                <c:pt idx="86">
                  <c:v>707.42180442833808</c:v>
                </c:pt>
                <c:pt idx="87">
                  <c:v>707.42180442833819</c:v>
                </c:pt>
                <c:pt idx="88">
                  <c:v>707.42180442833808</c:v>
                </c:pt>
                <c:pt idx="89">
                  <c:v>707.42180442833819</c:v>
                </c:pt>
                <c:pt idx="90">
                  <c:v>707.42180442833819</c:v>
                </c:pt>
                <c:pt idx="91">
                  <c:v>707.42180442833819</c:v>
                </c:pt>
                <c:pt idx="92">
                  <c:v>707.42180442833785</c:v>
                </c:pt>
                <c:pt idx="93">
                  <c:v>-682.73804098207097</c:v>
                </c:pt>
                <c:pt idx="94">
                  <c:v>-119.96943687917053</c:v>
                </c:pt>
                <c:pt idx="95">
                  <c:v>590.27243528831002</c:v>
                </c:pt>
                <c:pt idx="96">
                  <c:v>350.65656850159291</c:v>
                </c:pt>
                <c:pt idx="97">
                  <c:v>347.91548470689088</c:v>
                </c:pt>
                <c:pt idx="98">
                  <c:v>1012.4665329867013</c:v>
                </c:pt>
                <c:pt idx="99">
                  <c:v>1037.1392704888506</c:v>
                </c:pt>
                <c:pt idx="100">
                  <c:v>1031.3920686871429</c:v>
                </c:pt>
                <c:pt idx="101">
                  <c:v>1026.4705004744194</c:v>
                </c:pt>
                <c:pt idx="102">
                  <c:v>789.72320975192349</c:v>
                </c:pt>
                <c:pt idx="103">
                  <c:v>557.89748724215701</c:v>
                </c:pt>
                <c:pt idx="104">
                  <c:v>563.64468904386536</c:v>
                </c:pt>
                <c:pt idx="105">
                  <c:v>1031.3920686871429</c:v>
                </c:pt>
                <c:pt idx="106">
                  <c:v>1026.4705004744194</c:v>
                </c:pt>
                <c:pt idx="107">
                  <c:v>557.89748724215701</c:v>
                </c:pt>
                <c:pt idx="108">
                  <c:v>563.64468904386536</c:v>
                </c:pt>
                <c:pt idx="109">
                  <c:v>570.3124471432659</c:v>
                </c:pt>
                <c:pt idx="110">
                  <c:v>977.15753219851831</c:v>
                </c:pt>
                <c:pt idx="111">
                  <c:v>759.67912782477276</c:v>
                </c:pt>
                <c:pt idx="112">
                  <c:v>645.19401387168512</c:v>
                </c:pt>
                <c:pt idx="113">
                  <c:v>662.19857069155637</c:v>
                </c:pt>
                <c:pt idx="114">
                  <c:v>678.28618618339374</c:v>
                </c:pt>
                <c:pt idx="115">
                  <c:v>693.60441733589937</c:v>
                </c:pt>
                <c:pt idx="116">
                  <c:v>708.27633345265781</c:v>
                </c:pt>
                <c:pt idx="117">
                  <c:v>722.40539002795458</c:v>
                </c:pt>
                <c:pt idx="118">
                  <c:v>413.85868083687842</c:v>
                </c:pt>
                <c:pt idx="119">
                  <c:v>413.85868083687842</c:v>
                </c:pt>
                <c:pt idx="120">
                  <c:v>91.18291507050327</c:v>
                </c:pt>
                <c:pt idx="121">
                  <c:v>76.510998953744888</c:v>
                </c:pt>
                <c:pt idx="122">
                  <c:v>61.192767801240223</c:v>
                </c:pt>
                <c:pt idx="123">
                  <c:v>-578.93290168322972</c:v>
                </c:pt>
                <c:pt idx="124">
                  <c:v>614.91224135160587</c:v>
                </c:pt>
                <c:pt idx="125">
                  <c:v>662.19857069155637</c:v>
                </c:pt>
                <c:pt idx="126">
                  <c:v>678.28618618339374</c:v>
                </c:pt>
                <c:pt idx="127">
                  <c:v>693.60441733589937</c:v>
                </c:pt>
                <c:pt idx="128">
                  <c:v>224.07719835265777</c:v>
                </c:pt>
                <c:pt idx="129">
                  <c:v>135.26947259011513</c:v>
                </c:pt>
                <c:pt idx="130">
                  <c:v>533.6044661765867</c:v>
                </c:pt>
                <c:pt idx="131">
                  <c:v>617.06574841385168</c:v>
                </c:pt>
                <c:pt idx="132">
                  <c:v>308.5190392227745</c:v>
                </c:pt>
                <c:pt idx="133">
                  <c:v>308.51903922277438</c:v>
                </c:pt>
                <c:pt idx="134">
                  <c:v>308.5190392227745</c:v>
                </c:pt>
                <c:pt idx="135">
                  <c:v>308.5190392227745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039-0B41-802A-DF04253D5B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2711215"/>
        <c:axId val="1482712863"/>
      </c:scatterChart>
      <c:scatterChart>
        <c:scatterStyle val="smoothMarker"/>
        <c:varyColors val="0"/>
        <c:ser>
          <c:idx val="1"/>
          <c:order val="1"/>
          <c:tx>
            <c:v>FUEL CONSUMPTION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'DUTY CYCLE'!$AC$4:$AC$140</c:f>
              <c:numCache>
                <c:formatCode>General</c:formatCode>
                <c:ptCount val="137"/>
                <c:pt idx="0">
                  <c:v>0</c:v>
                </c:pt>
                <c:pt idx="1">
                  <c:v>0.26858727046850533</c:v>
                </c:pt>
                <c:pt idx="2">
                  <c:v>0.23160181309454853</c:v>
                </c:pt>
                <c:pt idx="3">
                  <c:v>0.44034362013351014</c:v>
                </c:pt>
                <c:pt idx="4">
                  <c:v>0.53676943060280369</c:v>
                </c:pt>
                <c:pt idx="5">
                  <c:v>0.72144007895289797</c:v>
                </c:pt>
                <c:pt idx="6">
                  <c:v>0.69857240232144835</c:v>
                </c:pt>
                <c:pt idx="7">
                  <c:v>0.67286858562769736</c:v>
                </c:pt>
                <c:pt idx="8">
                  <c:v>0.74082281901015667</c:v>
                </c:pt>
                <c:pt idx="9">
                  <c:v>1.0436088645607335</c:v>
                </c:pt>
                <c:pt idx="10">
                  <c:v>0.71576735350330389</c:v>
                </c:pt>
                <c:pt idx="11">
                  <c:v>0.53378388023939938</c:v>
                </c:pt>
                <c:pt idx="12">
                  <c:v>0.81668610410363462</c:v>
                </c:pt>
                <c:pt idx="13">
                  <c:v>0.71503901177517248</c:v>
                </c:pt>
                <c:pt idx="14">
                  <c:v>0.7510799643328917</c:v>
                </c:pt>
                <c:pt idx="15">
                  <c:v>0.30957433594783423</c:v>
                </c:pt>
                <c:pt idx="16">
                  <c:v>0.40530103094812631</c:v>
                </c:pt>
                <c:pt idx="17">
                  <c:v>0.43605139659566616</c:v>
                </c:pt>
                <c:pt idx="18">
                  <c:v>0.64178051361376776</c:v>
                </c:pt>
                <c:pt idx="19">
                  <c:v>0.21646537079045991</c:v>
                </c:pt>
                <c:pt idx="20">
                  <c:v>0.25135569099812943</c:v>
                </c:pt>
                <c:pt idx="21">
                  <c:v>0.25895678143267747</c:v>
                </c:pt>
                <c:pt idx="22">
                  <c:v>1.1943178358085533</c:v>
                </c:pt>
                <c:pt idx="23">
                  <c:v>0.42542117841795596</c:v>
                </c:pt>
                <c:pt idx="24">
                  <c:v>0.46043085737740014</c:v>
                </c:pt>
                <c:pt idx="25">
                  <c:v>8.920214091675184E-2</c:v>
                </c:pt>
                <c:pt idx="26">
                  <c:v>8.920214091675184E-2</c:v>
                </c:pt>
                <c:pt idx="27">
                  <c:v>0.49593664136109028</c:v>
                </c:pt>
                <c:pt idx="28">
                  <c:v>5.6428745755337774E-2</c:v>
                </c:pt>
                <c:pt idx="29">
                  <c:v>5.64287457553364E-2</c:v>
                </c:pt>
                <c:pt idx="30">
                  <c:v>0.69284180912121718</c:v>
                </c:pt>
                <c:pt idx="31">
                  <c:v>0.53005923099637753</c:v>
                </c:pt>
                <c:pt idx="32">
                  <c:v>1.4174296650278995</c:v>
                </c:pt>
                <c:pt idx="33">
                  <c:v>0.21546236428344334</c:v>
                </c:pt>
                <c:pt idx="34">
                  <c:v>0.21546236428344215</c:v>
                </c:pt>
                <c:pt idx="35">
                  <c:v>0.25895678143267797</c:v>
                </c:pt>
                <c:pt idx="36">
                  <c:v>0.66744808516947107</c:v>
                </c:pt>
                <c:pt idx="37">
                  <c:v>0.16157622782305306</c:v>
                </c:pt>
                <c:pt idx="38">
                  <c:v>0.42484750589998149</c:v>
                </c:pt>
                <c:pt idx="39">
                  <c:v>0.13611098227032228</c:v>
                </c:pt>
                <c:pt idx="40">
                  <c:v>0.42542117841795607</c:v>
                </c:pt>
                <c:pt idx="41">
                  <c:v>0.11964421873139826</c:v>
                </c:pt>
                <c:pt idx="42">
                  <c:v>0.46043085737739897</c:v>
                </c:pt>
                <c:pt idx="43">
                  <c:v>8.9202140916750591E-2</c:v>
                </c:pt>
                <c:pt idx="44">
                  <c:v>8.9202140916751285E-2</c:v>
                </c:pt>
                <c:pt idx="45">
                  <c:v>0.4959366413610895</c:v>
                </c:pt>
                <c:pt idx="46">
                  <c:v>5.64287457553364E-2</c:v>
                </c:pt>
                <c:pt idx="47">
                  <c:v>0.53841951918443365</c:v>
                </c:pt>
                <c:pt idx="48">
                  <c:v>2.4366454875390419E-2</c:v>
                </c:pt>
                <c:pt idx="49">
                  <c:v>0.64227026109211072</c:v>
                </c:pt>
                <c:pt idx="50">
                  <c:v>0.63092300242230726</c:v>
                </c:pt>
                <c:pt idx="51">
                  <c:v>0.69284180912121773</c:v>
                </c:pt>
                <c:pt idx="52">
                  <c:v>0.79693127043825485</c:v>
                </c:pt>
                <c:pt idx="53">
                  <c:v>1.304431578892604</c:v>
                </c:pt>
                <c:pt idx="54">
                  <c:v>0.25135569099812971</c:v>
                </c:pt>
                <c:pt idx="55">
                  <c:v>0.21546236428344379</c:v>
                </c:pt>
                <c:pt idx="56">
                  <c:v>0.4261457322964699</c:v>
                </c:pt>
                <c:pt idx="57">
                  <c:v>0.2062327352580903</c:v>
                </c:pt>
                <c:pt idx="58">
                  <c:v>0.44431031727303255</c:v>
                </c:pt>
                <c:pt idx="59">
                  <c:v>0.27532086612547779</c:v>
                </c:pt>
                <c:pt idx="60">
                  <c:v>0.54710389714004903</c:v>
                </c:pt>
                <c:pt idx="61">
                  <c:v>0.30330978089800026</c:v>
                </c:pt>
                <c:pt idx="62">
                  <c:v>0.75487622035401891</c:v>
                </c:pt>
                <c:pt idx="63">
                  <c:v>0.30666067419719217</c:v>
                </c:pt>
                <c:pt idx="64">
                  <c:v>0.55064076567386688</c:v>
                </c:pt>
                <c:pt idx="65">
                  <c:v>0.32576765292214455</c:v>
                </c:pt>
                <c:pt idx="66">
                  <c:v>0.57298865100667251</c:v>
                </c:pt>
                <c:pt idx="67">
                  <c:v>0.59539630758286965</c:v>
                </c:pt>
                <c:pt idx="68">
                  <c:v>0.67060478770654564</c:v>
                </c:pt>
                <c:pt idx="69">
                  <c:v>0.56023603936195743</c:v>
                </c:pt>
                <c:pt idx="70">
                  <c:v>1.4693753111266208</c:v>
                </c:pt>
                <c:pt idx="71">
                  <c:v>8.2674037236094594E-2</c:v>
                </c:pt>
                <c:pt idx="72">
                  <c:v>0.39370286742467969</c:v>
                </c:pt>
                <c:pt idx="73">
                  <c:v>0.53099151174186943</c:v>
                </c:pt>
                <c:pt idx="74">
                  <c:v>0.67129732085456395</c:v>
                </c:pt>
                <c:pt idx="75">
                  <c:v>0.70324263583283031</c:v>
                </c:pt>
                <c:pt idx="76">
                  <c:v>0.72746211163488839</c:v>
                </c:pt>
                <c:pt idx="77">
                  <c:v>0.53065412533744194</c:v>
                </c:pt>
                <c:pt idx="78">
                  <c:v>0.54356973428728972</c:v>
                </c:pt>
                <c:pt idx="79">
                  <c:v>0.43010213553228127</c:v>
                </c:pt>
                <c:pt idx="80">
                  <c:v>0.60931471156853323</c:v>
                </c:pt>
                <c:pt idx="81">
                  <c:v>0.68752516141593678</c:v>
                </c:pt>
                <c:pt idx="82">
                  <c:v>0.69560002152899025</c:v>
                </c:pt>
                <c:pt idx="83">
                  <c:v>0.90610390217718284</c:v>
                </c:pt>
                <c:pt idx="84">
                  <c:v>0.90610390217718284</c:v>
                </c:pt>
                <c:pt idx="85">
                  <c:v>0.90610390217718284</c:v>
                </c:pt>
                <c:pt idx="86">
                  <c:v>0.90610390217718284</c:v>
                </c:pt>
                <c:pt idx="87">
                  <c:v>0.90610390217718284</c:v>
                </c:pt>
                <c:pt idx="88">
                  <c:v>0.90610390217718284</c:v>
                </c:pt>
                <c:pt idx="89">
                  <c:v>0.90610390217718284</c:v>
                </c:pt>
                <c:pt idx="90">
                  <c:v>0.90610390217718284</c:v>
                </c:pt>
                <c:pt idx="91">
                  <c:v>0.90610390217718284</c:v>
                </c:pt>
                <c:pt idx="92">
                  <c:v>0.9061039021771824</c:v>
                </c:pt>
                <c:pt idx="93">
                  <c:v>1.075619658918004</c:v>
                </c:pt>
                <c:pt idx="94">
                  <c:v>0.27421609490215509</c:v>
                </c:pt>
                <c:pt idx="95">
                  <c:v>0.63309497293493744</c:v>
                </c:pt>
                <c:pt idx="96">
                  <c:v>0.45830094954762235</c:v>
                </c:pt>
                <c:pt idx="97">
                  <c:v>0.4396734665309201</c:v>
                </c:pt>
                <c:pt idx="98">
                  <c:v>0.94446073485447457</c:v>
                </c:pt>
                <c:pt idx="99">
                  <c:v>1.0805777840442501</c:v>
                </c:pt>
                <c:pt idx="100">
                  <c:v>1.1073735680431489</c:v>
                </c:pt>
                <c:pt idx="101">
                  <c:v>1.2348498619182982</c:v>
                </c:pt>
                <c:pt idx="102">
                  <c:v>0.84446506201168825</c:v>
                </c:pt>
                <c:pt idx="103">
                  <c:v>0.68253842829138189</c:v>
                </c:pt>
                <c:pt idx="104">
                  <c:v>0.67010553449011012</c:v>
                </c:pt>
                <c:pt idx="105">
                  <c:v>1.1073735680431489</c:v>
                </c:pt>
                <c:pt idx="106">
                  <c:v>1.2348498619182982</c:v>
                </c:pt>
                <c:pt idx="107">
                  <c:v>0.68253842829138189</c:v>
                </c:pt>
                <c:pt idx="108">
                  <c:v>0.67010553449011012</c:v>
                </c:pt>
                <c:pt idx="109">
                  <c:v>0.61219434547624696</c:v>
                </c:pt>
                <c:pt idx="110">
                  <c:v>1.018083830060289</c:v>
                </c:pt>
                <c:pt idx="111">
                  <c:v>1.0041515310013245</c:v>
                </c:pt>
                <c:pt idx="112">
                  <c:v>0.63819299463111789</c:v>
                </c:pt>
                <c:pt idx="113">
                  <c:v>0.71542141943049664</c:v>
                </c:pt>
                <c:pt idx="114">
                  <c:v>0.7248314034950164</c:v>
                </c:pt>
                <c:pt idx="115">
                  <c:v>0.83540645588756157</c:v>
                </c:pt>
                <c:pt idx="116">
                  <c:v>0.90719842892008606</c:v>
                </c:pt>
                <c:pt idx="117">
                  <c:v>1.0438521348313379</c:v>
                </c:pt>
                <c:pt idx="118">
                  <c:v>0.73623516833368119</c:v>
                </c:pt>
                <c:pt idx="119">
                  <c:v>0.73623516833368119</c:v>
                </c:pt>
                <c:pt idx="120">
                  <c:v>0.28257757301624253</c:v>
                </c:pt>
                <c:pt idx="121">
                  <c:v>0.22892596638592883</c:v>
                </c:pt>
                <c:pt idx="122">
                  <c:v>0.17002550577821934</c:v>
                </c:pt>
                <c:pt idx="123">
                  <c:v>0.78676287606550599</c:v>
                </c:pt>
                <c:pt idx="124">
                  <c:v>0.60823981051622145</c:v>
                </c:pt>
                <c:pt idx="125">
                  <c:v>0.71542141943049664</c:v>
                </c:pt>
                <c:pt idx="126">
                  <c:v>0.7248314034950164</c:v>
                </c:pt>
                <c:pt idx="127">
                  <c:v>0.83540645588756157</c:v>
                </c:pt>
                <c:pt idx="128">
                  <c:v>0.53588712741607702</c:v>
                </c:pt>
                <c:pt idx="129">
                  <c:v>0.39436066948089943</c:v>
                </c:pt>
                <c:pt idx="130">
                  <c:v>0.7261703155164253</c:v>
                </c:pt>
                <c:pt idx="131">
                  <c:v>1.1509632908150629</c:v>
                </c:pt>
                <c:pt idx="132">
                  <c:v>0.76054508225468787</c:v>
                </c:pt>
                <c:pt idx="133">
                  <c:v>0.76054508225468742</c:v>
                </c:pt>
                <c:pt idx="134">
                  <c:v>0.76054508225468787</c:v>
                </c:pt>
                <c:pt idx="135">
                  <c:v>0.76054508225468787</c:v>
                </c:pt>
                <c:pt idx="136">
                  <c:v>81.817131763998447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039-0B41-802A-DF04253D5B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1887712"/>
        <c:axId val="291885264"/>
      </c:scatterChart>
      <c:valAx>
        <c:axId val="1482711215"/>
        <c:scaling>
          <c:orientation val="minMax"/>
          <c:max val="13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2712863"/>
        <c:crosses val="autoZero"/>
        <c:crossBetween val="midCat"/>
      </c:valAx>
      <c:valAx>
        <c:axId val="1482712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WORK</a:t>
                </a:r>
                <a:r>
                  <a:rPr lang="en-GB" baseline="0"/>
                  <a:t> DONE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2711215"/>
        <c:crosses val="autoZero"/>
        <c:crossBetween val="midCat"/>
      </c:valAx>
      <c:valAx>
        <c:axId val="29188526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CONSUMPTION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1887712"/>
        <c:crosses val="max"/>
        <c:crossBetween val="midCat"/>
      </c:valAx>
      <c:valAx>
        <c:axId val="2918877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918852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FUEL</a:t>
            </a:r>
            <a:r>
              <a:rPr lang="en-GB" baseline="0"/>
              <a:t> CONSUMPTION VS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31959979825211"/>
          <c:y val="0.17132381209057437"/>
          <c:w val="0.73542062446169076"/>
          <c:h val="0.58719495051885273"/>
        </c:manualLayout>
      </c:layout>
      <c:scatterChart>
        <c:scatterStyle val="smoothMarker"/>
        <c:varyColors val="0"/>
        <c:ser>
          <c:idx val="0"/>
          <c:order val="0"/>
          <c:tx>
            <c:v>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'DUTY CYCLE'!$U$4:$U$139</c:f>
              <c:numCache>
                <c:formatCode>General</c:formatCode>
                <c:ptCount val="136"/>
                <c:pt idx="0">
                  <c:v>0</c:v>
                </c:pt>
                <c:pt idx="1">
                  <c:v>1.4836390927197198</c:v>
                </c:pt>
                <c:pt idx="2">
                  <c:v>1.2259258678560596</c:v>
                </c:pt>
                <c:pt idx="3">
                  <c:v>2.5348513396219419</c:v>
                </c:pt>
                <c:pt idx="4">
                  <c:v>3.3065713554756786</c:v>
                </c:pt>
                <c:pt idx="5">
                  <c:v>4.7808085419833848</c:v>
                </c:pt>
                <c:pt idx="6">
                  <c:v>4.9751031204358114</c:v>
                </c:pt>
                <c:pt idx="7">
                  <c:v>4.368753383999195</c:v>
                </c:pt>
                <c:pt idx="8">
                  <c:v>5.0926295302806182</c:v>
                </c:pt>
                <c:pt idx="9">
                  <c:v>7.4301644546631991</c:v>
                </c:pt>
                <c:pt idx="10">
                  <c:v>6.2992743468505283</c:v>
                </c:pt>
                <c:pt idx="11">
                  <c:v>3.4153230017901088</c:v>
                </c:pt>
                <c:pt idx="12">
                  <c:v>5.3171687113178692</c:v>
                </c:pt>
                <c:pt idx="13">
                  <c:v>4.9153842095932934</c:v>
                </c:pt>
                <c:pt idx="14">
                  <c:v>5.1528358134861332</c:v>
                </c:pt>
                <c:pt idx="15">
                  <c:v>1.5244578207016943</c:v>
                </c:pt>
                <c:pt idx="16">
                  <c:v>2.0606506290757616</c:v>
                </c:pt>
                <c:pt idx="17">
                  <c:v>2.5208975039513537</c:v>
                </c:pt>
                <c:pt idx="18">
                  <c:v>4.8903925776411414</c:v>
                </c:pt>
                <c:pt idx="19">
                  <c:v>0.87322195085630872</c:v>
                </c:pt>
                <c:pt idx="20">
                  <c:v>1.0268922411468331</c:v>
                </c:pt>
                <c:pt idx="21">
                  <c:v>1.1836609972034962</c:v>
                </c:pt>
                <c:pt idx="22">
                  <c:v>8.5926008598167289</c:v>
                </c:pt>
                <c:pt idx="23">
                  <c:v>2.8083489572869693</c:v>
                </c:pt>
                <c:pt idx="24">
                  <c:v>3.0817400236360579</c:v>
                </c:pt>
                <c:pt idx="25">
                  <c:v>0.33457458042412819</c:v>
                </c:pt>
                <c:pt idx="26">
                  <c:v>0.33457458042412819</c:v>
                </c:pt>
                <c:pt idx="27">
                  <c:v>3.3623961545348235</c:v>
                </c:pt>
                <c:pt idx="28">
                  <c:v>0.21660009733775287</c:v>
                </c:pt>
                <c:pt idx="29">
                  <c:v>0.2166000973377476</c:v>
                </c:pt>
                <c:pt idx="30">
                  <c:v>6.9525499114563862</c:v>
                </c:pt>
                <c:pt idx="31">
                  <c:v>3.6400234165376766</c:v>
                </c:pt>
                <c:pt idx="32">
                  <c:v>10.170964697647516</c:v>
                </c:pt>
                <c:pt idx="33">
                  <c:v>0.88025311566733966</c:v>
                </c:pt>
                <c:pt idx="34">
                  <c:v>0.88025311566733466</c:v>
                </c:pt>
                <c:pt idx="35">
                  <c:v>1.1836609972034984</c:v>
                </c:pt>
                <c:pt idx="36">
                  <c:v>5.0859804753092632</c:v>
                </c:pt>
                <c:pt idx="37">
                  <c:v>0.64628214946469742</c:v>
                </c:pt>
                <c:pt idx="38">
                  <c:v>2.541879200333093</c:v>
                </c:pt>
                <c:pt idx="39">
                  <c:v>0.5490721081022788</c:v>
                </c:pt>
                <c:pt idx="40">
                  <c:v>2.8083489572869698</c:v>
                </c:pt>
                <c:pt idx="41">
                  <c:v>0.44528399896081688</c:v>
                </c:pt>
                <c:pt idx="42">
                  <c:v>3.0817400236360504</c:v>
                </c:pt>
                <c:pt idx="43">
                  <c:v>0.33457458042412347</c:v>
                </c:pt>
                <c:pt idx="44">
                  <c:v>0.33457458042412608</c:v>
                </c:pt>
                <c:pt idx="45">
                  <c:v>3.3623961545348178</c:v>
                </c:pt>
                <c:pt idx="46">
                  <c:v>0.2166000973377476</c:v>
                </c:pt>
                <c:pt idx="47">
                  <c:v>3.6506614878739954</c:v>
                </c:pt>
                <c:pt idx="48">
                  <c:v>9.1016411810943665E-2</c:v>
                </c:pt>
                <c:pt idx="49">
                  <c:v>3.9468804507545956</c:v>
                </c:pt>
                <c:pt idx="50">
                  <c:v>7.3745926010828802</c:v>
                </c:pt>
                <c:pt idx="51">
                  <c:v>6.9525499114563925</c:v>
                </c:pt>
                <c:pt idx="52">
                  <c:v>6.5028214707106953</c:v>
                </c:pt>
                <c:pt idx="53">
                  <c:v>9.2048492940586435</c:v>
                </c:pt>
                <c:pt idx="54">
                  <c:v>1.0268922411468342</c:v>
                </c:pt>
                <c:pt idx="55">
                  <c:v>0.88025311566734143</c:v>
                </c:pt>
                <c:pt idx="56">
                  <c:v>2.8522640002889372</c:v>
                </c:pt>
                <c:pt idx="57">
                  <c:v>0.84976137563403897</c:v>
                </c:pt>
                <c:pt idx="58">
                  <c:v>3.0123753270556439</c:v>
                </c:pt>
                <c:pt idx="59">
                  <c:v>1.2597340918591922</c:v>
                </c:pt>
                <c:pt idx="60">
                  <c:v>3.5367862633665639</c:v>
                </c:pt>
                <c:pt idx="61">
                  <c:v>1.3435691030302566</c:v>
                </c:pt>
                <c:pt idx="62">
                  <c:v>5.9292683812450386</c:v>
                </c:pt>
                <c:pt idx="63">
                  <c:v>1.5101098792644747</c:v>
                </c:pt>
                <c:pt idx="64">
                  <c:v>4.8881447936032343</c:v>
                </c:pt>
                <c:pt idx="65">
                  <c:v>1.6345118373554475</c:v>
                </c:pt>
                <c:pt idx="66">
                  <c:v>5.1821395519314057</c:v>
                </c:pt>
                <c:pt idx="67">
                  <c:v>5.4833910203056275</c:v>
                </c:pt>
                <c:pt idx="68">
                  <c:v>5.7922447563471255</c:v>
                </c:pt>
                <c:pt idx="69">
                  <c:v>5.0668042602491106</c:v>
                </c:pt>
                <c:pt idx="70">
                  <c:v>10.703328955179785</c:v>
                </c:pt>
                <c:pt idx="71">
                  <c:v>0.30769080446226965</c:v>
                </c:pt>
                <c:pt idx="72">
                  <c:v>2.2148361612764575</c:v>
                </c:pt>
                <c:pt idx="73">
                  <c:v>4.2945813273917199</c:v>
                </c:pt>
                <c:pt idx="74">
                  <c:v>5.0416972336857633</c:v>
                </c:pt>
                <c:pt idx="75">
                  <c:v>5.433397555328864</c:v>
                </c:pt>
                <c:pt idx="76">
                  <c:v>5.7139408829803244</c:v>
                </c:pt>
                <c:pt idx="77">
                  <c:v>6.0010461051123842</c:v>
                </c:pt>
                <c:pt idx="78">
                  <c:v>6.2950594667980191</c:v>
                </c:pt>
                <c:pt idx="79">
                  <c:v>2.878744862737844</c:v>
                </c:pt>
                <c:pt idx="80">
                  <c:v>6.5963270605867752</c:v>
                </c:pt>
                <c:pt idx="81">
                  <c:v>6.9051948653790749</c:v>
                </c:pt>
                <c:pt idx="82">
                  <c:v>7.2220087742144718</c:v>
                </c:pt>
                <c:pt idx="83">
                  <c:v>8.9517372700841467</c:v>
                </c:pt>
                <c:pt idx="84">
                  <c:v>8.9517372700841467</c:v>
                </c:pt>
                <c:pt idx="85">
                  <c:v>8.9517372700841467</c:v>
                </c:pt>
                <c:pt idx="86">
                  <c:v>8.9517372700841467</c:v>
                </c:pt>
                <c:pt idx="87">
                  <c:v>8.9517372700841467</c:v>
                </c:pt>
                <c:pt idx="88">
                  <c:v>8.9517372700841467</c:v>
                </c:pt>
                <c:pt idx="89">
                  <c:v>8.9517372700841467</c:v>
                </c:pt>
                <c:pt idx="90">
                  <c:v>8.9517372700841467</c:v>
                </c:pt>
                <c:pt idx="91">
                  <c:v>8.9517372700841467</c:v>
                </c:pt>
                <c:pt idx="92">
                  <c:v>8.9517372700841431</c:v>
                </c:pt>
                <c:pt idx="93">
                  <c:v>7.1498384840960965</c:v>
                </c:pt>
                <c:pt idx="94">
                  <c:v>1.1113919271316941</c:v>
                </c:pt>
                <c:pt idx="95">
                  <c:v>5.4682595538772096</c:v>
                </c:pt>
                <c:pt idx="96">
                  <c:v>3.1072302827824188</c:v>
                </c:pt>
                <c:pt idx="97">
                  <c:v>2.9428073671190313</c:v>
                </c:pt>
                <c:pt idx="98">
                  <c:v>8.9716462037006224</c:v>
                </c:pt>
                <c:pt idx="99">
                  <c:v>9.6080155289342102</c:v>
                </c:pt>
                <c:pt idx="100">
                  <c:v>9.9701986308632158</c:v>
                </c:pt>
                <c:pt idx="101">
                  <c:v>10.336065741831291</c:v>
                </c:pt>
                <c:pt idx="102">
                  <c:v>7.9521340458135503</c:v>
                </c:pt>
                <c:pt idx="103">
                  <c:v>5.3930497745092083</c:v>
                </c:pt>
                <c:pt idx="104">
                  <c:v>5.2215812082616244</c:v>
                </c:pt>
                <c:pt idx="105">
                  <c:v>9.9701986308632158</c:v>
                </c:pt>
                <c:pt idx="106">
                  <c:v>10.336065741831291</c:v>
                </c:pt>
                <c:pt idx="107">
                  <c:v>5.3930497745092083</c:v>
                </c:pt>
                <c:pt idx="108">
                  <c:v>5.2215812082616244</c:v>
                </c:pt>
                <c:pt idx="109">
                  <c:v>5.0536401299531155</c:v>
                </c:pt>
                <c:pt idx="110">
                  <c:v>9.0523471733484264</c:v>
                </c:pt>
                <c:pt idx="111">
                  <c:v>7.6102940792892682</c:v>
                </c:pt>
                <c:pt idx="112">
                  <c:v>6.8035874121305095</c:v>
                </c:pt>
                <c:pt idx="113">
                  <c:v>7.3320459445910062</c:v>
                </c:pt>
                <c:pt idx="114">
                  <c:v>7.8677997390143792</c:v>
                </c:pt>
                <c:pt idx="115">
                  <c:v>8.4111878109917146</c:v>
                </c:pt>
                <c:pt idx="116">
                  <c:v>8.9625505066390367</c:v>
                </c:pt>
                <c:pt idx="117">
                  <c:v>9.5222291907122703</c:v>
                </c:pt>
                <c:pt idx="118">
                  <c:v>5.4551879954025528</c:v>
                </c:pt>
                <c:pt idx="119">
                  <c:v>5.4551879954025528</c:v>
                </c:pt>
                <c:pt idx="120">
                  <c:v>1.1538314116443482</c:v>
                </c:pt>
                <c:pt idx="121">
                  <c:v>0.92783201162180695</c:v>
                </c:pt>
                <c:pt idx="122">
                  <c:v>0.70980723526926015</c:v>
                </c:pt>
                <c:pt idx="123">
                  <c:v>5.8295767186113476</c:v>
                </c:pt>
                <c:pt idx="124">
                  <c:v>6.484265344806456</c:v>
                </c:pt>
                <c:pt idx="125">
                  <c:v>7.3320459445910062</c:v>
                </c:pt>
                <c:pt idx="126">
                  <c:v>7.8677997390143792</c:v>
                </c:pt>
                <c:pt idx="127">
                  <c:v>8.4111878109917146</c:v>
                </c:pt>
                <c:pt idx="128">
                  <c:v>2.8354797594773884</c:v>
                </c:pt>
                <c:pt idx="129">
                  <c:v>1.7117040663852245</c:v>
                </c:pt>
                <c:pt idx="130">
                  <c:v>7.0335909646583774</c:v>
                </c:pt>
                <c:pt idx="131">
                  <c:v>8.459066371561855</c:v>
                </c:pt>
                <c:pt idx="132">
                  <c:v>4.2293435284397347</c:v>
                </c:pt>
                <c:pt idx="133">
                  <c:v>4.2293435284397329</c:v>
                </c:pt>
                <c:pt idx="134">
                  <c:v>4.2293435284397347</c:v>
                </c:pt>
                <c:pt idx="135">
                  <c:v>4.2293435284397347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E7C-9641-BEDE-43E7CE80F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2988271"/>
        <c:axId val="1482989919"/>
      </c:scatterChart>
      <c:scatterChart>
        <c:scatterStyle val="smoothMarker"/>
        <c:varyColors val="0"/>
        <c:ser>
          <c:idx val="1"/>
          <c:order val="1"/>
          <c:tx>
            <c:v>FUEL CONSUMPTION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'DUTY CYCLE'!$AC$4:$AC$140</c:f>
              <c:numCache>
                <c:formatCode>General</c:formatCode>
                <c:ptCount val="137"/>
                <c:pt idx="0">
                  <c:v>0</c:v>
                </c:pt>
                <c:pt idx="1">
                  <c:v>0.26858727046850533</c:v>
                </c:pt>
                <c:pt idx="2">
                  <c:v>0.23160181309454853</c:v>
                </c:pt>
                <c:pt idx="3">
                  <c:v>0.44034362013351014</c:v>
                </c:pt>
                <c:pt idx="4">
                  <c:v>0.53676943060280369</c:v>
                </c:pt>
                <c:pt idx="5">
                  <c:v>0.72144007895289797</c:v>
                </c:pt>
                <c:pt idx="6">
                  <c:v>0.69857240232144835</c:v>
                </c:pt>
                <c:pt idx="7">
                  <c:v>0.67286858562769736</c:v>
                </c:pt>
                <c:pt idx="8">
                  <c:v>0.74082281901015667</c:v>
                </c:pt>
                <c:pt idx="9">
                  <c:v>1.0436088645607335</c:v>
                </c:pt>
                <c:pt idx="10">
                  <c:v>0.71576735350330389</c:v>
                </c:pt>
                <c:pt idx="11">
                  <c:v>0.53378388023939938</c:v>
                </c:pt>
                <c:pt idx="12">
                  <c:v>0.81668610410363462</c:v>
                </c:pt>
                <c:pt idx="13">
                  <c:v>0.71503901177517248</c:v>
                </c:pt>
                <c:pt idx="14">
                  <c:v>0.7510799643328917</c:v>
                </c:pt>
                <c:pt idx="15">
                  <c:v>0.30957433594783423</c:v>
                </c:pt>
                <c:pt idx="16">
                  <c:v>0.40530103094812631</c:v>
                </c:pt>
                <c:pt idx="17">
                  <c:v>0.43605139659566616</c:v>
                </c:pt>
                <c:pt idx="18">
                  <c:v>0.64178051361376776</c:v>
                </c:pt>
                <c:pt idx="19">
                  <c:v>0.21646537079045991</c:v>
                </c:pt>
                <c:pt idx="20">
                  <c:v>0.25135569099812943</c:v>
                </c:pt>
                <c:pt idx="21">
                  <c:v>0.25895678143267747</c:v>
                </c:pt>
                <c:pt idx="22">
                  <c:v>1.1943178358085533</c:v>
                </c:pt>
                <c:pt idx="23">
                  <c:v>0.42542117841795596</c:v>
                </c:pt>
                <c:pt idx="24">
                  <c:v>0.46043085737740014</c:v>
                </c:pt>
                <c:pt idx="25">
                  <c:v>8.920214091675184E-2</c:v>
                </c:pt>
                <c:pt idx="26">
                  <c:v>8.920214091675184E-2</c:v>
                </c:pt>
                <c:pt idx="27">
                  <c:v>0.49593664136109028</c:v>
                </c:pt>
                <c:pt idx="28">
                  <c:v>5.6428745755337774E-2</c:v>
                </c:pt>
                <c:pt idx="29">
                  <c:v>5.64287457553364E-2</c:v>
                </c:pt>
                <c:pt idx="30">
                  <c:v>0.69284180912121718</c:v>
                </c:pt>
                <c:pt idx="31">
                  <c:v>0.53005923099637753</c:v>
                </c:pt>
                <c:pt idx="32">
                  <c:v>1.4174296650278995</c:v>
                </c:pt>
                <c:pt idx="33">
                  <c:v>0.21546236428344334</c:v>
                </c:pt>
                <c:pt idx="34">
                  <c:v>0.21546236428344215</c:v>
                </c:pt>
                <c:pt idx="35">
                  <c:v>0.25895678143267797</c:v>
                </c:pt>
                <c:pt idx="36">
                  <c:v>0.66744808516947107</c:v>
                </c:pt>
                <c:pt idx="37">
                  <c:v>0.16157622782305306</c:v>
                </c:pt>
                <c:pt idx="38">
                  <c:v>0.42484750589998149</c:v>
                </c:pt>
                <c:pt idx="39">
                  <c:v>0.13611098227032228</c:v>
                </c:pt>
                <c:pt idx="40">
                  <c:v>0.42542117841795607</c:v>
                </c:pt>
                <c:pt idx="41">
                  <c:v>0.11964421873139826</c:v>
                </c:pt>
                <c:pt idx="42">
                  <c:v>0.46043085737739897</c:v>
                </c:pt>
                <c:pt idx="43">
                  <c:v>8.9202140916750591E-2</c:v>
                </c:pt>
                <c:pt idx="44">
                  <c:v>8.9202140916751285E-2</c:v>
                </c:pt>
                <c:pt idx="45">
                  <c:v>0.4959366413610895</c:v>
                </c:pt>
                <c:pt idx="46">
                  <c:v>5.64287457553364E-2</c:v>
                </c:pt>
                <c:pt idx="47">
                  <c:v>0.53841951918443365</c:v>
                </c:pt>
                <c:pt idx="48">
                  <c:v>2.4366454875390419E-2</c:v>
                </c:pt>
                <c:pt idx="49">
                  <c:v>0.64227026109211072</c:v>
                </c:pt>
                <c:pt idx="50">
                  <c:v>0.63092300242230726</c:v>
                </c:pt>
                <c:pt idx="51">
                  <c:v>0.69284180912121773</c:v>
                </c:pt>
                <c:pt idx="52">
                  <c:v>0.79693127043825485</c:v>
                </c:pt>
                <c:pt idx="53">
                  <c:v>1.304431578892604</c:v>
                </c:pt>
                <c:pt idx="54">
                  <c:v>0.25135569099812971</c:v>
                </c:pt>
                <c:pt idx="55">
                  <c:v>0.21546236428344379</c:v>
                </c:pt>
                <c:pt idx="56">
                  <c:v>0.4261457322964699</c:v>
                </c:pt>
                <c:pt idx="57">
                  <c:v>0.2062327352580903</c:v>
                </c:pt>
                <c:pt idx="58">
                  <c:v>0.44431031727303255</c:v>
                </c:pt>
                <c:pt idx="59">
                  <c:v>0.27532086612547779</c:v>
                </c:pt>
                <c:pt idx="60">
                  <c:v>0.54710389714004903</c:v>
                </c:pt>
                <c:pt idx="61">
                  <c:v>0.30330978089800026</c:v>
                </c:pt>
                <c:pt idx="62">
                  <c:v>0.75487622035401891</c:v>
                </c:pt>
                <c:pt idx="63">
                  <c:v>0.30666067419719217</c:v>
                </c:pt>
                <c:pt idx="64">
                  <c:v>0.55064076567386688</c:v>
                </c:pt>
                <c:pt idx="65">
                  <c:v>0.32576765292214455</c:v>
                </c:pt>
                <c:pt idx="66">
                  <c:v>0.57298865100667251</c:v>
                </c:pt>
                <c:pt idx="67">
                  <c:v>0.59539630758286965</c:v>
                </c:pt>
                <c:pt idx="68">
                  <c:v>0.67060478770654564</c:v>
                </c:pt>
                <c:pt idx="69">
                  <c:v>0.56023603936195743</c:v>
                </c:pt>
                <c:pt idx="70">
                  <c:v>1.4693753111266208</c:v>
                </c:pt>
                <c:pt idx="71">
                  <c:v>8.2674037236094594E-2</c:v>
                </c:pt>
                <c:pt idx="72">
                  <c:v>0.39370286742467969</c:v>
                </c:pt>
                <c:pt idx="73">
                  <c:v>0.53099151174186943</c:v>
                </c:pt>
                <c:pt idx="74">
                  <c:v>0.67129732085456395</c:v>
                </c:pt>
                <c:pt idx="75">
                  <c:v>0.70324263583283031</c:v>
                </c:pt>
                <c:pt idx="76">
                  <c:v>0.72746211163488839</c:v>
                </c:pt>
                <c:pt idx="77">
                  <c:v>0.53065412533744194</c:v>
                </c:pt>
                <c:pt idx="78">
                  <c:v>0.54356973428728972</c:v>
                </c:pt>
                <c:pt idx="79">
                  <c:v>0.43010213553228127</c:v>
                </c:pt>
                <c:pt idx="80">
                  <c:v>0.60931471156853323</c:v>
                </c:pt>
                <c:pt idx="81">
                  <c:v>0.68752516141593678</c:v>
                </c:pt>
                <c:pt idx="82">
                  <c:v>0.69560002152899025</c:v>
                </c:pt>
                <c:pt idx="83">
                  <c:v>0.90610390217718284</c:v>
                </c:pt>
                <c:pt idx="84">
                  <c:v>0.90610390217718284</c:v>
                </c:pt>
                <c:pt idx="85">
                  <c:v>0.90610390217718284</c:v>
                </c:pt>
                <c:pt idx="86">
                  <c:v>0.90610390217718284</c:v>
                </c:pt>
                <c:pt idx="87">
                  <c:v>0.90610390217718284</c:v>
                </c:pt>
                <c:pt idx="88">
                  <c:v>0.90610390217718284</c:v>
                </c:pt>
                <c:pt idx="89">
                  <c:v>0.90610390217718284</c:v>
                </c:pt>
                <c:pt idx="90">
                  <c:v>0.90610390217718284</c:v>
                </c:pt>
                <c:pt idx="91">
                  <c:v>0.90610390217718284</c:v>
                </c:pt>
                <c:pt idx="92">
                  <c:v>0.9061039021771824</c:v>
                </c:pt>
                <c:pt idx="93">
                  <c:v>1.075619658918004</c:v>
                </c:pt>
                <c:pt idx="94">
                  <c:v>0.27421609490215509</c:v>
                </c:pt>
                <c:pt idx="95">
                  <c:v>0.63309497293493744</c:v>
                </c:pt>
                <c:pt idx="96">
                  <c:v>0.45830094954762235</c:v>
                </c:pt>
                <c:pt idx="97">
                  <c:v>0.4396734665309201</c:v>
                </c:pt>
                <c:pt idx="98">
                  <c:v>0.94446073485447457</c:v>
                </c:pt>
                <c:pt idx="99">
                  <c:v>1.0805777840442501</c:v>
                </c:pt>
                <c:pt idx="100">
                  <c:v>1.1073735680431489</c:v>
                </c:pt>
                <c:pt idx="101">
                  <c:v>1.2348498619182982</c:v>
                </c:pt>
                <c:pt idx="102">
                  <c:v>0.84446506201168825</c:v>
                </c:pt>
                <c:pt idx="103">
                  <c:v>0.68253842829138189</c:v>
                </c:pt>
                <c:pt idx="104">
                  <c:v>0.67010553449011012</c:v>
                </c:pt>
                <c:pt idx="105">
                  <c:v>1.1073735680431489</c:v>
                </c:pt>
                <c:pt idx="106">
                  <c:v>1.2348498619182982</c:v>
                </c:pt>
                <c:pt idx="107">
                  <c:v>0.68253842829138189</c:v>
                </c:pt>
                <c:pt idx="108">
                  <c:v>0.67010553449011012</c:v>
                </c:pt>
                <c:pt idx="109">
                  <c:v>0.61219434547624696</c:v>
                </c:pt>
                <c:pt idx="110">
                  <c:v>1.018083830060289</c:v>
                </c:pt>
                <c:pt idx="111">
                  <c:v>1.0041515310013245</c:v>
                </c:pt>
                <c:pt idx="112">
                  <c:v>0.63819299463111789</c:v>
                </c:pt>
                <c:pt idx="113">
                  <c:v>0.71542141943049664</c:v>
                </c:pt>
                <c:pt idx="114">
                  <c:v>0.7248314034950164</c:v>
                </c:pt>
                <c:pt idx="115">
                  <c:v>0.83540645588756157</c:v>
                </c:pt>
                <c:pt idx="116">
                  <c:v>0.90719842892008606</c:v>
                </c:pt>
                <c:pt idx="117">
                  <c:v>1.0438521348313379</c:v>
                </c:pt>
                <c:pt idx="118">
                  <c:v>0.73623516833368119</c:v>
                </c:pt>
                <c:pt idx="119">
                  <c:v>0.73623516833368119</c:v>
                </c:pt>
                <c:pt idx="120">
                  <c:v>0.28257757301624253</c:v>
                </c:pt>
                <c:pt idx="121">
                  <c:v>0.22892596638592883</c:v>
                </c:pt>
                <c:pt idx="122">
                  <c:v>0.17002550577821934</c:v>
                </c:pt>
                <c:pt idx="123">
                  <c:v>0.78676287606550599</c:v>
                </c:pt>
                <c:pt idx="124">
                  <c:v>0.60823981051622145</c:v>
                </c:pt>
                <c:pt idx="125">
                  <c:v>0.71542141943049664</c:v>
                </c:pt>
                <c:pt idx="126">
                  <c:v>0.7248314034950164</c:v>
                </c:pt>
                <c:pt idx="127">
                  <c:v>0.83540645588756157</c:v>
                </c:pt>
                <c:pt idx="128">
                  <c:v>0.53588712741607702</c:v>
                </c:pt>
                <c:pt idx="129">
                  <c:v>0.39436066948089943</c:v>
                </c:pt>
                <c:pt idx="130">
                  <c:v>0.7261703155164253</c:v>
                </c:pt>
                <c:pt idx="131">
                  <c:v>1.1509632908150629</c:v>
                </c:pt>
                <c:pt idx="132">
                  <c:v>0.76054508225468787</c:v>
                </c:pt>
                <c:pt idx="133">
                  <c:v>0.76054508225468742</c:v>
                </c:pt>
                <c:pt idx="134">
                  <c:v>0.76054508225468787</c:v>
                </c:pt>
                <c:pt idx="135">
                  <c:v>0.76054508225468787</c:v>
                </c:pt>
                <c:pt idx="136">
                  <c:v>81.817131763998447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E7C-9641-BEDE-43E7CE80F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3319104"/>
        <c:axId val="293079984"/>
      </c:scatterChart>
      <c:valAx>
        <c:axId val="1482988271"/>
        <c:scaling>
          <c:orientation val="minMax"/>
          <c:max val="13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2989919"/>
        <c:crosses val="autoZero"/>
        <c:crossBetween val="midCat"/>
      </c:valAx>
      <c:valAx>
        <c:axId val="1482989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2988271"/>
        <c:crosses val="autoZero"/>
        <c:crossBetween val="midCat"/>
      </c:valAx>
      <c:valAx>
        <c:axId val="29307998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CONSUMPTION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3319104"/>
        <c:crosses val="max"/>
        <c:crossBetween val="midCat"/>
      </c:valAx>
      <c:valAx>
        <c:axId val="2933191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930799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RESISTIVE</a:t>
            </a:r>
            <a:r>
              <a:rPr lang="en-GB" baseline="0"/>
              <a:t> FORCE VS RESISTIVE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826265276624615"/>
          <c:y val="0.17129403191160145"/>
          <c:w val="0.71641774743550168"/>
          <c:h val="0.60112170984567126"/>
        </c:manualLayout>
      </c:layout>
      <c:scatterChart>
        <c:scatterStyle val="smoothMarker"/>
        <c:varyColors val="0"/>
        <c:ser>
          <c:idx val="0"/>
          <c:order val="0"/>
          <c:tx>
            <c:v>RESISTIVE FORCE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'DUTY CYCLE'!$T$4:$T$139</c:f>
              <c:numCache>
                <c:formatCode>General</c:formatCode>
                <c:ptCount val="136"/>
                <c:pt idx="0">
                  <c:v>0</c:v>
                </c:pt>
                <c:pt idx="1">
                  <c:v>900.66524874631</c:v>
                </c:pt>
                <c:pt idx="2">
                  <c:v>744.21659023088512</c:v>
                </c:pt>
                <c:pt idx="3">
                  <c:v>1154.1144963447728</c:v>
                </c:pt>
                <c:pt idx="4">
                  <c:v>1204.382087392004</c:v>
                </c:pt>
                <c:pt idx="5">
                  <c:v>1339.5051508986014</c:v>
                </c:pt>
                <c:pt idx="6">
                  <c:v>1208.0842332866107</c:v>
                </c:pt>
                <c:pt idx="7">
                  <c:v>903.87318390200767</c:v>
                </c:pt>
                <c:pt idx="8">
                  <c:v>903.11959827400142</c:v>
                </c:pt>
                <c:pt idx="9">
                  <c:v>1085.1273840670547</c:v>
                </c:pt>
                <c:pt idx="10">
                  <c:v>823.12945107147607</c:v>
                </c:pt>
                <c:pt idx="11">
                  <c:v>-498.27693780951802</c:v>
                </c:pt>
                <c:pt idx="12">
                  <c:v>775.74582020598928</c:v>
                </c:pt>
                <c:pt idx="13">
                  <c:v>665.9042556314937</c:v>
                </c:pt>
                <c:pt idx="14">
                  <c:v>651.53447633568589</c:v>
                </c:pt>
                <c:pt idx="15">
                  <c:v>199.20169531323626</c:v>
                </c:pt>
                <c:pt idx="16">
                  <c:v>-319.75371713029261</c:v>
                </c:pt>
                <c:pt idx="17">
                  <c:v>368.16074942286014</c:v>
                </c:pt>
                <c:pt idx="18">
                  <c:v>674.53181280085107</c:v>
                </c:pt>
                <c:pt idx="19">
                  <c:v>114.10436591498595</c:v>
                </c:pt>
                <c:pt idx="20">
                  <c:v>127.47531544295938</c:v>
                </c:pt>
                <c:pt idx="21">
                  <c:v>139.93915951551276</c:v>
                </c:pt>
                <c:pt idx="22">
                  <c:v>857.73551704083229</c:v>
                </c:pt>
                <c:pt idx="23">
                  <c:v>266.31978489373807</c:v>
                </c:pt>
                <c:pt idx="24">
                  <c:v>278.32938504705396</c:v>
                </c:pt>
                <c:pt idx="25">
                  <c:v>-30.217324144024246</c:v>
                </c:pt>
                <c:pt idx="26">
                  <c:v>-30.217324144024246</c:v>
                </c:pt>
                <c:pt idx="27">
                  <c:v>289.87352751086161</c:v>
                </c:pt>
                <c:pt idx="28">
                  <c:v>-18.673181680216601</c:v>
                </c:pt>
                <c:pt idx="29">
                  <c:v>-18.673181680216146</c:v>
                </c:pt>
                <c:pt idx="30">
                  <c:v>-659.32034267949336</c:v>
                </c:pt>
                <c:pt idx="31">
                  <c:v>-363.3564991742528</c:v>
                </c:pt>
                <c:pt idx="32">
                  <c:v>-1262.5929783477941</c:v>
                </c:pt>
                <c:pt idx="33">
                  <c:v>-109.27197527953393</c:v>
                </c:pt>
                <c:pt idx="34">
                  <c:v>-109.27197527953331</c:v>
                </c:pt>
                <c:pt idx="35">
                  <c:v>139.93915951551301</c:v>
                </c:pt>
                <c:pt idx="36">
                  <c:v>535.90096560057691</c:v>
                </c:pt>
                <c:pt idx="37">
                  <c:v>-68.097632232354897</c:v>
                </c:pt>
                <c:pt idx="38">
                  <c:v>253.73691920789926</c:v>
                </c:pt>
                <c:pt idx="39">
                  <c:v>-54.809789983175477</c:v>
                </c:pt>
                <c:pt idx="40">
                  <c:v>266.31978489373813</c:v>
                </c:pt>
                <c:pt idx="41">
                  <c:v>-42.226924297339167</c:v>
                </c:pt>
                <c:pt idx="42">
                  <c:v>278.32938504705328</c:v>
                </c:pt>
                <c:pt idx="43">
                  <c:v>-30.21732414402382</c:v>
                </c:pt>
                <c:pt idx="44">
                  <c:v>-30.217324144024047</c:v>
                </c:pt>
                <c:pt idx="45">
                  <c:v>289.87352751086115</c:v>
                </c:pt>
                <c:pt idx="46">
                  <c:v>-18.673181680216146</c:v>
                </c:pt>
                <c:pt idx="47">
                  <c:v>301.04130249933189</c:v>
                </c:pt>
                <c:pt idx="48">
                  <c:v>-7.5054066917441276</c:v>
                </c:pt>
                <c:pt idx="49">
                  <c:v>311.90697471279816</c:v>
                </c:pt>
                <c:pt idx="50">
                  <c:v>-635.7666000623708</c:v>
                </c:pt>
                <c:pt idx="51">
                  <c:v>-659.32034267949393</c:v>
                </c:pt>
                <c:pt idx="52">
                  <c:v>-685.19105061450739</c:v>
                </c:pt>
                <c:pt idx="53">
                  <c:v>-1202.8024387288906</c:v>
                </c:pt>
                <c:pt idx="54">
                  <c:v>127.47531544295953</c:v>
                </c:pt>
                <c:pt idx="55">
                  <c:v>-109.27197527953416</c:v>
                </c:pt>
                <c:pt idx="56">
                  <c:v>337.21093105188032</c:v>
                </c:pt>
                <c:pt idx="57">
                  <c:v>100.46364032938507</c:v>
                </c:pt>
                <c:pt idx="58">
                  <c:v>339.95201484658128</c:v>
                </c:pt>
                <c:pt idx="59">
                  <c:v>142.16327522408702</c:v>
                </c:pt>
                <c:pt idx="60">
                  <c:v>381.77914201080421</c:v>
                </c:pt>
                <c:pt idx="61">
                  <c:v>145.03185128831001</c:v>
                </c:pt>
                <c:pt idx="62">
                  <c:v>591.87481923483017</c:v>
                </c:pt>
                <c:pt idx="63">
                  <c:v>150.74305198286729</c:v>
                </c:pt>
                <c:pt idx="64">
                  <c:v>463.54982580921279</c:v>
                </c:pt>
                <c:pt idx="65">
                  <c:v>155.00311661813549</c:v>
                </c:pt>
                <c:pt idx="66">
                  <c:v>468.02835529757169</c:v>
                </c:pt>
                <c:pt idx="67">
                  <c:v>472.72534963902126</c:v>
                </c:pt>
                <c:pt idx="68">
                  <c:v>477.64080883356041</c:v>
                </c:pt>
                <c:pt idx="69">
                  <c:v>-457.61177227565906</c:v>
                </c:pt>
                <c:pt idx="70">
                  <c:v>-1265.408644489115</c:v>
                </c:pt>
                <c:pt idx="71">
                  <c:v>38.195811387104783</c:v>
                </c:pt>
                <c:pt idx="72">
                  <c:v>274.94310210959998</c:v>
                </c:pt>
                <c:pt idx="73">
                  <c:v>507.72991831789761</c:v>
                </c:pt>
                <c:pt idx="74">
                  <c:v>562.48402979248226</c:v>
                </c:pt>
                <c:pt idx="75">
                  <c:v>572.50770240432291</c:v>
                </c:pt>
                <c:pt idx="76">
                  <c:v>570.38027455966494</c:v>
                </c:pt>
                <c:pt idx="77">
                  <c:v>569.08786342381313</c:v>
                </c:pt>
                <c:pt idx="78">
                  <c:v>568.54245224789429</c:v>
                </c:pt>
                <c:pt idx="79">
                  <c:v>259.99574305681705</c:v>
                </c:pt>
                <c:pt idx="80">
                  <c:v>568.67201417917829</c:v>
                </c:pt>
                <c:pt idx="81">
                  <c:v>569.41703940235743</c:v>
                </c:pt>
                <c:pt idx="82">
                  <c:v>570.7279296194165</c:v>
                </c:pt>
                <c:pt idx="83">
                  <c:v>707.42180442833808</c:v>
                </c:pt>
                <c:pt idx="84">
                  <c:v>707.42180442833819</c:v>
                </c:pt>
                <c:pt idx="85">
                  <c:v>707.42180442833819</c:v>
                </c:pt>
                <c:pt idx="86">
                  <c:v>707.42180442833808</c:v>
                </c:pt>
                <c:pt idx="87">
                  <c:v>707.42180442833819</c:v>
                </c:pt>
                <c:pt idx="88">
                  <c:v>707.42180442833808</c:v>
                </c:pt>
                <c:pt idx="89">
                  <c:v>707.42180442833819</c:v>
                </c:pt>
                <c:pt idx="90">
                  <c:v>707.42180442833819</c:v>
                </c:pt>
                <c:pt idx="91">
                  <c:v>707.42180442833819</c:v>
                </c:pt>
                <c:pt idx="92">
                  <c:v>707.42180442833785</c:v>
                </c:pt>
                <c:pt idx="93">
                  <c:v>-682.73804098207097</c:v>
                </c:pt>
                <c:pt idx="94">
                  <c:v>-119.96943687917053</c:v>
                </c:pt>
                <c:pt idx="95">
                  <c:v>590.27243528831002</c:v>
                </c:pt>
                <c:pt idx="96">
                  <c:v>350.65656850159291</c:v>
                </c:pt>
                <c:pt idx="97">
                  <c:v>347.91548470689088</c:v>
                </c:pt>
                <c:pt idx="98">
                  <c:v>1012.4665329867013</c:v>
                </c:pt>
                <c:pt idx="99">
                  <c:v>1037.1392704888506</c:v>
                </c:pt>
                <c:pt idx="100">
                  <c:v>1031.3920686871429</c:v>
                </c:pt>
                <c:pt idx="101">
                  <c:v>1026.4705004744194</c:v>
                </c:pt>
                <c:pt idx="102">
                  <c:v>789.72320975192349</c:v>
                </c:pt>
                <c:pt idx="103">
                  <c:v>557.89748724215701</c:v>
                </c:pt>
                <c:pt idx="104">
                  <c:v>563.64468904386536</c:v>
                </c:pt>
                <c:pt idx="105">
                  <c:v>1031.3920686871429</c:v>
                </c:pt>
                <c:pt idx="106">
                  <c:v>1026.4705004744194</c:v>
                </c:pt>
                <c:pt idx="107">
                  <c:v>557.89748724215701</c:v>
                </c:pt>
                <c:pt idx="108">
                  <c:v>563.64468904386536</c:v>
                </c:pt>
                <c:pt idx="109">
                  <c:v>570.3124471432659</c:v>
                </c:pt>
                <c:pt idx="110">
                  <c:v>977.15753219851831</c:v>
                </c:pt>
                <c:pt idx="111">
                  <c:v>759.67912782477276</c:v>
                </c:pt>
                <c:pt idx="112">
                  <c:v>645.19401387168512</c:v>
                </c:pt>
                <c:pt idx="113">
                  <c:v>662.19857069155637</c:v>
                </c:pt>
                <c:pt idx="114">
                  <c:v>678.28618618339374</c:v>
                </c:pt>
                <c:pt idx="115">
                  <c:v>693.60441733589937</c:v>
                </c:pt>
                <c:pt idx="116">
                  <c:v>708.27633345265781</c:v>
                </c:pt>
                <c:pt idx="117">
                  <c:v>722.40539002795458</c:v>
                </c:pt>
                <c:pt idx="118">
                  <c:v>413.85868083687842</c:v>
                </c:pt>
                <c:pt idx="119">
                  <c:v>413.85868083687842</c:v>
                </c:pt>
                <c:pt idx="120">
                  <c:v>91.18291507050327</c:v>
                </c:pt>
                <c:pt idx="121">
                  <c:v>76.510998953744888</c:v>
                </c:pt>
                <c:pt idx="122">
                  <c:v>61.192767801240223</c:v>
                </c:pt>
                <c:pt idx="123">
                  <c:v>-578.93290168322972</c:v>
                </c:pt>
                <c:pt idx="124">
                  <c:v>614.91224135160587</c:v>
                </c:pt>
                <c:pt idx="125">
                  <c:v>662.19857069155637</c:v>
                </c:pt>
                <c:pt idx="126">
                  <c:v>678.28618618339374</c:v>
                </c:pt>
                <c:pt idx="127">
                  <c:v>693.60441733589937</c:v>
                </c:pt>
                <c:pt idx="128">
                  <c:v>224.07719835265777</c:v>
                </c:pt>
                <c:pt idx="129">
                  <c:v>135.26947259011513</c:v>
                </c:pt>
                <c:pt idx="130">
                  <c:v>533.6044661765867</c:v>
                </c:pt>
                <c:pt idx="131">
                  <c:v>617.06574841385168</c:v>
                </c:pt>
                <c:pt idx="132">
                  <c:v>308.5190392227745</c:v>
                </c:pt>
                <c:pt idx="133">
                  <c:v>308.51903922277438</c:v>
                </c:pt>
                <c:pt idx="134">
                  <c:v>308.5190392227745</c:v>
                </c:pt>
                <c:pt idx="135">
                  <c:v>308.5190392227745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4E4-1543-95EE-AA20CA3D49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0058560"/>
        <c:axId val="290060208"/>
      </c:scatterChart>
      <c:scatterChart>
        <c:scatterStyle val="smoothMarker"/>
        <c:varyColors val="0"/>
        <c:ser>
          <c:idx val="1"/>
          <c:order val="1"/>
          <c:tx>
            <c:v>RESISTIVE POWER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'DUTY CYCLE'!$U$4:$U$139</c:f>
              <c:numCache>
                <c:formatCode>General</c:formatCode>
                <c:ptCount val="136"/>
                <c:pt idx="0">
                  <c:v>0</c:v>
                </c:pt>
                <c:pt idx="1">
                  <c:v>1.4836390927197198</c:v>
                </c:pt>
                <c:pt idx="2">
                  <c:v>1.2259258678560596</c:v>
                </c:pt>
                <c:pt idx="3">
                  <c:v>2.5348513396219419</c:v>
                </c:pt>
                <c:pt idx="4">
                  <c:v>3.3065713554756786</c:v>
                </c:pt>
                <c:pt idx="5">
                  <c:v>4.7808085419833848</c:v>
                </c:pt>
                <c:pt idx="6">
                  <c:v>4.9751031204358114</c:v>
                </c:pt>
                <c:pt idx="7">
                  <c:v>4.368753383999195</c:v>
                </c:pt>
                <c:pt idx="8">
                  <c:v>5.0926295302806182</c:v>
                </c:pt>
                <c:pt idx="9">
                  <c:v>7.4301644546631991</c:v>
                </c:pt>
                <c:pt idx="10">
                  <c:v>6.2992743468505283</c:v>
                </c:pt>
                <c:pt idx="11">
                  <c:v>3.4153230017901088</c:v>
                </c:pt>
                <c:pt idx="12">
                  <c:v>5.3171687113178692</c:v>
                </c:pt>
                <c:pt idx="13">
                  <c:v>4.9153842095932934</c:v>
                </c:pt>
                <c:pt idx="14">
                  <c:v>5.1528358134861332</c:v>
                </c:pt>
                <c:pt idx="15">
                  <c:v>1.5244578207016943</c:v>
                </c:pt>
                <c:pt idx="16">
                  <c:v>2.0606506290757616</c:v>
                </c:pt>
                <c:pt idx="17">
                  <c:v>2.5208975039513537</c:v>
                </c:pt>
                <c:pt idx="18">
                  <c:v>4.8903925776411414</c:v>
                </c:pt>
                <c:pt idx="19">
                  <c:v>0.87322195085630872</c:v>
                </c:pt>
                <c:pt idx="20">
                  <c:v>1.0268922411468331</c:v>
                </c:pt>
                <c:pt idx="21">
                  <c:v>1.1836609972034962</c:v>
                </c:pt>
                <c:pt idx="22">
                  <c:v>8.5926008598167289</c:v>
                </c:pt>
                <c:pt idx="23">
                  <c:v>2.8083489572869693</c:v>
                </c:pt>
                <c:pt idx="24">
                  <c:v>3.0817400236360579</c:v>
                </c:pt>
                <c:pt idx="25">
                  <c:v>0.33457458042412819</c:v>
                </c:pt>
                <c:pt idx="26">
                  <c:v>0.33457458042412819</c:v>
                </c:pt>
                <c:pt idx="27">
                  <c:v>3.3623961545348235</c:v>
                </c:pt>
                <c:pt idx="28">
                  <c:v>0.21660009733775287</c:v>
                </c:pt>
                <c:pt idx="29">
                  <c:v>0.2166000973377476</c:v>
                </c:pt>
                <c:pt idx="30">
                  <c:v>6.9525499114563862</c:v>
                </c:pt>
                <c:pt idx="31">
                  <c:v>3.6400234165376766</c:v>
                </c:pt>
                <c:pt idx="32">
                  <c:v>10.170964697647516</c:v>
                </c:pt>
                <c:pt idx="33">
                  <c:v>0.88025311566733966</c:v>
                </c:pt>
                <c:pt idx="34">
                  <c:v>0.88025311566733466</c:v>
                </c:pt>
                <c:pt idx="35">
                  <c:v>1.1836609972034984</c:v>
                </c:pt>
                <c:pt idx="36">
                  <c:v>5.0859804753092632</c:v>
                </c:pt>
                <c:pt idx="37">
                  <c:v>0.64628214946469742</c:v>
                </c:pt>
                <c:pt idx="38">
                  <c:v>2.541879200333093</c:v>
                </c:pt>
                <c:pt idx="39">
                  <c:v>0.5490721081022788</c:v>
                </c:pt>
                <c:pt idx="40">
                  <c:v>2.8083489572869698</c:v>
                </c:pt>
                <c:pt idx="41">
                  <c:v>0.44528399896081688</c:v>
                </c:pt>
                <c:pt idx="42">
                  <c:v>3.0817400236360504</c:v>
                </c:pt>
                <c:pt idx="43">
                  <c:v>0.33457458042412347</c:v>
                </c:pt>
                <c:pt idx="44">
                  <c:v>0.33457458042412608</c:v>
                </c:pt>
                <c:pt idx="45">
                  <c:v>3.3623961545348178</c:v>
                </c:pt>
                <c:pt idx="46">
                  <c:v>0.2166000973377476</c:v>
                </c:pt>
                <c:pt idx="47">
                  <c:v>3.6506614878739954</c:v>
                </c:pt>
                <c:pt idx="48">
                  <c:v>9.1016411810943665E-2</c:v>
                </c:pt>
                <c:pt idx="49">
                  <c:v>3.9468804507545956</c:v>
                </c:pt>
                <c:pt idx="50">
                  <c:v>7.3745926010828802</c:v>
                </c:pt>
                <c:pt idx="51">
                  <c:v>6.9525499114563925</c:v>
                </c:pt>
                <c:pt idx="52">
                  <c:v>6.5028214707106953</c:v>
                </c:pt>
                <c:pt idx="53">
                  <c:v>9.2048492940586435</c:v>
                </c:pt>
                <c:pt idx="54">
                  <c:v>1.0268922411468342</c:v>
                </c:pt>
                <c:pt idx="55">
                  <c:v>0.88025311566734143</c:v>
                </c:pt>
                <c:pt idx="56">
                  <c:v>2.8522640002889372</c:v>
                </c:pt>
                <c:pt idx="57">
                  <c:v>0.84976137563403897</c:v>
                </c:pt>
                <c:pt idx="58">
                  <c:v>3.0123753270556439</c:v>
                </c:pt>
                <c:pt idx="59">
                  <c:v>1.2597340918591922</c:v>
                </c:pt>
                <c:pt idx="60">
                  <c:v>3.5367862633665639</c:v>
                </c:pt>
                <c:pt idx="61">
                  <c:v>1.3435691030302566</c:v>
                </c:pt>
                <c:pt idx="62">
                  <c:v>5.9292683812450386</c:v>
                </c:pt>
                <c:pt idx="63">
                  <c:v>1.5101098792644747</c:v>
                </c:pt>
                <c:pt idx="64">
                  <c:v>4.8881447936032343</c:v>
                </c:pt>
                <c:pt idx="65">
                  <c:v>1.6345118373554475</c:v>
                </c:pt>
                <c:pt idx="66">
                  <c:v>5.1821395519314057</c:v>
                </c:pt>
                <c:pt idx="67">
                  <c:v>5.4833910203056275</c:v>
                </c:pt>
                <c:pt idx="68">
                  <c:v>5.7922447563471255</c:v>
                </c:pt>
                <c:pt idx="69">
                  <c:v>5.0668042602491106</c:v>
                </c:pt>
                <c:pt idx="70">
                  <c:v>10.703328955179785</c:v>
                </c:pt>
                <c:pt idx="71">
                  <c:v>0.30769080446226965</c:v>
                </c:pt>
                <c:pt idx="72">
                  <c:v>2.2148361612764575</c:v>
                </c:pt>
                <c:pt idx="73">
                  <c:v>4.2945813273917199</c:v>
                </c:pt>
                <c:pt idx="74">
                  <c:v>5.0416972336857633</c:v>
                </c:pt>
                <c:pt idx="75">
                  <c:v>5.433397555328864</c:v>
                </c:pt>
                <c:pt idx="76">
                  <c:v>5.7139408829803244</c:v>
                </c:pt>
                <c:pt idx="77">
                  <c:v>6.0010461051123842</c:v>
                </c:pt>
                <c:pt idx="78">
                  <c:v>6.2950594667980191</c:v>
                </c:pt>
                <c:pt idx="79">
                  <c:v>2.878744862737844</c:v>
                </c:pt>
                <c:pt idx="80">
                  <c:v>6.5963270605867752</c:v>
                </c:pt>
                <c:pt idx="81">
                  <c:v>6.9051948653790749</c:v>
                </c:pt>
                <c:pt idx="82">
                  <c:v>7.2220087742144718</c:v>
                </c:pt>
                <c:pt idx="83">
                  <c:v>8.9517372700841467</c:v>
                </c:pt>
                <c:pt idx="84">
                  <c:v>8.9517372700841467</c:v>
                </c:pt>
                <c:pt idx="85">
                  <c:v>8.9517372700841467</c:v>
                </c:pt>
                <c:pt idx="86">
                  <c:v>8.9517372700841467</c:v>
                </c:pt>
                <c:pt idx="87">
                  <c:v>8.9517372700841467</c:v>
                </c:pt>
                <c:pt idx="88">
                  <c:v>8.9517372700841467</c:v>
                </c:pt>
                <c:pt idx="89">
                  <c:v>8.9517372700841467</c:v>
                </c:pt>
                <c:pt idx="90">
                  <c:v>8.9517372700841467</c:v>
                </c:pt>
                <c:pt idx="91">
                  <c:v>8.9517372700841467</c:v>
                </c:pt>
                <c:pt idx="92">
                  <c:v>8.9517372700841431</c:v>
                </c:pt>
                <c:pt idx="93">
                  <c:v>7.1498384840960965</c:v>
                </c:pt>
                <c:pt idx="94">
                  <c:v>1.1113919271316941</c:v>
                </c:pt>
                <c:pt idx="95">
                  <c:v>5.4682595538772096</c:v>
                </c:pt>
                <c:pt idx="96">
                  <c:v>3.1072302827824188</c:v>
                </c:pt>
                <c:pt idx="97">
                  <c:v>2.9428073671190313</c:v>
                </c:pt>
                <c:pt idx="98">
                  <c:v>8.9716462037006224</c:v>
                </c:pt>
                <c:pt idx="99">
                  <c:v>9.6080155289342102</c:v>
                </c:pt>
                <c:pt idx="100">
                  <c:v>9.9701986308632158</c:v>
                </c:pt>
                <c:pt idx="101">
                  <c:v>10.336065741831291</c:v>
                </c:pt>
                <c:pt idx="102">
                  <c:v>7.9521340458135503</c:v>
                </c:pt>
                <c:pt idx="103">
                  <c:v>5.3930497745092083</c:v>
                </c:pt>
                <c:pt idx="104">
                  <c:v>5.2215812082616244</c:v>
                </c:pt>
                <c:pt idx="105">
                  <c:v>9.9701986308632158</c:v>
                </c:pt>
                <c:pt idx="106">
                  <c:v>10.336065741831291</c:v>
                </c:pt>
                <c:pt idx="107">
                  <c:v>5.3930497745092083</c:v>
                </c:pt>
                <c:pt idx="108">
                  <c:v>5.2215812082616244</c:v>
                </c:pt>
                <c:pt idx="109">
                  <c:v>5.0536401299531155</c:v>
                </c:pt>
                <c:pt idx="110">
                  <c:v>9.0523471733484264</c:v>
                </c:pt>
                <c:pt idx="111">
                  <c:v>7.6102940792892682</c:v>
                </c:pt>
                <c:pt idx="112">
                  <c:v>6.8035874121305095</c:v>
                </c:pt>
                <c:pt idx="113">
                  <c:v>7.3320459445910062</c:v>
                </c:pt>
                <c:pt idx="114">
                  <c:v>7.8677997390143792</c:v>
                </c:pt>
                <c:pt idx="115">
                  <c:v>8.4111878109917146</c:v>
                </c:pt>
                <c:pt idx="116">
                  <c:v>8.9625505066390367</c:v>
                </c:pt>
                <c:pt idx="117">
                  <c:v>9.5222291907122703</c:v>
                </c:pt>
                <c:pt idx="118">
                  <c:v>5.4551879954025528</c:v>
                </c:pt>
                <c:pt idx="119">
                  <c:v>5.4551879954025528</c:v>
                </c:pt>
                <c:pt idx="120">
                  <c:v>1.1538314116443482</c:v>
                </c:pt>
                <c:pt idx="121">
                  <c:v>0.92783201162180695</c:v>
                </c:pt>
                <c:pt idx="122">
                  <c:v>0.70980723526926015</c:v>
                </c:pt>
                <c:pt idx="123">
                  <c:v>5.8295767186113476</c:v>
                </c:pt>
                <c:pt idx="124">
                  <c:v>6.484265344806456</c:v>
                </c:pt>
                <c:pt idx="125">
                  <c:v>7.3320459445910062</c:v>
                </c:pt>
                <c:pt idx="126">
                  <c:v>7.8677997390143792</c:v>
                </c:pt>
                <c:pt idx="127">
                  <c:v>8.4111878109917146</c:v>
                </c:pt>
                <c:pt idx="128">
                  <c:v>2.8354797594773884</c:v>
                </c:pt>
                <c:pt idx="129">
                  <c:v>1.7117040663852245</c:v>
                </c:pt>
                <c:pt idx="130">
                  <c:v>7.0335909646583774</c:v>
                </c:pt>
                <c:pt idx="131">
                  <c:v>8.459066371561855</c:v>
                </c:pt>
                <c:pt idx="132">
                  <c:v>4.2293435284397347</c:v>
                </c:pt>
                <c:pt idx="133">
                  <c:v>4.2293435284397329</c:v>
                </c:pt>
                <c:pt idx="134">
                  <c:v>4.2293435284397347</c:v>
                </c:pt>
                <c:pt idx="135">
                  <c:v>4.2293435284397347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4E4-1543-95EE-AA20CA3D49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0147935"/>
        <c:axId val="1380731135"/>
      </c:scatterChart>
      <c:valAx>
        <c:axId val="290058560"/>
        <c:scaling>
          <c:orientation val="minMax"/>
          <c:max val="13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0060208"/>
        <c:crosses val="autoZero"/>
        <c:crossBetween val="midCat"/>
      </c:valAx>
      <c:valAx>
        <c:axId val="290060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RESISTIVE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0058560"/>
        <c:crosses val="autoZero"/>
        <c:crossBetween val="midCat"/>
      </c:valAx>
      <c:valAx>
        <c:axId val="1380731135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RESISTIVE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0147935"/>
        <c:crosses val="max"/>
        <c:crossBetween val="midCat"/>
      </c:valAx>
      <c:valAx>
        <c:axId val="148014793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8073113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RESISTIVE</a:t>
            </a:r>
            <a:r>
              <a:rPr lang="en-GB" baseline="0"/>
              <a:t> FORCE VS ACCELERATION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822128289993773"/>
          <c:y val="0.17129403191160145"/>
          <c:w val="0.72149778519685148"/>
          <c:h val="0.60203737650955003"/>
        </c:manualLayout>
      </c:layout>
      <c:scatterChart>
        <c:scatterStyle val="smoothMarker"/>
        <c:varyColors val="0"/>
        <c:ser>
          <c:idx val="1"/>
          <c:order val="1"/>
          <c:tx>
            <c:v>RESISTIVE FORCE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'DUTY CYCLE'!$T$4:$T$139</c:f>
              <c:numCache>
                <c:formatCode>General</c:formatCode>
                <c:ptCount val="136"/>
                <c:pt idx="0">
                  <c:v>0</c:v>
                </c:pt>
                <c:pt idx="1">
                  <c:v>900.66524874631</c:v>
                </c:pt>
                <c:pt idx="2">
                  <c:v>744.21659023088512</c:v>
                </c:pt>
                <c:pt idx="3">
                  <c:v>1154.1144963447728</c:v>
                </c:pt>
                <c:pt idx="4">
                  <c:v>1204.382087392004</c:v>
                </c:pt>
                <c:pt idx="5">
                  <c:v>1339.5051508986014</c:v>
                </c:pt>
                <c:pt idx="6">
                  <c:v>1208.0842332866107</c:v>
                </c:pt>
                <c:pt idx="7">
                  <c:v>903.87318390200767</c:v>
                </c:pt>
                <c:pt idx="8">
                  <c:v>903.11959827400142</c:v>
                </c:pt>
                <c:pt idx="9">
                  <c:v>1085.1273840670547</c:v>
                </c:pt>
                <c:pt idx="10">
                  <c:v>823.12945107147607</c:v>
                </c:pt>
                <c:pt idx="11">
                  <c:v>-498.27693780951802</c:v>
                </c:pt>
                <c:pt idx="12">
                  <c:v>775.74582020598928</c:v>
                </c:pt>
                <c:pt idx="13">
                  <c:v>665.9042556314937</c:v>
                </c:pt>
                <c:pt idx="14">
                  <c:v>651.53447633568589</c:v>
                </c:pt>
                <c:pt idx="15">
                  <c:v>199.20169531323626</c:v>
                </c:pt>
                <c:pt idx="16">
                  <c:v>-319.75371713029261</c:v>
                </c:pt>
                <c:pt idx="17">
                  <c:v>368.16074942286014</c:v>
                </c:pt>
                <c:pt idx="18">
                  <c:v>674.53181280085107</c:v>
                </c:pt>
                <c:pt idx="19">
                  <c:v>114.10436591498595</c:v>
                </c:pt>
                <c:pt idx="20">
                  <c:v>127.47531544295938</c:v>
                </c:pt>
                <c:pt idx="21">
                  <c:v>139.93915951551276</c:v>
                </c:pt>
                <c:pt idx="22">
                  <c:v>857.73551704083229</c:v>
                </c:pt>
                <c:pt idx="23">
                  <c:v>266.31978489373807</c:v>
                </c:pt>
                <c:pt idx="24">
                  <c:v>278.32938504705396</c:v>
                </c:pt>
                <c:pt idx="25">
                  <c:v>-30.217324144024246</c:v>
                </c:pt>
                <c:pt idx="26">
                  <c:v>-30.217324144024246</c:v>
                </c:pt>
                <c:pt idx="27">
                  <c:v>289.87352751086161</c:v>
                </c:pt>
                <c:pt idx="28">
                  <c:v>-18.673181680216601</c:v>
                </c:pt>
                <c:pt idx="29">
                  <c:v>-18.673181680216146</c:v>
                </c:pt>
                <c:pt idx="30">
                  <c:v>-659.32034267949336</c:v>
                </c:pt>
                <c:pt idx="31">
                  <c:v>-363.3564991742528</c:v>
                </c:pt>
                <c:pt idx="32">
                  <c:v>-1262.5929783477941</c:v>
                </c:pt>
                <c:pt idx="33">
                  <c:v>-109.27197527953393</c:v>
                </c:pt>
                <c:pt idx="34">
                  <c:v>-109.27197527953331</c:v>
                </c:pt>
                <c:pt idx="35">
                  <c:v>139.93915951551301</c:v>
                </c:pt>
                <c:pt idx="36">
                  <c:v>535.90096560057691</c:v>
                </c:pt>
                <c:pt idx="37">
                  <c:v>-68.097632232354897</c:v>
                </c:pt>
                <c:pt idx="38">
                  <c:v>253.73691920789926</c:v>
                </c:pt>
                <c:pt idx="39">
                  <c:v>-54.809789983175477</c:v>
                </c:pt>
                <c:pt idx="40">
                  <c:v>266.31978489373813</c:v>
                </c:pt>
                <c:pt idx="41">
                  <c:v>-42.226924297339167</c:v>
                </c:pt>
                <c:pt idx="42">
                  <c:v>278.32938504705328</c:v>
                </c:pt>
                <c:pt idx="43">
                  <c:v>-30.21732414402382</c:v>
                </c:pt>
                <c:pt idx="44">
                  <c:v>-30.217324144024047</c:v>
                </c:pt>
                <c:pt idx="45">
                  <c:v>289.87352751086115</c:v>
                </c:pt>
                <c:pt idx="46">
                  <c:v>-18.673181680216146</c:v>
                </c:pt>
                <c:pt idx="47">
                  <c:v>301.04130249933189</c:v>
                </c:pt>
                <c:pt idx="48">
                  <c:v>-7.5054066917441276</c:v>
                </c:pt>
                <c:pt idx="49">
                  <c:v>311.90697471279816</c:v>
                </c:pt>
                <c:pt idx="50">
                  <c:v>-635.7666000623708</c:v>
                </c:pt>
                <c:pt idx="51">
                  <c:v>-659.32034267949393</c:v>
                </c:pt>
                <c:pt idx="52">
                  <c:v>-685.19105061450739</c:v>
                </c:pt>
                <c:pt idx="53">
                  <c:v>-1202.8024387288906</c:v>
                </c:pt>
                <c:pt idx="54">
                  <c:v>127.47531544295953</c:v>
                </c:pt>
                <c:pt idx="55">
                  <c:v>-109.27197527953416</c:v>
                </c:pt>
                <c:pt idx="56">
                  <c:v>337.21093105188032</c:v>
                </c:pt>
                <c:pt idx="57">
                  <c:v>100.46364032938507</c:v>
                </c:pt>
                <c:pt idx="58">
                  <c:v>339.95201484658128</c:v>
                </c:pt>
                <c:pt idx="59">
                  <c:v>142.16327522408702</c:v>
                </c:pt>
                <c:pt idx="60">
                  <c:v>381.77914201080421</c:v>
                </c:pt>
                <c:pt idx="61">
                  <c:v>145.03185128831001</c:v>
                </c:pt>
                <c:pt idx="62">
                  <c:v>591.87481923483017</c:v>
                </c:pt>
                <c:pt idx="63">
                  <c:v>150.74305198286729</c:v>
                </c:pt>
                <c:pt idx="64">
                  <c:v>463.54982580921279</c:v>
                </c:pt>
                <c:pt idx="65">
                  <c:v>155.00311661813549</c:v>
                </c:pt>
                <c:pt idx="66">
                  <c:v>468.02835529757169</c:v>
                </c:pt>
                <c:pt idx="67">
                  <c:v>472.72534963902126</c:v>
                </c:pt>
                <c:pt idx="68">
                  <c:v>477.64080883356041</c:v>
                </c:pt>
                <c:pt idx="69">
                  <c:v>-457.61177227565906</c:v>
                </c:pt>
                <c:pt idx="70">
                  <c:v>-1265.408644489115</c:v>
                </c:pt>
                <c:pt idx="71">
                  <c:v>38.195811387104783</c:v>
                </c:pt>
                <c:pt idx="72">
                  <c:v>274.94310210959998</c:v>
                </c:pt>
                <c:pt idx="73">
                  <c:v>507.72991831789761</c:v>
                </c:pt>
                <c:pt idx="74">
                  <c:v>562.48402979248226</c:v>
                </c:pt>
                <c:pt idx="75">
                  <c:v>572.50770240432291</c:v>
                </c:pt>
                <c:pt idx="76">
                  <c:v>570.38027455966494</c:v>
                </c:pt>
                <c:pt idx="77">
                  <c:v>569.08786342381313</c:v>
                </c:pt>
                <c:pt idx="78">
                  <c:v>568.54245224789429</c:v>
                </c:pt>
                <c:pt idx="79">
                  <c:v>259.99574305681705</c:v>
                </c:pt>
                <c:pt idx="80">
                  <c:v>568.67201417917829</c:v>
                </c:pt>
                <c:pt idx="81">
                  <c:v>569.41703940235743</c:v>
                </c:pt>
                <c:pt idx="82">
                  <c:v>570.7279296194165</c:v>
                </c:pt>
                <c:pt idx="83">
                  <c:v>707.42180442833808</c:v>
                </c:pt>
                <c:pt idx="84">
                  <c:v>707.42180442833819</c:v>
                </c:pt>
                <c:pt idx="85">
                  <c:v>707.42180442833819</c:v>
                </c:pt>
                <c:pt idx="86">
                  <c:v>707.42180442833808</c:v>
                </c:pt>
                <c:pt idx="87">
                  <c:v>707.42180442833819</c:v>
                </c:pt>
                <c:pt idx="88">
                  <c:v>707.42180442833808</c:v>
                </c:pt>
                <c:pt idx="89">
                  <c:v>707.42180442833819</c:v>
                </c:pt>
                <c:pt idx="90">
                  <c:v>707.42180442833819</c:v>
                </c:pt>
                <c:pt idx="91">
                  <c:v>707.42180442833819</c:v>
                </c:pt>
                <c:pt idx="92">
                  <c:v>707.42180442833785</c:v>
                </c:pt>
                <c:pt idx="93">
                  <c:v>-682.73804098207097</c:v>
                </c:pt>
                <c:pt idx="94">
                  <c:v>-119.96943687917053</c:v>
                </c:pt>
                <c:pt idx="95">
                  <c:v>590.27243528831002</c:v>
                </c:pt>
                <c:pt idx="96">
                  <c:v>350.65656850159291</c:v>
                </c:pt>
                <c:pt idx="97">
                  <c:v>347.91548470689088</c:v>
                </c:pt>
                <c:pt idx="98">
                  <c:v>1012.4665329867013</c:v>
                </c:pt>
                <c:pt idx="99">
                  <c:v>1037.1392704888506</c:v>
                </c:pt>
                <c:pt idx="100">
                  <c:v>1031.3920686871429</c:v>
                </c:pt>
                <c:pt idx="101">
                  <c:v>1026.4705004744194</c:v>
                </c:pt>
                <c:pt idx="102">
                  <c:v>789.72320975192349</c:v>
                </c:pt>
                <c:pt idx="103">
                  <c:v>557.89748724215701</c:v>
                </c:pt>
                <c:pt idx="104">
                  <c:v>563.64468904386536</c:v>
                </c:pt>
                <c:pt idx="105">
                  <c:v>1031.3920686871429</c:v>
                </c:pt>
                <c:pt idx="106">
                  <c:v>1026.4705004744194</c:v>
                </c:pt>
                <c:pt idx="107">
                  <c:v>557.89748724215701</c:v>
                </c:pt>
                <c:pt idx="108">
                  <c:v>563.64468904386536</c:v>
                </c:pt>
                <c:pt idx="109">
                  <c:v>570.3124471432659</c:v>
                </c:pt>
                <c:pt idx="110">
                  <c:v>977.15753219851831</c:v>
                </c:pt>
                <c:pt idx="111">
                  <c:v>759.67912782477276</c:v>
                </c:pt>
                <c:pt idx="112">
                  <c:v>645.19401387168512</c:v>
                </c:pt>
                <c:pt idx="113">
                  <c:v>662.19857069155637</c:v>
                </c:pt>
                <c:pt idx="114">
                  <c:v>678.28618618339374</c:v>
                </c:pt>
                <c:pt idx="115">
                  <c:v>693.60441733589937</c:v>
                </c:pt>
                <c:pt idx="116">
                  <c:v>708.27633345265781</c:v>
                </c:pt>
                <c:pt idx="117">
                  <c:v>722.40539002795458</c:v>
                </c:pt>
                <c:pt idx="118">
                  <c:v>413.85868083687842</c:v>
                </c:pt>
                <c:pt idx="119">
                  <c:v>413.85868083687842</c:v>
                </c:pt>
                <c:pt idx="120">
                  <c:v>91.18291507050327</c:v>
                </c:pt>
                <c:pt idx="121">
                  <c:v>76.510998953744888</c:v>
                </c:pt>
                <c:pt idx="122">
                  <c:v>61.192767801240223</c:v>
                </c:pt>
                <c:pt idx="123">
                  <c:v>-578.93290168322972</c:v>
                </c:pt>
                <c:pt idx="124">
                  <c:v>614.91224135160587</c:v>
                </c:pt>
                <c:pt idx="125">
                  <c:v>662.19857069155637</c:v>
                </c:pt>
                <c:pt idx="126">
                  <c:v>678.28618618339374</c:v>
                </c:pt>
                <c:pt idx="127">
                  <c:v>693.60441733589937</c:v>
                </c:pt>
                <c:pt idx="128">
                  <c:v>224.07719835265777</c:v>
                </c:pt>
                <c:pt idx="129">
                  <c:v>135.26947259011513</c:v>
                </c:pt>
                <c:pt idx="130">
                  <c:v>533.6044661765867</c:v>
                </c:pt>
                <c:pt idx="131">
                  <c:v>617.06574841385168</c:v>
                </c:pt>
                <c:pt idx="132">
                  <c:v>308.5190392227745</c:v>
                </c:pt>
                <c:pt idx="133">
                  <c:v>308.51903922277438</c:v>
                </c:pt>
                <c:pt idx="134">
                  <c:v>308.5190392227745</c:v>
                </c:pt>
                <c:pt idx="135">
                  <c:v>308.5190392227745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7BD-D24A-A9B3-47F3B6FA62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2008768"/>
        <c:axId val="292010416"/>
      </c:scatterChart>
      <c:scatterChart>
        <c:scatterStyle val="smoothMarker"/>
        <c:varyColors val="0"/>
        <c:ser>
          <c:idx val="0"/>
          <c:order val="0"/>
          <c:tx>
            <c:v>ACCELERATION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'DUTY CYCLE'!$N$4:$N$139</c:f>
              <c:numCache>
                <c:formatCode>General</c:formatCode>
                <c:ptCount val="136"/>
                <c:pt idx="0">
                  <c:v>0</c:v>
                </c:pt>
                <c:pt idx="1">
                  <c:v>0.82363513790772214</c:v>
                </c:pt>
                <c:pt idx="2">
                  <c:v>0</c:v>
                </c:pt>
                <c:pt idx="3">
                  <c:v>0.54909009193848157</c:v>
                </c:pt>
                <c:pt idx="4">
                  <c:v>0.54909009193848135</c:v>
                </c:pt>
                <c:pt idx="5">
                  <c:v>0.82363513790772158</c:v>
                </c:pt>
                <c:pt idx="6">
                  <c:v>0.54909009193848135</c:v>
                </c:pt>
                <c:pt idx="7">
                  <c:v>0.71519414796375802</c:v>
                </c:pt>
                <c:pt idx="8">
                  <c:v>0.80556163958372995</c:v>
                </c:pt>
                <c:pt idx="9">
                  <c:v>1.2083424593755927</c:v>
                </c:pt>
                <c:pt idx="10">
                  <c:v>0.80556163958372728</c:v>
                </c:pt>
                <c:pt idx="11">
                  <c:v>-0.79856891701789756</c:v>
                </c:pt>
                <c:pt idx="12">
                  <c:v>0</c:v>
                </c:pt>
                <c:pt idx="13">
                  <c:v>0.52725128146365652</c:v>
                </c:pt>
                <c:pt idx="14">
                  <c:v>0.52725128146365652</c:v>
                </c:pt>
                <c:pt idx="15">
                  <c:v>-0.25593364590941547</c:v>
                </c:pt>
                <c:pt idx="16">
                  <c:v>-1.2083424593755918</c:v>
                </c:pt>
                <c:pt idx="17">
                  <c:v>0.40278081979186453</c:v>
                </c:pt>
                <c:pt idx="18">
                  <c:v>0.40278081979186275</c:v>
                </c:pt>
                <c:pt idx="19">
                  <c:v>0.40278081979186453</c:v>
                </c:pt>
                <c:pt idx="20">
                  <c:v>0.40278081979186364</c:v>
                </c:pt>
                <c:pt idx="21">
                  <c:v>0.40278081979186631</c:v>
                </c:pt>
                <c:pt idx="22">
                  <c:v>1.5593771321803054</c:v>
                </c:pt>
                <c:pt idx="23">
                  <c:v>0.52725128146365563</c:v>
                </c:pt>
                <c:pt idx="24">
                  <c:v>0.52725128146365563</c:v>
                </c:pt>
                <c:pt idx="25">
                  <c:v>0</c:v>
                </c:pt>
                <c:pt idx="26">
                  <c:v>0</c:v>
                </c:pt>
                <c:pt idx="27">
                  <c:v>0.52725128146365563</c:v>
                </c:pt>
                <c:pt idx="28">
                  <c:v>0</c:v>
                </c:pt>
                <c:pt idx="29">
                  <c:v>0</c:v>
                </c:pt>
                <c:pt idx="30">
                  <c:v>-1.0545025629273113</c:v>
                </c:pt>
                <c:pt idx="31">
                  <c:v>-0.52725128146365563</c:v>
                </c:pt>
                <c:pt idx="32">
                  <c:v>-1.9621579519721717</c:v>
                </c:pt>
                <c:pt idx="33">
                  <c:v>0</c:v>
                </c:pt>
                <c:pt idx="34">
                  <c:v>0</c:v>
                </c:pt>
                <c:pt idx="35">
                  <c:v>0.40278081979186631</c:v>
                </c:pt>
                <c:pt idx="36">
                  <c:v>1.0321258507166533</c:v>
                </c:pt>
                <c:pt idx="37">
                  <c:v>0</c:v>
                </c:pt>
                <c:pt idx="38">
                  <c:v>0.52725128146365208</c:v>
                </c:pt>
                <c:pt idx="39">
                  <c:v>0</c:v>
                </c:pt>
                <c:pt idx="40">
                  <c:v>0.52725128146365563</c:v>
                </c:pt>
                <c:pt idx="41">
                  <c:v>0</c:v>
                </c:pt>
                <c:pt idx="42">
                  <c:v>0.52725128146365563</c:v>
                </c:pt>
                <c:pt idx="43">
                  <c:v>0</c:v>
                </c:pt>
                <c:pt idx="44">
                  <c:v>0</c:v>
                </c:pt>
                <c:pt idx="45">
                  <c:v>0.52725128146365563</c:v>
                </c:pt>
                <c:pt idx="46">
                  <c:v>0</c:v>
                </c:pt>
                <c:pt idx="47">
                  <c:v>0.52725128146365385</c:v>
                </c:pt>
                <c:pt idx="48">
                  <c:v>0</c:v>
                </c:pt>
                <c:pt idx="49">
                  <c:v>0.52725128146365741</c:v>
                </c:pt>
                <c:pt idx="50">
                  <c:v>-1.0545025629273113</c:v>
                </c:pt>
                <c:pt idx="51">
                  <c:v>-1.0545025629273113</c:v>
                </c:pt>
                <c:pt idx="52">
                  <c:v>-1.0545025629273077</c:v>
                </c:pt>
                <c:pt idx="53">
                  <c:v>-1.8376874903003833</c:v>
                </c:pt>
                <c:pt idx="54">
                  <c:v>0.40278081979186364</c:v>
                </c:pt>
                <c:pt idx="55">
                  <c:v>0</c:v>
                </c:pt>
                <c:pt idx="56">
                  <c:v>0.40278081979186631</c:v>
                </c:pt>
                <c:pt idx="57">
                  <c:v>0</c:v>
                </c:pt>
                <c:pt idx="58">
                  <c:v>0.40278081979186453</c:v>
                </c:pt>
                <c:pt idx="59">
                  <c:v>0</c:v>
                </c:pt>
                <c:pt idx="60">
                  <c:v>0.40278081979186453</c:v>
                </c:pt>
                <c:pt idx="61">
                  <c:v>0</c:v>
                </c:pt>
                <c:pt idx="62">
                  <c:v>0.75381549259657632</c:v>
                </c:pt>
                <c:pt idx="63">
                  <c:v>0</c:v>
                </c:pt>
                <c:pt idx="64">
                  <c:v>0.52725128146365563</c:v>
                </c:pt>
                <c:pt idx="65">
                  <c:v>0</c:v>
                </c:pt>
                <c:pt idx="66">
                  <c:v>0.52725128146365563</c:v>
                </c:pt>
                <c:pt idx="67">
                  <c:v>0.52725128146365563</c:v>
                </c:pt>
                <c:pt idx="68">
                  <c:v>0.52725128146365385</c:v>
                </c:pt>
                <c:pt idx="69">
                  <c:v>-1.0545025629273095</c:v>
                </c:pt>
                <c:pt idx="70">
                  <c:v>-2.6138796951076166</c:v>
                </c:pt>
                <c:pt idx="71">
                  <c:v>-0.40278081979186631</c:v>
                </c:pt>
                <c:pt idx="72">
                  <c:v>0</c:v>
                </c:pt>
                <c:pt idx="73">
                  <c:v>0.40278081979186631</c:v>
                </c:pt>
                <c:pt idx="74">
                  <c:v>0.5048745692529959</c:v>
                </c:pt>
                <c:pt idx="75">
                  <c:v>0.52725128146365741</c:v>
                </c:pt>
                <c:pt idx="76">
                  <c:v>0.52725128146365208</c:v>
                </c:pt>
                <c:pt idx="77">
                  <c:v>0.52725128146365563</c:v>
                </c:pt>
                <c:pt idx="78">
                  <c:v>0.52725128146365563</c:v>
                </c:pt>
                <c:pt idx="79">
                  <c:v>0</c:v>
                </c:pt>
                <c:pt idx="80">
                  <c:v>0.52725128146365563</c:v>
                </c:pt>
                <c:pt idx="81">
                  <c:v>0.52725128146365385</c:v>
                </c:pt>
                <c:pt idx="82">
                  <c:v>0.52725128146365741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-2.1817294405392644</c:v>
                </c:pt>
                <c:pt idx="94">
                  <c:v>-1.20834245937559</c:v>
                </c:pt>
                <c:pt idx="95">
                  <c:v>0</c:v>
                </c:pt>
                <c:pt idx="96">
                  <c:v>-0.40278081979186453</c:v>
                </c:pt>
                <c:pt idx="97">
                  <c:v>-0.40278081979186453</c:v>
                </c:pt>
                <c:pt idx="98">
                  <c:v>0.40278081979186453</c:v>
                </c:pt>
                <c:pt idx="99">
                  <c:v>0.40278081979186453</c:v>
                </c:pt>
                <c:pt idx="100">
                  <c:v>0.4027808197918592</c:v>
                </c:pt>
                <c:pt idx="101">
                  <c:v>0.40278081979186631</c:v>
                </c:pt>
                <c:pt idx="102">
                  <c:v>0</c:v>
                </c:pt>
                <c:pt idx="103">
                  <c:v>-0.40278081979186631</c:v>
                </c:pt>
                <c:pt idx="104">
                  <c:v>-0.4027808197918592</c:v>
                </c:pt>
                <c:pt idx="105">
                  <c:v>0.4027808197918592</c:v>
                </c:pt>
                <c:pt idx="106">
                  <c:v>0.40278081979186631</c:v>
                </c:pt>
                <c:pt idx="107">
                  <c:v>-0.40278081979186631</c:v>
                </c:pt>
                <c:pt idx="108">
                  <c:v>-0.4027808197918592</c:v>
                </c:pt>
                <c:pt idx="109">
                  <c:v>-0.40278081979186453</c:v>
                </c:pt>
                <c:pt idx="110">
                  <c:v>0.40278081979186453</c:v>
                </c:pt>
                <c:pt idx="111">
                  <c:v>0.75381549259657632</c:v>
                </c:pt>
                <c:pt idx="112">
                  <c:v>0.52725128146365563</c:v>
                </c:pt>
                <c:pt idx="113">
                  <c:v>0.52725128146365563</c:v>
                </c:pt>
                <c:pt idx="114">
                  <c:v>0.52725128146365563</c:v>
                </c:pt>
                <c:pt idx="115">
                  <c:v>0.52725128146365385</c:v>
                </c:pt>
                <c:pt idx="116">
                  <c:v>0.52725128146365741</c:v>
                </c:pt>
                <c:pt idx="117">
                  <c:v>0.52725128146365385</c:v>
                </c:pt>
                <c:pt idx="118">
                  <c:v>0</c:v>
                </c:pt>
                <c:pt idx="119">
                  <c:v>0</c:v>
                </c:pt>
                <c:pt idx="120">
                  <c:v>-0.52725128146365385</c:v>
                </c:pt>
                <c:pt idx="121">
                  <c:v>-0.52725128146365741</c:v>
                </c:pt>
                <c:pt idx="122">
                  <c:v>-0.52725128146365385</c:v>
                </c:pt>
                <c:pt idx="123">
                  <c:v>-1.5300076974038177</c:v>
                </c:pt>
                <c:pt idx="124">
                  <c:v>0.47550513447650644</c:v>
                </c:pt>
                <c:pt idx="125">
                  <c:v>0.52725128146365563</c:v>
                </c:pt>
                <c:pt idx="126">
                  <c:v>0.52725128146365563</c:v>
                </c:pt>
                <c:pt idx="127">
                  <c:v>0.52725128146365385</c:v>
                </c:pt>
                <c:pt idx="128">
                  <c:v>0.52725128146365741</c:v>
                </c:pt>
                <c:pt idx="129">
                  <c:v>0</c:v>
                </c:pt>
                <c:pt idx="130">
                  <c:v>0.52725128146365385</c:v>
                </c:pt>
                <c:pt idx="131">
                  <c:v>0.52725128146365563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7BD-D24A-A9B3-47F3B6FA62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3794719"/>
        <c:axId val="1279908879"/>
      </c:scatterChart>
      <c:valAx>
        <c:axId val="292008768"/>
        <c:scaling>
          <c:orientation val="minMax"/>
          <c:max val="13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2010416"/>
        <c:crosses val="autoZero"/>
        <c:crossBetween val="midCat"/>
      </c:valAx>
      <c:valAx>
        <c:axId val="292010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RESISTIVE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2008768"/>
        <c:crosses val="autoZero"/>
        <c:crossBetween val="midCat"/>
      </c:valAx>
      <c:valAx>
        <c:axId val="1279908879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(M/S²)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3794719"/>
        <c:crosses val="max"/>
        <c:crossBetween val="midCat"/>
      </c:valAx>
      <c:valAx>
        <c:axId val="182379471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7990887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FUEL</a:t>
            </a:r>
            <a:r>
              <a:rPr lang="en-GB" baseline="0"/>
              <a:t> CONSUMTION VS ACCELERATION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030080443583223"/>
          <c:y val="0.17127112206258463"/>
          <c:w val="0.74045099695477778"/>
          <c:h val="0.6012053489770024"/>
        </c:manualLayout>
      </c:layout>
      <c:scatterChart>
        <c:scatterStyle val="smoothMarker"/>
        <c:varyColors val="0"/>
        <c:ser>
          <c:idx val="0"/>
          <c:order val="0"/>
          <c:tx>
            <c:v>ACCELERATION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'DUTY CYCLE'!$N$4:$N$139</c:f>
              <c:numCache>
                <c:formatCode>General</c:formatCode>
                <c:ptCount val="136"/>
                <c:pt idx="0">
                  <c:v>0</c:v>
                </c:pt>
                <c:pt idx="1">
                  <c:v>0.82363513790772214</c:v>
                </c:pt>
                <c:pt idx="2">
                  <c:v>0</c:v>
                </c:pt>
                <c:pt idx="3">
                  <c:v>0.54909009193848157</c:v>
                </c:pt>
                <c:pt idx="4">
                  <c:v>0.54909009193848135</c:v>
                </c:pt>
                <c:pt idx="5">
                  <c:v>0.82363513790772158</c:v>
                </c:pt>
                <c:pt idx="6">
                  <c:v>0.54909009193848135</c:v>
                </c:pt>
                <c:pt idx="7">
                  <c:v>0.71519414796375802</c:v>
                </c:pt>
                <c:pt idx="8">
                  <c:v>0.80556163958372995</c:v>
                </c:pt>
                <c:pt idx="9">
                  <c:v>1.2083424593755927</c:v>
                </c:pt>
                <c:pt idx="10">
                  <c:v>0.80556163958372728</c:v>
                </c:pt>
                <c:pt idx="11">
                  <c:v>-0.79856891701789756</c:v>
                </c:pt>
                <c:pt idx="12">
                  <c:v>0</c:v>
                </c:pt>
                <c:pt idx="13">
                  <c:v>0.52725128146365652</c:v>
                </c:pt>
                <c:pt idx="14">
                  <c:v>0.52725128146365652</c:v>
                </c:pt>
                <c:pt idx="15">
                  <c:v>-0.25593364590941547</c:v>
                </c:pt>
                <c:pt idx="16">
                  <c:v>-1.2083424593755918</c:v>
                </c:pt>
                <c:pt idx="17">
                  <c:v>0.40278081979186453</c:v>
                </c:pt>
                <c:pt idx="18">
                  <c:v>0.40278081979186275</c:v>
                </c:pt>
                <c:pt idx="19">
                  <c:v>0.40278081979186453</c:v>
                </c:pt>
                <c:pt idx="20">
                  <c:v>0.40278081979186364</c:v>
                </c:pt>
                <c:pt idx="21">
                  <c:v>0.40278081979186631</c:v>
                </c:pt>
                <c:pt idx="22">
                  <c:v>1.5593771321803054</c:v>
                </c:pt>
                <c:pt idx="23">
                  <c:v>0.52725128146365563</c:v>
                </c:pt>
                <c:pt idx="24">
                  <c:v>0.52725128146365563</c:v>
                </c:pt>
                <c:pt idx="25">
                  <c:v>0</c:v>
                </c:pt>
                <c:pt idx="26">
                  <c:v>0</c:v>
                </c:pt>
                <c:pt idx="27">
                  <c:v>0.52725128146365563</c:v>
                </c:pt>
                <c:pt idx="28">
                  <c:v>0</c:v>
                </c:pt>
                <c:pt idx="29">
                  <c:v>0</c:v>
                </c:pt>
                <c:pt idx="30">
                  <c:v>-1.0545025629273113</c:v>
                </c:pt>
                <c:pt idx="31">
                  <c:v>-0.52725128146365563</c:v>
                </c:pt>
                <c:pt idx="32">
                  <c:v>-1.9621579519721717</c:v>
                </c:pt>
                <c:pt idx="33">
                  <c:v>0</c:v>
                </c:pt>
                <c:pt idx="34">
                  <c:v>0</c:v>
                </c:pt>
                <c:pt idx="35">
                  <c:v>0.40278081979186631</c:v>
                </c:pt>
                <c:pt idx="36">
                  <c:v>1.0321258507166533</c:v>
                </c:pt>
                <c:pt idx="37">
                  <c:v>0</c:v>
                </c:pt>
                <c:pt idx="38">
                  <c:v>0.52725128146365208</c:v>
                </c:pt>
                <c:pt idx="39">
                  <c:v>0</c:v>
                </c:pt>
                <c:pt idx="40">
                  <c:v>0.52725128146365563</c:v>
                </c:pt>
                <c:pt idx="41">
                  <c:v>0</c:v>
                </c:pt>
                <c:pt idx="42">
                  <c:v>0.52725128146365563</c:v>
                </c:pt>
                <c:pt idx="43">
                  <c:v>0</c:v>
                </c:pt>
                <c:pt idx="44">
                  <c:v>0</c:v>
                </c:pt>
                <c:pt idx="45">
                  <c:v>0.52725128146365563</c:v>
                </c:pt>
                <c:pt idx="46">
                  <c:v>0</c:v>
                </c:pt>
                <c:pt idx="47">
                  <c:v>0.52725128146365385</c:v>
                </c:pt>
                <c:pt idx="48">
                  <c:v>0</c:v>
                </c:pt>
                <c:pt idx="49">
                  <c:v>0.52725128146365741</c:v>
                </c:pt>
                <c:pt idx="50">
                  <c:v>-1.0545025629273113</c:v>
                </c:pt>
                <c:pt idx="51">
                  <c:v>-1.0545025629273113</c:v>
                </c:pt>
                <c:pt idx="52">
                  <c:v>-1.0545025629273077</c:v>
                </c:pt>
                <c:pt idx="53">
                  <c:v>-1.8376874903003833</c:v>
                </c:pt>
                <c:pt idx="54">
                  <c:v>0.40278081979186364</c:v>
                </c:pt>
                <c:pt idx="55">
                  <c:v>0</c:v>
                </c:pt>
                <c:pt idx="56">
                  <c:v>0.40278081979186631</c:v>
                </c:pt>
                <c:pt idx="57">
                  <c:v>0</c:v>
                </c:pt>
                <c:pt idx="58">
                  <c:v>0.40278081979186453</c:v>
                </c:pt>
                <c:pt idx="59">
                  <c:v>0</c:v>
                </c:pt>
                <c:pt idx="60">
                  <c:v>0.40278081979186453</c:v>
                </c:pt>
                <c:pt idx="61">
                  <c:v>0</c:v>
                </c:pt>
                <c:pt idx="62">
                  <c:v>0.75381549259657632</c:v>
                </c:pt>
                <c:pt idx="63">
                  <c:v>0</c:v>
                </c:pt>
                <c:pt idx="64">
                  <c:v>0.52725128146365563</c:v>
                </c:pt>
                <c:pt idx="65">
                  <c:v>0</c:v>
                </c:pt>
                <c:pt idx="66">
                  <c:v>0.52725128146365563</c:v>
                </c:pt>
                <c:pt idx="67">
                  <c:v>0.52725128146365563</c:v>
                </c:pt>
                <c:pt idx="68">
                  <c:v>0.52725128146365385</c:v>
                </c:pt>
                <c:pt idx="69">
                  <c:v>-1.0545025629273095</c:v>
                </c:pt>
                <c:pt idx="70">
                  <c:v>-2.6138796951076166</c:v>
                </c:pt>
                <c:pt idx="71">
                  <c:v>-0.40278081979186631</c:v>
                </c:pt>
                <c:pt idx="72">
                  <c:v>0</c:v>
                </c:pt>
                <c:pt idx="73">
                  <c:v>0.40278081979186631</c:v>
                </c:pt>
                <c:pt idx="74">
                  <c:v>0.5048745692529959</c:v>
                </c:pt>
                <c:pt idx="75">
                  <c:v>0.52725128146365741</c:v>
                </c:pt>
                <c:pt idx="76">
                  <c:v>0.52725128146365208</c:v>
                </c:pt>
                <c:pt idx="77">
                  <c:v>0.52725128146365563</c:v>
                </c:pt>
                <c:pt idx="78">
                  <c:v>0.52725128146365563</c:v>
                </c:pt>
                <c:pt idx="79">
                  <c:v>0</c:v>
                </c:pt>
                <c:pt idx="80">
                  <c:v>0.52725128146365563</c:v>
                </c:pt>
                <c:pt idx="81">
                  <c:v>0.52725128146365385</c:v>
                </c:pt>
                <c:pt idx="82">
                  <c:v>0.52725128146365741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-2.1817294405392644</c:v>
                </c:pt>
                <c:pt idx="94">
                  <c:v>-1.20834245937559</c:v>
                </c:pt>
                <c:pt idx="95">
                  <c:v>0</c:v>
                </c:pt>
                <c:pt idx="96">
                  <c:v>-0.40278081979186453</c:v>
                </c:pt>
                <c:pt idx="97">
                  <c:v>-0.40278081979186453</c:v>
                </c:pt>
                <c:pt idx="98">
                  <c:v>0.40278081979186453</c:v>
                </c:pt>
                <c:pt idx="99">
                  <c:v>0.40278081979186453</c:v>
                </c:pt>
                <c:pt idx="100">
                  <c:v>0.4027808197918592</c:v>
                </c:pt>
                <c:pt idx="101">
                  <c:v>0.40278081979186631</c:v>
                </c:pt>
                <c:pt idx="102">
                  <c:v>0</c:v>
                </c:pt>
                <c:pt idx="103">
                  <c:v>-0.40278081979186631</c:v>
                </c:pt>
                <c:pt idx="104">
                  <c:v>-0.4027808197918592</c:v>
                </c:pt>
                <c:pt idx="105">
                  <c:v>0.4027808197918592</c:v>
                </c:pt>
                <c:pt idx="106">
                  <c:v>0.40278081979186631</c:v>
                </c:pt>
                <c:pt idx="107">
                  <c:v>-0.40278081979186631</c:v>
                </c:pt>
                <c:pt idx="108">
                  <c:v>-0.4027808197918592</c:v>
                </c:pt>
                <c:pt idx="109">
                  <c:v>-0.40278081979186453</c:v>
                </c:pt>
                <c:pt idx="110">
                  <c:v>0.40278081979186453</c:v>
                </c:pt>
                <c:pt idx="111">
                  <c:v>0.75381549259657632</c:v>
                </c:pt>
                <c:pt idx="112">
                  <c:v>0.52725128146365563</c:v>
                </c:pt>
                <c:pt idx="113">
                  <c:v>0.52725128146365563</c:v>
                </c:pt>
                <c:pt idx="114">
                  <c:v>0.52725128146365563</c:v>
                </c:pt>
                <c:pt idx="115">
                  <c:v>0.52725128146365385</c:v>
                </c:pt>
                <c:pt idx="116">
                  <c:v>0.52725128146365741</c:v>
                </c:pt>
                <c:pt idx="117">
                  <c:v>0.52725128146365385</c:v>
                </c:pt>
                <c:pt idx="118">
                  <c:v>0</c:v>
                </c:pt>
                <c:pt idx="119">
                  <c:v>0</c:v>
                </c:pt>
                <c:pt idx="120">
                  <c:v>-0.52725128146365385</c:v>
                </c:pt>
                <c:pt idx="121">
                  <c:v>-0.52725128146365741</c:v>
                </c:pt>
                <c:pt idx="122">
                  <c:v>-0.52725128146365385</c:v>
                </c:pt>
                <c:pt idx="123">
                  <c:v>-1.5300076974038177</c:v>
                </c:pt>
                <c:pt idx="124">
                  <c:v>0.47550513447650644</c:v>
                </c:pt>
                <c:pt idx="125">
                  <c:v>0.52725128146365563</c:v>
                </c:pt>
                <c:pt idx="126">
                  <c:v>0.52725128146365563</c:v>
                </c:pt>
                <c:pt idx="127">
                  <c:v>0.52725128146365385</c:v>
                </c:pt>
                <c:pt idx="128">
                  <c:v>0.52725128146365741</c:v>
                </c:pt>
                <c:pt idx="129">
                  <c:v>0</c:v>
                </c:pt>
                <c:pt idx="130">
                  <c:v>0.52725128146365385</c:v>
                </c:pt>
                <c:pt idx="131">
                  <c:v>0.52725128146365563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512-174B-A651-C4AA6A062A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3287152"/>
        <c:axId val="293288800"/>
      </c:scatterChart>
      <c:scatterChart>
        <c:scatterStyle val="smoothMarker"/>
        <c:varyColors val="0"/>
        <c:ser>
          <c:idx val="1"/>
          <c:order val="1"/>
          <c:tx>
            <c:v>FUEL CONSUMPTION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'DUTY CYCLE'!$AC$4:$AC$140</c:f>
              <c:numCache>
                <c:formatCode>General</c:formatCode>
                <c:ptCount val="137"/>
                <c:pt idx="0">
                  <c:v>0</c:v>
                </c:pt>
                <c:pt idx="1">
                  <c:v>0.26858727046850533</c:v>
                </c:pt>
                <c:pt idx="2">
                  <c:v>0.23160181309454853</c:v>
                </c:pt>
                <c:pt idx="3">
                  <c:v>0.44034362013351014</c:v>
                </c:pt>
                <c:pt idx="4">
                  <c:v>0.53676943060280369</c:v>
                </c:pt>
                <c:pt idx="5">
                  <c:v>0.72144007895289797</c:v>
                </c:pt>
                <c:pt idx="6">
                  <c:v>0.69857240232144835</c:v>
                </c:pt>
                <c:pt idx="7">
                  <c:v>0.67286858562769736</c:v>
                </c:pt>
                <c:pt idx="8">
                  <c:v>0.74082281901015667</c:v>
                </c:pt>
                <c:pt idx="9">
                  <c:v>1.0436088645607335</c:v>
                </c:pt>
                <c:pt idx="10">
                  <c:v>0.71576735350330389</c:v>
                </c:pt>
                <c:pt idx="11">
                  <c:v>0.53378388023939938</c:v>
                </c:pt>
                <c:pt idx="12">
                  <c:v>0.81668610410363462</c:v>
                </c:pt>
                <c:pt idx="13">
                  <c:v>0.71503901177517248</c:v>
                </c:pt>
                <c:pt idx="14">
                  <c:v>0.7510799643328917</c:v>
                </c:pt>
                <c:pt idx="15">
                  <c:v>0.30957433594783423</c:v>
                </c:pt>
                <c:pt idx="16">
                  <c:v>0.40530103094812631</c:v>
                </c:pt>
                <c:pt idx="17">
                  <c:v>0.43605139659566616</c:v>
                </c:pt>
                <c:pt idx="18">
                  <c:v>0.64178051361376776</c:v>
                </c:pt>
                <c:pt idx="19">
                  <c:v>0.21646537079045991</c:v>
                </c:pt>
                <c:pt idx="20">
                  <c:v>0.25135569099812943</c:v>
                </c:pt>
                <c:pt idx="21">
                  <c:v>0.25895678143267747</c:v>
                </c:pt>
                <c:pt idx="22">
                  <c:v>1.1943178358085533</c:v>
                </c:pt>
                <c:pt idx="23">
                  <c:v>0.42542117841795596</c:v>
                </c:pt>
                <c:pt idx="24">
                  <c:v>0.46043085737740014</c:v>
                </c:pt>
                <c:pt idx="25">
                  <c:v>8.920214091675184E-2</c:v>
                </c:pt>
                <c:pt idx="26">
                  <c:v>8.920214091675184E-2</c:v>
                </c:pt>
                <c:pt idx="27">
                  <c:v>0.49593664136109028</c:v>
                </c:pt>
                <c:pt idx="28">
                  <c:v>5.6428745755337774E-2</c:v>
                </c:pt>
                <c:pt idx="29">
                  <c:v>5.64287457553364E-2</c:v>
                </c:pt>
                <c:pt idx="30">
                  <c:v>0.69284180912121718</c:v>
                </c:pt>
                <c:pt idx="31">
                  <c:v>0.53005923099637753</c:v>
                </c:pt>
                <c:pt idx="32">
                  <c:v>1.4174296650278995</c:v>
                </c:pt>
                <c:pt idx="33">
                  <c:v>0.21546236428344334</c:v>
                </c:pt>
                <c:pt idx="34">
                  <c:v>0.21546236428344215</c:v>
                </c:pt>
                <c:pt idx="35">
                  <c:v>0.25895678143267797</c:v>
                </c:pt>
                <c:pt idx="36">
                  <c:v>0.66744808516947107</c:v>
                </c:pt>
                <c:pt idx="37">
                  <c:v>0.16157622782305306</c:v>
                </c:pt>
                <c:pt idx="38">
                  <c:v>0.42484750589998149</c:v>
                </c:pt>
                <c:pt idx="39">
                  <c:v>0.13611098227032228</c:v>
                </c:pt>
                <c:pt idx="40">
                  <c:v>0.42542117841795607</c:v>
                </c:pt>
                <c:pt idx="41">
                  <c:v>0.11964421873139826</c:v>
                </c:pt>
                <c:pt idx="42">
                  <c:v>0.46043085737739897</c:v>
                </c:pt>
                <c:pt idx="43">
                  <c:v>8.9202140916750591E-2</c:v>
                </c:pt>
                <c:pt idx="44">
                  <c:v>8.9202140916751285E-2</c:v>
                </c:pt>
                <c:pt idx="45">
                  <c:v>0.4959366413610895</c:v>
                </c:pt>
                <c:pt idx="46">
                  <c:v>5.64287457553364E-2</c:v>
                </c:pt>
                <c:pt idx="47">
                  <c:v>0.53841951918443365</c:v>
                </c:pt>
                <c:pt idx="48">
                  <c:v>2.4366454875390419E-2</c:v>
                </c:pt>
                <c:pt idx="49">
                  <c:v>0.64227026109211072</c:v>
                </c:pt>
                <c:pt idx="50">
                  <c:v>0.63092300242230726</c:v>
                </c:pt>
                <c:pt idx="51">
                  <c:v>0.69284180912121773</c:v>
                </c:pt>
                <c:pt idx="52">
                  <c:v>0.79693127043825485</c:v>
                </c:pt>
                <c:pt idx="53">
                  <c:v>1.304431578892604</c:v>
                </c:pt>
                <c:pt idx="54">
                  <c:v>0.25135569099812971</c:v>
                </c:pt>
                <c:pt idx="55">
                  <c:v>0.21546236428344379</c:v>
                </c:pt>
                <c:pt idx="56">
                  <c:v>0.4261457322964699</c:v>
                </c:pt>
                <c:pt idx="57">
                  <c:v>0.2062327352580903</c:v>
                </c:pt>
                <c:pt idx="58">
                  <c:v>0.44431031727303255</c:v>
                </c:pt>
                <c:pt idx="59">
                  <c:v>0.27532086612547779</c:v>
                </c:pt>
                <c:pt idx="60">
                  <c:v>0.54710389714004903</c:v>
                </c:pt>
                <c:pt idx="61">
                  <c:v>0.30330978089800026</c:v>
                </c:pt>
                <c:pt idx="62">
                  <c:v>0.75487622035401891</c:v>
                </c:pt>
                <c:pt idx="63">
                  <c:v>0.30666067419719217</c:v>
                </c:pt>
                <c:pt idx="64">
                  <c:v>0.55064076567386688</c:v>
                </c:pt>
                <c:pt idx="65">
                  <c:v>0.32576765292214455</c:v>
                </c:pt>
                <c:pt idx="66">
                  <c:v>0.57298865100667251</c:v>
                </c:pt>
                <c:pt idx="67">
                  <c:v>0.59539630758286965</c:v>
                </c:pt>
                <c:pt idx="68">
                  <c:v>0.67060478770654564</c:v>
                </c:pt>
                <c:pt idx="69">
                  <c:v>0.56023603936195743</c:v>
                </c:pt>
                <c:pt idx="70">
                  <c:v>1.4693753111266208</c:v>
                </c:pt>
                <c:pt idx="71">
                  <c:v>8.2674037236094594E-2</c:v>
                </c:pt>
                <c:pt idx="72">
                  <c:v>0.39370286742467969</c:v>
                </c:pt>
                <c:pt idx="73">
                  <c:v>0.53099151174186943</c:v>
                </c:pt>
                <c:pt idx="74">
                  <c:v>0.67129732085456395</c:v>
                </c:pt>
                <c:pt idx="75">
                  <c:v>0.70324263583283031</c:v>
                </c:pt>
                <c:pt idx="76">
                  <c:v>0.72746211163488839</c:v>
                </c:pt>
                <c:pt idx="77">
                  <c:v>0.53065412533744194</c:v>
                </c:pt>
                <c:pt idx="78">
                  <c:v>0.54356973428728972</c:v>
                </c:pt>
                <c:pt idx="79">
                  <c:v>0.43010213553228127</c:v>
                </c:pt>
                <c:pt idx="80">
                  <c:v>0.60931471156853323</c:v>
                </c:pt>
                <c:pt idx="81">
                  <c:v>0.68752516141593678</c:v>
                </c:pt>
                <c:pt idx="82">
                  <c:v>0.69560002152899025</c:v>
                </c:pt>
                <c:pt idx="83">
                  <c:v>0.90610390217718284</c:v>
                </c:pt>
                <c:pt idx="84">
                  <c:v>0.90610390217718284</c:v>
                </c:pt>
                <c:pt idx="85">
                  <c:v>0.90610390217718284</c:v>
                </c:pt>
                <c:pt idx="86">
                  <c:v>0.90610390217718284</c:v>
                </c:pt>
                <c:pt idx="87">
                  <c:v>0.90610390217718284</c:v>
                </c:pt>
                <c:pt idx="88">
                  <c:v>0.90610390217718284</c:v>
                </c:pt>
                <c:pt idx="89">
                  <c:v>0.90610390217718284</c:v>
                </c:pt>
                <c:pt idx="90">
                  <c:v>0.90610390217718284</c:v>
                </c:pt>
                <c:pt idx="91">
                  <c:v>0.90610390217718284</c:v>
                </c:pt>
                <c:pt idx="92">
                  <c:v>0.9061039021771824</c:v>
                </c:pt>
                <c:pt idx="93">
                  <c:v>1.075619658918004</c:v>
                </c:pt>
                <c:pt idx="94">
                  <c:v>0.27421609490215509</c:v>
                </c:pt>
                <c:pt idx="95">
                  <c:v>0.63309497293493744</c:v>
                </c:pt>
                <c:pt idx="96">
                  <c:v>0.45830094954762235</c:v>
                </c:pt>
                <c:pt idx="97">
                  <c:v>0.4396734665309201</c:v>
                </c:pt>
                <c:pt idx="98">
                  <c:v>0.94446073485447457</c:v>
                </c:pt>
                <c:pt idx="99">
                  <c:v>1.0805777840442501</c:v>
                </c:pt>
                <c:pt idx="100">
                  <c:v>1.1073735680431489</c:v>
                </c:pt>
                <c:pt idx="101">
                  <c:v>1.2348498619182982</c:v>
                </c:pt>
                <c:pt idx="102">
                  <c:v>0.84446506201168825</c:v>
                </c:pt>
                <c:pt idx="103">
                  <c:v>0.68253842829138189</c:v>
                </c:pt>
                <c:pt idx="104">
                  <c:v>0.67010553449011012</c:v>
                </c:pt>
                <c:pt idx="105">
                  <c:v>1.1073735680431489</c:v>
                </c:pt>
                <c:pt idx="106">
                  <c:v>1.2348498619182982</c:v>
                </c:pt>
                <c:pt idx="107">
                  <c:v>0.68253842829138189</c:v>
                </c:pt>
                <c:pt idx="108">
                  <c:v>0.67010553449011012</c:v>
                </c:pt>
                <c:pt idx="109">
                  <c:v>0.61219434547624696</c:v>
                </c:pt>
                <c:pt idx="110">
                  <c:v>1.018083830060289</c:v>
                </c:pt>
                <c:pt idx="111">
                  <c:v>1.0041515310013245</c:v>
                </c:pt>
                <c:pt idx="112">
                  <c:v>0.63819299463111789</c:v>
                </c:pt>
                <c:pt idx="113">
                  <c:v>0.71542141943049664</c:v>
                </c:pt>
                <c:pt idx="114">
                  <c:v>0.7248314034950164</c:v>
                </c:pt>
                <c:pt idx="115">
                  <c:v>0.83540645588756157</c:v>
                </c:pt>
                <c:pt idx="116">
                  <c:v>0.90719842892008606</c:v>
                </c:pt>
                <c:pt idx="117">
                  <c:v>1.0438521348313379</c:v>
                </c:pt>
                <c:pt idx="118">
                  <c:v>0.73623516833368119</c:v>
                </c:pt>
                <c:pt idx="119">
                  <c:v>0.73623516833368119</c:v>
                </c:pt>
                <c:pt idx="120">
                  <c:v>0.28257757301624253</c:v>
                </c:pt>
                <c:pt idx="121">
                  <c:v>0.22892596638592883</c:v>
                </c:pt>
                <c:pt idx="122">
                  <c:v>0.17002550577821934</c:v>
                </c:pt>
                <c:pt idx="123">
                  <c:v>0.78676287606550599</c:v>
                </c:pt>
                <c:pt idx="124">
                  <c:v>0.60823981051622145</c:v>
                </c:pt>
                <c:pt idx="125">
                  <c:v>0.71542141943049664</c:v>
                </c:pt>
                <c:pt idx="126">
                  <c:v>0.7248314034950164</c:v>
                </c:pt>
                <c:pt idx="127">
                  <c:v>0.83540645588756157</c:v>
                </c:pt>
                <c:pt idx="128">
                  <c:v>0.53588712741607702</c:v>
                </c:pt>
                <c:pt idx="129">
                  <c:v>0.39436066948089943</c:v>
                </c:pt>
                <c:pt idx="130">
                  <c:v>0.7261703155164253</c:v>
                </c:pt>
                <c:pt idx="131">
                  <c:v>1.1509632908150629</c:v>
                </c:pt>
                <c:pt idx="132">
                  <c:v>0.76054508225468787</c:v>
                </c:pt>
                <c:pt idx="133">
                  <c:v>0.76054508225468742</c:v>
                </c:pt>
                <c:pt idx="134">
                  <c:v>0.76054508225468787</c:v>
                </c:pt>
                <c:pt idx="135">
                  <c:v>0.76054508225468787</c:v>
                </c:pt>
                <c:pt idx="136">
                  <c:v>81.817131763998447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512-174B-A651-C4AA6A062A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3332640"/>
        <c:axId val="293162240"/>
      </c:scatterChart>
      <c:valAx>
        <c:axId val="293287152"/>
        <c:scaling>
          <c:orientation val="minMax"/>
          <c:max val="13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3288800"/>
        <c:crosses val="autoZero"/>
        <c:crossBetween val="midCat"/>
      </c:valAx>
      <c:valAx>
        <c:axId val="293288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(M/S²)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3287152"/>
        <c:crosses val="autoZero"/>
        <c:crossBetween val="midCat"/>
      </c:valAx>
      <c:valAx>
        <c:axId val="29316224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CONSUMPTION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3332640"/>
        <c:crosses val="max"/>
        <c:crossBetween val="midCat"/>
      </c:valAx>
      <c:valAx>
        <c:axId val="2933326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931622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VS TORQUE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27526714343243"/>
          <c:y val="0.17127112206258463"/>
          <c:w val="0.7494494657131352"/>
          <c:h val="0.58273201040470801"/>
        </c:manualLayout>
      </c:layout>
      <c:scatterChart>
        <c:scatterStyle val="smoothMarker"/>
        <c:varyColors val="0"/>
        <c:ser>
          <c:idx val="1"/>
          <c:order val="1"/>
          <c:tx>
            <c:v>TORQUE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'DUTY CYCLE'!$X$4:$X$139</c:f>
              <c:numCache>
                <c:formatCode>General</c:formatCode>
                <c:ptCount val="136"/>
                <c:pt idx="0">
                  <c:v>0</c:v>
                </c:pt>
                <c:pt idx="1">
                  <c:v>9.44513981482873</c:v>
                </c:pt>
                <c:pt idx="2">
                  <c:v>7.8044864693405422</c:v>
                </c:pt>
                <c:pt idx="3">
                  <c:v>12.103023621118345</c:v>
                </c:pt>
                <c:pt idx="4">
                  <c:v>12.630172221840548</c:v>
                </c:pt>
                <c:pt idx="5">
                  <c:v>14.047187287986697</c:v>
                </c:pt>
                <c:pt idx="6">
                  <c:v>12.668996064148359</c:v>
                </c:pt>
                <c:pt idx="7">
                  <c:v>13.90617392425834</c:v>
                </c:pt>
                <c:pt idx="8">
                  <c:v>13.894579938512873</c:v>
                </c:pt>
                <c:pt idx="9">
                  <c:v>16.694786836875458</c:v>
                </c:pt>
                <c:pt idx="10">
                  <c:v>12.663924002440826</c:v>
                </c:pt>
                <c:pt idx="11">
                  <c:v>10.035056085975617</c:v>
                </c:pt>
                <c:pt idx="12">
                  <c:v>15.623144929104036</c:v>
                </c:pt>
                <c:pt idx="13">
                  <c:v>13.41098904261637</c:v>
                </c:pt>
                <c:pt idx="14">
                  <c:v>13.12158865051625</c:v>
                </c:pt>
                <c:pt idx="15">
                  <c:v>3.0647368130497639</c:v>
                </c:pt>
                <c:pt idx="16">
                  <c:v>4.9194410040424676</c:v>
                </c:pt>
                <c:pt idx="17">
                  <c:v>5.6641877475088762</c:v>
                </c:pt>
                <c:pt idx="18">
                  <c:v>10.377735365220042</c:v>
                </c:pt>
                <c:pt idx="19">
                  <c:v>1.7555063986753219</c:v>
                </c:pt>
                <c:pt idx="20">
                  <c:v>1.9612197144147971</c:v>
                </c:pt>
                <c:pt idx="21">
                  <c:v>2.1529771274287834</c:v>
                </c:pt>
                <c:pt idx="22">
                  <c:v>17.274377695016874</c:v>
                </c:pt>
                <c:pt idx="23">
                  <c:v>5.3635514217502944</c:v>
                </c:pt>
                <c:pt idx="24">
                  <c:v>5.6054189495521491</c:v>
                </c:pt>
                <c:pt idx="25">
                  <c:v>0.60856226637025024</c:v>
                </c:pt>
                <c:pt idx="26">
                  <c:v>0.60856226637025024</c:v>
                </c:pt>
                <c:pt idx="27">
                  <c:v>5.8379123850261561</c:v>
                </c:pt>
                <c:pt idx="28">
                  <c:v>0.37606883089624427</c:v>
                </c:pt>
                <c:pt idx="29">
                  <c:v>0.37606883089623511</c:v>
                </c:pt>
                <c:pt idx="30">
                  <c:v>13.278392226016837</c:v>
                </c:pt>
                <c:pt idx="31">
                  <c:v>7.3178238279438359</c:v>
                </c:pt>
                <c:pt idx="32">
                  <c:v>19.425111691725203</c:v>
                </c:pt>
                <c:pt idx="33">
                  <c:v>1.6811596143659882</c:v>
                </c:pt>
                <c:pt idx="34">
                  <c:v>1.6811596143659786</c:v>
                </c:pt>
                <c:pt idx="35">
                  <c:v>2.1529771274287874</c:v>
                </c:pt>
                <c:pt idx="36">
                  <c:v>10.792785774857821</c:v>
                </c:pt>
                <c:pt idx="37">
                  <c:v>1.3714533162581561</c:v>
                </c:pt>
                <c:pt idx="38">
                  <c:v>5.1101386039008743</c:v>
                </c:pt>
                <c:pt idx="39">
                  <c:v>1.1038426120214551</c:v>
                </c:pt>
                <c:pt idx="40">
                  <c:v>5.3635514217502953</c:v>
                </c:pt>
                <c:pt idx="41">
                  <c:v>0.85042979417208464</c:v>
                </c:pt>
                <c:pt idx="42">
                  <c:v>5.6054189495521358</c:v>
                </c:pt>
                <c:pt idx="43">
                  <c:v>0.60856226637024158</c:v>
                </c:pt>
                <c:pt idx="44">
                  <c:v>0.60856226637024624</c:v>
                </c:pt>
                <c:pt idx="45">
                  <c:v>5.8379123850261463</c:v>
                </c:pt>
                <c:pt idx="46">
                  <c:v>0.37606883089623511</c:v>
                </c:pt>
                <c:pt idx="47">
                  <c:v>6.0628259619167961</c:v>
                </c:pt>
                <c:pt idx="48">
                  <c:v>0.15115525400555738</c:v>
                </c:pt>
                <c:pt idx="49">
                  <c:v>6.2816553353036184</c:v>
                </c:pt>
                <c:pt idx="50">
                  <c:v>12.804031262741001</c:v>
                </c:pt>
                <c:pt idx="51">
                  <c:v>13.27839222601685</c:v>
                </c:pt>
                <c:pt idx="52">
                  <c:v>13.799415748102877</c:v>
                </c:pt>
                <c:pt idx="53">
                  <c:v>18.505228617667914</c:v>
                </c:pt>
                <c:pt idx="54">
                  <c:v>1.9612197144147994</c:v>
                </c:pt>
                <c:pt idx="55">
                  <c:v>1.6811596143659917</c:v>
                </c:pt>
                <c:pt idx="56">
                  <c:v>5.188021881703401</c:v>
                </c:pt>
                <c:pt idx="57">
                  <c:v>1.5456425529225848</c:v>
                </c:pt>
                <c:pt idx="58">
                  <c:v>5.2301937136251349</c:v>
                </c:pt>
                <c:pt idx="59">
                  <c:v>2.1871953567356752</c:v>
                </c:pt>
                <c:pt idx="60">
                  <c:v>5.8737079979927227</c:v>
                </c:pt>
                <c:pt idx="61">
                  <c:v>2.2313286692119236</c:v>
                </c:pt>
                <c:pt idx="62">
                  <c:v>11.920072064761623</c:v>
                </c:pt>
                <c:pt idx="63">
                  <c:v>3.0358920239601654</c:v>
                </c:pt>
                <c:pt idx="64">
                  <c:v>9.3356688774104075</c:v>
                </c:pt>
                <c:pt idx="65">
                  <c:v>3.1216876614880262</c:v>
                </c:pt>
                <c:pt idx="66">
                  <c:v>9.4258642912217478</c:v>
                </c:pt>
                <c:pt idx="67">
                  <c:v>9.5204594813165695</c:v>
                </c:pt>
                <c:pt idx="68">
                  <c:v>9.619454447694844</c:v>
                </c:pt>
                <c:pt idx="69">
                  <c:v>9.2160793565453734</c:v>
                </c:pt>
                <c:pt idx="70">
                  <c:v>19.468430980062564</c:v>
                </c:pt>
                <c:pt idx="71">
                  <c:v>0.58764614968910422</c:v>
                </c:pt>
                <c:pt idx="72">
                  <c:v>4.2300254784699183</c:v>
                </c:pt>
                <c:pt idx="73">
                  <c:v>7.8114725344519504</c:v>
                </c:pt>
                <c:pt idx="74">
                  <c:v>11.328155806783396</c:v>
                </c:pt>
                <c:pt idx="75">
                  <c:v>11.53002771618678</c:v>
                </c:pt>
                <c:pt idx="76">
                  <c:v>11.487182350246583</c:v>
                </c:pt>
                <c:pt idx="77">
                  <c:v>11.46115381621202</c:v>
                </c:pt>
                <c:pt idx="78">
                  <c:v>11.450169499409553</c:v>
                </c:pt>
                <c:pt idx="79">
                  <c:v>5.2361882834871736</c:v>
                </c:pt>
                <c:pt idx="80">
                  <c:v>11.452778813926011</c:v>
                </c:pt>
                <c:pt idx="81">
                  <c:v>11.467783260916741</c:v>
                </c:pt>
                <c:pt idx="82">
                  <c:v>11.49418395469273</c:v>
                </c:pt>
                <c:pt idx="83">
                  <c:v>14.247132357938408</c:v>
                </c:pt>
                <c:pt idx="84">
                  <c:v>14.247132357938408</c:v>
                </c:pt>
                <c:pt idx="85">
                  <c:v>14.247132357938408</c:v>
                </c:pt>
                <c:pt idx="86">
                  <c:v>14.247132357938408</c:v>
                </c:pt>
                <c:pt idx="87">
                  <c:v>14.247132357938408</c:v>
                </c:pt>
                <c:pt idx="88">
                  <c:v>14.247132357938408</c:v>
                </c:pt>
                <c:pt idx="89">
                  <c:v>14.247132357938408</c:v>
                </c:pt>
                <c:pt idx="90">
                  <c:v>14.247132357938408</c:v>
                </c:pt>
                <c:pt idx="91">
                  <c:v>14.247132357938408</c:v>
                </c:pt>
                <c:pt idx="92">
                  <c:v>14.247132357938401</c:v>
                </c:pt>
                <c:pt idx="93">
                  <c:v>10.503988957408222</c:v>
                </c:pt>
                <c:pt idx="94">
                  <c:v>1.8457410669436867</c:v>
                </c:pt>
                <c:pt idx="95">
                  <c:v>9.0813969193986797</c:v>
                </c:pt>
                <c:pt idx="96">
                  <c:v>5.3948842781416344</c:v>
                </c:pt>
                <c:pt idx="97">
                  <c:v>5.3527124462198836</c:v>
                </c:pt>
                <c:pt idx="98">
                  <c:v>15.576892810806454</c:v>
                </c:pt>
                <c:pt idx="99">
                  <c:v>15.95648519721987</c:v>
                </c:pt>
                <c:pt idx="100">
                  <c:v>15.868063957099277</c:v>
                </c:pt>
                <c:pt idx="101">
                  <c:v>15.792345167378382</c:v>
                </c:pt>
                <c:pt idx="102">
                  <c:v>12.149965838597559</c:v>
                </c:pt>
                <c:pt idx="103">
                  <c:v>8.5833052995377201</c:v>
                </c:pt>
                <c:pt idx="104">
                  <c:v>8.6717265396583194</c:v>
                </c:pt>
                <c:pt idx="105">
                  <c:v>15.868063957099277</c:v>
                </c:pt>
                <c:pt idx="106">
                  <c:v>15.792345167378382</c:v>
                </c:pt>
                <c:pt idx="107">
                  <c:v>8.5833052995377201</c:v>
                </c:pt>
                <c:pt idx="108">
                  <c:v>8.6717265396583194</c:v>
                </c:pt>
                <c:pt idx="109">
                  <c:v>8.7743106249775291</c:v>
                </c:pt>
                <c:pt idx="110">
                  <c:v>15.033660513624502</c:v>
                </c:pt>
                <c:pt idx="111">
                  <c:v>15.299569529707851</c:v>
                </c:pt>
                <c:pt idx="112">
                  <c:v>12.993894808780402</c:v>
                </c:pt>
                <c:pt idx="113">
                  <c:v>13.336358343526214</c:v>
                </c:pt>
                <c:pt idx="114">
                  <c:v>13.660355124231957</c:v>
                </c:pt>
                <c:pt idx="115">
                  <c:v>13.96885687715092</c:v>
                </c:pt>
                <c:pt idx="116">
                  <c:v>14.264342158423736</c:v>
                </c:pt>
                <c:pt idx="117">
                  <c:v>14.548894511575643</c:v>
                </c:pt>
                <c:pt idx="118">
                  <c:v>8.3349132956532852</c:v>
                </c:pt>
                <c:pt idx="119">
                  <c:v>8.3349132956532852</c:v>
                </c:pt>
                <c:pt idx="120">
                  <c:v>1.836379726578975</c:v>
                </c:pt>
                <c:pt idx="121">
                  <c:v>1.5408944453061646</c:v>
                </c:pt>
                <c:pt idx="122">
                  <c:v>1.2323926923872146</c:v>
                </c:pt>
                <c:pt idx="123">
                  <c:v>8.9069371286441008</c:v>
                </c:pt>
                <c:pt idx="124">
                  <c:v>12.384034583345047</c:v>
                </c:pt>
                <c:pt idx="125">
                  <c:v>13.336358343526214</c:v>
                </c:pt>
                <c:pt idx="126">
                  <c:v>13.660355124231957</c:v>
                </c:pt>
                <c:pt idx="127">
                  <c:v>13.96885687715092</c:v>
                </c:pt>
                <c:pt idx="128">
                  <c:v>4.5128061975784481</c:v>
                </c:pt>
                <c:pt idx="129">
                  <c:v>2.7242616327570621</c:v>
                </c:pt>
                <c:pt idx="130">
                  <c:v>10.746535389233985</c:v>
                </c:pt>
                <c:pt idx="131">
                  <c:v>12.427405172090701</c:v>
                </c:pt>
                <c:pt idx="132">
                  <c:v>6.2134239561683238</c:v>
                </c:pt>
                <c:pt idx="133">
                  <c:v>6.2134239561683211</c:v>
                </c:pt>
                <c:pt idx="134">
                  <c:v>6.2134239561683238</c:v>
                </c:pt>
                <c:pt idx="135">
                  <c:v>6.2134239561683238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2D4-7B4F-B72C-F936370F02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2218992"/>
        <c:axId val="292220640"/>
      </c:scatterChart>
      <c:scatterChart>
        <c:scatterStyle val="smoothMarker"/>
        <c:varyColors val="0"/>
        <c:ser>
          <c:idx val="0"/>
          <c:order val="0"/>
          <c:tx>
            <c:v>RESISTIVE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'DUTY CYCLE'!$U$4:$U$139</c:f>
              <c:numCache>
                <c:formatCode>General</c:formatCode>
                <c:ptCount val="136"/>
                <c:pt idx="0">
                  <c:v>0</c:v>
                </c:pt>
                <c:pt idx="1">
                  <c:v>1.4836390927197198</c:v>
                </c:pt>
                <c:pt idx="2">
                  <c:v>1.2259258678560596</c:v>
                </c:pt>
                <c:pt idx="3">
                  <c:v>2.5348513396219419</c:v>
                </c:pt>
                <c:pt idx="4">
                  <c:v>3.3065713554756786</c:v>
                </c:pt>
                <c:pt idx="5">
                  <c:v>4.7808085419833848</c:v>
                </c:pt>
                <c:pt idx="6">
                  <c:v>4.9751031204358114</c:v>
                </c:pt>
                <c:pt idx="7">
                  <c:v>4.368753383999195</c:v>
                </c:pt>
                <c:pt idx="8">
                  <c:v>5.0926295302806182</c:v>
                </c:pt>
                <c:pt idx="9">
                  <c:v>7.4301644546631991</c:v>
                </c:pt>
                <c:pt idx="10">
                  <c:v>6.2992743468505283</c:v>
                </c:pt>
                <c:pt idx="11">
                  <c:v>3.4153230017901088</c:v>
                </c:pt>
                <c:pt idx="12">
                  <c:v>5.3171687113178692</c:v>
                </c:pt>
                <c:pt idx="13">
                  <c:v>4.9153842095932934</c:v>
                </c:pt>
                <c:pt idx="14">
                  <c:v>5.1528358134861332</c:v>
                </c:pt>
                <c:pt idx="15">
                  <c:v>1.5244578207016943</c:v>
                </c:pt>
                <c:pt idx="16">
                  <c:v>2.0606506290757616</c:v>
                </c:pt>
                <c:pt idx="17">
                  <c:v>2.5208975039513537</c:v>
                </c:pt>
                <c:pt idx="18">
                  <c:v>4.8903925776411414</c:v>
                </c:pt>
                <c:pt idx="19">
                  <c:v>0.87322195085630872</c:v>
                </c:pt>
                <c:pt idx="20">
                  <c:v>1.0268922411468331</c:v>
                </c:pt>
                <c:pt idx="21">
                  <c:v>1.1836609972034962</c:v>
                </c:pt>
                <c:pt idx="22">
                  <c:v>8.5926008598167289</c:v>
                </c:pt>
                <c:pt idx="23">
                  <c:v>2.8083489572869693</c:v>
                </c:pt>
                <c:pt idx="24">
                  <c:v>3.0817400236360579</c:v>
                </c:pt>
                <c:pt idx="25">
                  <c:v>0.33457458042412819</c:v>
                </c:pt>
                <c:pt idx="26">
                  <c:v>0.33457458042412819</c:v>
                </c:pt>
                <c:pt idx="27">
                  <c:v>3.3623961545348235</c:v>
                </c:pt>
                <c:pt idx="28">
                  <c:v>0.21660009733775287</c:v>
                </c:pt>
                <c:pt idx="29">
                  <c:v>0.2166000973377476</c:v>
                </c:pt>
                <c:pt idx="30">
                  <c:v>6.9525499114563862</c:v>
                </c:pt>
                <c:pt idx="31">
                  <c:v>3.6400234165376766</c:v>
                </c:pt>
                <c:pt idx="32">
                  <c:v>10.170964697647516</c:v>
                </c:pt>
                <c:pt idx="33">
                  <c:v>0.88025311566733966</c:v>
                </c:pt>
                <c:pt idx="34">
                  <c:v>0.88025311566733466</c:v>
                </c:pt>
                <c:pt idx="35">
                  <c:v>1.1836609972034984</c:v>
                </c:pt>
                <c:pt idx="36">
                  <c:v>5.0859804753092632</c:v>
                </c:pt>
                <c:pt idx="37">
                  <c:v>0.64628214946469742</c:v>
                </c:pt>
                <c:pt idx="38">
                  <c:v>2.541879200333093</c:v>
                </c:pt>
                <c:pt idx="39">
                  <c:v>0.5490721081022788</c:v>
                </c:pt>
                <c:pt idx="40">
                  <c:v>2.8083489572869698</c:v>
                </c:pt>
                <c:pt idx="41">
                  <c:v>0.44528399896081688</c:v>
                </c:pt>
                <c:pt idx="42">
                  <c:v>3.0817400236360504</c:v>
                </c:pt>
                <c:pt idx="43">
                  <c:v>0.33457458042412347</c:v>
                </c:pt>
                <c:pt idx="44">
                  <c:v>0.33457458042412608</c:v>
                </c:pt>
                <c:pt idx="45">
                  <c:v>3.3623961545348178</c:v>
                </c:pt>
                <c:pt idx="46">
                  <c:v>0.2166000973377476</c:v>
                </c:pt>
                <c:pt idx="47">
                  <c:v>3.6506614878739954</c:v>
                </c:pt>
                <c:pt idx="48">
                  <c:v>9.1016411810943665E-2</c:v>
                </c:pt>
                <c:pt idx="49">
                  <c:v>3.9468804507545956</c:v>
                </c:pt>
                <c:pt idx="50">
                  <c:v>7.3745926010828802</c:v>
                </c:pt>
                <c:pt idx="51">
                  <c:v>6.9525499114563925</c:v>
                </c:pt>
                <c:pt idx="52">
                  <c:v>6.5028214707106953</c:v>
                </c:pt>
                <c:pt idx="53">
                  <c:v>9.2048492940586435</c:v>
                </c:pt>
                <c:pt idx="54">
                  <c:v>1.0268922411468342</c:v>
                </c:pt>
                <c:pt idx="55">
                  <c:v>0.88025311566734143</c:v>
                </c:pt>
                <c:pt idx="56">
                  <c:v>2.8522640002889372</c:v>
                </c:pt>
                <c:pt idx="57">
                  <c:v>0.84976137563403897</c:v>
                </c:pt>
                <c:pt idx="58">
                  <c:v>3.0123753270556439</c:v>
                </c:pt>
                <c:pt idx="59">
                  <c:v>1.2597340918591922</c:v>
                </c:pt>
                <c:pt idx="60">
                  <c:v>3.5367862633665639</c:v>
                </c:pt>
                <c:pt idx="61">
                  <c:v>1.3435691030302566</c:v>
                </c:pt>
                <c:pt idx="62">
                  <c:v>5.9292683812450386</c:v>
                </c:pt>
                <c:pt idx="63">
                  <c:v>1.5101098792644747</c:v>
                </c:pt>
                <c:pt idx="64">
                  <c:v>4.8881447936032343</c:v>
                </c:pt>
                <c:pt idx="65">
                  <c:v>1.6345118373554475</c:v>
                </c:pt>
                <c:pt idx="66">
                  <c:v>5.1821395519314057</c:v>
                </c:pt>
                <c:pt idx="67">
                  <c:v>5.4833910203056275</c:v>
                </c:pt>
                <c:pt idx="68">
                  <c:v>5.7922447563471255</c:v>
                </c:pt>
                <c:pt idx="69">
                  <c:v>5.0668042602491106</c:v>
                </c:pt>
                <c:pt idx="70">
                  <c:v>10.703328955179785</c:v>
                </c:pt>
                <c:pt idx="71">
                  <c:v>0.30769080446226965</c:v>
                </c:pt>
                <c:pt idx="72">
                  <c:v>2.2148361612764575</c:v>
                </c:pt>
                <c:pt idx="73">
                  <c:v>4.2945813273917199</c:v>
                </c:pt>
                <c:pt idx="74">
                  <c:v>5.0416972336857633</c:v>
                </c:pt>
                <c:pt idx="75">
                  <c:v>5.433397555328864</c:v>
                </c:pt>
                <c:pt idx="76">
                  <c:v>5.7139408829803244</c:v>
                </c:pt>
                <c:pt idx="77">
                  <c:v>6.0010461051123842</c:v>
                </c:pt>
                <c:pt idx="78">
                  <c:v>6.2950594667980191</c:v>
                </c:pt>
                <c:pt idx="79">
                  <c:v>2.878744862737844</c:v>
                </c:pt>
                <c:pt idx="80">
                  <c:v>6.5963270605867752</c:v>
                </c:pt>
                <c:pt idx="81">
                  <c:v>6.9051948653790749</c:v>
                </c:pt>
                <c:pt idx="82">
                  <c:v>7.2220087742144718</c:v>
                </c:pt>
                <c:pt idx="83">
                  <c:v>8.9517372700841467</c:v>
                </c:pt>
                <c:pt idx="84">
                  <c:v>8.9517372700841467</c:v>
                </c:pt>
                <c:pt idx="85">
                  <c:v>8.9517372700841467</c:v>
                </c:pt>
                <c:pt idx="86">
                  <c:v>8.9517372700841467</c:v>
                </c:pt>
                <c:pt idx="87">
                  <c:v>8.9517372700841467</c:v>
                </c:pt>
                <c:pt idx="88">
                  <c:v>8.9517372700841467</c:v>
                </c:pt>
                <c:pt idx="89">
                  <c:v>8.9517372700841467</c:v>
                </c:pt>
                <c:pt idx="90">
                  <c:v>8.9517372700841467</c:v>
                </c:pt>
                <c:pt idx="91">
                  <c:v>8.9517372700841467</c:v>
                </c:pt>
                <c:pt idx="92">
                  <c:v>8.9517372700841431</c:v>
                </c:pt>
                <c:pt idx="93">
                  <c:v>7.1498384840960965</c:v>
                </c:pt>
                <c:pt idx="94">
                  <c:v>1.1113919271316941</c:v>
                </c:pt>
                <c:pt idx="95">
                  <c:v>5.4682595538772096</c:v>
                </c:pt>
                <c:pt idx="96">
                  <c:v>3.1072302827824188</c:v>
                </c:pt>
                <c:pt idx="97">
                  <c:v>2.9428073671190313</c:v>
                </c:pt>
                <c:pt idx="98">
                  <c:v>8.9716462037006224</c:v>
                </c:pt>
                <c:pt idx="99">
                  <c:v>9.6080155289342102</c:v>
                </c:pt>
                <c:pt idx="100">
                  <c:v>9.9701986308632158</c:v>
                </c:pt>
                <c:pt idx="101">
                  <c:v>10.336065741831291</c:v>
                </c:pt>
                <c:pt idx="102">
                  <c:v>7.9521340458135503</c:v>
                </c:pt>
                <c:pt idx="103">
                  <c:v>5.3930497745092083</c:v>
                </c:pt>
                <c:pt idx="104">
                  <c:v>5.2215812082616244</c:v>
                </c:pt>
                <c:pt idx="105">
                  <c:v>9.9701986308632158</c:v>
                </c:pt>
                <c:pt idx="106">
                  <c:v>10.336065741831291</c:v>
                </c:pt>
                <c:pt idx="107">
                  <c:v>5.3930497745092083</c:v>
                </c:pt>
                <c:pt idx="108">
                  <c:v>5.2215812082616244</c:v>
                </c:pt>
                <c:pt idx="109">
                  <c:v>5.0536401299531155</c:v>
                </c:pt>
                <c:pt idx="110">
                  <c:v>9.0523471733484264</c:v>
                </c:pt>
                <c:pt idx="111">
                  <c:v>7.6102940792892682</c:v>
                </c:pt>
                <c:pt idx="112">
                  <c:v>6.8035874121305095</c:v>
                </c:pt>
                <c:pt idx="113">
                  <c:v>7.3320459445910062</c:v>
                </c:pt>
                <c:pt idx="114">
                  <c:v>7.8677997390143792</c:v>
                </c:pt>
                <c:pt idx="115">
                  <c:v>8.4111878109917146</c:v>
                </c:pt>
                <c:pt idx="116">
                  <c:v>8.9625505066390367</c:v>
                </c:pt>
                <c:pt idx="117">
                  <c:v>9.5222291907122703</c:v>
                </c:pt>
                <c:pt idx="118">
                  <c:v>5.4551879954025528</c:v>
                </c:pt>
                <c:pt idx="119">
                  <c:v>5.4551879954025528</c:v>
                </c:pt>
                <c:pt idx="120">
                  <c:v>1.1538314116443482</c:v>
                </c:pt>
                <c:pt idx="121">
                  <c:v>0.92783201162180695</c:v>
                </c:pt>
                <c:pt idx="122">
                  <c:v>0.70980723526926015</c:v>
                </c:pt>
                <c:pt idx="123">
                  <c:v>5.8295767186113476</c:v>
                </c:pt>
                <c:pt idx="124">
                  <c:v>6.484265344806456</c:v>
                </c:pt>
                <c:pt idx="125">
                  <c:v>7.3320459445910062</c:v>
                </c:pt>
                <c:pt idx="126">
                  <c:v>7.8677997390143792</c:v>
                </c:pt>
                <c:pt idx="127">
                  <c:v>8.4111878109917146</c:v>
                </c:pt>
                <c:pt idx="128">
                  <c:v>2.8354797594773884</c:v>
                </c:pt>
                <c:pt idx="129">
                  <c:v>1.7117040663852245</c:v>
                </c:pt>
                <c:pt idx="130">
                  <c:v>7.0335909646583774</c:v>
                </c:pt>
                <c:pt idx="131">
                  <c:v>8.459066371561855</c:v>
                </c:pt>
                <c:pt idx="132">
                  <c:v>4.2293435284397347</c:v>
                </c:pt>
                <c:pt idx="133">
                  <c:v>4.2293435284397329</c:v>
                </c:pt>
                <c:pt idx="134">
                  <c:v>4.2293435284397347</c:v>
                </c:pt>
                <c:pt idx="135">
                  <c:v>4.2293435284397347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2D4-7B4F-B72C-F936370F02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2403999"/>
        <c:axId val="1740046335"/>
      </c:scatterChart>
      <c:valAx>
        <c:axId val="292218992"/>
        <c:scaling>
          <c:orientation val="minMax"/>
          <c:max val="13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2220640"/>
        <c:crosses val="autoZero"/>
        <c:crossBetween val="midCat"/>
      </c:valAx>
      <c:valAx>
        <c:axId val="292220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2218992"/>
        <c:crosses val="autoZero"/>
        <c:crossBetween val="midCat"/>
      </c:valAx>
      <c:valAx>
        <c:axId val="1740046335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2403999"/>
        <c:crosses val="max"/>
        <c:crossBetween val="midCat"/>
      </c:valAx>
      <c:valAx>
        <c:axId val="151240399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4004633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AND TORQUE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322719224456389"/>
          <c:y val="0.1713238744030581"/>
          <c:w val="0.67989674151836521"/>
          <c:h val="0.59643307885634478"/>
        </c:manualLayout>
      </c:layout>
      <c:scatterChart>
        <c:scatterStyle val="smoothMarker"/>
        <c:varyColors val="0"/>
        <c:ser>
          <c:idx val="0"/>
          <c:order val="0"/>
          <c:tx>
            <c:v>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VEHICLE!$G$5:$G$28</c:f>
              <c:numCache>
                <c:formatCode>General</c:formatCode>
                <c:ptCount val="24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2250</c:v>
                </c:pt>
                <c:pt idx="7">
                  <c:v>2500</c:v>
                </c:pt>
                <c:pt idx="8">
                  <c:v>2750</c:v>
                </c:pt>
                <c:pt idx="9">
                  <c:v>3000</c:v>
                </c:pt>
                <c:pt idx="10">
                  <c:v>3250</c:v>
                </c:pt>
                <c:pt idx="11">
                  <c:v>3500</c:v>
                </c:pt>
                <c:pt idx="12">
                  <c:v>3750</c:v>
                </c:pt>
                <c:pt idx="13">
                  <c:v>4000</c:v>
                </c:pt>
                <c:pt idx="14">
                  <c:v>4250</c:v>
                </c:pt>
                <c:pt idx="15">
                  <c:v>4500</c:v>
                </c:pt>
                <c:pt idx="16">
                  <c:v>4750</c:v>
                </c:pt>
                <c:pt idx="17">
                  <c:v>5000</c:v>
                </c:pt>
                <c:pt idx="18">
                  <c:v>5250</c:v>
                </c:pt>
                <c:pt idx="19">
                  <c:v>5500</c:v>
                </c:pt>
                <c:pt idx="20">
                  <c:v>5750</c:v>
                </c:pt>
                <c:pt idx="21">
                  <c:v>6000</c:v>
                </c:pt>
                <c:pt idx="22">
                  <c:v>6250</c:v>
                </c:pt>
                <c:pt idx="23">
                  <c:v>6500</c:v>
                </c:pt>
              </c:numCache>
            </c:numRef>
          </c:xVal>
          <c:yVal>
            <c:numRef>
              <c:f>VEHICLE!$I$5:$I$28</c:f>
              <c:numCache>
                <c:formatCode>General</c:formatCode>
                <c:ptCount val="24"/>
                <c:pt idx="0">
                  <c:v>559.27499999999998</c:v>
                </c:pt>
                <c:pt idx="1">
                  <c:v>1118.55</c:v>
                </c:pt>
                <c:pt idx="2">
                  <c:v>1677.825</c:v>
                </c:pt>
                <c:pt idx="3">
                  <c:v>2237.1</c:v>
                </c:pt>
                <c:pt idx="4">
                  <c:v>2796.3750000000005</c:v>
                </c:pt>
                <c:pt idx="5">
                  <c:v>3355.65</c:v>
                </c:pt>
                <c:pt idx="6">
                  <c:v>3914.9250000000002</c:v>
                </c:pt>
                <c:pt idx="7">
                  <c:v>4474.2</c:v>
                </c:pt>
                <c:pt idx="8">
                  <c:v>5033.4750000000004</c:v>
                </c:pt>
                <c:pt idx="9">
                  <c:v>5592.7500000000009</c:v>
                </c:pt>
                <c:pt idx="10">
                  <c:v>6152.0249999999996</c:v>
                </c:pt>
                <c:pt idx="11">
                  <c:v>6711.3</c:v>
                </c:pt>
                <c:pt idx="12">
                  <c:v>7270.5749999999998</c:v>
                </c:pt>
                <c:pt idx="13">
                  <c:v>7829.85</c:v>
                </c:pt>
                <c:pt idx="14">
                  <c:v>8389.125</c:v>
                </c:pt>
                <c:pt idx="15">
                  <c:v>8948.4</c:v>
                </c:pt>
                <c:pt idx="16">
                  <c:v>9507.6750000000011</c:v>
                </c:pt>
                <c:pt idx="17">
                  <c:v>10066.950000000001</c:v>
                </c:pt>
                <c:pt idx="18">
                  <c:v>10626.225</c:v>
                </c:pt>
                <c:pt idx="19">
                  <c:v>11185.500000000002</c:v>
                </c:pt>
                <c:pt idx="20">
                  <c:v>11744.775000000001</c:v>
                </c:pt>
                <c:pt idx="21">
                  <c:v>12304.05</c:v>
                </c:pt>
                <c:pt idx="22">
                  <c:v>12863.324999999999</c:v>
                </c:pt>
                <c:pt idx="23">
                  <c:v>13422.6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007-014C-A915-A37B6AFA89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1154144"/>
        <c:axId val="901155824"/>
      </c:scatterChart>
      <c:scatterChart>
        <c:scatterStyle val="smoothMarker"/>
        <c:varyColors val="0"/>
        <c:ser>
          <c:idx val="1"/>
          <c:order val="1"/>
          <c:tx>
            <c:v>TORQUE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VEHICLE!$G$5:$G$28</c:f>
              <c:numCache>
                <c:formatCode>General</c:formatCode>
                <c:ptCount val="24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2250</c:v>
                </c:pt>
                <c:pt idx="7">
                  <c:v>2500</c:v>
                </c:pt>
                <c:pt idx="8">
                  <c:v>2750</c:v>
                </c:pt>
                <c:pt idx="9">
                  <c:v>3000</c:v>
                </c:pt>
                <c:pt idx="10">
                  <c:v>3250</c:v>
                </c:pt>
                <c:pt idx="11">
                  <c:v>3500</c:v>
                </c:pt>
                <c:pt idx="12">
                  <c:v>3750</c:v>
                </c:pt>
                <c:pt idx="13">
                  <c:v>4000</c:v>
                </c:pt>
                <c:pt idx="14">
                  <c:v>4250</c:v>
                </c:pt>
                <c:pt idx="15">
                  <c:v>4500</c:v>
                </c:pt>
                <c:pt idx="16">
                  <c:v>4750</c:v>
                </c:pt>
                <c:pt idx="17">
                  <c:v>5000</c:v>
                </c:pt>
                <c:pt idx="18">
                  <c:v>5250</c:v>
                </c:pt>
                <c:pt idx="19">
                  <c:v>5500</c:v>
                </c:pt>
                <c:pt idx="20">
                  <c:v>5750</c:v>
                </c:pt>
                <c:pt idx="21">
                  <c:v>6000</c:v>
                </c:pt>
                <c:pt idx="22">
                  <c:v>6250</c:v>
                </c:pt>
                <c:pt idx="23">
                  <c:v>6500</c:v>
                </c:pt>
              </c:numCache>
            </c:numRef>
          </c:xVal>
          <c:yVal>
            <c:numRef>
              <c:f>VEHICLE!$J$5:$J$28</c:f>
              <c:numCache>
                <c:formatCode>0.00</c:formatCode>
                <c:ptCount val="24"/>
                <c:pt idx="0">
                  <c:v>7.1209104638175811</c:v>
                </c:pt>
                <c:pt idx="1">
                  <c:v>10.681365695726372</c:v>
                </c:pt>
                <c:pt idx="2">
                  <c:v>12.817638834871646</c:v>
                </c:pt>
                <c:pt idx="3">
                  <c:v>14.241820927635162</c:v>
                </c:pt>
                <c:pt idx="4">
                  <c:v>15.259093851037678</c:v>
                </c:pt>
                <c:pt idx="5">
                  <c:v>16.022048543589559</c:v>
                </c:pt>
                <c:pt idx="6">
                  <c:v>16.615457748907691</c:v>
                </c:pt>
                <c:pt idx="7">
                  <c:v>17.090185113162196</c:v>
                </c:pt>
                <c:pt idx="8">
                  <c:v>17.499336353732012</c:v>
                </c:pt>
                <c:pt idx="9">
                  <c:v>17.908487594301828</c:v>
                </c:pt>
                <c:pt idx="10">
                  <c:v>18.317638834871644</c:v>
                </c:pt>
                <c:pt idx="11">
                  <c:v>18.72679007544146</c:v>
                </c:pt>
                <c:pt idx="12">
                  <c:v>19.135941316011277</c:v>
                </c:pt>
                <c:pt idx="13">
                  <c:v>19.545092556581093</c:v>
                </c:pt>
                <c:pt idx="14">
                  <c:v>19.954243797150909</c:v>
                </c:pt>
                <c:pt idx="15">
                  <c:v>20.363395037720725</c:v>
                </c:pt>
                <c:pt idx="16">
                  <c:v>20.772546278290541</c:v>
                </c:pt>
                <c:pt idx="17">
                  <c:v>21.181697518860357</c:v>
                </c:pt>
                <c:pt idx="18">
                  <c:v>21.590848759430173</c:v>
                </c:pt>
                <c:pt idx="19">
                  <c:v>22</c:v>
                </c:pt>
                <c:pt idx="20">
                  <c:v>21.509018511316217</c:v>
                </c:pt>
                <c:pt idx="21">
                  <c:v>21.018037022632434</c:v>
                </c:pt>
                <c:pt idx="22">
                  <c:v>20.527055533948651</c:v>
                </c:pt>
                <c:pt idx="23">
                  <c:v>20.036074045264868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007-014C-A915-A37B6AFA89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9978144"/>
        <c:axId val="899975696"/>
      </c:scatterChart>
      <c:valAx>
        <c:axId val="901154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1155824"/>
        <c:crosses val="autoZero"/>
        <c:crossBetween val="midCat"/>
      </c:valAx>
      <c:valAx>
        <c:axId val="901155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1154144"/>
        <c:crosses val="autoZero"/>
        <c:crossBetween val="midCat"/>
      </c:valAx>
      <c:valAx>
        <c:axId val="89997569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9978144"/>
        <c:crosses val="max"/>
        <c:crossBetween val="midCat"/>
      </c:valAx>
      <c:valAx>
        <c:axId val="89997814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8999756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'DUTY CYCLE'!$K$5:$K$139</c:f>
              <c:numCache>
                <c:formatCode>General</c:formatCode>
                <c:ptCount val="135"/>
                <c:pt idx="0">
                  <c:v>1500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3250</c:v>
                </c:pt>
                <c:pt idx="5">
                  <c:v>3750</c:v>
                </c:pt>
                <c:pt idx="6">
                  <c:v>3000</c:v>
                </c:pt>
                <c:pt idx="7">
                  <c:v>3500</c:v>
                </c:pt>
                <c:pt idx="8">
                  <c:v>4250</c:v>
                </c:pt>
                <c:pt idx="9">
                  <c:v>4750</c:v>
                </c:pt>
                <c:pt idx="10">
                  <c:v>3250</c:v>
                </c:pt>
                <c:pt idx="11">
                  <c:v>3250</c:v>
                </c:pt>
                <c:pt idx="12">
                  <c:v>3500</c:v>
                </c:pt>
                <c:pt idx="13">
                  <c:v>3750</c:v>
                </c:pt>
                <c:pt idx="14">
                  <c:v>4750</c:v>
                </c:pt>
                <c:pt idx="15">
                  <c:v>4000</c:v>
                </c:pt>
                <c:pt idx="16">
                  <c:v>4250</c:v>
                </c:pt>
                <c:pt idx="17">
                  <c:v>4500</c:v>
                </c:pt>
                <c:pt idx="18">
                  <c:v>4750</c:v>
                </c:pt>
                <c:pt idx="19">
                  <c:v>5000</c:v>
                </c:pt>
                <c:pt idx="20">
                  <c:v>5250</c:v>
                </c:pt>
                <c:pt idx="21">
                  <c:v>4750</c:v>
                </c:pt>
                <c:pt idx="22">
                  <c:v>5000</c:v>
                </c:pt>
                <c:pt idx="23">
                  <c:v>5250</c:v>
                </c:pt>
                <c:pt idx="24">
                  <c:v>5250</c:v>
                </c:pt>
                <c:pt idx="25">
                  <c:v>5250</c:v>
                </c:pt>
                <c:pt idx="26">
                  <c:v>5500</c:v>
                </c:pt>
                <c:pt idx="27">
                  <c:v>5500</c:v>
                </c:pt>
                <c:pt idx="28">
                  <c:v>5500</c:v>
                </c:pt>
                <c:pt idx="29">
                  <c:v>5000</c:v>
                </c:pt>
                <c:pt idx="30">
                  <c:v>4750</c:v>
                </c:pt>
                <c:pt idx="31">
                  <c:v>5000</c:v>
                </c:pt>
                <c:pt idx="32">
                  <c:v>5000</c:v>
                </c:pt>
                <c:pt idx="33">
                  <c:v>5000</c:v>
                </c:pt>
                <c:pt idx="34">
                  <c:v>5250</c:v>
                </c:pt>
                <c:pt idx="35">
                  <c:v>4500</c:v>
                </c:pt>
                <c:pt idx="36">
                  <c:v>4500</c:v>
                </c:pt>
                <c:pt idx="37">
                  <c:v>4750</c:v>
                </c:pt>
                <c:pt idx="38">
                  <c:v>4750</c:v>
                </c:pt>
                <c:pt idx="39">
                  <c:v>5000</c:v>
                </c:pt>
                <c:pt idx="40">
                  <c:v>5000</c:v>
                </c:pt>
                <c:pt idx="41">
                  <c:v>5250</c:v>
                </c:pt>
                <c:pt idx="42">
                  <c:v>5250</c:v>
                </c:pt>
                <c:pt idx="43">
                  <c:v>5250</c:v>
                </c:pt>
                <c:pt idx="44">
                  <c:v>5500</c:v>
                </c:pt>
                <c:pt idx="45">
                  <c:v>5500</c:v>
                </c:pt>
                <c:pt idx="46">
                  <c:v>5750</c:v>
                </c:pt>
                <c:pt idx="47">
                  <c:v>5750</c:v>
                </c:pt>
                <c:pt idx="48">
                  <c:v>6000</c:v>
                </c:pt>
                <c:pt idx="49">
                  <c:v>5500</c:v>
                </c:pt>
                <c:pt idx="50">
                  <c:v>5000</c:v>
                </c:pt>
                <c:pt idx="51">
                  <c:v>4500</c:v>
                </c:pt>
                <c:pt idx="52">
                  <c:v>4750</c:v>
                </c:pt>
                <c:pt idx="53">
                  <c:v>5000</c:v>
                </c:pt>
                <c:pt idx="54">
                  <c:v>5000</c:v>
                </c:pt>
                <c:pt idx="55">
                  <c:v>5250</c:v>
                </c:pt>
                <c:pt idx="56">
                  <c:v>5250</c:v>
                </c:pt>
                <c:pt idx="57">
                  <c:v>5500</c:v>
                </c:pt>
                <c:pt idx="58">
                  <c:v>5500</c:v>
                </c:pt>
                <c:pt idx="59">
                  <c:v>5750</c:v>
                </c:pt>
                <c:pt idx="60">
                  <c:v>5750</c:v>
                </c:pt>
                <c:pt idx="61">
                  <c:v>4750</c:v>
                </c:pt>
                <c:pt idx="62">
                  <c:v>4750</c:v>
                </c:pt>
                <c:pt idx="63">
                  <c:v>5000</c:v>
                </c:pt>
                <c:pt idx="64">
                  <c:v>5000</c:v>
                </c:pt>
                <c:pt idx="65">
                  <c:v>5250</c:v>
                </c:pt>
                <c:pt idx="66">
                  <c:v>5500</c:v>
                </c:pt>
                <c:pt idx="67">
                  <c:v>5750</c:v>
                </c:pt>
                <c:pt idx="68">
                  <c:v>5250</c:v>
                </c:pt>
                <c:pt idx="69">
                  <c:v>5250</c:v>
                </c:pt>
                <c:pt idx="70">
                  <c:v>5000</c:v>
                </c:pt>
                <c:pt idx="71">
                  <c:v>5000</c:v>
                </c:pt>
                <c:pt idx="72">
                  <c:v>5250</c:v>
                </c:pt>
                <c:pt idx="73">
                  <c:v>4250</c:v>
                </c:pt>
                <c:pt idx="74">
                  <c:v>4500</c:v>
                </c:pt>
                <c:pt idx="75">
                  <c:v>4750</c:v>
                </c:pt>
                <c:pt idx="76">
                  <c:v>5000</c:v>
                </c:pt>
                <c:pt idx="77">
                  <c:v>5250</c:v>
                </c:pt>
                <c:pt idx="78">
                  <c:v>5250</c:v>
                </c:pt>
                <c:pt idx="79">
                  <c:v>5500</c:v>
                </c:pt>
                <c:pt idx="80">
                  <c:v>5750</c:v>
                </c:pt>
                <c:pt idx="81">
                  <c:v>6000</c:v>
                </c:pt>
                <c:pt idx="82">
                  <c:v>6000</c:v>
                </c:pt>
                <c:pt idx="83">
                  <c:v>6000</c:v>
                </c:pt>
                <c:pt idx="84">
                  <c:v>6000</c:v>
                </c:pt>
                <c:pt idx="85">
                  <c:v>6000</c:v>
                </c:pt>
                <c:pt idx="86">
                  <c:v>6000</c:v>
                </c:pt>
                <c:pt idx="87">
                  <c:v>6000</c:v>
                </c:pt>
                <c:pt idx="88">
                  <c:v>6000</c:v>
                </c:pt>
                <c:pt idx="89">
                  <c:v>6000</c:v>
                </c:pt>
                <c:pt idx="90">
                  <c:v>6000</c:v>
                </c:pt>
                <c:pt idx="91">
                  <c:v>6000</c:v>
                </c:pt>
                <c:pt idx="92">
                  <c:v>6500</c:v>
                </c:pt>
                <c:pt idx="93">
                  <c:v>5750</c:v>
                </c:pt>
                <c:pt idx="94">
                  <c:v>5750</c:v>
                </c:pt>
                <c:pt idx="95">
                  <c:v>5500</c:v>
                </c:pt>
                <c:pt idx="96">
                  <c:v>5250</c:v>
                </c:pt>
                <c:pt idx="97">
                  <c:v>5500</c:v>
                </c:pt>
                <c:pt idx="98">
                  <c:v>5750</c:v>
                </c:pt>
                <c:pt idx="99">
                  <c:v>6000</c:v>
                </c:pt>
                <c:pt idx="100">
                  <c:v>6250</c:v>
                </c:pt>
                <c:pt idx="101">
                  <c:v>6250</c:v>
                </c:pt>
                <c:pt idx="102">
                  <c:v>6000</c:v>
                </c:pt>
                <c:pt idx="103">
                  <c:v>5750</c:v>
                </c:pt>
                <c:pt idx="104">
                  <c:v>6000</c:v>
                </c:pt>
                <c:pt idx="105">
                  <c:v>6250</c:v>
                </c:pt>
                <c:pt idx="106">
                  <c:v>6000</c:v>
                </c:pt>
                <c:pt idx="107">
                  <c:v>5750</c:v>
                </c:pt>
                <c:pt idx="108">
                  <c:v>5500</c:v>
                </c:pt>
                <c:pt idx="109">
                  <c:v>5750</c:v>
                </c:pt>
                <c:pt idx="110">
                  <c:v>4750</c:v>
                </c:pt>
                <c:pt idx="111">
                  <c:v>5000</c:v>
                </c:pt>
                <c:pt idx="112">
                  <c:v>5250</c:v>
                </c:pt>
                <c:pt idx="113">
                  <c:v>5500</c:v>
                </c:pt>
                <c:pt idx="114">
                  <c:v>5750</c:v>
                </c:pt>
                <c:pt idx="115">
                  <c:v>6000</c:v>
                </c:pt>
                <c:pt idx="116">
                  <c:v>6250</c:v>
                </c:pt>
                <c:pt idx="117">
                  <c:v>6250</c:v>
                </c:pt>
                <c:pt idx="118">
                  <c:v>6250</c:v>
                </c:pt>
                <c:pt idx="119">
                  <c:v>6000</c:v>
                </c:pt>
                <c:pt idx="120">
                  <c:v>5750</c:v>
                </c:pt>
                <c:pt idx="121">
                  <c:v>5500</c:v>
                </c:pt>
                <c:pt idx="122">
                  <c:v>6250</c:v>
                </c:pt>
                <c:pt idx="123">
                  <c:v>5000</c:v>
                </c:pt>
                <c:pt idx="124">
                  <c:v>5250</c:v>
                </c:pt>
                <c:pt idx="125">
                  <c:v>5500</c:v>
                </c:pt>
                <c:pt idx="126">
                  <c:v>5750</c:v>
                </c:pt>
                <c:pt idx="127">
                  <c:v>6000</c:v>
                </c:pt>
                <c:pt idx="128">
                  <c:v>6000</c:v>
                </c:pt>
                <c:pt idx="129">
                  <c:v>6250</c:v>
                </c:pt>
                <c:pt idx="130">
                  <c:v>6500</c:v>
                </c:pt>
                <c:pt idx="131">
                  <c:v>6500</c:v>
                </c:pt>
                <c:pt idx="132">
                  <c:v>6500</c:v>
                </c:pt>
                <c:pt idx="133">
                  <c:v>6500</c:v>
                </c:pt>
                <c:pt idx="134">
                  <c:v>6500</c:v>
                </c:pt>
              </c:numCache>
            </c:numRef>
          </c:xVal>
          <c:yVal>
            <c:numRef>
              <c:f>'DUTY CYCLE'!$X$5:$X$139</c:f>
              <c:numCache>
                <c:formatCode>General</c:formatCode>
                <c:ptCount val="135"/>
                <c:pt idx="0">
                  <c:v>9.44513981482873</c:v>
                </c:pt>
                <c:pt idx="1">
                  <c:v>7.8044864693405422</c:v>
                </c:pt>
                <c:pt idx="2">
                  <c:v>12.103023621118345</c:v>
                </c:pt>
                <c:pt idx="3">
                  <c:v>12.630172221840548</c:v>
                </c:pt>
                <c:pt idx="4">
                  <c:v>14.047187287986697</c:v>
                </c:pt>
                <c:pt idx="5">
                  <c:v>12.668996064148359</c:v>
                </c:pt>
                <c:pt idx="6">
                  <c:v>13.90617392425834</c:v>
                </c:pt>
                <c:pt idx="7">
                  <c:v>13.894579938512873</c:v>
                </c:pt>
                <c:pt idx="8">
                  <c:v>16.694786836875458</c:v>
                </c:pt>
                <c:pt idx="9">
                  <c:v>12.663924002440826</c:v>
                </c:pt>
                <c:pt idx="10">
                  <c:v>10.035056085975617</c:v>
                </c:pt>
                <c:pt idx="11">
                  <c:v>15.623144929104036</c:v>
                </c:pt>
                <c:pt idx="12">
                  <c:v>13.41098904261637</c:v>
                </c:pt>
                <c:pt idx="13">
                  <c:v>13.12158865051625</c:v>
                </c:pt>
                <c:pt idx="14">
                  <c:v>3.0647368130497639</c:v>
                </c:pt>
                <c:pt idx="15">
                  <c:v>4.9194410040424676</c:v>
                </c:pt>
                <c:pt idx="16">
                  <c:v>5.6641877475088762</c:v>
                </c:pt>
                <c:pt idx="17">
                  <c:v>10.377735365220042</c:v>
                </c:pt>
                <c:pt idx="18">
                  <c:v>1.7555063986753219</c:v>
                </c:pt>
                <c:pt idx="19">
                  <c:v>1.9612197144147971</c:v>
                </c:pt>
                <c:pt idx="20">
                  <c:v>2.1529771274287834</c:v>
                </c:pt>
                <c:pt idx="21">
                  <c:v>17.274377695016874</c:v>
                </c:pt>
                <c:pt idx="22">
                  <c:v>5.3635514217502944</c:v>
                </c:pt>
                <c:pt idx="23">
                  <c:v>5.6054189495521491</c:v>
                </c:pt>
                <c:pt idx="24">
                  <c:v>0.60856226637025024</c:v>
                </c:pt>
                <c:pt idx="25">
                  <c:v>0.60856226637025024</c:v>
                </c:pt>
                <c:pt idx="26">
                  <c:v>5.8379123850261561</c:v>
                </c:pt>
                <c:pt idx="27">
                  <c:v>0.37606883089624427</c:v>
                </c:pt>
                <c:pt idx="28">
                  <c:v>0.37606883089623511</c:v>
                </c:pt>
                <c:pt idx="29">
                  <c:v>13.278392226016837</c:v>
                </c:pt>
                <c:pt idx="30">
                  <c:v>7.3178238279438359</c:v>
                </c:pt>
                <c:pt idx="31">
                  <c:v>19.425111691725203</c:v>
                </c:pt>
                <c:pt idx="32">
                  <c:v>1.6811596143659882</c:v>
                </c:pt>
                <c:pt idx="33">
                  <c:v>1.6811596143659786</c:v>
                </c:pt>
                <c:pt idx="34">
                  <c:v>2.1529771274287874</c:v>
                </c:pt>
                <c:pt idx="35">
                  <c:v>10.792785774857821</c:v>
                </c:pt>
                <c:pt idx="36">
                  <c:v>1.3714533162581561</c:v>
                </c:pt>
                <c:pt idx="37">
                  <c:v>5.1101386039008743</c:v>
                </c:pt>
                <c:pt idx="38">
                  <c:v>1.1038426120214551</c:v>
                </c:pt>
                <c:pt idx="39">
                  <c:v>5.3635514217502953</c:v>
                </c:pt>
                <c:pt idx="40">
                  <c:v>0.85042979417208464</c:v>
                </c:pt>
                <c:pt idx="41">
                  <c:v>5.6054189495521358</c:v>
                </c:pt>
                <c:pt idx="42">
                  <c:v>0.60856226637024158</c:v>
                </c:pt>
                <c:pt idx="43">
                  <c:v>0.60856226637024624</c:v>
                </c:pt>
                <c:pt idx="44">
                  <c:v>5.8379123850261463</c:v>
                </c:pt>
                <c:pt idx="45">
                  <c:v>0.37606883089623511</c:v>
                </c:pt>
                <c:pt idx="46">
                  <c:v>6.0628259619167961</c:v>
                </c:pt>
                <c:pt idx="47">
                  <c:v>0.15115525400555738</c:v>
                </c:pt>
                <c:pt idx="48">
                  <c:v>6.2816553353036184</c:v>
                </c:pt>
                <c:pt idx="49">
                  <c:v>12.804031262741001</c:v>
                </c:pt>
                <c:pt idx="50">
                  <c:v>13.27839222601685</c:v>
                </c:pt>
                <c:pt idx="51">
                  <c:v>13.799415748102877</c:v>
                </c:pt>
                <c:pt idx="52">
                  <c:v>18.505228617667914</c:v>
                </c:pt>
                <c:pt idx="53">
                  <c:v>1.9612197144147994</c:v>
                </c:pt>
                <c:pt idx="54">
                  <c:v>1.6811596143659917</c:v>
                </c:pt>
                <c:pt idx="55">
                  <c:v>5.188021881703401</c:v>
                </c:pt>
                <c:pt idx="56">
                  <c:v>1.5456425529225848</c:v>
                </c:pt>
                <c:pt idx="57">
                  <c:v>5.2301937136251349</c:v>
                </c:pt>
                <c:pt idx="58">
                  <c:v>2.1871953567356752</c:v>
                </c:pt>
                <c:pt idx="59">
                  <c:v>5.8737079979927227</c:v>
                </c:pt>
                <c:pt idx="60">
                  <c:v>2.2313286692119236</c:v>
                </c:pt>
                <c:pt idx="61">
                  <c:v>11.920072064761623</c:v>
                </c:pt>
                <c:pt idx="62">
                  <c:v>3.0358920239601654</c:v>
                </c:pt>
                <c:pt idx="63">
                  <c:v>9.3356688774104075</c:v>
                </c:pt>
                <c:pt idx="64">
                  <c:v>3.1216876614880262</c:v>
                </c:pt>
                <c:pt idx="65">
                  <c:v>9.4258642912217478</c:v>
                </c:pt>
                <c:pt idx="66">
                  <c:v>9.5204594813165695</c:v>
                </c:pt>
                <c:pt idx="67">
                  <c:v>9.619454447694844</c:v>
                </c:pt>
                <c:pt idx="68">
                  <c:v>9.2160793565453734</c:v>
                </c:pt>
                <c:pt idx="69">
                  <c:v>19.468430980062564</c:v>
                </c:pt>
                <c:pt idx="70">
                  <c:v>0.58764614968910422</c:v>
                </c:pt>
                <c:pt idx="71">
                  <c:v>4.2300254784699183</c:v>
                </c:pt>
                <c:pt idx="72">
                  <c:v>7.8114725344519504</c:v>
                </c:pt>
                <c:pt idx="73">
                  <c:v>11.328155806783396</c:v>
                </c:pt>
                <c:pt idx="74">
                  <c:v>11.53002771618678</c:v>
                </c:pt>
                <c:pt idx="75">
                  <c:v>11.487182350246583</c:v>
                </c:pt>
                <c:pt idx="76">
                  <c:v>11.46115381621202</c:v>
                </c:pt>
                <c:pt idx="77">
                  <c:v>11.450169499409553</c:v>
                </c:pt>
                <c:pt idx="78">
                  <c:v>5.2361882834871736</c:v>
                </c:pt>
                <c:pt idx="79">
                  <c:v>11.452778813926011</c:v>
                </c:pt>
                <c:pt idx="80">
                  <c:v>11.467783260916741</c:v>
                </c:pt>
                <c:pt idx="81">
                  <c:v>11.49418395469273</c:v>
                </c:pt>
                <c:pt idx="82">
                  <c:v>14.247132357938408</c:v>
                </c:pt>
                <c:pt idx="83">
                  <c:v>14.247132357938408</c:v>
                </c:pt>
                <c:pt idx="84">
                  <c:v>14.247132357938408</c:v>
                </c:pt>
                <c:pt idx="85">
                  <c:v>14.247132357938408</c:v>
                </c:pt>
                <c:pt idx="86">
                  <c:v>14.247132357938408</c:v>
                </c:pt>
                <c:pt idx="87">
                  <c:v>14.247132357938408</c:v>
                </c:pt>
                <c:pt idx="88">
                  <c:v>14.247132357938408</c:v>
                </c:pt>
                <c:pt idx="89">
                  <c:v>14.247132357938408</c:v>
                </c:pt>
                <c:pt idx="90">
                  <c:v>14.247132357938408</c:v>
                </c:pt>
                <c:pt idx="91">
                  <c:v>14.247132357938401</c:v>
                </c:pt>
                <c:pt idx="92">
                  <c:v>10.503988957408222</c:v>
                </c:pt>
                <c:pt idx="93">
                  <c:v>1.8457410669436867</c:v>
                </c:pt>
                <c:pt idx="94">
                  <c:v>9.0813969193986797</c:v>
                </c:pt>
                <c:pt idx="95">
                  <c:v>5.3948842781416344</c:v>
                </c:pt>
                <c:pt idx="96">
                  <c:v>5.3527124462198836</c:v>
                </c:pt>
                <c:pt idx="97">
                  <c:v>15.576892810806454</c:v>
                </c:pt>
                <c:pt idx="98">
                  <c:v>15.95648519721987</c:v>
                </c:pt>
                <c:pt idx="99">
                  <c:v>15.868063957099277</c:v>
                </c:pt>
                <c:pt idx="100">
                  <c:v>15.792345167378382</c:v>
                </c:pt>
                <c:pt idx="101">
                  <c:v>12.149965838597559</c:v>
                </c:pt>
                <c:pt idx="102">
                  <c:v>8.5833052995377201</c:v>
                </c:pt>
                <c:pt idx="103">
                  <c:v>8.6717265396583194</c:v>
                </c:pt>
                <c:pt idx="104">
                  <c:v>15.868063957099277</c:v>
                </c:pt>
                <c:pt idx="105">
                  <c:v>15.792345167378382</c:v>
                </c:pt>
                <c:pt idx="106">
                  <c:v>8.5833052995377201</c:v>
                </c:pt>
                <c:pt idx="107">
                  <c:v>8.6717265396583194</c:v>
                </c:pt>
                <c:pt idx="108">
                  <c:v>8.7743106249775291</c:v>
                </c:pt>
                <c:pt idx="109">
                  <c:v>15.033660513624502</c:v>
                </c:pt>
                <c:pt idx="110">
                  <c:v>15.299569529707851</c:v>
                </c:pt>
                <c:pt idx="111">
                  <c:v>12.993894808780402</c:v>
                </c:pt>
                <c:pt idx="112">
                  <c:v>13.336358343526214</c:v>
                </c:pt>
                <c:pt idx="113">
                  <c:v>13.660355124231957</c:v>
                </c:pt>
                <c:pt idx="114">
                  <c:v>13.96885687715092</c:v>
                </c:pt>
                <c:pt idx="115">
                  <c:v>14.264342158423736</c:v>
                </c:pt>
                <c:pt idx="116">
                  <c:v>14.548894511575643</c:v>
                </c:pt>
                <c:pt idx="117">
                  <c:v>8.3349132956532852</c:v>
                </c:pt>
                <c:pt idx="118">
                  <c:v>8.3349132956532852</c:v>
                </c:pt>
                <c:pt idx="119">
                  <c:v>1.836379726578975</c:v>
                </c:pt>
                <c:pt idx="120">
                  <c:v>1.5408944453061646</c:v>
                </c:pt>
                <c:pt idx="121">
                  <c:v>1.2323926923872146</c:v>
                </c:pt>
                <c:pt idx="122">
                  <c:v>8.9069371286441008</c:v>
                </c:pt>
                <c:pt idx="123">
                  <c:v>12.384034583345047</c:v>
                </c:pt>
                <c:pt idx="124">
                  <c:v>13.336358343526214</c:v>
                </c:pt>
                <c:pt idx="125">
                  <c:v>13.660355124231957</c:v>
                </c:pt>
                <c:pt idx="126">
                  <c:v>13.96885687715092</c:v>
                </c:pt>
                <c:pt idx="127">
                  <c:v>4.5128061975784481</c:v>
                </c:pt>
                <c:pt idx="128">
                  <c:v>2.7242616327570621</c:v>
                </c:pt>
                <c:pt idx="129">
                  <c:v>10.746535389233985</c:v>
                </c:pt>
                <c:pt idx="130">
                  <c:v>12.427405172090701</c:v>
                </c:pt>
                <c:pt idx="131">
                  <c:v>6.2134239561683238</c:v>
                </c:pt>
                <c:pt idx="132">
                  <c:v>6.2134239561683211</c:v>
                </c:pt>
                <c:pt idx="133">
                  <c:v>6.2134239561683238</c:v>
                </c:pt>
                <c:pt idx="134">
                  <c:v>6.2134239561683238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36-3348-B40D-4DD5345CA7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9102560"/>
        <c:axId val="619104208"/>
      </c:scatterChart>
      <c:valAx>
        <c:axId val="6191025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9104208"/>
        <c:crosses val="autoZero"/>
        <c:crossBetween val="midCat"/>
      </c:valAx>
      <c:valAx>
        <c:axId val="619104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91025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50800</xdr:colOff>
      <xdr:row>1</xdr:row>
      <xdr:rowOff>12700</xdr:rowOff>
    </xdr:from>
    <xdr:to>
      <xdr:col>19</xdr:col>
      <xdr:colOff>577850</xdr:colOff>
      <xdr:row>37</xdr:row>
      <xdr:rowOff>88900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0165EC0-0B43-E547-A511-E33664999D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803900" y="228600"/>
          <a:ext cx="11258550" cy="7505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76200</xdr:rowOff>
    </xdr:from>
    <xdr:to>
      <xdr:col>5</xdr:col>
      <xdr:colOff>508000</xdr:colOff>
      <xdr:row>13</xdr:row>
      <xdr:rowOff>177800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6336ABB-BCBB-5D48-A990-B2208C32E8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558800</xdr:colOff>
      <xdr:row>0</xdr:row>
      <xdr:rowOff>76200</xdr:rowOff>
    </xdr:from>
    <xdr:to>
      <xdr:col>11</xdr:col>
      <xdr:colOff>177800</xdr:colOff>
      <xdr:row>13</xdr:row>
      <xdr:rowOff>177800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7DE5EBB-D3D2-CE4F-B82C-D2A54C09C8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215900</xdr:colOff>
      <xdr:row>0</xdr:row>
      <xdr:rowOff>76200</xdr:rowOff>
    </xdr:from>
    <xdr:to>
      <xdr:col>16</xdr:col>
      <xdr:colOff>660400</xdr:colOff>
      <xdr:row>13</xdr:row>
      <xdr:rowOff>177800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3641D9B-18F5-8444-8788-9EFC7576AC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14</xdr:row>
      <xdr:rowOff>0</xdr:rowOff>
    </xdr:from>
    <xdr:to>
      <xdr:col>5</xdr:col>
      <xdr:colOff>508000</xdr:colOff>
      <xdr:row>27</xdr:row>
      <xdr:rowOff>101600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3B08EC4-B457-5D4B-B6DD-9D32DBCCF7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558800</xdr:colOff>
      <xdr:row>14</xdr:row>
      <xdr:rowOff>1</xdr:rowOff>
    </xdr:from>
    <xdr:to>
      <xdr:col>11</xdr:col>
      <xdr:colOff>177654</xdr:colOff>
      <xdr:row>27</xdr:row>
      <xdr:rowOff>101601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CCC09BF2-CDF2-1C4A-8074-1C5A95DA66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203200</xdr:colOff>
      <xdr:row>14</xdr:row>
      <xdr:rowOff>0</xdr:rowOff>
    </xdr:from>
    <xdr:to>
      <xdr:col>16</xdr:col>
      <xdr:colOff>647700</xdr:colOff>
      <xdr:row>27</xdr:row>
      <xdr:rowOff>101600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A355437B-B6AC-D04E-B754-8A1F1541EF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27</xdr:row>
      <xdr:rowOff>139700</xdr:rowOff>
    </xdr:from>
    <xdr:to>
      <xdr:col>5</xdr:col>
      <xdr:colOff>508000</xdr:colOff>
      <xdr:row>41</xdr:row>
      <xdr:rowOff>38100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90FAE299-2A3F-C242-8AF9-0E4D23E694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558800</xdr:colOff>
      <xdr:row>27</xdr:row>
      <xdr:rowOff>127000</xdr:rowOff>
    </xdr:from>
    <xdr:to>
      <xdr:col>11</xdr:col>
      <xdr:colOff>177800</xdr:colOff>
      <xdr:row>41</xdr:row>
      <xdr:rowOff>25400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FF21300B-503E-EB47-A80A-A3792DF071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11</xdr:col>
      <xdr:colOff>215900</xdr:colOff>
      <xdr:row>27</xdr:row>
      <xdr:rowOff>127000</xdr:rowOff>
    </xdr:from>
    <xdr:to>
      <xdr:col>16</xdr:col>
      <xdr:colOff>660400</xdr:colOff>
      <xdr:row>41</xdr:row>
      <xdr:rowOff>25400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BA4548FD-028B-CC48-B247-AAD0F154BA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16</xdr:col>
      <xdr:colOff>685800</xdr:colOff>
      <xdr:row>27</xdr:row>
      <xdr:rowOff>139700</xdr:rowOff>
    </xdr:from>
    <xdr:to>
      <xdr:col>22</xdr:col>
      <xdr:colOff>304800</xdr:colOff>
      <xdr:row>41</xdr:row>
      <xdr:rowOff>38100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844B725A-F934-A543-8DDD-55C4C8103F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16</xdr:col>
      <xdr:colOff>711200</xdr:colOff>
      <xdr:row>0</xdr:row>
      <xdr:rowOff>63500</xdr:rowOff>
    </xdr:from>
    <xdr:to>
      <xdr:col>22</xdr:col>
      <xdr:colOff>330200</xdr:colOff>
      <xdr:row>13</xdr:row>
      <xdr:rowOff>165100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1153BE52-FA37-714F-B696-85EE1F3A01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694906</xdr:colOff>
      <xdr:row>14</xdr:row>
      <xdr:rowOff>11982</xdr:rowOff>
    </xdr:from>
    <xdr:to>
      <xdr:col>22</xdr:col>
      <xdr:colOff>306718</xdr:colOff>
      <xdr:row>27</xdr:row>
      <xdr:rowOff>107351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FBA98647-7DF6-3E46-A605-03D1A91F2B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Wes John Patrick (1701708)" id="{E72391B8-4DDB-3741-81F6-1C53CA49E5CF}" userId="S::1701708@student.uwtsd.ac.uk::1348fe83-8b52-498c-8f61-ad87d5c6f3e0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5" dT="2021-11-22T17:29:18.40" personId="{E72391B8-4DDB-3741-81F6-1C53CA49E5CF}" id="{7C9B76C6-7D0E-D146-805D-757A8C9D965A}">
    <text>RR for field 0.1-0.35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E3CD1-59E7-3B45-AAD1-3FBC92781927}">
  <dimension ref="B2:V70"/>
  <sheetViews>
    <sheetView tabSelected="1" zoomScaleNormal="100" workbookViewId="0">
      <selection activeCell="N36" sqref="N36"/>
    </sheetView>
  </sheetViews>
  <sheetFormatPr baseColWidth="10" defaultRowHeight="16" x14ac:dyDescent="0.2"/>
  <cols>
    <col min="1" max="1" width="10.83203125" style="1"/>
    <col min="2" max="2" width="23.5" style="1" bestFit="1" customWidth="1"/>
    <col min="3" max="3" width="16.5" style="1" bestFit="1" customWidth="1"/>
    <col min="4" max="4" width="14.6640625" style="1" bestFit="1" customWidth="1"/>
    <col min="5" max="5" width="10.83203125" style="1"/>
    <col min="6" max="6" width="12.1640625" style="1" bestFit="1" customWidth="1"/>
    <col min="7" max="12" width="10.83203125" style="1"/>
    <col min="13" max="13" width="12.1640625" style="1" customWidth="1"/>
    <col min="14" max="14" width="13.6640625" style="1" bestFit="1" customWidth="1"/>
    <col min="15" max="16" width="10.83203125" style="1"/>
    <col min="17" max="17" width="13.6640625" style="1" customWidth="1"/>
    <col min="18" max="18" width="13.6640625" style="1" bestFit="1" customWidth="1"/>
    <col min="19" max="20" width="10.83203125" style="1"/>
    <col min="21" max="21" width="13.6640625" style="1" customWidth="1"/>
    <col min="22" max="22" width="13.6640625" style="1" bestFit="1" customWidth="1"/>
    <col min="23" max="16384" width="10.83203125" style="1"/>
  </cols>
  <sheetData>
    <row r="2" spans="2:22" x14ac:dyDescent="0.2">
      <c r="B2" s="87" t="s">
        <v>0</v>
      </c>
      <c r="C2" s="88"/>
      <c r="D2" s="64"/>
      <c r="G2" s="2" t="s">
        <v>66</v>
      </c>
      <c r="H2" s="2" t="s">
        <v>13</v>
      </c>
      <c r="I2" s="2" t="s">
        <v>13</v>
      </c>
      <c r="J2" s="2" t="s">
        <v>14</v>
      </c>
      <c r="K2" s="84" t="s">
        <v>57</v>
      </c>
      <c r="L2" s="84"/>
      <c r="M2" s="84"/>
      <c r="N2" s="84"/>
      <c r="O2" s="84" t="s">
        <v>58</v>
      </c>
      <c r="P2" s="84"/>
      <c r="Q2" s="84"/>
      <c r="R2" s="84"/>
      <c r="S2" s="84" t="s">
        <v>59</v>
      </c>
      <c r="T2" s="84"/>
      <c r="U2" s="84"/>
      <c r="V2" s="84"/>
    </row>
    <row r="3" spans="2:22" x14ac:dyDescent="0.2">
      <c r="B3" s="7" t="s">
        <v>1</v>
      </c>
      <c r="C3" s="56" t="s">
        <v>6</v>
      </c>
      <c r="D3" s="65"/>
      <c r="G3" s="84"/>
      <c r="H3" s="84" t="s">
        <v>78</v>
      </c>
      <c r="I3" s="84" t="s">
        <v>79</v>
      </c>
      <c r="J3" s="84" t="s">
        <v>17</v>
      </c>
      <c r="K3" s="62" t="s">
        <v>77</v>
      </c>
      <c r="L3" s="2" t="s">
        <v>77</v>
      </c>
      <c r="M3" s="2" t="s">
        <v>80</v>
      </c>
      <c r="N3" s="2" t="s">
        <v>76</v>
      </c>
      <c r="O3" s="62" t="s">
        <v>77</v>
      </c>
      <c r="P3" s="2" t="s">
        <v>77</v>
      </c>
      <c r="Q3" s="2" t="s">
        <v>80</v>
      </c>
      <c r="R3" s="2" t="s">
        <v>76</v>
      </c>
      <c r="S3" s="62" t="s">
        <v>77</v>
      </c>
      <c r="T3" s="2" t="s">
        <v>77</v>
      </c>
      <c r="U3" s="2" t="s">
        <v>80</v>
      </c>
      <c r="V3" s="2" t="s">
        <v>76</v>
      </c>
    </row>
    <row r="4" spans="2:22" x14ac:dyDescent="0.2">
      <c r="B4" s="6" t="s">
        <v>2</v>
      </c>
      <c r="C4" s="56" t="s">
        <v>7</v>
      </c>
      <c r="D4" s="65"/>
      <c r="G4" s="84"/>
      <c r="H4" s="84"/>
      <c r="I4" s="84"/>
      <c r="J4" s="84"/>
      <c r="K4" s="62" t="s">
        <v>35</v>
      </c>
      <c r="L4" s="2" t="s">
        <v>34</v>
      </c>
      <c r="M4" s="2" t="s">
        <v>82</v>
      </c>
      <c r="N4" s="2" t="s">
        <v>81</v>
      </c>
      <c r="O4" s="62" t="s">
        <v>35</v>
      </c>
      <c r="P4" s="2" t="s">
        <v>34</v>
      </c>
      <c r="Q4" s="2" t="s">
        <v>82</v>
      </c>
      <c r="R4" s="2" t="s">
        <v>81</v>
      </c>
      <c r="S4" s="62" t="s">
        <v>35</v>
      </c>
      <c r="T4" s="2" t="s">
        <v>34</v>
      </c>
      <c r="U4" s="2" t="s">
        <v>82</v>
      </c>
      <c r="V4" s="2" t="s">
        <v>81</v>
      </c>
    </row>
    <row r="5" spans="2:22" x14ac:dyDescent="0.2">
      <c r="B5" s="6" t="s">
        <v>3</v>
      </c>
      <c r="C5" s="56" t="s">
        <v>8</v>
      </c>
      <c r="D5" s="65"/>
      <c r="G5" s="2">
        <v>750</v>
      </c>
      <c r="H5" s="3">
        <f t="shared" ref="H5:H26" si="0">H6-0.75</f>
        <v>0.75</v>
      </c>
      <c r="I5" s="3">
        <f>H5*0.7457*1000</f>
        <v>559.27499999999998</v>
      </c>
      <c r="J5" s="66">
        <f t="shared" ref="J5:J12" si="1">(I5)/((2*PI()*M31)/60)</f>
        <v>7.1209104638175811</v>
      </c>
      <c r="K5" s="3">
        <f>((($G5/$F$52)*($C$58))/(60))*2.24*0.44704</f>
        <v>0.82363513790772214</v>
      </c>
      <c r="L5" s="3">
        <f>K5*2.237</f>
        <v>1.8424718034995744</v>
      </c>
      <c r="M5" s="3">
        <f>(($H5*0.746)*1000)/K5</f>
        <v>679.30564669848366</v>
      </c>
      <c r="N5" s="3">
        <f>M5/$C$68</f>
        <v>1.1418230936531479</v>
      </c>
      <c r="O5" s="3">
        <f>((($G5/$F$53)*($C$58))/(60))*2.24*0.44704</f>
        <v>1.208342459375592</v>
      </c>
      <c r="P5" s="3">
        <f t="shared" ref="P5" si="2">O5*2.237</f>
        <v>2.7030620816231994</v>
      </c>
      <c r="Q5" s="3">
        <f t="shared" ref="Q5" si="3">(($H5*0.746)*1000)/O5</f>
        <v>463.03098567695804</v>
      </c>
      <c r="R5" s="3">
        <f>Q5/$C$69</f>
        <v>0.7877598068001046</v>
      </c>
      <c r="S5" s="3">
        <f>((($G5/$F$54)*($C$58))/(60))*2.24*0.44704</f>
        <v>1.5817538443909664</v>
      </c>
      <c r="T5" s="3">
        <f t="shared" ref="T5" si="4">S5*2.237</f>
        <v>3.5383833499025923</v>
      </c>
      <c r="U5" s="3">
        <f t="shared" ref="U5" si="5">(($H5*0.746)*1000)/S5</f>
        <v>353.72128348796781</v>
      </c>
      <c r="V5" s="3">
        <f>U5/$C$70</f>
        <v>0.60444656982066214</v>
      </c>
    </row>
    <row r="6" spans="2:22" x14ac:dyDescent="0.2">
      <c r="B6" s="6" t="s">
        <v>4</v>
      </c>
      <c r="C6" s="56" t="s">
        <v>9</v>
      </c>
      <c r="D6" s="65"/>
      <c r="G6" s="2">
        <v>1000</v>
      </c>
      <c r="H6" s="3">
        <f t="shared" si="0"/>
        <v>1.5</v>
      </c>
      <c r="I6" s="3">
        <f>H6*0.7457*1000</f>
        <v>1118.55</v>
      </c>
      <c r="J6" s="66">
        <f t="shared" si="1"/>
        <v>10.681365695726372</v>
      </c>
      <c r="K6" s="3">
        <f t="shared" ref="K6:K28" si="6">((($G6/$F$52)*($C$58))/(60))*2.24*0.44704</f>
        <v>1.0981801838769629</v>
      </c>
      <c r="L6" s="3">
        <f>K6*2.237</f>
        <v>2.4566290713327663</v>
      </c>
      <c r="M6" s="3">
        <f t="shared" ref="M6:M28" si="7">(($H6*0.746)*1000)/K6</f>
        <v>1018.9584700477255</v>
      </c>
      <c r="N6" s="3">
        <f t="shared" ref="N6:N28" si="8">M6/$C$68</f>
        <v>1.7127346404797221</v>
      </c>
      <c r="O6" s="3">
        <f t="shared" ref="O6:O28" si="9">((($G6/$F$53)*($C$58))/(60))*2.24*0.44704</f>
        <v>1.6111232791674566</v>
      </c>
      <c r="P6" s="3">
        <f t="shared" ref="P6" si="10">O6*2.237</f>
        <v>3.6040827754976004</v>
      </c>
      <c r="Q6" s="3">
        <f t="shared" ref="Q6:Q28" si="11">(($H6*0.746)*1000)/O6</f>
        <v>694.54647851543677</v>
      </c>
      <c r="R6" s="3">
        <f t="shared" ref="R6:R28" si="12">Q6/$C$69</f>
        <v>1.1816397102001563</v>
      </c>
      <c r="S6" s="3">
        <f t="shared" ref="S6:S28" si="13">((($G6/$F$54)*($C$58))/(60))*2.24*0.44704</f>
        <v>2.1090051258546221</v>
      </c>
      <c r="T6" s="3">
        <f t="shared" ref="T6" si="14">S6*2.237</f>
        <v>4.71784446653679</v>
      </c>
      <c r="U6" s="3">
        <f t="shared" ref="U6:U28" si="15">(($H6*0.746)*1000)/S6</f>
        <v>530.58192523195169</v>
      </c>
      <c r="V6" s="3">
        <f t="shared" ref="V6:V28" si="16">U6/$C$70</f>
        <v>0.90666985473099326</v>
      </c>
    </row>
    <row r="7" spans="2:22" x14ac:dyDescent="0.2">
      <c r="B7" s="6" t="s">
        <v>5</v>
      </c>
      <c r="C7" s="56" t="s">
        <v>10</v>
      </c>
      <c r="D7" s="65"/>
      <c r="G7" s="2">
        <v>1250</v>
      </c>
      <c r="H7" s="3">
        <f t="shared" si="0"/>
        <v>2.25</v>
      </c>
      <c r="I7" s="3">
        <f t="shared" ref="I7:I28" si="17">H7*0.7457*1000</f>
        <v>1677.825</v>
      </c>
      <c r="J7" s="66">
        <f t="shared" si="1"/>
        <v>12.817638834871646</v>
      </c>
      <c r="K7" s="3">
        <f t="shared" si="6"/>
        <v>1.3727252298462036</v>
      </c>
      <c r="L7" s="3">
        <f t="shared" ref="L7:L28" si="18">K7*2.237</f>
        <v>3.0707863391659576</v>
      </c>
      <c r="M7" s="3">
        <f t="shared" si="7"/>
        <v>1222.7501640572707</v>
      </c>
      <c r="N7" s="3">
        <f t="shared" si="8"/>
        <v>2.0552815685756665</v>
      </c>
      <c r="O7" s="3">
        <f t="shared" si="9"/>
        <v>2.0139040989593204</v>
      </c>
      <c r="P7" s="3">
        <f t="shared" ref="P7" si="19">O7*2.237</f>
        <v>4.505103469372</v>
      </c>
      <c r="Q7" s="3">
        <f t="shared" si="11"/>
        <v>833.45577421852431</v>
      </c>
      <c r="R7" s="3">
        <f t="shared" si="12"/>
        <v>1.4179676522401881</v>
      </c>
      <c r="S7" s="3">
        <f t="shared" si="13"/>
        <v>2.6362564073182773</v>
      </c>
      <c r="T7" s="3">
        <f t="shared" ref="T7" si="20">S7*2.237</f>
        <v>5.8973055831709864</v>
      </c>
      <c r="U7" s="3">
        <f t="shared" si="15"/>
        <v>636.69831027834209</v>
      </c>
      <c r="V7" s="3">
        <f t="shared" si="16"/>
        <v>1.088003825677192</v>
      </c>
    </row>
    <row r="8" spans="2:22" x14ac:dyDescent="0.2">
      <c r="G8" s="2">
        <v>1500</v>
      </c>
      <c r="H8" s="3">
        <f t="shared" si="0"/>
        <v>3</v>
      </c>
      <c r="I8" s="3">
        <f t="shared" si="17"/>
        <v>2237.1</v>
      </c>
      <c r="J8" s="66">
        <f t="shared" si="1"/>
        <v>14.241820927635162</v>
      </c>
      <c r="K8" s="3">
        <f t="shared" si="6"/>
        <v>1.6472702758154443</v>
      </c>
      <c r="L8" s="3">
        <f t="shared" si="18"/>
        <v>3.6849436069991488</v>
      </c>
      <c r="M8" s="3">
        <f t="shared" si="7"/>
        <v>1358.6112933969673</v>
      </c>
      <c r="N8" s="3">
        <f t="shared" si="8"/>
        <v>2.2836461873062959</v>
      </c>
      <c r="O8" s="3">
        <f t="shared" si="9"/>
        <v>2.4166849187511841</v>
      </c>
      <c r="P8" s="3">
        <f t="shared" ref="P8" si="21">O8*2.237</f>
        <v>5.4061241632463988</v>
      </c>
      <c r="Q8" s="3">
        <f t="shared" si="11"/>
        <v>926.06197135391608</v>
      </c>
      <c r="R8" s="3">
        <f t="shared" si="12"/>
        <v>1.5755196136002092</v>
      </c>
      <c r="S8" s="3">
        <f t="shared" si="13"/>
        <v>3.1635076887819329</v>
      </c>
      <c r="T8" s="3">
        <f t="shared" ref="T8" si="22">S8*2.237</f>
        <v>7.0767666998051846</v>
      </c>
      <c r="U8" s="3">
        <f t="shared" si="15"/>
        <v>707.44256697593562</v>
      </c>
      <c r="V8" s="3">
        <f t="shared" si="16"/>
        <v>1.2088931396413243</v>
      </c>
    </row>
    <row r="9" spans="2:22" x14ac:dyDescent="0.2">
      <c r="B9" s="87" t="s">
        <v>11</v>
      </c>
      <c r="C9" s="88"/>
      <c r="D9" s="89"/>
      <c r="G9" s="2">
        <v>1750</v>
      </c>
      <c r="H9" s="3">
        <f t="shared" si="0"/>
        <v>3.75</v>
      </c>
      <c r="I9" s="3">
        <f t="shared" si="17"/>
        <v>2796.3750000000005</v>
      </c>
      <c r="J9" s="66">
        <f t="shared" si="1"/>
        <v>15.259093851037678</v>
      </c>
      <c r="K9" s="3">
        <f t="shared" si="6"/>
        <v>1.9218153217846847</v>
      </c>
      <c r="L9" s="3">
        <f t="shared" si="18"/>
        <v>4.29910087483234</v>
      </c>
      <c r="M9" s="3">
        <f t="shared" si="7"/>
        <v>1455.6549572110366</v>
      </c>
      <c r="N9" s="3">
        <f t="shared" si="8"/>
        <v>2.4467637721138891</v>
      </c>
      <c r="O9" s="3">
        <f t="shared" si="9"/>
        <v>2.819465738543049</v>
      </c>
      <c r="P9" s="3">
        <f t="shared" ref="P9" si="23">O9*2.237</f>
        <v>6.3071448571208011</v>
      </c>
      <c r="Q9" s="3">
        <f t="shared" si="11"/>
        <v>992.20925502205262</v>
      </c>
      <c r="R9" s="3">
        <f t="shared" si="12"/>
        <v>1.6880567288573665</v>
      </c>
      <c r="S9" s="3">
        <f t="shared" si="13"/>
        <v>3.6907589702455885</v>
      </c>
      <c r="T9" s="3">
        <f t="shared" ref="T9" si="24">S9*2.237</f>
        <v>8.2562278164393827</v>
      </c>
      <c r="U9" s="3">
        <f t="shared" si="15"/>
        <v>757.97417890278814</v>
      </c>
      <c r="V9" s="3">
        <f t="shared" si="16"/>
        <v>1.2952426496157046</v>
      </c>
    </row>
    <row r="10" spans="2:22" x14ac:dyDescent="0.2">
      <c r="B10" s="6" t="s">
        <v>12</v>
      </c>
      <c r="C10" s="3">
        <v>278</v>
      </c>
      <c r="D10" s="3" t="s">
        <v>15</v>
      </c>
      <c r="G10" s="2">
        <v>2000</v>
      </c>
      <c r="H10" s="3">
        <f t="shared" si="0"/>
        <v>4.5</v>
      </c>
      <c r="I10" s="3">
        <f t="shared" si="17"/>
        <v>3355.65</v>
      </c>
      <c r="J10" s="66">
        <f t="shared" si="1"/>
        <v>16.022048543589559</v>
      </c>
      <c r="K10" s="3">
        <f t="shared" si="6"/>
        <v>2.1963603677539258</v>
      </c>
      <c r="L10" s="3">
        <f t="shared" si="18"/>
        <v>4.9132581426655326</v>
      </c>
      <c r="M10" s="3">
        <f t="shared" si="7"/>
        <v>1528.4377050715882</v>
      </c>
      <c r="N10" s="3">
        <f t="shared" si="8"/>
        <v>2.5691019607195829</v>
      </c>
      <c r="O10" s="3">
        <f t="shared" si="9"/>
        <v>3.2222465583349131</v>
      </c>
      <c r="P10" s="3">
        <f t="shared" ref="P10" si="25">O10*2.237</f>
        <v>7.2081655509952007</v>
      </c>
      <c r="Q10" s="3">
        <f t="shared" si="11"/>
        <v>1041.8197177731552</v>
      </c>
      <c r="R10" s="3">
        <f t="shared" si="12"/>
        <v>1.7724595653002346</v>
      </c>
      <c r="S10" s="3">
        <f t="shared" si="13"/>
        <v>4.2180102517092442</v>
      </c>
      <c r="T10" s="3">
        <f t="shared" ref="T10" si="26">S10*2.237</f>
        <v>9.43568893307358</v>
      </c>
      <c r="U10" s="3">
        <f t="shared" si="15"/>
        <v>795.87288784792759</v>
      </c>
      <c r="V10" s="3">
        <f t="shared" si="16"/>
        <v>1.36000478209649</v>
      </c>
    </row>
    <row r="11" spans="2:22" x14ac:dyDescent="0.2">
      <c r="B11" s="6" t="s">
        <v>13</v>
      </c>
      <c r="C11" s="3">
        <v>18</v>
      </c>
      <c r="D11" s="3" t="s">
        <v>16</v>
      </c>
      <c r="G11" s="2">
        <v>2250</v>
      </c>
      <c r="H11" s="3">
        <f t="shared" si="0"/>
        <v>5.25</v>
      </c>
      <c r="I11" s="3">
        <f t="shared" si="17"/>
        <v>3914.9250000000002</v>
      </c>
      <c r="J11" s="66">
        <f t="shared" si="1"/>
        <v>16.615457748907691</v>
      </c>
      <c r="K11" s="3">
        <f t="shared" si="6"/>
        <v>2.4709054137231661</v>
      </c>
      <c r="L11" s="3">
        <f t="shared" si="18"/>
        <v>5.5274154104987225</v>
      </c>
      <c r="M11" s="3">
        <f t="shared" si="7"/>
        <v>1585.0465089631289</v>
      </c>
      <c r="N11" s="3">
        <f t="shared" si="8"/>
        <v>2.6642538851906794</v>
      </c>
      <c r="O11" s="3">
        <f t="shared" si="9"/>
        <v>3.6250273781267768</v>
      </c>
      <c r="P11" s="3">
        <f t="shared" ref="P11" si="27">O11*2.237</f>
        <v>8.1091862448695995</v>
      </c>
      <c r="Q11" s="3">
        <f t="shared" si="11"/>
        <v>1080.4056332462353</v>
      </c>
      <c r="R11" s="3">
        <f t="shared" si="12"/>
        <v>1.8381062158669106</v>
      </c>
      <c r="S11" s="3">
        <f t="shared" si="13"/>
        <v>4.7452615331729007</v>
      </c>
      <c r="T11" s="3">
        <f t="shared" ref="T11" si="28">S11*2.237</f>
        <v>10.615150049707779</v>
      </c>
      <c r="U11" s="3">
        <f t="shared" si="15"/>
        <v>825.34966147192472</v>
      </c>
      <c r="V11" s="3">
        <f t="shared" si="16"/>
        <v>1.4103753295815449</v>
      </c>
    </row>
    <row r="12" spans="2:22" x14ac:dyDescent="0.2">
      <c r="B12" s="6" t="s">
        <v>13</v>
      </c>
      <c r="C12" s="3">
        <f>C11/1.341</f>
        <v>13.422818791946309</v>
      </c>
      <c r="D12" s="3" t="s">
        <v>18</v>
      </c>
      <c r="G12" s="2">
        <v>2500</v>
      </c>
      <c r="H12" s="3">
        <f t="shared" si="0"/>
        <v>6</v>
      </c>
      <c r="I12" s="3">
        <f t="shared" si="17"/>
        <v>4474.2</v>
      </c>
      <c r="J12" s="66">
        <f t="shared" si="1"/>
        <v>17.090185113162196</v>
      </c>
      <c r="K12" s="3">
        <f t="shared" si="6"/>
        <v>2.7454504596924072</v>
      </c>
      <c r="L12" s="3">
        <f t="shared" si="18"/>
        <v>6.1415726783319151</v>
      </c>
      <c r="M12" s="3">
        <f t="shared" si="7"/>
        <v>1630.3335520763608</v>
      </c>
      <c r="N12" s="3">
        <f t="shared" si="8"/>
        <v>2.7403754247675551</v>
      </c>
      <c r="O12" s="3">
        <f t="shared" si="9"/>
        <v>4.0278081979186409</v>
      </c>
      <c r="P12" s="3">
        <f t="shared" ref="P12" si="29">O12*2.237</f>
        <v>9.010206938744</v>
      </c>
      <c r="Q12" s="3">
        <f t="shared" si="11"/>
        <v>1111.2743656246992</v>
      </c>
      <c r="R12" s="3">
        <f t="shared" si="12"/>
        <v>1.8906235363202508</v>
      </c>
      <c r="S12" s="3">
        <f t="shared" si="13"/>
        <v>5.2725128146365545</v>
      </c>
      <c r="T12" s="3">
        <f t="shared" ref="T12" si="30">S12*2.237</f>
        <v>11.794611166341973</v>
      </c>
      <c r="U12" s="3">
        <f t="shared" si="15"/>
        <v>848.9310803711229</v>
      </c>
      <c r="V12" s="3">
        <f t="shared" si="16"/>
        <v>1.4506717675695895</v>
      </c>
    </row>
    <row r="13" spans="2:22" x14ac:dyDescent="0.2">
      <c r="B13" s="6" t="s">
        <v>14</v>
      </c>
      <c r="C13" s="3">
        <v>22</v>
      </c>
      <c r="D13" s="3" t="s">
        <v>17</v>
      </c>
      <c r="G13" s="2">
        <v>2750</v>
      </c>
      <c r="H13" s="3">
        <f t="shared" si="0"/>
        <v>6.75</v>
      </c>
      <c r="I13" s="3">
        <f t="shared" si="17"/>
        <v>5033.4750000000004</v>
      </c>
      <c r="J13" s="66">
        <f t="shared" ref="J13:J23" si="31">(($J$24-$J$12)/12)+J12</f>
        <v>17.499336353732012</v>
      </c>
      <c r="K13" s="3">
        <f t="shared" si="6"/>
        <v>3.0199955056616479</v>
      </c>
      <c r="L13" s="3">
        <f t="shared" si="18"/>
        <v>6.7557299461651068</v>
      </c>
      <c r="M13" s="3">
        <f t="shared" si="7"/>
        <v>1667.3865873508237</v>
      </c>
      <c r="N13" s="3">
        <f t="shared" si="8"/>
        <v>2.8026566844213634</v>
      </c>
      <c r="O13" s="3">
        <f t="shared" si="9"/>
        <v>4.4305890177105063</v>
      </c>
      <c r="P13" s="3">
        <f t="shared" ref="P13" si="32">O13*2.237</f>
        <v>9.9112276326184023</v>
      </c>
      <c r="Q13" s="3">
        <f t="shared" si="11"/>
        <v>1136.5306012070782</v>
      </c>
      <c r="R13" s="3">
        <f t="shared" si="12"/>
        <v>1.9335922530548013</v>
      </c>
      <c r="S13" s="3">
        <f t="shared" si="13"/>
        <v>5.7997640961002102</v>
      </c>
      <c r="T13" s="3">
        <f t="shared" ref="T13" si="33">S13*2.237</f>
        <v>12.97407228297617</v>
      </c>
      <c r="U13" s="3">
        <f t="shared" si="15"/>
        <v>868.22496856137559</v>
      </c>
      <c r="V13" s="3">
        <f t="shared" si="16"/>
        <v>1.4836415804688983</v>
      </c>
    </row>
    <row r="14" spans="2:22" x14ac:dyDescent="0.2">
      <c r="G14" s="2">
        <v>3000</v>
      </c>
      <c r="H14" s="3">
        <f t="shared" si="0"/>
        <v>7.5</v>
      </c>
      <c r="I14" s="3">
        <f t="shared" si="17"/>
        <v>5592.7500000000009</v>
      </c>
      <c r="J14" s="66">
        <f t="shared" si="31"/>
        <v>17.908487594301828</v>
      </c>
      <c r="K14" s="3">
        <f t="shared" si="6"/>
        <v>3.2945405516308885</v>
      </c>
      <c r="L14" s="3">
        <f t="shared" si="18"/>
        <v>7.3698872139982976</v>
      </c>
      <c r="M14" s="3">
        <f t="shared" si="7"/>
        <v>1698.2641167462093</v>
      </c>
      <c r="N14" s="3">
        <f t="shared" si="8"/>
        <v>2.8545577341328703</v>
      </c>
      <c r="O14" s="3">
        <f t="shared" si="9"/>
        <v>4.8333698375023681</v>
      </c>
      <c r="P14" s="3">
        <f t="shared" ref="P14" si="34">O14*2.237</f>
        <v>10.812248326492798</v>
      </c>
      <c r="Q14" s="3">
        <f t="shared" si="11"/>
        <v>1157.5774641923952</v>
      </c>
      <c r="R14" s="3">
        <f t="shared" si="12"/>
        <v>1.9693995170002616</v>
      </c>
      <c r="S14" s="3">
        <f t="shared" si="13"/>
        <v>6.3270153775638658</v>
      </c>
      <c r="T14" s="3">
        <f t="shared" ref="T14" si="35">S14*2.237</f>
        <v>14.153533399610369</v>
      </c>
      <c r="U14" s="3">
        <f t="shared" si="15"/>
        <v>884.30320871991955</v>
      </c>
      <c r="V14" s="3">
        <f t="shared" si="16"/>
        <v>1.5111164245516555</v>
      </c>
    </row>
    <row r="15" spans="2:22" x14ac:dyDescent="0.2">
      <c r="B15" s="87" t="s">
        <v>19</v>
      </c>
      <c r="C15" s="88"/>
      <c r="D15" s="89"/>
      <c r="G15" s="2">
        <v>3250</v>
      </c>
      <c r="H15" s="3">
        <f t="shared" si="0"/>
        <v>8.25</v>
      </c>
      <c r="I15" s="3">
        <f t="shared" si="17"/>
        <v>6152.0249999999996</v>
      </c>
      <c r="J15" s="66">
        <f t="shared" si="31"/>
        <v>18.317638834871644</v>
      </c>
      <c r="K15" s="3">
        <f t="shared" si="6"/>
        <v>3.5690855976001288</v>
      </c>
      <c r="L15" s="3">
        <f t="shared" si="18"/>
        <v>7.9840444818314884</v>
      </c>
      <c r="M15" s="3">
        <f t="shared" si="7"/>
        <v>1724.3912570038435</v>
      </c>
      <c r="N15" s="3">
        <f t="shared" si="8"/>
        <v>2.8984740069656838</v>
      </c>
      <c r="O15" s="3">
        <f t="shared" si="9"/>
        <v>5.2361506572942336</v>
      </c>
      <c r="P15" s="3">
        <f t="shared" ref="P15" si="36">O15*2.237</f>
        <v>11.713269020367202</v>
      </c>
      <c r="Q15" s="3">
        <f t="shared" si="11"/>
        <v>1175.3863482568931</v>
      </c>
      <c r="R15" s="3">
        <f t="shared" si="12"/>
        <v>1.9996979711079572</v>
      </c>
      <c r="S15" s="3">
        <f t="shared" si="13"/>
        <v>6.8542666590275205</v>
      </c>
      <c r="T15" s="3">
        <f t="shared" ref="T15" si="37">S15*2.237</f>
        <v>15.332994516244565</v>
      </c>
      <c r="U15" s="3">
        <f t="shared" si="15"/>
        <v>897.90787346945694</v>
      </c>
      <c r="V15" s="3">
        <f t="shared" si="16"/>
        <v>1.5343643695447582</v>
      </c>
    </row>
    <row r="16" spans="2:22" x14ac:dyDescent="0.2">
      <c r="B16" s="6" t="s">
        <v>20</v>
      </c>
      <c r="C16" s="3">
        <v>2.62</v>
      </c>
      <c r="D16" s="3" t="s">
        <v>27</v>
      </c>
      <c r="G16" s="2">
        <v>3500</v>
      </c>
      <c r="H16" s="3">
        <f t="shared" si="0"/>
        <v>9</v>
      </c>
      <c r="I16" s="3">
        <f t="shared" si="17"/>
        <v>6711.3</v>
      </c>
      <c r="J16" s="66">
        <f t="shared" si="31"/>
        <v>18.72679007544146</v>
      </c>
      <c r="K16" s="3">
        <f t="shared" si="6"/>
        <v>3.8436306435693695</v>
      </c>
      <c r="L16" s="3">
        <f t="shared" si="18"/>
        <v>8.5982017496646801</v>
      </c>
      <c r="M16" s="3">
        <f t="shared" si="7"/>
        <v>1746.7859486532441</v>
      </c>
      <c r="N16" s="3">
        <f t="shared" si="8"/>
        <v>2.9361165265366669</v>
      </c>
      <c r="O16" s="3">
        <f t="shared" si="9"/>
        <v>5.6389314770860981</v>
      </c>
      <c r="P16" s="3">
        <f t="shared" ref="P16" si="38">O16*2.237</f>
        <v>12.614289714241602</v>
      </c>
      <c r="Q16" s="3">
        <f t="shared" si="11"/>
        <v>1190.6511060264631</v>
      </c>
      <c r="R16" s="3">
        <f t="shared" si="12"/>
        <v>2.0256680746288396</v>
      </c>
      <c r="S16" s="3">
        <f t="shared" si="13"/>
        <v>7.381517940491177</v>
      </c>
      <c r="T16" s="3">
        <f t="shared" ref="T16" si="39">S16*2.237</f>
        <v>16.512455632878765</v>
      </c>
      <c r="U16" s="3">
        <f t="shared" si="15"/>
        <v>909.56901468334581</v>
      </c>
      <c r="V16" s="3">
        <f t="shared" si="16"/>
        <v>1.5542911795388457</v>
      </c>
    </row>
    <row r="17" spans="2:22" x14ac:dyDescent="0.2">
      <c r="B17" s="6" t="s">
        <v>21</v>
      </c>
      <c r="C17" s="3">
        <v>1.65</v>
      </c>
      <c r="D17" s="3" t="s">
        <v>27</v>
      </c>
      <c r="G17" s="2">
        <v>3750</v>
      </c>
      <c r="H17" s="3">
        <f t="shared" si="0"/>
        <v>9.75</v>
      </c>
      <c r="I17" s="3">
        <f t="shared" si="17"/>
        <v>7270.5749999999998</v>
      </c>
      <c r="J17" s="66">
        <f t="shared" si="31"/>
        <v>19.135941316011277</v>
      </c>
      <c r="K17" s="3">
        <f t="shared" si="6"/>
        <v>4.1181756895386101</v>
      </c>
      <c r="L17" s="3">
        <f t="shared" si="18"/>
        <v>9.2123590174978709</v>
      </c>
      <c r="M17" s="3">
        <f t="shared" si="7"/>
        <v>1766.1946814160578</v>
      </c>
      <c r="N17" s="3">
        <f t="shared" si="8"/>
        <v>2.9687400434981854</v>
      </c>
      <c r="O17" s="3">
        <f t="shared" si="9"/>
        <v>6.0417122968779617</v>
      </c>
      <c r="P17" s="3">
        <f t="shared" ref="P17" si="40">O17*2.237</f>
        <v>13.515310408116001</v>
      </c>
      <c r="Q17" s="3">
        <f t="shared" si="11"/>
        <v>1203.8805627600905</v>
      </c>
      <c r="R17" s="3">
        <f t="shared" si="12"/>
        <v>2.0481754976802713</v>
      </c>
      <c r="S17" s="3">
        <f t="shared" si="13"/>
        <v>7.9087692219548336</v>
      </c>
      <c r="T17" s="3">
        <f t="shared" ref="T17" si="41">S17*2.237</f>
        <v>17.691916749512963</v>
      </c>
      <c r="U17" s="3">
        <f t="shared" si="15"/>
        <v>919.6753370687162</v>
      </c>
      <c r="V17" s="3">
        <f t="shared" si="16"/>
        <v>1.5715610815337215</v>
      </c>
    </row>
    <row r="18" spans="2:22" x14ac:dyDescent="0.2">
      <c r="B18" s="6" t="s">
        <v>22</v>
      </c>
      <c r="C18" s="3">
        <v>1.62</v>
      </c>
      <c r="D18" s="3" t="s">
        <v>27</v>
      </c>
      <c r="G18" s="2">
        <v>4000</v>
      </c>
      <c r="H18" s="3">
        <f t="shared" si="0"/>
        <v>10.5</v>
      </c>
      <c r="I18" s="3">
        <f t="shared" si="17"/>
        <v>7829.85</v>
      </c>
      <c r="J18" s="66">
        <f t="shared" si="31"/>
        <v>19.545092556581093</v>
      </c>
      <c r="K18" s="3">
        <f t="shared" si="6"/>
        <v>4.3927207355078517</v>
      </c>
      <c r="L18" s="3">
        <f t="shared" si="18"/>
        <v>9.8265162853310652</v>
      </c>
      <c r="M18" s="3">
        <f t="shared" si="7"/>
        <v>1783.1773225835195</v>
      </c>
      <c r="N18" s="3">
        <f t="shared" si="8"/>
        <v>2.9972856208395133</v>
      </c>
      <c r="O18" s="3">
        <f t="shared" si="9"/>
        <v>6.4444931166698263</v>
      </c>
      <c r="P18" s="3">
        <f t="shared" ref="P18" si="42">O18*2.237</f>
        <v>14.416331101990401</v>
      </c>
      <c r="Q18" s="3">
        <f t="shared" si="11"/>
        <v>1215.4563374020145</v>
      </c>
      <c r="R18" s="3">
        <f t="shared" si="12"/>
        <v>2.0678694928502739</v>
      </c>
      <c r="S18" s="3">
        <f t="shared" si="13"/>
        <v>8.4360205034184883</v>
      </c>
      <c r="T18" s="3">
        <f t="shared" ref="T18" si="43">S18*2.237</f>
        <v>18.87137786614716</v>
      </c>
      <c r="U18" s="3">
        <f t="shared" si="15"/>
        <v>928.51836915591548</v>
      </c>
      <c r="V18" s="3">
        <f t="shared" si="16"/>
        <v>1.5866722457792382</v>
      </c>
    </row>
    <row r="19" spans="2:22" x14ac:dyDescent="0.2">
      <c r="B19" s="6" t="s">
        <v>23</v>
      </c>
      <c r="C19" s="3">
        <v>0.3</v>
      </c>
      <c r="D19" s="3" t="s">
        <v>27</v>
      </c>
      <c r="G19" s="2">
        <v>4250</v>
      </c>
      <c r="H19" s="3">
        <f t="shared" si="0"/>
        <v>11.25</v>
      </c>
      <c r="I19" s="3">
        <f t="shared" si="17"/>
        <v>8389.125</v>
      </c>
      <c r="J19" s="66">
        <f t="shared" si="31"/>
        <v>19.954243797150909</v>
      </c>
      <c r="K19" s="3">
        <f t="shared" si="6"/>
        <v>4.6672657814770924</v>
      </c>
      <c r="L19" s="3">
        <f t="shared" si="18"/>
        <v>10.440673553164256</v>
      </c>
      <c r="M19" s="3">
        <f t="shared" si="7"/>
        <v>1798.1620059665745</v>
      </c>
      <c r="N19" s="3">
        <f t="shared" si="8"/>
        <v>3.0224728949642152</v>
      </c>
      <c r="O19" s="3">
        <f t="shared" si="9"/>
        <v>6.8472739364616908</v>
      </c>
      <c r="P19" s="3">
        <f t="shared" ref="P19" si="44">O19*2.237</f>
        <v>15.317351795864804</v>
      </c>
      <c r="Q19" s="3">
        <f t="shared" si="11"/>
        <v>1225.6702562037119</v>
      </c>
      <c r="R19" s="3">
        <f t="shared" si="12"/>
        <v>2.0852465474120407</v>
      </c>
      <c r="S19" s="3">
        <f t="shared" si="13"/>
        <v>8.9632717848821439</v>
      </c>
      <c r="T19" s="3">
        <f t="shared" ref="T19" si="45">S19*2.237</f>
        <v>20.050838982781357</v>
      </c>
      <c r="U19" s="3">
        <f t="shared" si="15"/>
        <v>936.32104452697365</v>
      </c>
      <c r="V19" s="3">
        <f t="shared" si="16"/>
        <v>1.6000056259958706</v>
      </c>
    </row>
    <row r="20" spans="2:22" x14ac:dyDescent="0.2">
      <c r="B20" s="6" t="s">
        <v>25</v>
      </c>
      <c r="C20" s="3">
        <f>(C17*C18)*0.7</f>
        <v>1.8711</v>
      </c>
      <c r="D20" s="3" t="s">
        <v>28</v>
      </c>
      <c r="G20" s="2">
        <v>4500</v>
      </c>
      <c r="H20" s="3">
        <f t="shared" si="0"/>
        <v>12</v>
      </c>
      <c r="I20" s="3">
        <f t="shared" si="17"/>
        <v>8948.4</v>
      </c>
      <c r="J20" s="66">
        <f t="shared" si="31"/>
        <v>20.363395037720725</v>
      </c>
      <c r="K20" s="3">
        <f t="shared" si="6"/>
        <v>4.9418108274463322</v>
      </c>
      <c r="L20" s="3">
        <f t="shared" si="18"/>
        <v>11.054830820997445</v>
      </c>
      <c r="M20" s="3">
        <f t="shared" si="7"/>
        <v>1811.4817245292902</v>
      </c>
      <c r="N20" s="3">
        <f t="shared" si="8"/>
        <v>3.0448615830750621</v>
      </c>
      <c r="O20" s="3">
        <f t="shared" si="9"/>
        <v>7.2500547562535536</v>
      </c>
      <c r="P20" s="3">
        <f t="shared" ref="P20" si="46">O20*2.237</f>
        <v>16.218372489739199</v>
      </c>
      <c r="Q20" s="3">
        <f t="shared" si="11"/>
        <v>1234.7492951385545</v>
      </c>
      <c r="R20" s="3">
        <f t="shared" si="12"/>
        <v>2.100692818133612</v>
      </c>
      <c r="S20" s="3">
        <f t="shared" si="13"/>
        <v>9.4905230663458013</v>
      </c>
      <c r="T20" s="3">
        <f t="shared" ref="T20" si="47">S20*2.237</f>
        <v>21.230300099415558</v>
      </c>
      <c r="U20" s="3">
        <f t="shared" si="15"/>
        <v>943.25675596791393</v>
      </c>
      <c r="V20" s="3">
        <f t="shared" si="16"/>
        <v>1.6118575195217655</v>
      </c>
    </row>
    <row r="21" spans="2:22" x14ac:dyDescent="0.2">
      <c r="B21" s="6" t="s">
        <v>24</v>
      </c>
      <c r="C21" s="10" t="s">
        <v>26</v>
      </c>
      <c r="D21" s="11"/>
      <c r="G21" s="2">
        <v>4750</v>
      </c>
      <c r="H21" s="3">
        <f t="shared" si="0"/>
        <v>12.75</v>
      </c>
      <c r="I21" s="3">
        <f t="shared" si="17"/>
        <v>9507.6750000000011</v>
      </c>
      <c r="J21" s="66">
        <f t="shared" si="31"/>
        <v>20.772546278290541</v>
      </c>
      <c r="K21" s="3">
        <f t="shared" si="6"/>
        <v>5.2163558734155737</v>
      </c>
      <c r="L21" s="3">
        <f t="shared" si="18"/>
        <v>11.668988088830639</v>
      </c>
      <c r="M21" s="3">
        <f t="shared" si="7"/>
        <v>1823.3993674538247</v>
      </c>
      <c r="N21" s="3">
        <f t="shared" si="8"/>
        <v>3.0648935671742397</v>
      </c>
      <c r="O21" s="3">
        <f t="shared" si="9"/>
        <v>7.6528355760454181</v>
      </c>
      <c r="P21" s="3">
        <f t="shared" ref="P21" si="48">O21*2.237</f>
        <v>17.1193931836136</v>
      </c>
      <c r="Q21" s="3">
        <f t="shared" si="11"/>
        <v>1242.8726457644659</v>
      </c>
      <c r="R21" s="3">
        <f t="shared" si="12"/>
        <v>2.1145131656213327</v>
      </c>
      <c r="S21" s="3">
        <f t="shared" si="13"/>
        <v>10.017774347809453</v>
      </c>
      <c r="T21" s="3">
        <f t="shared" ref="T21" si="49">S21*2.237</f>
        <v>22.409761216049748</v>
      </c>
      <c r="U21" s="3">
        <f t="shared" si="15"/>
        <v>949.46239252033479</v>
      </c>
      <c r="V21" s="3">
        <f t="shared" si="16"/>
        <v>1.6224618453080935</v>
      </c>
    </row>
    <row r="22" spans="2:22" x14ac:dyDescent="0.2">
      <c r="B22" s="6" t="s">
        <v>52</v>
      </c>
      <c r="C22" s="3">
        <v>29</v>
      </c>
      <c r="D22" s="3" t="s">
        <v>53</v>
      </c>
      <c r="G22" s="2">
        <v>5000</v>
      </c>
      <c r="H22" s="3">
        <f t="shared" si="0"/>
        <v>13.5</v>
      </c>
      <c r="I22" s="3">
        <f t="shared" si="17"/>
        <v>10066.950000000001</v>
      </c>
      <c r="J22" s="66">
        <f t="shared" si="31"/>
        <v>21.181697518860357</v>
      </c>
      <c r="K22" s="3">
        <f t="shared" si="6"/>
        <v>5.4909009193848144</v>
      </c>
      <c r="L22" s="3">
        <f t="shared" si="18"/>
        <v>12.28314535666383</v>
      </c>
      <c r="M22" s="3">
        <f t="shared" si="7"/>
        <v>1834.1252460859059</v>
      </c>
      <c r="N22" s="3">
        <f t="shared" si="8"/>
        <v>3.0829223528634997</v>
      </c>
      <c r="O22" s="3">
        <f t="shared" si="9"/>
        <v>8.0556163958372817</v>
      </c>
      <c r="P22" s="3">
        <f t="shared" ref="P22" si="50">O22*2.237</f>
        <v>18.020413877488</v>
      </c>
      <c r="Q22" s="3">
        <f t="shared" si="11"/>
        <v>1250.1836613277865</v>
      </c>
      <c r="R22" s="3">
        <f t="shared" si="12"/>
        <v>2.1269514783602821</v>
      </c>
      <c r="S22" s="3">
        <f t="shared" si="13"/>
        <v>10.545025629273109</v>
      </c>
      <c r="T22" s="3">
        <f t="shared" ref="T22" si="51">S22*2.237</f>
        <v>23.589222332683946</v>
      </c>
      <c r="U22" s="3">
        <f t="shared" si="15"/>
        <v>955.04746541751319</v>
      </c>
      <c r="V22" s="3">
        <f t="shared" si="16"/>
        <v>1.632005738515788</v>
      </c>
    </row>
    <row r="23" spans="2:22" x14ac:dyDescent="0.2">
      <c r="G23" s="2">
        <v>5250</v>
      </c>
      <c r="H23" s="3">
        <f t="shared" si="0"/>
        <v>14.25</v>
      </c>
      <c r="I23" s="3">
        <f t="shared" si="17"/>
        <v>10626.225</v>
      </c>
      <c r="J23" s="66">
        <f t="shared" si="31"/>
        <v>21.590848759430173</v>
      </c>
      <c r="K23" s="3">
        <f t="shared" si="6"/>
        <v>5.7654459653540551</v>
      </c>
      <c r="L23" s="3">
        <f t="shared" si="18"/>
        <v>12.897302624497021</v>
      </c>
      <c r="M23" s="3">
        <f t="shared" si="7"/>
        <v>1843.8296124673129</v>
      </c>
      <c r="N23" s="3">
        <f t="shared" si="8"/>
        <v>3.0992341113442592</v>
      </c>
      <c r="O23" s="3">
        <f t="shared" si="9"/>
        <v>8.458397215629148</v>
      </c>
      <c r="P23" s="3">
        <f t="shared" ref="P23" si="52">O23*2.237</f>
        <v>18.921434571362404</v>
      </c>
      <c r="Q23" s="3">
        <f t="shared" si="11"/>
        <v>1256.7983896945998</v>
      </c>
      <c r="R23" s="3">
        <f t="shared" si="12"/>
        <v>2.1382051898859973</v>
      </c>
      <c r="S23" s="3">
        <f t="shared" si="13"/>
        <v>11.072276910736765</v>
      </c>
      <c r="T23" s="3">
        <f t="shared" ref="T23" si="53">S23*2.237</f>
        <v>24.768683449318143</v>
      </c>
      <c r="U23" s="3">
        <f t="shared" si="15"/>
        <v>960.10062661019845</v>
      </c>
      <c r="V23" s="3">
        <f t="shared" si="16"/>
        <v>1.6406406895132262</v>
      </c>
    </row>
    <row r="24" spans="2:22" x14ac:dyDescent="0.2">
      <c r="B24" s="87" t="s">
        <v>29</v>
      </c>
      <c r="C24" s="88"/>
      <c r="D24" s="89"/>
      <c r="G24" s="2">
        <v>5500</v>
      </c>
      <c r="H24" s="3">
        <f t="shared" si="0"/>
        <v>15</v>
      </c>
      <c r="I24" s="3">
        <f t="shared" si="17"/>
        <v>11185.500000000002</v>
      </c>
      <c r="J24" s="66">
        <v>22</v>
      </c>
      <c r="K24" s="3">
        <f t="shared" si="6"/>
        <v>6.0399910113232957</v>
      </c>
      <c r="L24" s="3">
        <f t="shared" si="18"/>
        <v>13.511459892330214</v>
      </c>
      <c r="M24" s="3">
        <f t="shared" si="7"/>
        <v>1852.6517637231373</v>
      </c>
      <c r="N24" s="3">
        <f t="shared" si="8"/>
        <v>3.1140629826904038</v>
      </c>
      <c r="O24" s="3">
        <f t="shared" si="9"/>
        <v>8.8611780354210126</v>
      </c>
      <c r="P24" s="3">
        <f t="shared" ref="P24" si="54">O24*2.237</f>
        <v>19.822455265236805</v>
      </c>
      <c r="Q24" s="3">
        <f t="shared" si="11"/>
        <v>1262.8117791189759</v>
      </c>
      <c r="R24" s="3">
        <f t="shared" si="12"/>
        <v>2.1484358367275571</v>
      </c>
      <c r="S24" s="3">
        <f t="shared" si="13"/>
        <v>11.59952819220042</v>
      </c>
      <c r="T24" s="3">
        <f t="shared" ref="T24" si="55">S24*2.237</f>
        <v>25.94814456595234</v>
      </c>
      <c r="U24" s="3">
        <f t="shared" si="15"/>
        <v>964.6944095126396</v>
      </c>
      <c r="V24" s="3">
        <f t="shared" si="16"/>
        <v>1.6484906449654426</v>
      </c>
    </row>
    <row r="25" spans="2:22" x14ac:dyDescent="0.2">
      <c r="B25" s="6" t="s">
        <v>30</v>
      </c>
      <c r="C25" s="3">
        <v>30</v>
      </c>
      <c r="D25" s="3" t="s">
        <v>34</v>
      </c>
      <c r="G25" s="2">
        <v>5750</v>
      </c>
      <c r="H25" s="3">
        <f t="shared" si="0"/>
        <v>15.75</v>
      </c>
      <c r="I25" s="3">
        <f t="shared" si="17"/>
        <v>11744.775000000001</v>
      </c>
      <c r="J25" s="66">
        <f>J24-(($J$24-$J$18)/5)</f>
        <v>21.509018511316217</v>
      </c>
      <c r="K25" s="3">
        <f t="shared" si="6"/>
        <v>6.3145360572925355</v>
      </c>
      <c r="L25" s="3">
        <f t="shared" si="18"/>
        <v>14.125617160163403</v>
      </c>
      <c r="M25" s="3">
        <f t="shared" si="7"/>
        <v>1860.7067713914992</v>
      </c>
      <c r="N25" s="3">
        <f t="shared" si="8"/>
        <v>3.1276023869629714</v>
      </c>
      <c r="O25" s="3">
        <f t="shared" si="9"/>
        <v>9.2639588552128771</v>
      </c>
      <c r="P25" s="3">
        <f t="shared" ref="P25" si="56">O25*2.237</f>
        <v>20.723475959111205</v>
      </c>
      <c r="Q25" s="3">
        <f t="shared" si="11"/>
        <v>1268.3022651151452</v>
      </c>
      <c r="R25" s="3">
        <f t="shared" si="12"/>
        <v>2.1577768621046332</v>
      </c>
      <c r="S25" s="3">
        <f t="shared" si="13"/>
        <v>12.126779473664074</v>
      </c>
      <c r="T25" s="3">
        <f t="shared" ref="T25" si="57">S25*2.237</f>
        <v>27.127605682586534</v>
      </c>
      <c r="U25" s="3">
        <f t="shared" si="15"/>
        <v>968.88873303225989</v>
      </c>
      <c r="V25" s="3">
        <f t="shared" si="16"/>
        <v>1.6556579955957273</v>
      </c>
    </row>
    <row r="26" spans="2:22" x14ac:dyDescent="0.2">
      <c r="B26" s="6" t="s">
        <v>30</v>
      </c>
      <c r="C26" s="3">
        <f>C25/2.237</f>
        <v>13.410818059901654</v>
      </c>
      <c r="D26" s="3" t="s">
        <v>35</v>
      </c>
      <c r="G26" s="2">
        <v>6000</v>
      </c>
      <c r="H26" s="3">
        <f t="shared" si="0"/>
        <v>16.5</v>
      </c>
      <c r="I26" s="3">
        <f t="shared" si="17"/>
        <v>12304.05</v>
      </c>
      <c r="J26" s="66">
        <f>J25-(($J$24-$J$18)/5)</f>
        <v>21.018037022632434</v>
      </c>
      <c r="K26" s="3">
        <f t="shared" si="6"/>
        <v>6.5890811032617771</v>
      </c>
      <c r="L26" s="3">
        <f t="shared" si="18"/>
        <v>14.739774427996595</v>
      </c>
      <c r="M26" s="3">
        <f t="shared" si="7"/>
        <v>1868.0905284208302</v>
      </c>
      <c r="N26" s="3">
        <f t="shared" si="8"/>
        <v>3.1400135075461573</v>
      </c>
      <c r="O26" s="3">
        <f t="shared" si="9"/>
        <v>9.6667396750047363</v>
      </c>
      <c r="P26" s="3">
        <f t="shared" ref="P26" si="58">O26*2.237</f>
        <v>21.624496652985595</v>
      </c>
      <c r="Q26" s="3">
        <f t="shared" si="11"/>
        <v>1273.3352106116347</v>
      </c>
      <c r="R26" s="3">
        <f t="shared" si="12"/>
        <v>2.1663394687002877</v>
      </c>
      <c r="S26" s="3">
        <f t="shared" si="13"/>
        <v>12.654030755127732</v>
      </c>
      <c r="T26" s="3">
        <f t="shared" ref="T26" si="59">S26*2.237</f>
        <v>28.307066799220738</v>
      </c>
      <c r="U26" s="3">
        <f t="shared" si="15"/>
        <v>972.73352959191152</v>
      </c>
      <c r="V26" s="3">
        <f t="shared" si="16"/>
        <v>1.662228067006821</v>
      </c>
    </row>
    <row r="27" spans="2:22" x14ac:dyDescent="0.2">
      <c r="B27" s="6" t="s">
        <v>31</v>
      </c>
      <c r="C27" s="3">
        <f>(C18-C19)*C17</f>
        <v>2.1779999999999999</v>
      </c>
      <c r="D27" s="3" t="s">
        <v>28</v>
      </c>
      <c r="G27" s="2">
        <v>6250</v>
      </c>
      <c r="H27" s="3">
        <f>H28-0.75</f>
        <v>17.25</v>
      </c>
      <c r="I27" s="3">
        <f t="shared" si="17"/>
        <v>12863.324999999999</v>
      </c>
      <c r="J27" s="66">
        <f>J26-(($J$24-$J$18)/5)</f>
        <v>20.527055533948651</v>
      </c>
      <c r="K27" s="3">
        <f t="shared" si="6"/>
        <v>6.8636261492310178</v>
      </c>
      <c r="L27" s="3">
        <f t="shared" si="18"/>
        <v>15.353931695829788</v>
      </c>
      <c r="M27" s="3">
        <f t="shared" si="7"/>
        <v>1874.883584887815</v>
      </c>
      <c r="N27" s="3">
        <f t="shared" si="8"/>
        <v>3.1514317384826884</v>
      </c>
      <c r="O27" s="3">
        <f t="shared" si="9"/>
        <v>10.069520494796603</v>
      </c>
      <c r="P27" s="3">
        <f t="shared" ref="P27" si="60">O27*2.237</f>
        <v>22.525517346860003</v>
      </c>
      <c r="Q27" s="3">
        <f t="shared" si="11"/>
        <v>1277.9655204684038</v>
      </c>
      <c r="R27" s="3">
        <f t="shared" si="12"/>
        <v>2.1742170667682883</v>
      </c>
      <c r="S27" s="3">
        <f t="shared" si="13"/>
        <v>13.181282036591385</v>
      </c>
      <c r="T27" s="3">
        <f t="shared" ref="T27" si="61">S27*2.237</f>
        <v>29.486527915854932</v>
      </c>
      <c r="U27" s="3">
        <f t="shared" si="15"/>
        <v>976.27074242679134</v>
      </c>
      <c r="V27" s="3">
        <f t="shared" si="16"/>
        <v>1.6682725327050281</v>
      </c>
    </row>
    <row r="28" spans="2:22" x14ac:dyDescent="0.2">
      <c r="B28" s="6" t="s">
        <v>32</v>
      </c>
      <c r="C28" s="3">
        <v>0.35</v>
      </c>
      <c r="D28" s="3" t="s">
        <v>33</v>
      </c>
      <c r="G28" s="2">
        <v>6500</v>
      </c>
      <c r="H28" s="3">
        <v>18</v>
      </c>
      <c r="I28" s="3">
        <f t="shared" si="17"/>
        <v>13422.6</v>
      </c>
      <c r="J28" s="66">
        <f>J27-(($J$24-$J$18)/5)</f>
        <v>20.036074045264868</v>
      </c>
      <c r="K28" s="3">
        <f t="shared" si="6"/>
        <v>7.1381711952002576</v>
      </c>
      <c r="L28" s="3">
        <f t="shared" si="18"/>
        <v>15.968088963662977</v>
      </c>
      <c r="M28" s="3">
        <f t="shared" si="7"/>
        <v>1881.1540985496474</v>
      </c>
      <c r="N28" s="3">
        <f t="shared" si="8"/>
        <v>3.1619716439625645</v>
      </c>
      <c r="O28" s="3">
        <f t="shared" si="9"/>
        <v>10.472301314588467</v>
      </c>
      <c r="P28" s="3">
        <f t="shared" ref="P28" si="62">O28*2.237</f>
        <v>23.426538040734403</v>
      </c>
      <c r="Q28" s="3">
        <f t="shared" si="11"/>
        <v>1282.2396526438833</v>
      </c>
      <c r="R28" s="3">
        <f t="shared" si="12"/>
        <v>2.1814886957541351</v>
      </c>
      <c r="S28" s="3">
        <f t="shared" si="13"/>
        <v>13.708533318055041</v>
      </c>
      <c r="T28" s="3">
        <f t="shared" ref="T28" si="63">S28*2.237</f>
        <v>30.665989032489129</v>
      </c>
      <c r="U28" s="3">
        <f t="shared" si="15"/>
        <v>979.53586196668027</v>
      </c>
      <c r="V28" s="3">
        <f t="shared" si="16"/>
        <v>1.6738520395033725</v>
      </c>
    </row>
    <row r="30" spans="2:22" x14ac:dyDescent="0.2">
      <c r="B30" s="87" t="s">
        <v>36</v>
      </c>
      <c r="C30" s="88"/>
      <c r="D30" s="89"/>
      <c r="I30" s="82"/>
      <c r="J30" s="82">
        <v>1</v>
      </c>
      <c r="K30" s="82">
        <v>2</v>
      </c>
      <c r="L30" s="82">
        <v>3</v>
      </c>
      <c r="M30" s="82"/>
      <c r="N30" s="82"/>
    </row>
    <row r="31" spans="2:22" x14ac:dyDescent="0.2">
      <c r="B31" s="6" t="s">
        <v>37</v>
      </c>
      <c r="C31" s="3">
        <v>12</v>
      </c>
      <c r="D31" s="3" t="s">
        <v>43</v>
      </c>
      <c r="I31" s="83">
        <v>750</v>
      </c>
      <c r="J31" s="83">
        <f t="shared" ref="J31:J54" si="64">((($I31/$F$52)*($C$58))/(60))*2.24*0.44704</f>
        <v>0.82363513790772214</v>
      </c>
      <c r="K31" s="83">
        <f t="shared" ref="K31:K54" si="65">((($I31/$F$53)*($C$58))/(60))*2.24*0.44704</f>
        <v>1.208342459375592</v>
      </c>
      <c r="L31" s="83">
        <f t="shared" ref="L31:L54" si="66">((($I31/$F$54)*($C$58))/(60))*2.24*0.44704</f>
        <v>1.5817538443909664</v>
      </c>
      <c r="M31" s="83">
        <v>750</v>
      </c>
      <c r="N31" s="82">
        <f>(I5)/((2*PI()*G5)/60)</f>
        <v>7.1209104638175811</v>
      </c>
    </row>
    <row r="32" spans="2:22" x14ac:dyDescent="0.2">
      <c r="B32" s="6" t="s">
        <v>37</v>
      </c>
      <c r="C32" s="3">
        <f>C31/39.37</f>
        <v>0.30480060960121924</v>
      </c>
      <c r="D32" s="3" t="s">
        <v>27</v>
      </c>
      <c r="I32" s="83">
        <v>1000</v>
      </c>
      <c r="J32" s="83">
        <f t="shared" si="64"/>
        <v>1.0981801838769629</v>
      </c>
      <c r="K32" s="83">
        <f t="shared" si="65"/>
        <v>1.6111232791674566</v>
      </c>
      <c r="L32" s="83">
        <f t="shared" si="66"/>
        <v>2.1090051258546221</v>
      </c>
      <c r="M32" s="83">
        <v>1000</v>
      </c>
      <c r="N32" s="82">
        <f t="shared" ref="N32:N54" si="67">(I6)/((2*PI()*G6)/60)</f>
        <v>10.681365695726372</v>
      </c>
    </row>
    <row r="33" spans="2:14" x14ac:dyDescent="0.2">
      <c r="B33" s="6" t="s">
        <v>38</v>
      </c>
      <c r="C33" s="3">
        <v>0.15240000000000001</v>
      </c>
      <c r="D33" s="3" t="s">
        <v>27</v>
      </c>
      <c r="I33" s="83">
        <v>1250</v>
      </c>
      <c r="J33" s="83">
        <f t="shared" si="64"/>
        <v>1.3727252298462036</v>
      </c>
      <c r="K33" s="83">
        <f t="shared" si="65"/>
        <v>2.0139040989593204</v>
      </c>
      <c r="L33" s="83">
        <f t="shared" si="66"/>
        <v>2.6362564073182773</v>
      </c>
      <c r="M33" s="83">
        <v>1250</v>
      </c>
      <c r="N33" s="82">
        <f t="shared" si="67"/>
        <v>12.817638834871646</v>
      </c>
    </row>
    <row r="34" spans="2:14" x14ac:dyDescent="0.2">
      <c r="B34" s="6" t="s">
        <v>39</v>
      </c>
      <c r="C34" s="3">
        <v>10</v>
      </c>
      <c r="D34" s="3" t="s">
        <v>43</v>
      </c>
      <c r="I34" s="83">
        <v>1500</v>
      </c>
      <c r="J34" s="83">
        <f t="shared" si="64"/>
        <v>1.6472702758154443</v>
      </c>
      <c r="K34" s="83">
        <f t="shared" si="65"/>
        <v>2.4166849187511841</v>
      </c>
      <c r="L34" s="83">
        <f t="shared" si="66"/>
        <v>3.1635076887819329</v>
      </c>
      <c r="M34" s="83">
        <v>1500</v>
      </c>
      <c r="N34" s="82">
        <f t="shared" si="67"/>
        <v>14.241820927635162</v>
      </c>
    </row>
    <row r="35" spans="2:14" x14ac:dyDescent="0.2">
      <c r="B35" s="6" t="s">
        <v>39</v>
      </c>
      <c r="C35" s="3">
        <f>C34/39.37</f>
        <v>0.25400050800101603</v>
      </c>
      <c r="D35" s="3" t="s">
        <v>27</v>
      </c>
      <c r="I35" s="83">
        <v>1750</v>
      </c>
      <c r="J35" s="83">
        <f t="shared" si="64"/>
        <v>1.9218153217846847</v>
      </c>
      <c r="K35" s="83">
        <f t="shared" si="65"/>
        <v>2.819465738543049</v>
      </c>
      <c r="L35" s="83">
        <f t="shared" si="66"/>
        <v>3.6907589702455885</v>
      </c>
      <c r="M35" s="83">
        <v>1750</v>
      </c>
      <c r="N35" s="82">
        <f t="shared" si="67"/>
        <v>15.259093851037678</v>
      </c>
    </row>
    <row r="36" spans="2:14" x14ac:dyDescent="0.2">
      <c r="B36" s="6" t="s">
        <v>40</v>
      </c>
      <c r="C36" s="3">
        <v>0.13969999999999999</v>
      </c>
      <c r="D36" s="3" t="s">
        <v>27</v>
      </c>
      <c r="I36" s="83">
        <v>2000</v>
      </c>
      <c r="J36" s="83">
        <f t="shared" si="64"/>
        <v>2.1963603677539258</v>
      </c>
      <c r="K36" s="83">
        <f t="shared" si="65"/>
        <v>3.2222465583349131</v>
      </c>
      <c r="L36" s="83">
        <f t="shared" si="66"/>
        <v>4.2180102517092442</v>
      </c>
      <c r="M36" s="83">
        <v>2000</v>
      </c>
      <c r="N36" s="82">
        <f t="shared" si="67"/>
        <v>16.022048543589559</v>
      </c>
    </row>
    <row r="37" spans="2:14" x14ac:dyDescent="0.2">
      <c r="B37" s="6" t="s">
        <v>41</v>
      </c>
      <c r="C37" s="3">
        <f>(C35/2)+C36</f>
        <v>0.26670025400050801</v>
      </c>
      <c r="D37" s="3" t="s">
        <v>27</v>
      </c>
      <c r="I37" s="83">
        <v>2250</v>
      </c>
      <c r="J37" s="83">
        <f t="shared" si="64"/>
        <v>2.4709054137231661</v>
      </c>
      <c r="K37" s="83">
        <f t="shared" si="65"/>
        <v>3.6250273781267768</v>
      </c>
      <c r="L37" s="83">
        <f t="shared" si="66"/>
        <v>4.7452615331729007</v>
      </c>
      <c r="M37" s="83">
        <v>2250</v>
      </c>
      <c r="N37" s="82">
        <f t="shared" si="67"/>
        <v>16.615457748907691</v>
      </c>
    </row>
    <row r="38" spans="2:14" x14ac:dyDescent="0.2">
      <c r="B38" s="6" t="s">
        <v>42</v>
      </c>
      <c r="C38" s="3">
        <f>C37*PI()*2</f>
        <v>1.6757271173570556</v>
      </c>
      <c r="D38" s="3" t="s">
        <v>27</v>
      </c>
      <c r="I38" s="83">
        <v>2500</v>
      </c>
      <c r="J38" s="83">
        <f t="shared" si="64"/>
        <v>2.7454504596924072</v>
      </c>
      <c r="K38" s="83">
        <f t="shared" si="65"/>
        <v>4.0278081979186409</v>
      </c>
      <c r="L38" s="83">
        <f t="shared" si="66"/>
        <v>5.2725128146365545</v>
      </c>
      <c r="M38" s="83">
        <v>2500</v>
      </c>
      <c r="N38" s="82">
        <f t="shared" si="67"/>
        <v>17.090185113162196</v>
      </c>
    </row>
    <row r="39" spans="2:14" x14ac:dyDescent="0.2">
      <c r="I39" s="83">
        <v>2750</v>
      </c>
      <c r="J39" s="83">
        <f t="shared" si="64"/>
        <v>3.0199955056616479</v>
      </c>
      <c r="K39" s="83">
        <f t="shared" si="65"/>
        <v>4.4305890177105063</v>
      </c>
      <c r="L39" s="83">
        <f t="shared" si="66"/>
        <v>5.7997640961002102</v>
      </c>
      <c r="M39" s="83">
        <v>2750</v>
      </c>
      <c r="N39" s="82">
        <f ca="1">(($N$48-$N$38)/10)+N38</f>
        <v>17.109411571414505</v>
      </c>
    </row>
    <row r="40" spans="2:14" x14ac:dyDescent="0.2">
      <c r="B40" s="87" t="s">
        <v>44</v>
      </c>
      <c r="C40" s="88"/>
      <c r="D40" s="89"/>
      <c r="I40" s="83">
        <v>3000</v>
      </c>
      <c r="J40" s="83">
        <f t="shared" si="64"/>
        <v>3.2945405516308885</v>
      </c>
      <c r="K40" s="83">
        <f t="shared" si="65"/>
        <v>4.8333698375023681</v>
      </c>
      <c r="L40" s="83">
        <f t="shared" si="66"/>
        <v>6.3270153775638658</v>
      </c>
      <c r="M40" s="83">
        <v>3000</v>
      </c>
      <c r="N40" s="82">
        <f t="shared" ref="N40:N49" ca="1" si="68">(($N$48-$N$38)/10)+N39</f>
        <v>17.128638029666813</v>
      </c>
    </row>
    <row r="41" spans="2:14" x14ac:dyDescent="0.2">
      <c r="B41" s="6" t="s">
        <v>45</v>
      </c>
      <c r="C41" s="3">
        <v>365</v>
      </c>
      <c r="D41" s="3" t="s">
        <v>54</v>
      </c>
      <c r="I41" s="83">
        <v>3250</v>
      </c>
      <c r="J41" s="83">
        <f t="shared" si="64"/>
        <v>3.5690855976001288</v>
      </c>
      <c r="K41" s="83">
        <f t="shared" si="65"/>
        <v>5.2361506572942336</v>
      </c>
      <c r="L41" s="83">
        <f t="shared" si="66"/>
        <v>6.8542666590275205</v>
      </c>
      <c r="M41" s="83">
        <v>3250</v>
      </c>
      <c r="N41" s="82">
        <f t="shared" ca="1" si="68"/>
        <v>17.147864487919122</v>
      </c>
    </row>
    <row r="42" spans="2:14" x14ac:dyDescent="0.2">
      <c r="B42" s="6" t="s">
        <v>46</v>
      </c>
      <c r="C42" s="3">
        <v>80</v>
      </c>
      <c r="D42" s="3" t="s">
        <v>54</v>
      </c>
      <c r="I42" s="83">
        <v>3500</v>
      </c>
      <c r="J42" s="83">
        <f t="shared" si="64"/>
        <v>3.8436306435693695</v>
      </c>
      <c r="K42" s="83">
        <f t="shared" si="65"/>
        <v>5.6389314770860981</v>
      </c>
      <c r="L42" s="83">
        <f t="shared" si="66"/>
        <v>7.381517940491177</v>
      </c>
      <c r="M42" s="83">
        <v>3500</v>
      </c>
      <c r="N42" s="82">
        <f t="shared" ca="1" si="68"/>
        <v>17.167090946171431</v>
      </c>
    </row>
    <row r="43" spans="2:14" x14ac:dyDescent="0.2">
      <c r="B43" s="6" t="s">
        <v>48</v>
      </c>
      <c r="C43" s="3">
        <v>10</v>
      </c>
      <c r="D43" s="3" t="s">
        <v>54</v>
      </c>
      <c r="I43" s="83">
        <v>3750</v>
      </c>
      <c r="J43" s="83">
        <f t="shared" si="64"/>
        <v>4.1181756895386101</v>
      </c>
      <c r="K43" s="83">
        <f t="shared" si="65"/>
        <v>6.0417122968779617</v>
      </c>
      <c r="L43" s="83">
        <f t="shared" si="66"/>
        <v>7.9087692219548336</v>
      </c>
      <c r="M43" s="83">
        <v>3750</v>
      </c>
      <c r="N43" s="82">
        <f t="shared" ca="1" si="68"/>
        <v>17.18631740442374</v>
      </c>
    </row>
    <row r="44" spans="2:14" x14ac:dyDescent="0.2">
      <c r="B44" s="6" t="s">
        <v>47</v>
      </c>
      <c r="C44" s="3">
        <v>80</v>
      </c>
      <c r="D44" s="3" t="s">
        <v>54</v>
      </c>
      <c r="I44" s="83">
        <v>4000</v>
      </c>
      <c r="J44" s="83">
        <f t="shared" si="64"/>
        <v>4.3927207355078517</v>
      </c>
      <c r="K44" s="83">
        <f t="shared" si="65"/>
        <v>6.4444931166698263</v>
      </c>
      <c r="L44" s="83">
        <f t="shared" si="66"/>
        <v>8.4360205034184883</v>
      </c>
      <c r="M44" s="83">
        <v>4000</v>
      </c>
      <c r="N44" s="82">
        <f t="shared" ca="1" si="68"/>
        <v>17.205543862676048</v>
      </c>
    </row>
    <row r="45" spans="2:14" x14ac:dyDescent="0.2">
      <c r="B45" s="6" t="s">
        <v>49</v>
      </c>
      <c r="C45" s="3">
        <v>10</v>
      </c>
      <c r="D45" s="3" t="s">
        <v>54</v>
      </c>
      <c r="I45" s="83">
        <v>4250</v>
      </c>
      <c r="J45" s="83">
        <f t="shared" si="64"/>
        <v>4.6672657814770924</v>
      </c>
      <c r="K45" s="83">
        <f t="shared" si="65"/>
        <v>6.8472739364616908</v>
      </c>
      <c r="L45" s="83">
        <f t="shared" si="66"/>
        <v>8.9632717848821439</v>
      </c>
      <c r="M45" s="83">
        <v>4250</v>
      </c>
      <c r="N45" s="82">
        <f t="shared" ca="1" si="68"/>
        <v>17.224770320928357</v>
      </c>
    </row>
    <row r="46" spans="2:14" x14ac:dyDescent="0.2">
      <c r="B46" s="6" t="s">
        <v>50</v>
      </c>
      <c r="C46" s="3">
        <f>C22*0.77</f>
        <v>22.330000000000002</v>
      </c>
      <c r="D46" s="3" t="s">
        <v>54</v>
      </c>
      <c r="I46" s="83">
        <v>4500</v>
      </c>
      <c r="J46" s="83">
        <f t="shared" si="64"/>
        <v>4.9418108274463322</v>
      </c>
      <c r="K46" s="83">
        <f t="shared" si="65"/>
        <v>7.2500547562535536</v>
      </c>
      <c r="L46" s="83">
        <f t="shared" si="66"/>
        <v>9.4905230663458013</v>
      </c>
      <c r="M46" s="83">
        <v>4500</v>
      </c>
      <c r="N46" s="82">
        <f t="shared" ca="1" si="68"/>
        <v>17.243996779180666</v>
      </c>
    </row>
    <row r="47" spans="2:14" x14ac:dyDescent="0.2">
      <c r="B47" s="6" t="s">
        <v>51</v>
      </c>
      <c r="C47" s="3">
        <f>SUM(C41:C46)</f>
        <v>567.33000000000004</v>
      </c>
      <c r="D47" s="3" t="s">
        <v>54</v>
      </c>
      <c r="I47" s="83">
        <v>4750</v>
      </c>
      <c r="J47" s="83">
        <f t="shared" si="64"/>
        <v>5.2163558734155737</v>
      </c>
      <c r="K47" s="83">
        <f t="shared" si="65"/>
        <v>7.6528355760454181</v>
      </c>
      <c r="L47" s="83">
        <f t="shared" si="66"/>
        <v>10.017774347809453</v>
      </c>
      <c r="M47" s="83">
        <v>4750</v>
      </c>
      <c r="N47" s="82">
        <f t="shared" ca="1" si="68"/>
        <v>17.263223237432975</v>
      </c>
    </row>
    <row r="48" spans="2:14" x14ac:dyDescent="0.2">
      <c r="I48" s="83">
        <v>5000</v>
      </c>
      <c r="J48" s="83">
        <f t="shared" si="64"/>
        <v>5.4909009193848144</v>
      </c>
      <c r="K48" s="83">
        <f t="shared" si="65"/>
        <v>8.0556163958372817</v>
      </c>
      <c r="L48" s="83">
        <f t="shared" si="66"/>
        <v>10.545025629273109</v>
      </c>
      <c r="M48" s="83">
        <v>5000</v>
      </c>
      <c r="N48" s="82">
        <f t="shared" ca="1" si="68"/>
        <v>17.282449695685283</v>
      </c>
    </row>
    <row r="49" spans="2:14" x14ac:dyDescent="0.2">
      <c r="B49" s="87" t="s">
        <v>55</v>
      </c>
      <c r="C49" s="88"/>
      <c r="D49" s="88"/>
      <c r="E49" s="88"/>
      <c r="F49" s="89"/>
      <c r="I49" s="83">
        <v>5250</v>
      </c>
      <c r="J49" s="83">
        <f t="shared" si="64"/>
        <v>5.7654459653540551</v>
      </c>
      <c r="K49" s="83">
        <f t="shared" si="65"/>
        <v>8.458397215629148</v>
      </c>
      <c r="L49" s="83">
        <f t="shared" si="66"/>
        <v>11.072276910736765</v>
      </c>
      <c r="M49" s="83">
        <v>5250</v>
      </c>
      <c r="N49" s="82">
        <f t="shared" ca="1" si="68"/>
        <v>17.301676153937592</v>
      </c>
    </row>
    <row r="50" spans="2:14" x14ac:dyDescent="0.2">
      <c r="B50" s="4" t="s">
        <v>61</v>
      </c>
      <c r="C50" s="4" t="s">
        <v>62</v>
      </c>
      <c r="D50" s="4" t="s">
        <v>63</v>
      </c>
      <c r="E50" s="4" t="s">
        <v>64</v>
      </c>
      <c r="F50" s="4" t="s">
        <v>65</v>
      </c>
      <c r="I50" s="83">
        <v>5500</v>
      </c>
      <c r="J50" s="83">
        <f t="shared" si="64"/>
        <v>6.0399910113232957</v>
      </c>
      <c r="K50" s="83">
        <f t="shared" si="65"/>
        <v>8.8611780354210126</v>
      </c>
      <c r="L50" s="83">
        <f t="shared" si="66"/>
        <v>11.59952819220042</v>
      </c>
      <c r="M50" s="83">
        <v>5500</v>
      </c>
      <c r="N50" s="82">
        <v>22</v>
      </c>
    </row>
    <row r="51" spans="2:14" x14ac:dyDescent="0.2">
      <c r="B51" s="6" t="s">
        <v>56</v>
      </c>
      <c r="C51" s="3">
        <v>25</v>
      </c>
      <c r="D51" s="3">
        <v>84</v>
      </c>
      <c r="E51" s="3">
        <f>D51/C51</f>
        <v>3.36</v>
      </c>
      <c r="F51" s="8"/>
      <c r="I51" s="83">
        <v>5750</v>
      </c>
      <c r="J51" s="83">
        <f t="shared" si="64"/>
        <v>6.3145360572925355</v>
      </c>
      <c r="K51" s="83">
        <f t="shared" si="65"/>
        <v>9.2639588552128771</v>
      </c>
      <c r="L51" s="83">
        <f t="shared" si="66"/>
        <v>12.126779473664074</v>
      </c>
      <c r="M51" s="83">
        <v>5750</v>
      </c>
      <c r="N51" s="82">
        <f t="shared" si="67"/>
        <v>19.505102574804678</v>
      </c>
    </row>
    <row r="52" spans="2:14" x14ac:dyDescent="0.2">
      <c r="B52" s="6" t="s">
        <v>57</v>
      </c>
      <c r="C52" s="3">
        <v>26</v>
      </c>
      <c r="D52" s="3">
        <v>11</v>
      </c>
      <c r="E52" s="3">
        <f>C52/D52</f>
        <v>2.3636363636363638</v>
      </c>
      <c r="F52" s="3">
        <f>$E$51*E52*$E$55</f>
        <v>29.601322314049586</v>
      </c>
      <c r="I52" s="83">
        <v>6000</v>
      </c>
      <c r="J52" s="83">
        <f t="shared" si="64"/>
        <v>6.5890811032617771</v>
      </c>
      <c r="K52" s="83">
        <f t="shared" si="65"/>
        <v>9.6667396750047363</v>
      </c>
      <c r="L52" s="83">
        <f t="shared" si="66"/>
        <v>12.654030755127732</v>
      </c>
      <c r="M52" s="83">
        <v>6000</v>
      </c>
      <c r="N52" s="82">
        <f t="shared" si="67"/>
        <v>19.582503775498346</v>
      </c>
    </row>
    <row r="53" spans="2:14" x14ac:dyDescent="0.2">
      <c r="B53" s="6" t="s">
        <v>58</v>
      </c>
      <c r="C53" s="3">
        <v>29</v>
      </c>
      <c r="D53" s="3">
        <v>18</v>
      </c>
      <c r="E53" s="3">
        <f t="shared" ref="E53:E54" si="69">C53/D53</f>
        <v>1.6111111111111112</v>
      </c>
      <c r="F53" s="3">
        <f>$E$51*E53*$E$55</f>
        <v>20.176969696969696</v>
      </c>
      <c r="I53" s="83">
        <v>6250</v>
      </c>
      <c r="J53" s="83">
        <f t="shared" si="64"/>
        <v>6.8636261492310178</v>
      </c>
      <c r="K53" s="83">
        <f t="shared" si="65"/>
        <v>10.069520494796603</v>
      </c>
      <c r="L53" s="83">
        <f t="shared" si="66"/>
        <v>13.181282036591385</v>
      </c>
      <c r="M53" s="83">
        <v>6250</v>
      </c>
      <c r="N53" s="82">
        <f t="shared" si="67"/>
        <v>19.653712880136524</v>
      </c>
    </row>
    <row r="54" spans="2:14" x14ac:dyDescent="0.2">
      <c r="B54" s="6" t="s">
        <v>59</v>
      </c>
      <c r="C54" s="3">
        <v>32</v>
      </c>
      <c r="D54" s="3">
        <v>26</v>
      </c>
      <c r="E54" s="3">
        <f t="shared" si="69"/>
        <v>1.2307692307692308</v>
      </c>
      <c r="F54" s="3">
        <f>$E$51*E54*$E$55</f>
        <v>15.413706293706293</v>
      </c>
      <c r="I54" s="83">
        <v>6500</v>
      </c>
      <c r="J54" s="83">
        <f t="shared" si="64"/>
        <v>7.1381711952002576</v>
      </c>
      <c r="K54" s="83">
        <f t="shared" si="65"/>
        <v>10.472301314588467</v>
      </c>
      <c r="L54" s="83">
        <f t="shared" si="66"/>
        <v>13.708533318055041</v>
      </c>
      <c r="M54" s="83">
        <v>6500</v>
      </c>
      <c r="N54" s="82">
        <f t="shared" si="67"/>
        <v>19.719444361340994</v>
      </c>
    </row>
    <row r="55" spans="2:14" x14ac:dyDescent="0.2">
      <c r="B55" s="6" t="s">
        <v>60</v>
      </c>
      <c r="C55" s="3">
        <v>11</v>
      </c>
      <c r="D55" s="3">
        <v>41</v>
      </c>
      <c r="E55" s="3">
        <f t="shared" ref="E55" si="70">D55/C55</f>
        <v>3.7272727272727271</v>
      </c>
      <c r="F55" s="9"/>
    </row>
    <row r="57" spans="2:14" x14ac:dyDescent="0.2">
      <c r="B57" s="84" t="s">
        <v>71</v>
      </c>
      <c r="C57" s="84"/>
      <c r="D57" s="84"/>
      <c r="E57" s="84"/>
      <c r="F57" s="84"/>
    </row>
    <row r="58" spans="2:14" x14ac:dyDescent="0.2">
      <c r="B58" s="17" t="s">
        <v>67</v>
      </c>
      <c r="C58" s="3">
        <f>2*PI()*0.31</f>
        <v>1.9477874452256718</v>
      </c>
      <c r="D58" s="3" t="s">
        <v>27</v>
      </c>
      <c r="E58" s="13"/>
      <c r="F58" s="14"/>
    </row>
    <row r="59" spans="2:14" x14ac:dyDescent="0.2">
      <c r="B59" s="6" t="s">
        <v>68</v>
      </c>
      <c r="C59" s="3">
        <f>C55/D55*0.607*PI()</f>
        <v>0.51161985726875725</v>
      </c>
      <c r="D59" s="12" t="s">
        <v>27</v>
      </c>
      <c r="E59" s="15"/>
      <c r="F59" s="16"/>
    </row>
    <row r="60" spans="2:14" x14ac:dyDescent="0.2">
      <c r="B60" s="6"/>
      <c r="C60" s="84" t="s">
        <v>69</v>
      </c>
      <c r="D60" s="84"/>
      <c r="E60" s="84" t="s">
        <v>70</v>
      </c>
      <c r="F60" s="84"/>
    </row>
    <row r="61" spans="2:14" x14ac:dyDescent="0.2">
      <c r="B61" s="6" t="s">
        <v>57</v>
      </c>
      <c r="C61" s="85">
        <v>1</v>
      </c>
      <c r="D61" s="86"/>
      <c r="E61" s="85">
        <f>$C$59/E52</f>
        <v>0.21645455499832036</v>
      </c>
      <c r="F61" s="86"/>
    </row>
    <row r="62" spans="2:14" x14ac:dyDescent="0.2">
      <c r="B62" s="6" t="s">
        <v>58</v>
      </c>
      <c r="C62" s="85">
        <v>1</v>
      </c>
      <c r="D62" s="86"/>
      <c r="E62" s="85">
        <f>$C$59/E53</f>
        <v>0.31755715278750452</v>
      </c>
      <c r="F62" s="86"/>
    </row>
    <row r="63" spans="2:14" x14ac:dyDescent="0.2">
      <c r="B63" s="6" t="s">
        <v>59</v>
      </c>
      <c r="C63" s="85">
        <v>1</v>
      </c>
      <c r="D63" s="86"/>
      <c r="E63" s="85">
        <f t="shared" ref="E63" si="71">$C$59/E54</f>
        <v>0.41569113403086522</v>
      </c>
      <c r="F63" s="86"/>
    </row>
    <row r="65" spans="2:4" x14ac:dyDescent="0.2">
      <c r="B65" s="84" t="s">
        <v>72</v>
      </c>
      <c r="C65" s="84"/>
      <c r="D65" s="84"/>
    </row>
    <row r="66" spans="2:4" x14ac:dyDescent="0.2">
      <c r="B66" s="6" t="s">
        <v>74</v>
      </c>
      <c r="C66" s="3">
        <v>0.95</v>
      </c>
      <c r="D66" s="3" t="s">
        <v>75</v>
      </c>
    </row>
    <row r="67" spans="2:4" x14ac:dyDescent="0.2">
      <c r="B67" s="6" t="s">
        <v>73</v>
      </c>
      <c r="C67" s="3">
        <v>0.17</v>
      </c>
      <c r="D67" s="3" t="s">
        <v>75</v>
      </c>
    </row>
    <row r="68" spans="2:4" x14ac:dyDescent="0.2">
      <c r="B68" s="6">
        <v>1</v>
      </c>
      <c r="C68" s="3">
        <f>$C$47+4*($C$66/$C$37)+$C$67*(E52^2/$C$37^2)</f>
        <v>594.9307300530362</v>
      </c>
      <c r="D68" s="3"/>
    </row>
    <row r="69" spans="2:4" x14ac:dyDescent="0.2">
      <c r="B69" s="6">
        <v>2</v>
      </c>
      <c r="C69" s="3">
        <f t="shared" ref="C69:C70" si="72">$C$47+4*($C$66/$C$37)+$C$67*(E53^2/$C$37^2)</f>
        <v>587.78193769214852</v>
      </c>
      <c r="D69" s="3"/>
    </row>
    <row r="70" spans="2:4" x14ac:dyDescent="0.2">
      <c r="B70" s="6">
        <v>3</v>
      </c>
      <c r="C70" s="3">
        <f t="shared" si="72"/>
        <v>585.19859512630876</v>
      </c>
      <c r="D70" s="3"/>
    </row>
  </sheetData>
  <mergeCells count="24">
    <mergeCell ref="B24:D24"/>
    <mergeCell ref="B15:D15"/>
    <mergeCell ref="B9:D9"/>
    <mergeCell ref="C62:D62"/>
    <mergeCell ref="C61:D61"/>
    <mergeCell ref="B49:F49"/>
    <mergeCell ref="B40:D40"/>
    <mergeCell ref="B30:D30"/>
    <mergeCell ref="S2:V2"/>
    <mergeCell ref="O2:R2"/>
    <mergeCell ref="K2:N2"/>
    <mergeCell ref="G3:G4"/>
    <mergeCell ref="B65:D65"/>
    <mergeCell ref="J3:J4"/>
    <mergeCell ref="I3:I4"/>
    <mergeCell ref="H3:H4"/>
    <mergeCell ref="C60:D60"/>
    <mergeCell ref="E60:F60"/>
    <mergeCell ref="B57:F57"/>
    <mergeCell ref="E63:F63"/>
    <mergeCell ref="E62:F62"/>
    <mergeCell ref="E61:F61"/>
    <mergeCell ref="C63:D63"/>
    <mergeCell ref="B2:C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BC85E-97EF-DB4C-8E58-0C8EAD28AFBC}">
  <dimension ref="B1:E37"/>
  <sheetViews>
    <sheetView workbookViewId="0">
      <selection activeCell="E4" sqref="E4"/>
    </sheetView>
  </sheetViews>
  <sheetFormatPr baseColWidth="10" defaultRowHeight="16" x14ac:dyDescent="0.2"/>
  <cols>
    <col min="1" max="1" width="10.83203125" style="1"/>
    <col min="2" max="2" width="17.83203125" style="1" customWidth="1"/>
    <col min="3" max="3" width="14.33203125" style="1" customWidth="1"/>
    <col min="4" max="4" width="10.83203125" style="1"/>
    <col min="5" max="5" width="15.1640625" style="1" bestFit="1" customWidth="1"/>
    <col min="6" max="16384" width="10.83203125" style="1"/>
  </cols>
  <sheetData>
    <row r="1" spans="2:5" ht="17" thickBot="1" x14ac:dyDescent="0.25"/>
    <row r="2" spans="2:5" ht="17" thickBot="1" x14ac:dyDescent="0.25">
      <c r="B2" s="90" t="s">
        <v>118</v>
      </c>
      <c r="C2" s="91"/>
    </row>
    <row r="3" spans="2:5" x14ac:dyDescent="0.2">
      <c r="B3" s="42" t="s">
        <v>113</v>
      </c>
      <c r="C3" s="21">
        <v>1.2999999999999999E-2</v>
      </c>
    </row>
    <row r="4" spans="2:5" x14ac:dyDescent="0.2">
      <c r="B4" s="43" t="s">
        <v>114</v>
      </c>
      <c r="C4" s="22">
        <v>0.02</v>
      </c>
    </row>
    <row r="5" spans="2:5" ht="17" thickBot="1" x14ac:dyDescent="0.25">
      <c r="B5" s="44" t="s">
        <v>115</v>
      </c>
      <c r="C5" s="23">
        <v>0.1</v>
      </c>
    </row>
    <row r="7" spans="2:5" ht="17" thickBot="1" x14ac:dyDescent="0.25"/>
    <row r="8" spans="2:5" ht="17" thickBot="1" x14ac:dyDescent="0.25">
      <c r="B8" s="45" t="s">
        <v>111</v>
      </c>
      <c r="C8" s="46" t="s">
        <v>112</v>
      </c>
      <c r="D8" s="47" t="s">
        <v>117</v>
      </c>
      <c r="E8" s="42" t="s">
        <v>122</v>
      </c>
    </row>
    <row r="9" spans="2:5" x14ac:dyDescent="0.2">
      <c r="B9" s="48" t="s">
        <v>83</v>
      </c>
      <c r="C9" s="18" t="s">
        <v>113</v>
      </c>
      <c r="D9" s="25">
        <v>86.2</v>
      </c>
      <c r="E9" s="28">
        <f>SUM(D$9:D9)</f>
        <v>86.2</v>
      </c>
    </row>
    <row r="10" spans="2:5" x14ac:dyDescent="0.2">
      <c r="B10" s="43" t="s">
        <v>84</v>
      </c>
      <c r="C10" s="19" t="s">
        <v>113</v>
      </c>
      <c r="D10" s="26">
        <v>34.76</v>
      </c>
      <c r="E10" s="28">
        <f>SUM(D$9:D10)</f>
        <v>120.96000000000001</v>
      </c>
    </row>
    <row r="11" spans="2:5" x14ac:dyDescent="0.2">
      <c r="B11" s="43" t="s">
        <v>85</v>
      </c>
      <c r="C11" s="19" t="s">
        <v>113</v>
      </c>
      <c r="D11" s="26">
        <v>28.15</v>
      </c>
      <c r="E11" s="28">
        <f>SUM(D$9:D11)</f>
        <v>149.11000000000001</v>
      </c>
    </row>
    <row r="12" spans="2:5" x14ac:dyDescent="0.2">
      <c r="B12" s="43" t="s">
        <v>87</v>
      </c>
      <c r="C12" s="19" t="s">
        <v>113</v>
      </c>
      <c r="D12" s="26">
        <v>20.329999999999998</v>
      </c>
      <c r="E12" s="28">
        <f>SUM(D$9:D12)</f>
        <v>169.44</v>
      </c>
    </row>
    <row r="13" spans="2:5" x14ac:dyDescent="0.2">
      <c r="B13" s="43" t="s">
        <v>86</v>
      </c>
      <c r="C13" s="19" t="s">
        <v>113</v>
      </c>
      <c r="D13" s="26">
        <v>46.12</v>
      </c>
      <c r="E13" s="28">
        <f>SUM(D$9:D13)</f>
        <v>215.56</v>
      </c>
    </row>
    <row r="14" spans="2:5" x14ac:dyDescent="0.2">
      <c r="B14" s="43" t="s">
        <v>89</v>
      </c>
      <c r="C14" s="19" t="s">
        <v>113</v>
      </c>
      <c r="D14" s="26">
        <v>51.96</v>
      </c>
      <c r="E14" s="28">
        <f>SUM(D$9:D14)</f>
        <v>267.52</v>
      </c>
    </row>
    <row r="15" spans="2:5" x14ac:dyDescent="0.2">
      <c r="B15" s="43" t="s">
        <v>88</v>
      </c>
      <c r="C15" s="19" t="s">
        <v>113</v>
      </c>
      <c r="D15" s="26">
        <v>154</v>
      </c>
      <c r="E15" s="28">
        <f>SUM(D$9:D15)</f>
        <v>421.52</v>
      </c>
    </row>
    <row r="16" spans="2:5" ht="17" thickBot="1" x14ac:dyDescent="0.25">
      <c r="B16" s="49" t="s">
        <v>91</v>
      </c>
      <c r="C16" s="20" t="s">
        <v>113</v>
      </c>
      <c r="D16" s="27">
        <v>87.57</v>
      </c>
      <c r="E16" s="29">
        <f>SUM(D$9:D16)</f>
        <v>509.09</v>
      </c>
    </row>
    <row r="17" spans="2:5" x14ac:dyDescent="0.2">
      <c r="B17" s="42" t="s">
        <v>90</v>
      </c>
      <c r="C17" s="31" t="s">
        <v>114</v>
      </c>
      <c r="D17" s="32">
        <v>83.13</v>
      </c>
      <c r="E17" s="33">
        <f>SUM(D$9:D17)</f>
        <v>592.22</v>
      </c>
    </row>
    <row r="18" spans="2:5" x14ac:dyDescent="0.2">
      <c r="B18" s="43" t="s">
        <v>92</v>
      </c>
      <c r="C18" s="19" t="s">
        <v>114</v>
      </c>
      <c r="D18" s="26">
        <v>29.17</v>
      </c>
      <c r="E18" s="28">
        <f>SUM(D$9:D18)</f>
        <v>621.39</v>
      </c>
    </row>
    <row r="19" spans="2:5" x14ac:dyDescent="0.2">
      <c r="B19" s="43" t="s">
        <v>94</v>
      </c>
      <c r="C19" s="19" t="s">
        <v>114</v>
      </c>
      <c r="D19" s="26">
        <v>19.59</v>
      </c>
      <c r="E19" s="28">
        <f>SUM(D$9:D19)</f>
        <v>640.98</v>
      </c>
    </row>
    <row r="20" spans="2:5" x14ac:dyDescent="0.2">
      <c r="B20" s="43" t="s">
        <v>93</v>
      </c>
      <c r="C20" s="19" t="s">
        <v>114</v>
      </c>
      <c r="D20" s="26">
        <v>30.84</v>
      </c>
      <c r="E20" s="28">
        <f>SUM(D$9:D20)</f>
        <v>671.82</v>
      </c>
    </row>
    <row r="21" spans="2:5" x14ac:dyDescent="0.2">
      <c r="B21" s="43" t="s">
        <v>96</v>
      </c>
      <c r="C21" s="19" t="s">
        <v>114</v>
      </c>
      <c r="D21" s="26">
        <v>18.84</v>
      </c>
      <c r="E21" s="28">
        <f>SUM(D$9:D21)</f>
        <v>690.66000000000008</v>
      </c>
    </row>
    <row r="22" spans="2:5" ht="17" thickBot="1" x14ac:dyDescent="0.25">
      <c r="B22" s="44" t="s">
        <v>95</v>
      </c>
      <c r="C22" s="34" t="s">
        <v>114</v>
      </c>
      <c r="D22" s="35">
        <v>52.53</v>
      </c>
      <c r="E22" s="36">
        <f>SUM(D$9:D22)</f>
        <v>743.19</v>
      </c>
    </row>
    <row r="23" spans="2:5" x14ac:dyDescent="0.2">
      <c r="B23" s="48" t="s">
        <v>98</v>
      </c>
      <c r="C23" s="18" t="s">
        <v>115</v>
      </c>
      <c r="D23" s="25">
        <v>29.53</v>
      </c>
      <c r="E23" s="30">
        <f>SUM(D$9:D23)</f>
        <v>772.72</v>
      </c>
    </row>
    <row r="24" spans="2:5" x14ac:dyDescent="0.2">
      <c r="B24" s="43" t="s">
        <v>97</v>
      </c>
      <c r="C24" s="19" t="s">
        <v>115</v>
      </c>
      <c r="D24" s="26">
        <v>102.68</v>
      </c>
      <c r="E24" s="28">
        <f>SUM(D$9:D24)</f>
        <v>875.40000000000009</v>
      </c>
    </row>
    <row r="25" spans="2:5" x14ac:dyDescent="0.2">
      <c r="B25" s="43" t="s">
        <v>100</v>
      </c>
      <c r="C25" s="19" t="s">
        <v>115</v>
      </c>
      <c r="D25" s="26">
        <v>36.340000000000003</v>
      </c>
      <c r="E25" s="28">
        <f>SUM(D$9:D25)</f>
        <v>911.74000000000012</v>
      </c>
    </row>
    <row r="26" spans="2:5" x14ac:dyDescent="0.2">
      <c r="B26" s="43" t="s">
        <v>99</v>
      </c>
      <c r="C26" s="19" t="s">
        <v>115</v>
      </c>
      <c r="D26" s="26">
        <v>42.16</v>
      </c>
      <c r="E26" s="28">
        <f>SUM(D$9:D26)</f>
        <v>953.90000000000009</v>
      </c>
    </row>
    <row r="27" spans="2:5" x14ac:dyDescent="0.2">
      <c r="B27" s="43" t="s">
        <v>102</v>
      </c>
      <c r="C27" s="19" t="s">
        <v>115</v>
      </c>
      <c r="D27" s="26">
        <v>23.16</v>
      </c>
      <c r="E27" s="28">
        <f>SUM(D$9:D27)</f>
        <v>977.06000000000006</v>
      </c>
    </row>
    <row r="28" spans="2:5" x14ac:dyDescent="0.2">
      <c r="B28" s="43" t="s">
        <v>101</v>
      </c>
      <c r="C28" s="19" t="s">
        <v>115</v>
      </c>
      <c r="D28" s="26">
        <v>23.75</v>
      </c>
      <c r="E28" s="28">
        <f>SUM(D$9:D28)</f>
        <v>1000.8100000000001</v>
      </c>
    </row>
    <row r="29" spans="2:5" x14ac:dyDescent="0.2">
      <c r="B29" s="43" t="s">
        <v>104</v>
      </c>
      <c r="C29" s="19" t="s">
        <v>115</v>
      </c>
      <c r="D29" s="26">
        <v>26.9</v>
      </c>
      <c r="E29" s="28">
        <f>SUM(D$9:D29)</f>
        <v>1027.71</v>
      </c>
    </row>
    <row r="30" spans="2:5" x14ac:dyDescent="0.2">
      <c r="B30" s="43" t="s">
        <v>103</v>
      </c>
      <c r="C30" s="19" t="s">
        <v>115</v>
      </c>
      <c r="D30" s="26">
        <v>23.39</v>
      </c>
      <c r="E30" s="28">
        <f>SUM(D$9:D30)</f>
        <v>1051.1000000000001</v>
      </c>
    </row>
    <row r="31" spans="2:5" x14ac:dyDescent="0.2">
      <c r="B31" s="43" t="s">
        <v>105</v>
      </c>
      <c r="C31" s="19" t="s">
        <v>115</v>
      </c>
      <c r="D31" s="26">
        <v>19.78</v>
      </c>
      <c r="E31" s="28">
        <f>SUM(D$9:D31)</f>
        <v>1070.8800000000001</v>
      </c>
    </row>
    <row r="32" spans="2:5" x14ac:dyDescent="0.2">
      <c r="B32" s="43" t="s">
        <v>106</v>
      </c>
      <c r="C32" s="19" t="s">
        <v>115</v>
      </c>
      <c r="D32" s="26">
        <v>96</v>
      </c>
      <c r="E32" s="28">
        <f>SUM(D$9:D32)</f>
        <v>1166.8800000000001</v>
      </c>
    </row>
    <row r="33" spans="2:5" x14ac:dyDescent="0.2">
      <c r="B33" s="43" t="s">
        <v>107</v>
      </c>
      <c r="C33" s="19" t="s">
        <v>115</v>
      </c>
      <c r="D33" s="26">
        <v>22.78</v>
      </c>
      <c r="E33" s="28">
        <f>SUM(D$9:D33)</f>
        <v>1189.6600000000001</v>
      </c>
    </row>
    <row r="34" spans="2:5" x14ac:dyDescent="0.2">
      <c r="B34" s="43" t="s">
        <v>108</v>
      </c>
      <c r="C34" s="19" t="s">
        <v>115</v>
      </c>
      <c r="D34" s="26">
        <v>37.85</v>
      </c>
      <c r="E34" s="28">
        <f>SUM(D$9:D34)</f>
        <v>1227.51</v>
      </c>
    </row>
    <row r="35" spans="2:5" ht="17" thickBot="1" x14ac:dyDescent="0.25">
      <c r="B35" s="49" t="s">
        <v>109</v>
      </c>
      <c r="C35" s="20" t="s">
        <v>115</v>
      </c>
      <c r="D35" s="27">
        <v>27.74</v>
      </c>
      <c r="E35" s="29">
        <f>SUM(D$9:D35)</f>
        <v>1255.25</v>
      </c>
    </row>
    <row r="36" spans="2:5" ht="17" thickBot="1" x14ac:dyDescent="0.25">
      <c r="B36" s="45" t="s">
        <v>110</v>
      </c>
      <c r="C36" s="46" t="s">
        <v>113</v>
      </c>
      <c r="D36" s="51">
        <f>175.7-86.2</f>
        <v>89.499999999999986</v>
      </c>
      <c r="E36" s="52">
        <f>SUM(D$9:D36)</f>
        <v>1344.75</v>
      </c>
    </row>
    <row r="37" spans="2:5" ht="17" thickBot="1" x14ac:dyDescent="0.25">
      <c r="B37" s="50" t="s">
        <v>116</v>
      </c>
      <c r="C37" s="53"/>
      <c r="D37" s="54"/>
      <c r="E37" s="55"/>
    </row>
  </sheetData>
  <mergeCells count="1">
    <mergeCell ref="B2:C2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80430-D161-DF40-B72A-8D7E706A4F86}">
  <dimension ref="B2:AD59"/>
  <sheetViews>
    <sheetView zoomScale="90" zoomScaleNormal="90" workbookViewId="0">
      <selection activeCell="P35" sqref="P35"/>
    </sheetView>
  </sheetViews>
  <sheetFormatPr baseColWidth="10" defaultRowHeight="16" x14ac:dyDescent="0.2"/>
  <cols>
    <col min="1" max="1" width="10.83203125" style="1"/>
    <col min="2" max="2" width="18.83203125" style="1" bestFit="1" customWidth="1"/>
    <col min="3" max="3" width="12.5" style="1" bestFit="1" customWidth="1"/>
    <col min="4" max="16384" width="10.83203125" style="1"/>
  </cols>
  <sheetData>
    <row r="2" spans="2:30" ht="16" customHeight="1" x14ac:dyDescent="0.2">
      <c r="C2" s="92" t="s">
        <v>152</v>
      </c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</row>
    <row r="3" spans="2:30" x14ac:dyDescent="0.2">
      <c r="B3" s="67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</row>
    <row r="4" spans="2:30" x14ac:dyDescent="0.2">
      <c r="C4" s="63" t="s">
        <v>153</v>
      </c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</row>
    <row r="5" spans="2:30" x14ac:dyDescent="0.2">
      <c r="C5" s="63">
        <v>22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>
        <v>497.28698104000011</v>
      </c>
      <c r="Y5" s="38"/>
      <c r="Z5" s="38"/>
      <c r="AA5" s="38"/>
      <c r="AB5" s="38"/>
      <c r="AC5" s="38"/>
      <c r="AD5" s="38"/>
    </row>
    <row r="6" spans="2:30" x14ac:dyDescent="0.2">
      <c r="C6" s="63">
        <v>21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>
        <v>511.24715608000008</v>
      </c>
      <c r="W6" s="38">
        <v>503.76523608000008</v>
      </c>
      <c r="X6" s="38">
        <v>473.62523188000006</v>
      </c>
      <c r="Y6" s="38">
        <v>499.5256118800001</v>
      </c>
      <c r="Z6" s="38"/>
      <c r="AA6" s="38"/>
      <c r="AB6" s="38"/>
      <c r="AC6" s="38"/>
      <c r="AD6" s="38"/>
    </row>
    <row r="7" spans="2:30" x14ac:dyDescent="0.2">
      <c r="C7" s="63">
        <v>20</v>
      </c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>
        <v>523.32915495999998</v>
      </c>
      <c r="U7" s="38">
        <v>515.71127495999997</v>
      </c>
      <c r="V7" s="38">
        <v>501.69742456</v>
      </c>
      <c r="W7" s="38">
        <v>494.21550456</v>
      </c>
      <c r="X7" s="38">
        <v>449.96348272000012</v>
      </c>
      <c r="Y7" s="38">
        <v>475.86386272000016</v>
      </c>
      <c r="Z7" s="38">
        <v>509.82684376000009</v>
      </c>
      <c r="AA7" s="38"/>
      <c r="AB7" s="38"/>
      <c r="AC7" s="38"/>
      <c r="AD7" s="38"/>
    </row>
    <row r="8" spans="2:30" x14ac:dyDescent="0.2">
      <c r="C8" s="63">
        <v>19</v>
      </c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>
        <v>531.16872392000005</v>
      </c>
      <c r="T8" s="38">
        <v>517.77872392000006</v>
      </c>
      <c r="U8" s="38">
        <v>510.16084392000005</v>
      </c>
      <c r="V8" s="38">
        <v>481.41125320000015</v>
      </c>
      <c r="W8" s="38">
        <v>473.92933320000009</v>
      </c>
      <c r="X8" s="38">
        <v>426.30173356000006</v>
      </c>
      <c r="Y8" s="38">
        <v>452.20211356000004</v>
      </c>
      <c r="Z8" s="38">
        <v>496.75436392000006</v>
      </c>
      <c r="AA8" s="38">
        <v>527.00031392000005</v>
      </c>
      <c r="AB8" s="38">
        <v>548.15658808000001</v>
      </c>
      <c r="AC8" s="38"/>
      <c r="AD8" s="38"/>
    </row>
    <row r="9" spans="2:30" x14ac:dyDescent="0.2">
      <c r="C9" s="63">
        <v>18</v>
      </c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>
        <v>535.41190137279989</v>
      </c>
      <c r="Q9" s="38">
        <v>535.038537744</v>
      </c>
      <c r="R9" s="38">
        <v>533.87537439999994</v>
      </c>
      <c r="S9" s="38">
        <v>521.38538840000001</v>
      </c>
      <c r="T9" s="38">
        <v>507.99538839999997</v>
      </c>
      <c r="U9" s="38">
        <v>500.37750839999995</v>
      </c>
      <c r="V9" s="38">
        <v>464.33012872</v>
      </c>
      <c r="W9" s="38">
        <v>456.84820872</v>
      </c>
      <c r="X9" s="38">
        <v>402.63998440000017</v>
      </c>
      <c r="Y9" s="38">
        <v>428.54036440000016</v>
      </c>
      <c r="Z9" s="38">
        <v>478.29964791999998</v>
      </c>
      <c r="AA9" s="38">
        <v>508.54559791999998</v>
      </c>
      <c r="AB9" s="38">
        <v>534.65427688</v>
      </c>
      <c r="AC9" s="38">
        <v>554.22427688000005</v>
      </c>
      <c r="AD9" s="38"/>
    </row>
    <row r="10" spans="2:30" x14ac:dyDescent="0.2">
      <c r="C10" s="63">
        <v>17</v>
      </c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>
        <v>549.11275800959993</v>
      </c>
      <c r="P10" s="38">
        <v>539.23814800959997</v>
      </c>
      <c r="Q10" s="38">
        <v>538.02119361600012</v>
      </c>
      <c r="R10" s="38">
        <v>528.48339361600006</v>
      </c>
      <c r="S10" s="38">
        <v>505.64047879999998</v>
      </c>
      <c r="T10" s="38">
        <v>492.25047879999994</v>
      </c>
      <c r="U10" s="38">
        <v>484.63259879999993</v>
      </c>
      <c r="V10" s="38">
        <v>430.80172528000008</v>
      </c>
      <c r="W10" s="38">
        <v>423.31980528000008</v>
      </c>
      <c r="X10" s="38">
        <v>390.80910982000017</v>
      </c>
      <c r="Y10" s="38">
        <v>416.70948982000016</v>
      </c>
      <c r="Z10" s="38">
        <v>439.07286424000011</v>
      </c>
      <c r="AA10" s="38">
        <v>469.31881424000011</v>
      </c>
      <c r="AB10" s="38">
        <v>526.70239671999991</v>
      </c>
      <c r="AC10" s="38">
        <v>546.27239671999996</v>
      </c>
      <c r="AD10" s="38">
        <v>588.08807716000001</v>
      </c>
    </row>
    <row r="11" spans="2:30" x14ac:dyDescent="0.2">
      <c r="C11" s="63">
        <v>16</v>
      </c>
      <c r="D11" s="38"/>
      <c r="E11" s="38"/>
      <c r="F11" s="38"/>
      <c r="G11" s="38"/>
      <c r="H11" s="38"/>
      <c r="I11" s="38"/>
      <c r="J11" s="38"/>
      <c r="K11" s="38"/>
      <c r="L11" s="38"/>
      <c r="M11" s="38">
        <v>550.8792653600002</v>
      </c>
      <c r="N11" s="38">
        <v>551.03468000000009</v>
      </c>
      <c r="O11" s="38">
        <v>552.93900464640012</v>
      </c>
      <c r="P11" s="38">
        <v>543.06439464640016</v>
      </c>
      <c r="Q11" s="38">
        <v>541.00384948800001</v>
      </c>
      <c r="R11" s="38">
        <v>531.46604948799995</v>
      </c>
      <c r="S11" s="38">
        <v>496.0152153200001</v>
      </c>
      <c r="T11" s="38">
        <v>482.62521532000005</v>
      </c>
      <c r="U11" s="38">
        <v>475.00733532000004</v>
      </c>
      <c r="V11" s="38">
        <v>400.87393815999997</v>
      </c>
      <c r="W11" s="38">
        <v>393.39201815999996</v>
      </c>
      <c r="X11" s="38">
        <v>378.97823524000012</v>
      </c>
      <c r="Y11" s="38">
        <v>404.87861524000016</v>
      </c>
      <c r="Z11" s="38">
        <v>399.84608056000008</v>
      </c>
      <c r="AA11" s="38">
        <v>430.09203056000007</v>
      </c>
      <c r="AB11" s="38">
        <v>521.84343352000008</v>
      </c>
      <c r="AC11" s="38">
        <v>541.41343352000013</v>
      </c>
      <c r="AD11" s="38">
        <v>576.42111471999999</v>
      </c>
    </row>
    <row r="12" spans="2:30" x14ac:dyDescent="0.2">
      <c r="C12" s="63">
        <v>15</v>
      </c>
      <c r="D12" s="38"/>
      <c r="E12" s="38"/>
      <c r="F12" s="38"/>
      <c r="G12" s="38"/>
      <c r="H12" s="38"/>
      <c r="I12" s="38"/>
      <c r="J12" s="38"/>
      <c r="K12" s="38"/>
      <c r="L12" s="38">
        <v>560.71380424000006</v>
      </c>
      <c r="M12" s="38">
        <v>555.11884424000004</v>
      </c>
      <c r="N12" s="38">
        <v>550.26743382399991</v>
      </c>
      <c r="O12" s="38">
        <v>543.25210085759988</v>
      </c>
      <c r="P12" s="38">
        <v>533.37749085759992</v>
      </c>
      <c r="Q12" s="38">
        <v>543.98650536000002</v>
      </c>
      <c r="R12" s="38">
        <v>534.44870536000008</v>
      </c>
      <c r="S12" s="38">
        <v>490.88893127600005</v>
      </c>
      <c r="T12" s="38">
        <v>477.49893127600006</v>
      </c>
      <c r="U12" s="38">
        <v>469.88105127600005</v>
      </c>
      <c r="V12" s="38">
        <v>379.81220151999997</v>
      </c>
      <c r="W12" s="38">
        <v>372.33028151999997</v>
      </c>
      <c r="X12" s="38">
        <v>353.29347544000001</v>
      </c>
      <c r="Y12" s="38">
        <v>379.19385544000005</v>
      </c>
      <c r="Z12" s="38">
        <v>364.39564180899998</v>
      </c>
      <c r="AA12" s="38">
        <v>394.64159180900003</v>
      </c>
      <c r="AB12" s="38">
        <v>478.75751176000011</v>
      </c>
      <c r="AC12" s="38">
        <v>498.32751176000011</v>
      </c>
      <c r="AD12" s="38">
        <v>524.27957932300001</v>
      </c>
    </row>
    <row r="13" spans="2:30" x14ac:dyDescent="0.2">
      <c r="C13" s="63">
        <v>14</v>
      </c>
      <c r="D13" s="38"/>
      <c r="E13" s="38"/>
      <c r="F13" s="38"/>
      <c r="G13" s="38"/>
      <c r="H13" s="38"/>
      <c r="I13" s="38"/>
      <c r="J13" s="38"/>
      <c r="K13" s="38">
        <v>588.17782312000008</v>
      </c>
      <c r="L13" s="38">
        <v>564.95338312000013</v>
      </c>
      <c r="M13" s="38">
        <v>559.35842312000011</v>
      </c>
      <c r="N13" s="38">
        <v>554.46638785599998</v>
      </c>
      <c r="O13" s="38">
        <v>533.56519706879999</v>
      </c>
      <c r="P13" s="38">
        <v>523.69058706879991</v>
      </c>
      <c r="Q13" s="38">
        <v>524.73782776500002</v>
      </c>
      <c r="R13" s="38">
        <v>515.20002776500007</v>
      </c>
      <c r="S13" s="38">
        <v>454.57581242000003</v>
      </c>
      <c r="T13" s="38">
        <v>441.18581242000005</v>
      </c>
      <c r="U13" s="38">
        <v>433.56793242000003</v>
      </c>
      <c r="V13" s="38">
        <v>358.75046488000004</v>
      </c>
      <c r="W13" s="38">
        <v>351.26854488000004</v>
      </c>
      <c r="X13" s="38">
        <v>331.65473692000006</v>
      </c>
      <c r="Y13" s="38">
        <v>357.55511692000005</v>
      </c>
      <c r="Z13" s="38">
        <v>357.36129976000018</v>
      </c>
      <c r="AA13" s="38">
        <v>387.60724976000017</v>
      </c>
      <c r="AB13" s="38">
        <v>463.94701816000003</v>
      </c>
      <c r="AC13" s="38">
        <v>483.51701816000002</v>
      </c>
      <c r="AD13" s="38">
        <v>516.61329952000006</v>
      </c>
    </row>
    <row r="14" spans="2:30" x14ac:dyDescent="0.2">
      <c r="C14" s="63">
        <v>13</v>
      </c>
      <c r="D14" s="38"/>
      <c r="E14" s="38"/>
      <c r="F14" s="38"/>
      <c r="G14" s="38"/>
      <c r="H14" s="38"/>
      <c r="I14" s="38"/>
      <c r="J14" s="38">
        <v>625.37672631999999</v>
      </c>
      <c r="K14" s="38">
        <v>607.62735844000008</v>
      </c>
      <c r="L14" s="38">
        <v>584.40291844000001</v>
      </c>
      <c r="M14" s="38">
        <v>578.80795843999999</v>
      </c>
      <c r="N14" s="38">
        <v>558.66534188800006</v>
      </c>
      <c r="O14" s="38">
        <v>523.87829327999998</v>
      </c>
      <c r="P14" s="38">
        <v>514.00368328000002</v>
      </c>
      <c r="Q14" s="38">
        <v>505.48915017000007</v>
      </c>
      <c r="R14" s="38">
        <v>495.95135017000007</v>
      </c>
      <c r="S14" s="38">
        <v>430.06491272000011</v>
      </c>
      <c r="T14" s="38">
        <v>416.67491272000012</v>
      </c>
      <c r="U14" s="38">
        <v>409.05703272000011</v>
      </c>
      <c r="V14" s="38">
        <v>337.68872823999999</v>
      </c>
      <c r="W14" s="38">
        <v>330.20680823999999</v>
      </c>
      <c r="X14" s="38">
        <v>307.99298776000001</v>
      </c>
      <c r="Y14" s="38">
        <v>333.89336775999999</v>
      </c>
      <c r="Z14" s="38">
        <v>352.05070216000013</v>
      </c>
      <c r="AA14" s="38">
        <v>382.29665216000018</v>
      </c>
      <c r="AB14" s="38">
        <v>489.82566927999994</v>
      </c>
      <c r="AC14" s="38">
        <v>509.39566927999994</v>
      </c>
      <c r="AD14" s="38">
        <v>565.12246792000008</v>
      </c>
    </row>
    <row r="15" spans="2:30" x14ac:dyDescent="0.2">
      <c r="C15" s="63">
        <v>12</v>
      </c>
      <c r="D15" s="38"/>
      <c r="E15" s="38"/>
      <c r="F15" s="38"/>
      <c r="G15" s="38"/>
      <c r="H15" s="38"/>
      <c r="I15" s="38">
        <v>626.4091818400002</v>
      </c>
      <c r="J15" s="38">
        <v>642.1681818400001</v>
      </c>
      <c r="K15" s="38">
        <v>627.07689376000019</v>
      </c>
      <c r="L15" s="38">
        <v>603.85245376000023</v>
      </c>
      <c r="M15" s="38">
        <v>598.25749376000022</v>
      </c>
      <c r="N15" s="38">
        <v>565.53672568000002</v>
      </c>
      <c r="O15" s="38">
        <v>542.54792495999993</v>
      </c>
      <c r="P15" s="38">
        <v>532.67331495999997</v>
      </c>
      <c r="Q15" s="38">
        <v>508.84779167999994</v>
      </c>
      <c r="R15" s="38">
        <v>499.30999167999994</v>
      </c>
      <c r="S15" s="38">
        <v>479.33666840000001</v>
      </c>
      <c r="T15" s="38">
        <v>465.94666840000002</v>
      </c>
      <c r="U15" s="38">
        <v>458.32878840000001</v>
      </c>
      <c r="V15" s="38">
        <v>318.33697288000008</v>
      </c>
      <c r="W15" s="38">
        <v>310.85505288000002</v>
      </c>
      <c r="X15" s="38">
        <v>332.53853872000008</v>
      </c>
      <c r="Y15" s="38">
        <v>358.43891872000012</v>
      </c>
      <c r="Z15" s="38">
        <v>346.74010456000019</v>
      </c>
      <c r="AA15" s="38">
        <v>376.98605456000024</v>
      </c>
      <c r="AB15" s="38">
        <v>515.7043203999998</v>
      </c>
      <c r="AC15" s="38">
        <v>535.27432039999985</v>
      </c>
      <c r="AD15" s="38">
        <v>581.49343624000005</v>
      </c>
    </row>
    <row r="16" spans="2:30" x14ac:dyDescent="0.2">
      <c r="C16" s="63">
        <v>11</v>
      </c>
      <c r="D16" s="38"/>
      <c r="E16" s="38"/>
      <c r="F16" s="38"/>
      <c r="G16" s="38"/>
      <c r="H16" s="38"/>
      <c r="I16" s="38">
        <v>637.74177908800016</v>
      </c>
      <c r="J16" s="38">
        <v>653.50077908800017</v>
      </c>
      <c r="K16" s="38">
        <v>647.8131421600001</v>
      </c>
      <c r="L16" s="38">
        <v>624.58870216000014</v>
      </c>
      <c r="M16" s="38">
        <v>618.99374216000012</v>
      </c>
      <c r="N16" s="38">
        <v>595.52992191999999</v>
      </c>
      <c r="O16" s="38">
        <v>562.64721312000006</v>
      </c>
      <c r="P16" s="38">
        <v>552.7726031200001</v>
      </c>
      <c r="Q16" s="38">
        <v>522.14336334000006</v>
      </c>
      <c r="R16" s="38">
        <v>512.60556334</v>
      </c>
      <c r="S16" s="38">
        <v>485.82852356000006</v>
      </c>
      <c r="T16" s="38">
        <v>472.43852356000008</v>
      </c>
      <c r="U16" s="38">
        <v>464.82064356000006</v>
      </c>
      <c r="V16" s="38">
        <v>382.00340704000001</v>
      </c>
      <c r="W16" s="38">
        <v>374.52148704000001</v>
      </c>
      <c r="X16" s="38">
        <v>373.40210776000004</v>
      </c>
      <c r="Y16" s="38">
        <v>399.30248776000008</v>
      </c>
      <c r="Z16" s="38">
        <v>341.4295069600002</v>
      </c>
      <c r="AA16" s="38">
        <v>371.67545696000019</v>
      </c>
      <c r="AB16" s="38">
        <v>541.58297151999977</v>
      </c>
      <c r="AC16" s="38">
        <v>561.15297151999982</v>
      </c>
      <c r="AD16" s="38">
        <v>586.9857258400001</v>
      </c>
    </row>
    <row r="17" spans="3:30" x14ac:dyDescent="0.2">
      <c r="C17" s="63">
        <v>10</v>
      </c>
      <c r="D17" s="38"/>
      <c r="E17" s="38"/>
      <c r="F17" s="38"/>
      <c r="G17" s="38"/>
      <c r="H17" s="38">
        <v>651.7179133599999</v>
      </c>
      <c r="I17" s="38">
        <v>646.69535320000023</v>
      </c>
      <c r="J17" s="38">
        <v>662.45435320000013</v>
      </c>
      <c r="K17" s="38">
        <v>668.54939056000023</v>
      </c>
      <c r="L17" s="38">
        <v>645.32495056000027</v>
      </c>
      <c r="M17" s="38">
        <v>639.72999056000026</v>
      </c>
      <c r="N17" s="38">
        <v>628.19554791999997</v>
      </c>
      <c r="O17" s="38">
        <v>576.60738816000003</v>
      </c>
      <c r="P17" s="38">
        <v>566.73277815999995</v>
      </c>
      <c r="Q17" s="38">
        <v>548.42498136000006</v>
      </c>
      <c r="R17" s="38">
        <v>538.88718136000011</v>
      </c>
      <c r="S17" s="38">
        <v>524.43158456000003</v>
      </c>
      <c r="T17" s="38">
        <v>511.04158456000005</v>
      </c>
      <c r="U17" s="38">
        <v>503.42370456000003</v>
      </c>
      <c r="V17" s="38">
        <v>405.53355928000008</v>
      </c>
      <c r="W17" s="38">
        <v>398.05163928000007</v>
      </c>
      <c r="X17" s="38">
        <v>390.89437528000013</v>
      </c>
      <c r="Y17" s="38">
        <v>416.79475528000017</v>
      </c>
      <c r="Z17" s="38">
        <v>336.11890936000032</v>
      </c>
      <c r="AA17" s="38">
        <v>366.36485936000031</v>
      </c>
      <c r="AB17" s="38">
        <v>548.19162867999978</v>
      </c>
      <c r="AC17" s="38">
        <v>567.76162867999972</v>
      </c>
      <c r="AD17" s="38">
        <v>582.36555783999904</v>
      </c>
    </row>
    <row r="18" spans="3:30" x14ac:dyDescent="0.2">
      <c r="C18" s="63">
        <v>9</v>
      </c>
      <c r="D18" s="38"/>
      <c r="E18" s="38"/>
      <c r="F18" s="38"/>
      <c r="G18" s="38"/>
      <c r="H18" s="38">
        <v>665.91480711999986</v>
      </c>
      <c r="I18" s="38">
        <v>657.59064376000003</v>
      </c>
      <c r="J18" s="38">
        <v>673.34964376000005</v>
      </c>
      <c r="K18" s="38">
        <v>680.53570913500005</v>
      </c>
      <c r="L18" s="38">
        <v>657.31126913500009</v>
      </c>
      <c r="M18" s="38">
        <v>651.71630913500007</v>
      </c>
      <c r="N18" s="38">
        <v>641.27289451000013</v>
      </c>
      <c r="O18" s="38">
        <v>635.10912988500002</v>
      </c>
      <c r="P18" s="38">
        <v>625.23451988499994</v>
      </c>
      <c r="Q18" s="38">
        <v>589.19252942250012</v>
      </c>
      <c r="R18" s="38">
        <v>579.65472942250017</v>
      </c>
      <c r="S18" s="38">
        <v>547.46493896000015</v>
      </c>
      <c r="T18" s="38">
        <v>534.07493896000017</v>
      </c>
      <c r="U18" s="38">
        <v>526.45705896000015</v>
      </c>
      <c r="V18" s="38">
        <v>429.06371152000014</v>
      </c>
      <c r="W18" s="38">
        <v>421.58179152000008</v>
      </c>
      <c r="X18" s="38">
        <v>436.10142136000007</v>
      </c>
      <c r="Y18" s="38">
        <v>462.00180136000012</v>
      </c>
      <c r="Z18" s="38">
        <v>455.61202743999996</v>
      </c>
      <c r="AA18" s="38">
        <v>485.85797744000001</v>
      </c>
      <c r="AB18" s="38">
        <v>554.80028583999967</v>
      </c>
      <c r="AC18" s="38">
        <v>574.37028583999972</v>
      </c>
      <c r="AD18" s="38">
        <v>600.87010935999899</v>
      </c>
    </row>
    <row r="19" spans="3:30" x14ac:dyDescent="0.2">
      <c r="C19" s="63">
        <v>8</v>
      </c>
      <c r="D19" s="38"/>
      <c r="E19" s="38"/>
      <c r="F19" s="38"/>
      <c r="G19" s="38">
        <v>704.52270088</v>
      </c>
      <c r="H19" s="38">
        <v>680.11170087999994</v>
      </c>
      <c r="I19" s="38">
        <v>688.88423560000012</v>
      </c>
      <c r="J19" s="38">
        <v>704.64323560000014</v>
      </c>
      <c r="K19" s="38">
        <v>704.48285668187509</v>
      </c>
      <c r="L19" s="38">
        <v>681.25841668187513</v>
      </c>
      <c r="M19" s="38">
        <v>675.66345668187512</v>
      </c>
      <c r="N19" s="38">
        <v>657.87359776375001</v>
      </c>
      <c r="O19" s="38">
        <v>644.36338884562508</v>
      </c>
      <c r="P19" s="38">
        <v>634.48877884562512</v>
      </c>
      <c r="Q19" s="38">
        <v>592.70664534468767</v>
      </c>
      <c r="R19" s="38">
        <v>583.16884534468772</v>
      </c>
      <c r="S19" s="38">
        <v>545.2389118437502</v>
      </c>
      <c r="T19" s="38">
        <v>531.84891184375022</v>
      </c>
      <c r="U19" s="38">
        <v>524.2310318437502</v>
      </c>
      <c r="V19" s="38">
        <v>452.5938637600002</v>
      </c>
      <c r="W19" s="38">
        <v>445.11194376000014</v>
      </c>
      <c r="X19" s="38">
        <v>467.45107816000001</v>
      </c>
      <c r="Y19" s="38">
        <v>493.35145816000005</v>
      </c>
      <c r="Z19" s="38">
        <v>536.92957983999963</v>
      </c>
      <c r="AA19" s="38">
        <v>567.17552983999963</v>
      </c>
      <c r="AB19" s="38">
        <v>611.79031768000016</v>
      </c>
      <c r="AC19" s="38">
        <v>631.36031768000009</v>
      </c>
      <c r="AD19" s="38">
        <v>683.06289807999997</v>
      </c>
    </row>
    <row r="20" spans="3:30" x14ac:dyDescent="0.2">
      <c r="C20" s="63">
        <v>7</v>
      </c>
      <c r="D20" s="38"/>
      <c r="E20" s="38"/>
      <c r="F20" s="38"/>
      <c r="G20" s="38">
        <v>718.71959464000008</v>
      </c>
      <c r="H20" s="38">
        <v>694.30859464000002</v>
      </c>
      <c r="I20" s="38">
        <v>731.35344280000015</v>
      </c>
      <c r="J20" s="38">
        <v>747.11244280000017</v>
      </c>
      <c r="K20" s="38">
        <v>742.19694496</v>
      </c>
      <c r="L20" s="38">
        <v>718.97250496000004</v>
      </c>
      <c r="M20" s="38">
        <v>713.37754496000002</v>
      </c>
      <c r="N20" s="38">
        <v>681.10529656000006</v>
      </c>
      <c r="O20" s="38">
        <v>678.74681334281252</v>
      </c>
      <c r="P20" s="38">
        <v>668.87220334281255</v>
      </c>
      <c r="Q20" s="38">
        <v>643.23338376375</v>
      </c>
      <c r="R20" s="38">
        <v>633.69558376374994</v>
      </c>
      <c r="S20" s="38">
        <v>583.97384960187503</v>
      </c>
      <c r="T20" s="38">
        <v>570.58384960187504</v>
      </c>
      <c r="U20" s="38">
        <v>562.96596960187514</v>
      </c>
      <c r="V20" s="38">
        <v>498.96892984000004</v>
      </c>
      <c r="W20" s="38">
        <v>491.48700984000004</v>
      </c>
      <c r="X20" s="38">
        <v>505.04730591999981</v>
      </c>
      <c r="Y20" s="38">
        <v>530.9476859199998</v>
      </c>
      <c r="Z20" s="38">
        <v>585.82289704000016</v>
      </c>
      <c r="AA20" s="38">
        <v>616.06884704000015</v>
      </c>
      <c r="AB20" s="38">
        <v>647.37287896000009</v>
      </c>
      <c r="AC20" s="38">
        <v>666.94287896000003</v>
      </c>
      <c r="AD20" s="38">
        <v>721.73993368000004</v>
      </c>
    </row>
    <row r="21" spans="3:30" x14ac:dyDescent="0.2">
      <c r="C21" s="63">
        <v>6</v>
      </c>
      <c r="D21" s="38"/>
      <c r="E21" s="38"/>
      <c r="F21" s="38">
        <v>665.58464679999997</v>
      </c>
      <c r="G21" s="38">
        <v>724.45773700000007</v>
      </c>
      <c r="H21" s="38">
        <v>736.89927592000004</v>
      </c>
      <c r="I21" s="38">
        <v>774.67296856000007</v>
      </c>
      <c r="J21" s="38">
        <v>790.43196855999997</v>
      </c>
      <c r="K21" s="38">
        <v>766.42167976000007</v>
      </c>
      <c r="L21" s="38">
        <v>743.19723976000012</v>
      </c>
      <c r="M21" s="38">
        <v>737.6022797600001</v>
      </c>
      <c r="N21" s="38">
        <v>690.90741773500008</v>
      </c>
      <c r="O21" s="38">
        <v>713.13023783999995</v>
      </c>
      <c r="P21" s="38">
        <v>703.25562783999987</v>
      </c>
      <c r="Q21" s="38">
        <v>665.82500760000005</v>
      </c>
      <c r="R21" s="38">
        <v>656.28720759999999</v>
      </c>
      <c r="S21" s="38">
        <v>622.70878735999997</v>
      </c>
      <c r="T21" s="38">
        <v>609.31878735999999</v>
      </c>
      <c r="U21" s="38">
        <v>601.70090736000009</v>
      </c>
      <c r="V21" s="38">
        <v>545.34399592000011</v>
      </c>
      <c r="W21" s="38">
        <v>537.86207592000017</v>
      </c>
      <c r="X21" s="38">
        <v>530.98202200000003</v>
      </c>
      <c r="Y21" s="38">
        <v>556.88240199999996</v>
      </c>
      <c r="Z21" s="38">
        <v>638.72953096000003</v>
      </c>
      <c r="AA21" s="38">
        <v>668.97548096000003</v>
      </c>
      <c r="AB21" s="38">
        <v>657.49260423999999</v>
      </c>
      <c r="AC21" s="38">
        <v>677.06260423999993</v>
      </c>
      <c r="AD21" s="38">
        <v>735.57863464000002</v>
      </c>
    </row>
    <row r="22" spans="3:30" x14ac:dyDescent="0.2">
      <c r="C22" s="63">
        <v>5</v>
      </c>
      <c r="D22" s="38"/>
      <c r="E22" s="38">
        <v>752.77610792000007</v>
      </c>
      <c r="F22" s="38">
        <v>738.76810792000003</v>
      </c>
      <c r="G22" s="38">
        <v>774.70980136000014</v>
      </c>
      <c r="H22" s="38">
        <v>750.29880136000008</v>
      </c>
      <c r="I22" s="38">
        <v>794.12750968000012</v>
      </c>
      <c r="J22" s="38">
        <v>809.88650968000002</v>
      </c>
      <c r="K22" s="38">
        <v>812.62543624</v>
      </c>
      <c r="L22" s="38">
        <v>789.40099624000004</v>
      </c>
      <c r="M22" s="38">
        <v>783.80603624000003</v>
      </c>
      <c r="N22" s="38">
        <v>768.91548280000018</v>
      </c>
      <c r="O22" s="38">
        <v>758.30457936000028</v>
      </c>
      <c r="P22" s="38">
        <v>748.4299693600002</v>
      </c>
      <c r="Q22" s="38">
        <v>717.60722759999999</v>
      </c>
      <c r="R22" s="38">
        <v>708.06942760000004</v>
      </c>
      <c r="S22" s="38">
        <v>687.3875055200001</v>
      </c>
      <c r="T22" s="38">
        <v>673.99750552000012</v>
      </c>
      <c r="U22" s="38">
        <v>666.3796255200001</v>
      </c>
      <c r="V22" s="38">
        <v>639.92558343999985</v>
      </c>
      <c r="W22" s="38">
        <v>632.44366343999991</v>
      </c>
      <c r="X22" s="38">
        <v>621.12046143999999</v>
      </c>
      <c r="Y22" s="38">
        <v>647.02084144000003</v>
      </c>
      <c r="Z22" s="38">
        <v>680.37645208000004</v>
      </c>
      <c r="AA22" s="38">
        <v>710.62240208000003</v>
      </c>
      <c r="AB22" s="38">
        <v>737.57517015999986</v>
      </c>
      <c r="AC22" s="38">
        <v>757.14517015999991</v>
      </c>
      <c r="AD22" s="38">
        <v>796.14540327999998</v>
      </c>
    </row>
    <row r="23" spans="3:30" x14ac:dyDescent="0.2">
      <c r="C23" s="63">
        <v>4</v>
      </c>
      <c r="D23" s="38">
        <v>727.72954024000001</v>
      </c>
      <c r="E23" s="38">
        <v>787.5597435200001</v>
      </c>
      <c r="F23" s="38">
        <v>773.55174352000006</v>
      </c>
      <c r="G23" s="38">
        <v>795.93973288000018</v>
      </c>
      <c r="H23" s="38">
        <v>771.52873288000012</v>
      </c>
      <c r="I23" s="38">
        <v>825.5145431200001</v>
      </c>
      <c r="J23" s="38">
        <v>841.27354312</v>
      </c>
      <c r="K23" s="38">
        <v>867.0984282400002</v>
      </c>
      <c r="L23" s="38">
        <v>843.87398824000024</v>
      </c>
      <c r="M23" s="38">
        <v>838.27902824000023</v>
      </c>
      <c r="N23" s="38">
        <v>822.3685770400001</v>
      </c>
      <c r="O23" s="38">
        <v>789.28981391999992</v>
      </c>
      <c r="P23" s="38">
        <v>779.41520391999995</v>
      </c>
      <c r="Q23" s="38">
        <v>769.38944760000004</v>
      </c>
      <c r="R23" s="38">
        <v>759.85164759999998</v>
      </c>
      <c r="S23" s="38">
        <v>752.06622368000012</v>
      </c>
      <c r="T23" s="38">
        <v>738.67622368000013</v>
      </c>
      <c r="U23" s="38">
        <v>731.05834368000012</v>
      </c>
      <c r="V23" s="38">
        <v>717.50079975999995</v>
      </c>
      <c r="W23" s="38">
        <v>710.01887976</v>
      </c>
      <c r="X23" s="38">
        <v>711.25890087999994</v>
      </c>
      <c r="Y23" s="38">
        <v>737.15928087999987</v>
      </c>
      <c r="Z23" s="38">
        <v>754.89145599999995</v>
      </c>
      <c r="AA23" s="38">
        <v>785.13740599999994</v>
      </c>
      <c r="AB23" s="38">
        <v>800.51120247999995</v>
      </c>
      <c r="AC23" s="38">
        <v>820.08120248</v>
      </c>
      <c r="AD23" s="38">
        <v>844.80615471999999</v>
      </c>
    </row>
    <row r="24" spans="3:30" x14ac:dyDescent="0.2">
      <c r="C24" s="63">
        <v>3</v>
      </c>
      <c r="D24" s="38">
        <v>943.41702170987628</v>
      </c>
      <c r="E24" s="38">
        <v>941.64026984000009</v>
      </c>
      <c r="F24" s="38">
        <v>927.63226984000005</v>
      </c>
      <c r="G24" s="38">
        <v>936.52262008000014</v>
      </c>
      <c r="H24" s="38">
        <v>912.11162008000008</v>
      </c>
      <c r="I24" s="38">
        <v>855.92666920000045</v>
      </c>
      <c r="J24" s="38">
        <v>871.68566920000046</v>
      </c>
      <c r="K24" s="38">
        <v>921.57142024000029</v>
      </c>
      <c r="L24" s="38">
        <v>898.34698024000033</v>
      </c>
      <c r="M24" s="38">
        <v>892.75202024000032</v>
      </c>
      <c r="N24" s="38">
        <v>875.82167128000003</v>
      </c>
      <c r="O24" s="38">
        <v>829.7874033600001</v>
      </c>
      <c r="P24" s="38">
        <v>819.91279336000014</v>
      </c>
      <c r="Q24" s="38">
        <v>821.17166759999998</v>
      </c>
      <c r="R24" s="38">
        <v>811.63386760000003</v>
      </c>
      <c r="S24" s="38">
        <v>816.74494184000002</v>
      </c>
      <c r="T24" s="38">
        <v>803.35494184000004</v>
      </c>
      <c r="U24" s="38">
        <v>795.73706184000014</v>
      </c>
      <c r="V24" s="38">
        <v>795.07601607999993</v>
      </c>
      <c r="W24" s="38">
        <v>787.59409607999999</v>
      </c>
      <c r="X24" s="38">
        <v>786.79709032000005</v>
      </c>
      <c r="Y24" s="38">
        <v>812.69747031999998</v>
      </c>
      <c r="Z24" s="38">
        <v>829.40645992000009</v>
      </c>
      <c r="AA24" s="38">
        <v>859.65240992000008</v>
      </c>
      <c r="AB24" s="38">
        <v>847.52803066000001</v>
      </c>
      <c r="AC24" s="38">
        <v>867.09803066000006</v>
      </c>
      <c r="AD24" s="38">
        <v>881.97480064000013</v>
      </c>
    </row>
    <row r="25" spans="3:30" x14ac:dyDescent="0.2">
      <c r="C25" s="63">
        <v>2</v>
      </c>
      <c r="D25" s="38">
        <v>1178.8244892448015</v>
      </c>
      <c r="E25" s="38">
        <v>1095.7207961600002</v>
      </c>
      <c r="F25" s="38">
        <v>1081.7127961600002</v>
      </c>
      <c r="G25" s="38">
        <v>1017.0121760800002</v>
      </c>
      <c r="H25" s="38">
        <v>992.60117608000019</v>
      </c>
      <c r="I25" s="38">
        <v>960.60617896000076</v>
      </c>
      <c r="J25" s="38">
        <v>976.36517896000078</v>
      </c>
      <c r="K25" s="38">
        <v>976.0444122400005</v>
      </c>
      <c r="L25" s="38">
        <v>952.81997224000054</v>
      </c>
      <c r="M25" s="38">
        <v>947.22501224000052</v>
      </c>
      <c r="N25" s="38">
        <v>929.27476552000019</v>
      </c>
      <c r="O25" s="38">
        <v>915.60416879999991</v>
      </c>
      <c r="P25" s="38">
        <v>905.72955879999995</v>
      </c>
      <c r="Q25" s="38">
        <v>928.41770663999978</v>
      </c>
      <c r="R25" s="38">
        <v>918.87990663999972</v>
      </c>
      <c r="S25" s="38">
        <v>913.42169767999985</v>
      </c>
      <c r="T25" s="38">
        <v>900.03169767999987</v>
      </c>
      <c r="U25" s="38">
        <v>892.41381767999997</v>
      </c>
      <c r="V25" s="38">
        <v>881.18348872000001</v>
      </c>
      <c r="W25" s="38">
        <v>873.70156872000007</v>
      </c>
      <c r="X25" s="38">
        <v>862.33527976000005</v>
      </c>
      <c r="Y25" s="38">
        <v>888.23565976000009</v>
      </c>
      <c r="Z25" s="38">
        <v>881.65329232000022</v>
      </c>
      <c r="AA25" s="38">
        <v>911.89924232000021</v>
      </c>
      <c r="AB25" s="38">
        <v>894.54485883999996</v>
      </c>
      <c r="AC25" s="38">
        <v>914.11485884000001</v>
      </c>
      <c r="AD25" s="38">
        <v>911.72072271999991</v>
      </c>
    </row>
    <row r="26" spans="3:30" x14ac:dyDescent="0.2">
      <c r="C26" s="63">
        <v>1</v>
      </c>
      <c r="D26" s="38">
        <v>1317.0685128685193</v>
      </c>
      <c r="E26" s="38">
        <v>1249.8013224800002</v>
      </c>
      <c r="F26" s="38">
        <v>1235.7933224800004</v>
      </c>
      <c r="G26" s="38">
        <v>1183.9445562400003</v>
      </c>
      <c r="H26" s="38">
        <v>1159.5335562400003</v>
      </c>
      <c r="I26" s="38">
        <v>1065.285688720001</v>
      </c>
      <c r="J26" s="38">
        <v>1081.0446887200007</v>
      </c>
      <c r="K26" s="38">
        <v>1088.6579213600005</v>
      </c>
      <c r="L26" s="38">
        <v>1065.4334813600005</v>
      </c>
      <c r="M26" s="38">
        <v>1059.8385213600006</v>
      </c>
      <c r="N26" s="38">
        <v>1049.8222740000001</v>
      </c>
      <c r="O26" s="38">
        <v>1044.0856766399995</v>
      </c>
      <c r="P26" s="38">
        <v>1034.2110666399994</v>
      </c>
      <c r="Q26" s="38">
        <v>1035.6637456799995</v>
      </c>
      <c r="R26" s="38">
        <v>1026.1259456799996</v>
      </c>
      <c r="S26" s="38">
        <v>1010.0984535199997</v>
      </c>
      <c r="T26" s="38">
        <v>996.70845351999969</v>
      </c>
      <c r="U26" s="38">
        <v>989.09057351999979</v>
      </c>
      <c r="V26" s="38">
        <v>967.29096135999976</v>
      </c>
      <c r="W26" s="38">
        <v>959.80904135999981</v>
      </c>
      <c r="X26" s="38">
        <v>937.87346920000005</v>
      </c>
      <c r="Y26" s="38">
        <v>963.77384919999997</v>
      </c>
      <c r="Z26" s="38">
        <v>933.90012472000046</v>
      </c>
      <c r="AA26" s="38">
        <v>964.14607472000057</v>
      </c>
      <c r="AB26" s="38">
        <v>925.64248288000022</v>
      </c>
      <c r="AC26" s="38">
        <v>945.21248288000015</v>
      </c>
      <c r="AD26" s="38">
        <v>920.24103928</v>
      </c>
    </row>
    <row r="27" spans="3:30" x14ac:dyDescent="0.2">
      <c r="C27" s="63">
        <v>0.5</v>
      </c>
      <c r="D27" s="38">
        <v>1609.0852467999998</v>
      </c>
      <c r="E27" s="38">
        <v>1534.8532291999998</v>
      </c>
      <c r="F27" s="38">
        <v>1520.8452291999999</v>
      </c>
      <c r="G27" s="38">
        <v>1457.0162115999999</v>
      </c>
      <c r="H27" s="38">
        <v>1432.6052115999998</v>
      </c>
      <c r="I27" s="38">
        <v>1328.606194</v>
      </c>
      <c r="J27" s="38">
        <v>1344.3651939999997</v>
      </c>
      <c r="K27" s="38">
        <v>1279.3496163999998</v>
      </c>
      <c r="L27" s="38">
        <v>1256.1251763999999</v>
      </c>
      <c r="M27" s="38">
        <v>1250.5302163999997</v>
      </c>
      <c r="N27" s="38">
        <v>1208.3765187999998</v>
      </c>
      <c r="O27" s="38">
        <v>1170.5024711999999</v>
      </c>
      <c r="P27" s="38">
        <v>1160.6278611999999</v>
      </c>
      <c r="Q27" s="38">
        <v>1122.4170036000003</v>
      </c>
      <c r="R27" s="38">
        <v>1112.8792036000002</v>
      </c>
      <c r="S27" s="38">
        <v>1086.0104093599996</v>
      </c>
      <c r="T27" s="38">
        <v>1072.6204093599995</v>
      </c>
      <c r="U27" s="38">
        <v>1065.0025293599997</v>
      </c>
      <c r="V27" s="38">
        <v>1032.6336339999996</v>
      </c>
      <c r="W27" s="38">
        <v>1025.1517139999996</v>
      </c>
      <c r="X27" s="38">
        <v>992.64685864</v>
      </c>
      <c r="Y27" s="38">
        <v>1018.54723864</v>
      </c>
      <c r="Z27" s="38">
        <v>986.14695712000059</v>
      </c>
      <c r="AA27" s="38">
        <v>1016.3929071200006</v>
      </c>
      <c r="AB27" s="38">
        <v>956.74010692000047</v>
      </c>
      <c r="AC27" s="38">
        <v>976.31010692000041</v>
      </c>
      <c r="AD27" s="38">
        <v>942.60455584000101</v>
      </c>
    </row>
    <row r="28" spans="3:30" x14ac:dyDescent="0.2">
      <c r="C28" s="63" t="s">
        <v>154</v>
      </c>
      <c r="D28" s="24">
        <v>500</v>
      </c>
      <c r="E28" s="24">
        <v>750</v>
      </c>
      <c r="F28" s="24">
        <v>1000</v>
      </c>
      <c r="G28" s="24">
        <v>1250</v>
      </c>
      <c r="H28" s="24">
        <v>1500</v>
      </c>
      <c r="I28" s="24">
        <v>1750</v>
      </c>
      <c r="J28" s="24">
        <v>2000</v>
      </c>
      <c r="K28" s="24">
        <v>2250</v>
      </c>
      <c r="L28" s="24">
        <v>2500</v>
      </c>
      <c r="M28" s="24">
        <v>2750</v>
      </c>
      <c r="N28" s="24">
        <v>3000</v>
      </c>
      <c r="O28" s="24">
        <v>3250</v>
      </c>
      <c r="P28" s="24">
        <v>3500</v>
      </c>
      <c r="Q28" s="24">
        <v>3750</v>
      </c>
      <c r="R28" s="24">
        <v>4000</v>
      </c>
      <c r="S28" s="24">
        <v>4250</v>
      </c>
      <c r="T28" s="24">
        <v>4500</v>
      </c>
      <c r="U28" s="24">
        <v>4750</v>
      </c>
      <c r="V28" s="24">
        <v>5000</v>
      </c>
      <c r="W28" s="24">
        <v>5250</v>
      </c>
      <c r="X28" s="24">
        <v>5500</v>
      </c>
      <c r="Y28" s="24">
        <v>5750</v>
      </c>
      <c r="Z28" s="24">
        <v>6000</v>
      </c>
      <c r="AA28" s="24">
        <v>6250</v>
      </c>
      <c r="AB28" s="24">
        <v>6500</v>
      </c>
      <c r="AC28" s="24">
        <v>6750</v>
      </c>
      <c r="AD28" s="24">
        <v>7000</v>
      </c>
    </row>
    <row r="33" spans="2:30" x14ac:dyDescent="0.2">
      <c r="B33" s="70" t="s">
        <v>141</v>
      </c>
      <c r="C33" s="2" t="s">
        <v>158</v>
      </c>
    </row>
    <row r="34" spans="2:30" ht="16" customHeight="1" x14ac:dyDescent="0.2">
      <c r="B34" s="60">
        <f>'DUTY CYCLE'!AC140</f>
        <v>81.817131763998447</v>
      </c>
      <c r="C34" s="66" t="s">
        <v>159</v>
      </c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</row>
    <row r="35" spans="2:30" ht="16" customHeight="1" x14ac:dyDescent="0.2">
      <c r="B35" s="60">
        <f>B34/1000</f>
        <v>8.1817131763998449E-2</v>
      </c>
      <c r="C35" s="66" t="s">
        <v>160</v>
      </c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</row>
    <row r="36" spans="2:30" x14ac:dyDescent="0.2">
      <c r="B36" s="71">
        <f>B35/0.737</f>
        <v>0.11101374730528962</v>
      </c>
      <c r="C36" s="66" t="s">
        <v>161</v>
      </c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</row>
    <row r="37" spans="2:30" x14ac:dyDescent="0.2">
      <c r="B37" s="60">
        <f>B36/4.5</f>
        <v>2.4669721623397693E-2</v>
      </c>
      <c r="C37" s="66" t="s">
        <v>162</v>
      </c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</row>
    <row r="38" spans="2:30" x14ac:dyDescent="0.2">
      <c r="B38" s="74"/>
      <c r="C38" s="75" t="s">
        <v>163</v>
      </c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</row>
    <row r="39" spans="2:30" x14ac:dyDescent="0.2">
      <c r="B39" s="76">
        <f>ROUNDUP((3600/'DUTY CYCLE'!B139),0)</f>
        <v>27</v>
      </c>
      <c r="C39" s="66" t="s">
        <v>164</v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</row>
    <row r="40" spans="2:30" x14ac:dyDescent="0.2">
      <c r="B40" s="60">
        <f>(TRACK!E36*BSFC!B39)/1000</f>
        <v>36.308250000000001</v>
      </c>
      <c r="C40" s="66" t="s">
        <v>165</v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</row>
    <row r="41" spans="2:30" x14ac:dyDescent="0.2">
      <c r="B41" s="60">
        <f>B40/1.6</f>
        <v>22.692656249999999</v>
      </c>
      <c r="C41" s="66" t="s">
        <v>166</v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</row>
    <row r="42" spans="2:30" x14ac:dyDescent="0.2">
      <c r="B42" s="60">
        <f>B37*B39</f>
        <v>0.66608248383173774</v>
      </c>
      <c r="C42" s="66" t="s">
        <v>162</v>
      </c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</row>
    <row r="43" spans="2:30" x14ac:dyDescent="0.2">
      <c r="B43" s="60">
        <f>B41/B42</f>
        <v>34.068838020566382</v>
      </c>
      <c r="C43" s="77" t="s">
        <v>167</v>
      </c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</row>
    <row r="44" spans="2:30" x14ac:dyDescent="0.2">
      <c r="B44" s="72"/>
      <c r="C44" s="73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</row>
    <row r="45" spans="2:30" x14ac:dyDescent="0.2"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</row>
    <row r="46" spans="2:30" x14ac:dyDescent="0.2">
      <c r="C46" s="68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</row>
    <row r="47" spans="2:30" x14ac:dyDescent="0.2">
      <c r="C47" s="68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</row>
    <row r="48" spans="2:30" x14ac:dyDescent="0.2">
      <c r="C48" s="68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</row>
    <row r="49" spans="3:30" x14ac:dyDescent="0.2">
      <c r="C49" s="68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</row>
    <row r="50" spans="3:30" x14ac:dyDescent="0.2">
      <c r="C50" s="68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</row>
    <row r="51" spans="3:30" x14ac:dyDescent="0.2">
      <c r="C51" s="68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</row>
    <row r="52" spans="3:30" x14ac:dyDescent="0.2">
      <c r="C52" s="68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</row>
    <row r="53" spans="3:30" x14ac:dyDescent="0.2">
      <c r="C53" s="68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</row>
    <row r="54" spans="3:30" x14ac:dyDescent="0.2">
      <c r="C54" s="68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</row>
    <row r="55" spans="3:30" x14ac:dyDescent="0.2">
      <c r="C55" s="68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</row>
    <row r="56" spans="3:30" x14ac:dyDescent="0.2">
      <c r="C56" s="68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</row>
    <row r="57" spans="3:30" x14ac:dyDescent="0.2">
      <c r="C57" s="68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</row>
    <row r="58" spans="3:30" x14ac:dyDescent="0.2">
      <c r="C58" s="68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</row>
    <row r="59" spans="3:30" x14ac:dyDescent="0.2">
      <c r="C59" s="68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</row>
  </sheetData>
  <mergeCells count="1">
    <mergeCell ref="C2:AD3"/>
  </mergeCells>
  <conditionalFormatting sqref="C4:AB4 C2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5:AD2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7:AD5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B43F0-0D2D-194A-8C6F-ECB10B46CC7E}">
  <dimension ref="B1:AK163"/>
  <sheetViews>
    <sheetView zoomScale="106" zoomScaleNormal="20" workbookViewId="0">
      <pane xSplit="13" ySplit="3" topLeftCell="N4" activePane="bottomRight" state="frozen"/>
      <selection activeCell="B21" sqref="B21:X23"/>
      <selection pane="topRight" activeCell="B21" sqref="B21:X23"/>
      <selection pane="bottomLeft" activeCell="B21" sqref="B21:X23"/>
      <selection pane="bottomRight" activeCell="D9" sqref="D9"/>
    </sheetView>
  </sheetViews>
  <sheetFormatPr baseColWidth="10" defaultRowHeight="16" x14ac:dyDescent="0.2"/>
  <cols>
    <col min="1" max="2" width="10.83203125" style="1"/>
    <col min="3" max="3" width="12" style="1" bestFit="1" customWidth="1"/>
    <col min="4" max="4" width="12" style="1" customWidth="1"/>
    <col min="5" max="5" width="9.83203125" style="1" bestFit="1" customWidth="1"/>
    <col min="6" max="6" width="10.5" style="1" bestFit="1" customWidth="1"/>
    <col min="7" max="8" width="12.83203125" style="1" bestFit="1" customWidth="1"/>
    <col min="9" max="10" width="12.1640625" style="1" bestFit="1" customWidth="1"/>
    <col min="11" max="11" width="5.1640625" style="1" bestFit="1" customWidth="1"/>
    <col min="12" max="12" width="5.83203125" style="1" bestFit="1" customWidth="1"/>
    <col min="13" max="13" width="12.1640625" style="1" bestFit="1" customWidth="1"/>
    <col min="14" max="14" width="13.6640625" style="1" bestFit="1" customWidth="1"/>
    <col min="15" max="15" width="19.83203125" style="1" bestFit="1" customWidth="1"/>
    <col min="16" max="16" width="14.6640625" style="1" bestFit="1" customWidth="1"/>
    <col min="17" max="17" width="13.83203125" style="1" bestFit="1" customWidth="1"/>
    <col min="18" max="18" width="16.6640625" style="1" bestFit="1" customWidth="1"/>
    <col min="19" max="19" width="20.6640625" style="1" bestFit="1" customWidth="1"/>
    <col min="20" max="20" width="17.33203125" style="1" bestFit="1" customWidth="1"/>
    <col min="21" max="21" width="22.5" style="1" bestFit="1" customWidth="1"/>
    <col min="22" max="22" width="18.1640625" style="1" bestFit="1" customWidth="1"/>
    <col min="23" max="23" width="22.83203125" style="1" bestFit="1" customWidth="1"/>
    <col min="24" max="24" width="12.1640625" style="1" bestFit="1" customWidth="1"/>
    <col min="25" max="25" width="18.83203125" style="1" bestFit="1" customWidth="1"/>
    <col min="26" max="26" width="12.1640625" style="1" bestFit="1" customWidth="1"/>
    <col min="27" max="27" width="15.6640625" style="1" bestFit="1" customWidth="1"/>
    <col min="28" max="28" width="18.83203125" style="1" bestFit="1" customWidth="1"/>
    <col min="29" max="29" width="17.83203125" style="1" bestFit="1" customWidth="1"/>
    <col min="30" max="30" width="15.83203125" style="1" bestFit="1" customWidth="1"/>
    <col min="31" max="31" width="12.1640625" style="1" bestFit="1" customWidth="1"/>
    <col min="32" max="32" width="13.83203125" style="1" bestFit="1" customWidth="1"/>
    <col min="33" max="16384" width="10.83203125" style="1"/>
  </cols>
  <sheetData>
    <row r="1" spans="2:37" ht="17" thickBot="1" x14ac:dyDescent="0.25"/>
    <row r="2" spans="2:37" ht="17" thickBot="1" x14ac:dyDescent="0.25">
      <c r="B2" s="45" t="s">
        <v>119</v>
      </c>
      <c r="C2" s="45" t="s">
        <v>120</v>
      </c>
      <c r="D2" s="45" t="s">
        <v>112</v>
      </c>
      <c r="E2" s="45" t="s">
        <v>121</v>
      </c>
      <c r="F2" s="45" t="s">
        <v>150</v>
      </c>
      <c r="G2" s="45" t="s">
        <v>151</v>
      </c>
      <c r="H2" s="45" t="s">
        <v>121</v>
      </c>
      <c r="I2" s="45" t="s">
        <v>117</v>
      </c>
      <c r="J2" s="45" t="s">
        <v>156</v>
      </c>
      <c r="K2" s="45" t="s">
        <v>66</v>
      </c>
      <c r="L2" s="45" t="s">
        <v>123</v>
      </c>
      <c r="M2" s="45" t="s">
        <v>77</v>
      </c>
      <c r="N2" s="45" t="s">
        <v>76</v>
      </c>
      <c r="O2" s="45" t="s">
        <v>126</v>
      </c>
      <c r="P2" s="45" t="s">
        <v>127</v>
      </c>
      <c r="Q2" s="45" t="s">
        <v>128</v>
      </c>
      <c r="R2" s="45" t="s">
        <v>129</v>
      </c>
      <c r="S2" s="45" t="s">
        <v>130</v>
      </c>
      <c r="T2" s="45" t="s">
        <v>131</v>
      </c>
      <c r="U2" s="45" t="s">
        <v>132</v>
      </c>
      <c r="V2" s="45" t="s">
        <v>134</v>
      </c>
      <c r="W2" s="45" t="s">
        <v>135</v>
      </c>
      <c r="X2" s="45" t="s">
        <v>14</v>
      </c>
      <c r="Y2" s="45" t="s">
        <v>137</v>
      </c>
      <c r="Z2" s="45" t="s">
        <v>138</v>
      </c>
      <c r="AA2" s="45" t="s">
        <v>140</v>
      </c>
      <c r="AB2" s="45" t="s">
        <v>141</v>
      </c>
      <c r="AC2" s="45" t="s">
        <v>143</v>
      </c>
      <c r="AD2" s="45" t="s">
        <v>145</v>
      </c>
      <c r="AE2" s="45" t="s">
        <v>146</v>
      </c>
      <c r="AF2" s="45" t="s">
        <v>148</v>
      </c>
    </row>
    <row r="3" spans="2:37" ht="17" thickBot="1" x14ac:dyDescent="0.25">
      <c r="B3" s="45" t="s">
        <v>155</v>
      </c>
      <c r="C3" s="45"/>
      <c r="D3" s="45"/>
      <c r="E3" s="45"/>
      <c r="F3" s="45" t="s">
        <v>27</v>
      </c>
      <c r="G3" s="45"/>
      <c r="H3" s="45" t="s">
        <v>157</v>
      </c>
      <c r="I3" s="45" t="s">
        <v>27</v>
      </c>
      <c r="J3" s="45" t="s">
        <v>27</v>
      </c>
      <c r="K3" s="45"/>
      <c r="L3" s="45"/>
      <c r="M3" s="45" t="s">
        <v>124</v>
      </c>
      <c r="N3" s="45" t="s">
        <v>125</v>
      </c>
      <c r="O3" s="45" t="s">
        <v>82</v>
      </c>
      <c r="P3" s="45"/>
      <c r="Q3" s="45" t="s">
        <v>82</v>
      </c>
      <c r="R3" s="45" t="s">
        <v>82</v>
      </c>
      <c r="S3" s="45" t="s">
        <v>82</v>
      </c>
      <c r="T3" s="45" t="s">
        <v>82</v>
      </c>
      <c r="U3" s="45" t="s">
        <v>133</v>
      </c>
      <c r="V3" s="45" t="s">
        <v>133</v>
      </c>
      <c r="W3" s="45" t="s">
        <v>133</v>
      </c>
      <c r="X3" s="45" t="s">
        <v>136</v>
      </c>
      <c r="Y3" s="45" t="s">
        <v>136</v>
      </c>
      <c r="Z3" s="45" t="s">
        <v>139</v>
      </c>
      <c r="AA3" s="45" t="s">
        <v>139</v>
      </c>
      <c r="AB3" s="45" t="s">
        <v>142</v>
      </c>
      <c r="AC3" s="45" t="s">
        <v>144</v>
      </c>
      <c r="AD3" s="45" t="s">
        <v>144</v>
      </c>
      <c r="AE3" s="45" t="s">
        <v>147</v>
      </c>
      <c r="AF3" s="45" t="s">
        <v>147</v>
      </c>
      <c r="AI3" s="1">
        <v>1</v>
      </c>
      <c r="AJ3" s="3">
        <v>750</v>
      </c>
    </row>
    <row r="4" spans="2:37" ht="17" x14ac:dyDescent="0.2">
      <c r="B4" s="78">
        <v>0</v>
      </c>
      <c r="C4" s="93" t="s">
        <v>83</v>
      </c>
      <c r="D4" s="79" t="s">
        <v>113</v>
      </c>
      <c r="E4" s="78" t="str">
        <f>IF(H4&gt;0,"UPHILL",IF(H4&lt;0,"DOWNHILL",IF(H4=0,"FLAT",0)))</f>
        <v>FLAT</v>
      </c>
      <c r="F4" s="80">
        <v>5</v>
      </c>
      <c r="G4" s="78">
        <v>0</v>
      </c>
      <c r="H4" s="78">
        <v>0</v>
      </c>
      <c r="I4" s="78">
        <f>SUM(M$4:M4)</f>
        <v>0.82363513790772214</v>
      </c>
      <c r="J4" s="78">
        <v>0</v>
      </c>
      <c r="K4" s="78">
        <v>750</v>
      </c>
      <c r="L4" s="78">
        <v>1</v>
      </c>
      <c r="M4" s="78">
        <f>VLOOKUP(K4,VEHICLE!I$30:L$54,MATCH(L4,VEHICLE!I$30:L$30,0),0)</f>
        <v>0.82363513790772214</v>
      </c>
      <c r="N4" s="78">
        <v>0</v>
      </c>
      <c r="O4" s="78">
        <v>0</v>
      </c>
      <c r="P4" s="81">
        <v>1.2999999999999999E-2</v>
      </c>
      <c r="Q4" s="78">
        <v>0</v>
      </c>
      <c r="R4" s="78">
        <v>0</v>
      </c>
      <c r="S4" s="78">
        <f>VEHICLE!C$47*9.81*SIN(RADIANS(G4))</f>
        <v>0</v>
      </c>
      <c r="T4" s="78">
        <f>SUM(Q4:S4)+O4</f>
        <v>0</v>
      </c>
      <c r="U4" s="78">
        <f>ABS(((+T4)*(+M4))/1000)</f>
        <v>0</v>
      </c>
      <c r="V4" s="78">
        <f>((VEHICLE!C$12*1000)-U4*1000)/1000</f>
        <v>13.422818791946309</v>
      </c>
      <c r="W4" s="78">
        <f>U4</f>
        <v>0</v>
      </c>
      <c r="X4" s="78">
        <f>ABS((W4*1000)/((2*PI()*K4)/60))</f>
        <v>0</v>
      </c>
      <c r="Y4" s="78">
        <f>ROUNDUP(X4,0)</f>
        <v>0</v>
      </c>
      <c r="Z4" s="78">
        <f>T4</f>
        <v>0</v>
      </c>
      <c r="AA4" s="78">
        <f>Z4</f>
        <v>0</v>
      </c>
      <c r="AB4" s="78">
        <f>BSFC!E27</f>
        <v>1534.8532291999998</v>
      </c>
      <c r="AC4" s="78">
        <v>0</v>
      </c>
      <c r="AD4" s="78">
        <v>0</v>
      </c>
      <c r="AE4" s="78">
        <f>0.5*VEHICLE!C$47*('DUTY CYCLE'!M4^2)/1000</f>
        <v>0.19243119910100864</v>
      </c>
      <c r="AF4" s="78">
        <f>Z4+AE4</f>
        <v>0.19243119910100864</v>
      </c>
      <c r="AI4" s="1">
        <v>2</v>
      </c>
      <c r="AJ4" s="3">
        <v>1000</v>
      </c>
    </row>
    <row r="5" spans="2:37" ht="17" x14ac:dyDescent="0.2">
      <c r="B5" s="3">
        <v>1</v>
      </c>
      <c r="C5" s="94"/>
      <c r="D5" s="59" t="s">
        <v>113</v>
      </c>
      <c r="E5" s="3" t="str">
        <f t="shared" ref="E5:E68" si="0">IF(H5&gt;0,"UPHILL",IF(H5&lt;0,"DOWNHILL",IF(H5=0,"FLAT",0)))</f>
        <v>UPHILL</v>
      </c>
      <c r="F5" s="60">
        <v>5.0999999999999996</v>
      </c>
      <c r="G5" s="60">
        <f>F5-F4</f>
        <v>9.9999999999999645E-2</v>
      </c>
      <c r="H5" s="3">
        <f>DEGREES(ATAN(G5/J5))</f>
        <v>3.4739624666294007</v>
      </c>
      <c r="I5" s="3">
        <f>SUM(M$4:M5)</f>
        <v>2.4709054137231665</v>
      </c>
      <c r="J5" s="3">
        <f>I5-I4</f>
        <v>1.6472702758154445</v>
      </c>
      <c r="K5" s="3">
        <v>1500</v>
      </c>
      <c r="L5" s="3">
        <v>1</v>
      </c>
      <c r="M5" s="3">
        <f>VLOOKUP(K5,VEHICLE!I$30:L$54,MATCH(L5,VEHICLE!I$30:L$30,0),0)</f>
        <v>1.6472702758154443</v>
      </c>
      <c r="N5" s="3">
        <f>M5-M4</f>
        <v>0.82363513790772214</v>
      </c>
      <c r="O5" s="3">
        <f>IF(L5=1,VEHICLE!C$68*'DUTY CYCLE'!N5,IF(L5=2,VEHICLE!C$69*'DUTY CYCLE'!N5,IF('DUTY CYCLE'!L5=3,VEHICLE!C$70*'DUTY CYCLE'!N5)))</f>
        <v>490.00585389277427</v>
      </c>
      <c r="P5" s="37">
        <v>1.2999999999999999E-2</v>
      </c>
      <c r="Q5" s="3">
        <f>P5*VEHICLE!C$47*9.81</f>
        <v>72.351594900000009</v>
      </c>
      <c r="R5" s="3">
        <f>0.5*VEHICLE!C$20*VEHICLE!C$28*1.2*((M5)^2)</f>
        <v>1.0662180176469909</v>
      </c>
      <c r="S5" s="3">
        <f>VEHICLE!C$47*9.81*SIN(RADIANS(H5))</f>
        <v>337.24158193588875</v>
      </c>
      <c r="T5" s="3">
        <f>SUM(Q5:S5)+O5</f>
        <v>900.66524874631</v>
      </c>
      <c r="U5" s="3">
        <f>ABS(((+T5)*(+M5))/1000)</f>
        <v>1.4836390927197198</v>
      </c>
      <c r="V5" s="3">
        <f>((VEHICLE!C$12*1000)-U5*1000)/1000</f>
        <v>11.939179699226589</v>
      </c>
      <c r="W5" s="3">
        <f t="shared" ref="W5:W68" si="1">U5</f>
        <v>1.4836390927197198</v>
      </c>
      <c r="X5" s="3">
        <f>ABS((W5*1000)/((2*PI()*K5)/60))</f>
        <v>9.44513981482873</v>
      </c>
      <c r="Y5" s="3">
        <f>ROUNDUP(X5,0)</f>
        <v>10</v>
      </c>
      <c r="Z5" s="3">
        <f>T5</f>
        <v>900.66524874631</v>
      </c>
      <c r="AA5" s="3">
        <f>SUM(Z$4:Z5)</f>
        <v>900.66524874631</v>
      </c>
      <c r="AB5" s="3">
        <f>INDEX(BSFC!D$5:AD$27,MATCH('DUTY CYCLE'!Y5,BSFC!C$5:C$27,0),MATCH('DUTY CYCLE'!K5,BSFC!D$28:AD$28,0))</f>
        <v>651.7179133599999</v>
      </c>
      <c r="AC5" s="3">
        <f>U5*AB5/3600</f>
        <v>0.26858727046850533</v>
      </c>
      <c r="AD5" s="3">
        <f>AC5*(3.09*1000)</f>
        <v>829.93466574768149</v>
      </c>
      <c r="AE5" s="3">
        <f>0.5*VEHICLE!C$47*('DUTY CYCLE'!M5^2)/1000</f>
        <v>0.76972479640403457</v>
      </c>
      <c r="AF5" s="3">
        <f t="shared" ref="AF5:AF68" si="2">Z5+AE5</f>
        <v>901.43497354271403</v>
      </c>
      <c r="AI5" s="1">
        <v>3</v>
      </c>
      <c r="AJ5" s="3">
        <v>1250</v>
      </c>
      <c r="AK5" s="1">
        <v>21</v>
      </c>
    </row>
    <row r="6" spans="2:37" ht="17" x14ac:dyDescent="0.2">
      <c r="B6" s="3">
        <v>2</v>
      </c>
      <c r="C6" s="94"/>
      <c r="D6" s="59" t="s">
        <v>113</v>
      </c>
      <c r="E6" s="3" t="str">
        <f t="shared" si="0"/>
        <v>UPHILL</v>
      </c>
      <c r="F6" s="60">
        <v>5.3</v>
      </c>
      <c r="G6" s="60">
        <f t="shared" ref="G6:G69" si="3">F6-F5</f>
        <v>0.20000000000000018</v>
      </c>
      <c r="H6" s="3">
        <f t="shared" ref="H6:H69" si="4">DEGREES(ATAN(G6/J6))</f>
        <v>6.9225688088250692</v>
      </c>
      <c r="I6" s="3">
        <f>SUM(M$4:M6)</f>
        <v>4.118175689538611</v>
      </c>
      <c r="J6" s="3">
        <f t="shared" ref="J6:J69" si="5">I6-I5</f>
        <v>1.6472702758154445</v>
      </c>
      <c r="K6" s="3">
        <v>1500</v>
      </c>
      <c r="L6" s="3">
        <v>1</v>
      </c>
      <c r="M6" s="3">
        <f>VLOOKUP(K6,VEHICLE!I$30:L$54,MATCH(L6,VEHICLE!I$30:L$30,0),0)</f>
        <v>1.6472702758154443</v>
      </c>
      <c r="N6" s="3">
        <f t="shared" ref="N6:N69" si="6">M6-M5</f>
        <v>0</v>
      </c>
      <c r="O6" s="3">
        <f>IF(L6=1,VEHICLE!C$68*'DUTY CYCLE'!N6,IF(L6=2,VEHICLE!C$69*'DUTY CYCLE'!N6,IF('DUTY CYCLE'!L6=3,VEHICLE!C$70*'DUTY CYCLE'!N6)))</f>
        <v>0</v>
      </c>
      <c r="P6" s="37">
        <v>1.2999999999999999E-2</v>
      </c>
      <c r="Q6" s="3">
        <f>P6*VEHICLE!C$47*9.81</f>
        <v>72.351594900000009</v>
      </c>
      <c r="R6" s="3">
        <f>0.5*VEHICLE!C$20*VEHICLE!C$28*1.2*((M6)^2)</f>
        <v>1.0662180176469909</v>
      </c>
      <c r="S6" s="3">
        <f>VEHICLE!C$47*9.81*SIN(RADIANS(H6))</f>
        <v>670.79877731323813</v>
      </c>
      <c r="T6" s="3">
        <f t="shared" ref="T6:T69" si="7">SUM(Q6:S6)+O6</f>
        <v>744.21659023088512</v>
      </c>
      <c r="U6" s="3">
        <f t="shared" ref="U6:U69" si="8">ABS(((+T6)*(+M6))/1000)</f>
        <v>1.2259258678560596</v>
      </c>
      <c r="V6" s="3">
        <f>((VEHICLE!C$12*1000)-U6*1000)/1000</f>
        <v>12.19689292409025</v>
      </c>
      <c r="W6" s="3">
        <f t="shared" si="1"/>
        <v>1.2259258678560596</v>
      </c>
      <c r="X6" s="3">
        <f>ABS((W6*1000)/((2*PI()*K6)/60))</f>
        <v>7.8044864693405422</v>
      </c>
      <c r="Y6" s="3">
        <f t="shared" ref="Y6:Y69" si="9">ROUNDUP(X6,0)</f>
        <v>8</v>
      </c>
      <c r="Z6" s="3">
        <f t="shared" ref="Z6:Z69" si="10">T6</f>
        <v>744.21659023088512</v>
      </c>
      <c r="AA6" s="3">
        <f>SUM(Z$4:Z6)</f>
        <v>1644.881838977195</v>
      </c>
      <c r="AB6" s="3">
        <f>INDEX(BSFC!D$5:AD$27,MATCH('DUTY CYCLE'!Y6,BSFC!C$5:C$27,0),MATCH('DUTY CYCLE'!K6,BSFC!D$28:AD$28,0))</f>
        <v>680.11170087999994</v>
      </c>
      <c r="AC6" s="3">
        <f t="shared" ref="AC6:AC69" si="11">U6*AB6/3600</f>
        <v>0.23160181309454853</v>
      </c>
      <c r="AD6" s="3">
        <f t="shared" ref="AD6:AD69" si="12">AC6*(3.09*1000)</f>
        <v>715.64960246215492</v>
      </c>
      <c r="AE6" s="3">
        <f>0.5*VEHICLE!C$47*('DUTY CYCLE'!M6^2)/1000</f>
        <v>0.76972479640403457</v>
      </c>
      <c r="AF6" s="3">
        <f t="shared" si="2"/>
        <v>744.98631502728915</v>
      </c>
      <c r="AJ6" s="3">
        <v>1500</v>
      </c>
    </row>
    <row r="7" spans="2:37" ht="17" x14ac:dyDescent="0.2">
      <c r="B7" s="3">
        <v>3</v>
      </c>
      <c r="C7" s="94"/>
      <c r="D7" s="59" t="s">
        <v>113</v>
      </c>
      <c r="E7" s="3" t="str">
        <f t="shared" si="0"/>
        <v>UPHILL</v>
      </c>
      <c r="F7" s="60">
        <v>5.6</v>
      </c>
      <c r="G7" s="60">
        <f t="shared" si="3"/>
        <v>0.29999999999999982</v>
      </c>
      <c r="H7" s="3">
        <f t="shared" si="4"/>
        <v>7.7778764532846667</v>
      </c>
      <c r="I7" s="3">
        <f>SUM(M$4:M7)</f>
        <v>6.3145360572925373</v>
      </c>
      <c r="J7" s="3">
        <f t="shared" si="5"/>
        <v>2.1963603677539263</v>
      </c>
      <c r="K7" s="3">
        <v>2000</v>
      </c>
      <c r="L7" s="3">
        <v>1</v>
      </c>
      <c r="M7" s="3">
        <f>VLOOKUP(K7,VEHICLE!I$30:L$54,MATCH(L7,VEHICLE!I$30:L$30,0),0)</f>
        <v>2.1963603677539258</v>
      </c>
      <c r="N7" s="3">
        <f t="shared" si="6"/>
        <v>0.54909009193848157</v>
      </c>
      <c r="O7" s="3">
        <f>IF(L7=1,VEHICLE!C$68*'DUTY CYCLE'!N7,IF(L7=2,VEHICLE!C$69*'DUTY CYCLE'!N7,IF('DUTY CYCLE'!L7=3,VEHICLE!C$70*'DUTY CYCLE'!N7)))</f>
        <v>326.67056926184961</v>
      </c>
      <c r="P7" s="37">
        <v>1.2999999999999999E-2</v>
      </c>
      <c r="Q7" s="3">
        <f>P7*VEHICLE!C$47*9.81</f>
        <v>72.351594900000009</v>
      </c>
      <c r="R7" s="3">
        <f>0.5*VEHICLE!C$20*VEHICLE!C$28*1.2*((M7)^2)</f>
        <v>1.8954986980390949</v>
      </c>
      <c r="S7" s="3">
        <f>VEHICLE!C$47*9.81*SIN(RADIANS(H7))</f>
        <v>753.196833484884</v>
      </c>
      <c r="T7" s="3">
        <f t="shared" si="7"/>
        <v>1154.1144963447728</v>
      </c>
      <c r="U7" s="3">
        <f t="shared" si="8"/>
        <v>2.5348513396219419</v>
      </c>
      <c r="V7" s="3">
        <f>((VEHICLE!C$12*1000)-U7*1000)/1000</f>
        <v>10.887967452324366</v>
      </c>
      <c r="W7" s="3">
        <f t="shared" si="1"/>
        <v>2.5348513396219419</v>
      </c>
      <c r="X7" s="3">
        <f t="shared" ref="X7:X69" si="13">ABS((W7*1000)/((2*PI()*K7)/60))</f>
        <v>12.103023621118345</v>
      </c>
      <c r="Y7" s="3">
        <f t="shared" si="9"/>
        <v>13</v>
      </c>
      <c r="Z7" s="3">
        <f t="shared" si="10"/>
        <v>1154.1144963447728</v>
      </c>
      <c r="AA7" s="3">
        <f>SUM(Z$4:Z7)</f>
        <v>2798.9963353219678</v>
      </c>
      <c r="AB7" s="3">
        <f>INDEX(BSFC!D$5:AD$27,MATCH('DUTY CYCLE'!Y7,BSFC!C$5:C$27,0),MATCH('DUTY CYCLE'!K7,BSFC!D$28:AD$28,0))</f>
        <v>625.37672631999999</v>
      </c>
      <c r="AC7" s="3">
        <f t="shared" si="11"/>
        <v>0.44034362013351014</v>
      </c>
      <c r="AD7" s="3">
        <f t="shared" si="12"/>
        <v>1360.6617862125463</v>
      </c>
      <c r="AE7" s="3">
        <f>0.5*VEHICLE!C$47*('DUTY CYCLE'!M7^2)/1000</f>
        <v>1.368399638051617</v>
      </c>
      <c r="AF7" s="3">
        <f t="shared" si="2"/>
        <v>1155.4828959828244</v>
      </c>
      <c r="AJ7" s="3">
        <v>1750</v>
      </c>
    </row>
    <row r="8" spans="2:37" ht="17" x14ac:dyDescent="0.2">
      <c r="B8" s="3">
        <v>4</v>
      </c>
      <c r="C8" s="94"/>
      <c r="D8" s="59" t="s">
        <v>113</v>
      </c>
      <c r="E8" s="3" t="str">
        <f t="shared" si="0"/>
        <v>UPHILL</v>
      </c>
      <c r="F8" s="60">
        <v>6</v>
      </c>
      <c r="G8" s="60">
        <f t="shared" si="3"/>
        <v>0.40000000000000036</v>
      </c>
      <c r="H8" s="3">
        <f t="shared" si="4"/>
        <v>8.2894165538396827</v>
      </c>
      <c r="I8" s="3">
        <f>SUM(M$4:M8)</f>
        <v>9.0599865169849441</v>
      </c>
      <c r="J8" s="3">
        <f t="shared" si="5"/>
        <v>2.7454504596924068</v>
      </c>
      <c r="K8" s="3">
        <v>2500</v>
      </c>
      <c r="L8" s="3">
        <v>1</v>
      </c>
      <c r="M8" s="3">
        <f>VLOOKUP(K8,VEHICLE!I$30:L$54,MATCH(L8,VEHICLE!I$30:L$30,0),0)</f>
        <v>2.7454504596924072</v>
      </c>
      <c r="N8" s="3">
        <f t="shared" si="6"/>
        <v>0.54909009193848135</v>
      </c>
      <c r="O8" s="3">
        <f>IF(L8=1,VEHICLE!C$68*'DUTY CYCLE'!N8,IF(L8=2,VEHICLE!C$69*'DUTY CYCLE'!N8,IF('DUTY CYCLE'!L8=3,VEHICLE!C$70*'DUTY CYCLE'!N8)))</f>
        <v>326.67056926184949</v>
      </c>
      <c r="P8" s="37">
        <v>1.2999999999999999E-2</v>
      </c>
      <c r="Q8" s="3">
        <f>P8*VEHICLE!C$47*9.81</f>
        <v>72.351594900000009</v>
      </c>
      <c r="R8" s="3">
        <f>0.5*VEHICLE!C$20*VEHICLE!C$28*1.2*((M8)^2)</f>
        <v>2.961716715686086</v>
      </c>
      <c r="S8" s="3">
        <f>VEHICLE!C$47*9.81*SIN(RADIANS(H8))</f>
        <v>802.39820651446837</v>
      </c>
      <c r="T8" s="3">
        <f t="shared" si="7"/>
        <v>1204.382087392004</v>
      </c>
      <c r="U8" s="3">
        <f t="shared" si="8"/>
        <v>3.3065713554756786</v>
      </c>
      <c r="V8" s="3">
        <f>((VEHICLE!C$12*1000)-U8*1000)/1000</f>
        <v>10.11624743647063</v>
      </c>
      <c r="W8" s="3">
        <f t="shared" si="1"/>
        <v>3.3065713554756786</v>
      </c>
      <c r="X8" s="3">
        <f t="shared" si="13"/>
        <v>12.630172221840548</v>
      </c>
      <c r="Y8" s="3">
        <f t="shared" si="9"/>
        <v>13</v>
      </c>
      <c r="Z8" s="3">
        <f t="shared" si="10"/>
        <v>1204.382087392004</v>
      </c>
      <c r="AA8" s="3">
        <f>SUM(Z$4:Z8)</f>
        <v>4003.3784227139718</v>
      </c>
      <c r="AB8" s="3">
        <f>INDEX(BSFC!D$5:AD$27,MATCH('DUTY CYCLE'!Y8,BSFC!C$5:C$27,0),MATCH('DUTY CYCLE'!K8,BSFC!D$28:AD$28,0))</f>
        <v>584.40291844000001</v>
      </c>
      <c r="AC8" s="3">
        <f t="shared" si="11"/>
        <v>0.53676943060280369</v>
      </c>
      <c r="AD8" s="3">
        <f t="shared" si="12"/>
        <v>1658.6175405626634</v>
      </c>
      <c r="AE8" s="3">
        <f>0.5*VEHICLE!C$47*('DUTY CYCLE'!M8^2)/1000</f>
        <v>2.1381244344556518</v>
      </c>
      <c r="AF8" s="3">
        <f t="shared" si="2"/>
        <v>1206.5202118264597</v>
      </c>
      <c r="AJ8" s="3">
        <v>2000</v>
      </c>
    </row>
    <row r="9" spans="2:37" ht="17" x14ac:dyDescent="0.2">
      <c r="B9" s="3">
        <v>5</v>
      </c>
      <c r="C9" s="94"/>
      <c r="D9" s="59" t="s">
        <v>113</v>
      </c>
      <c r="E9" s="3" t="str">
        <f t="shared" si="0"/>
        <v>UPHILL</v>
      </c>
      <c r="F9" s="60">
        <v>6.5</v>
      </c>
      <c r="G9" s="60">
        <f t="shared" si="3"/>
        <v>0.5</v>
      </c>
      <c r="H9" s="3">
        <f t="shared" si="4"/>
        <v>7.9747748652050916</v>
      </c>
      <c r="I9" s="3">
        <f>SUM(M$4:M9)</f>
        <v>12.629072114585073</v>
      </c>
      <c r="J9" s="3">
        <f t="shared" si="5"/>
        <v>3.5690855976001288</v>
      </c>
      <c r="K9" s="3">
        <v>3250</v>
      </c>
      <c r="L9" s="3">
        <v>1</v>
      </c>
      <c r="M9" s="3">
        <f>VLOOKUP(K9,VEHICLE!I$30:L$54,MATCH(L9,VEHICLE!I$30:L$30,0),0)</f>
        <v>3.5690855976001288</v>
      </c>
      <c r="N9" s="3">
        <f t="shared" si="6"/>
        <v>0.82363513790772158</v>
      </c>
      <c r="O9" s="3">
        <f>IF(L9=1,VEHICLE!C$68*'DUTY CYCLE'!N9,IF(L9=2,VEHICLE!C$69*'DUTY CYCLE'!N9,IF('DUTY CYCLE'!L9=3,VEHICLE!C$70*'DUTY CYCLE'!N9)))</f>
        <v>490.00585389277393</v>
      </c>
      <c r="P9" s="37">
        <v>1.2999999999999999E-2</v>
      </c>
      <c r="Q9" s="3">
        <f>P9*VEHICLE!C$47*9.81</f>
        <v>72.351594900000009</v>
      </c>
      <c r="R9" s="3">
        <f>0.5*VEHICLE!C$20*VEHICLE!C$28*1.2*((M9)^2)</f>
        <v>5.0053012495094835</v>
      </c>
      <c r="S9" s="3">
        <f>VEHICLE!C$47*9.81*SIN(RADIANS(H9))</f>
        <v>772.14240085631798</v>
      </c>
      <c r="T9" s="3">
        <f t="shared" si="7"/>
        <v>1339.5051508986014</v>
      </c>
      <c r="U9" s="3">
        <f t="shared" si="8"/>
        <v>4.7808085419833848</v>
      </c>
      <c r="V9" s="3">
        <f>((VEHICLE!C$12*1000)-U9*1000)/1000</f>
        <v>8.6420102499629241</v>
      </c>
      <c r="W9" s="3">
        <f t="shared" si="1"/>
        <v>4.7808085419833848</v>
      </c>
      <c r="X9" s="3">
        <f t="shared" si="13"/>
        <v>14.047187287986697</v>
      </c>
      <c r="Y9" s="3">
        <f t="shared" si="9"/>
        <v>15</v>
      </c>
      <c r="Z9" s="3">
        <f t="shared" si="10"/>
        <v>1339.5051508986014</v>
      </c>
      <c r="AA9" s="3">
        <f>SUM(Z$4:Z9)</f>
        <v>5342.8835736125729</v>
      </c>
      <c r="AB9" s="3">
        <f>INDEX(BSFC!D$5:AD$27,MATCH('DUTY CYCLE'!Y9,BSFC!C$5:C$27,0),MATCH('DUTY CYCLE'!K9,BSFC!D$28:AD$28,0))</f>
        <v>543.25210085759988</v>
      </c>
      <c r="AC9" s="3">
        <f t="shared" si="11"/>
        <v>0.72144007895289797</v>
      </c>
      <c r="AD9" s="3">
        <f t="shared" si="12"/>
        <v>2229.2498439644546</v>
      </c>
      <c r="AE9" s="3">
        <f>0.5*VEHICLE!C$47*('DUTY CYCLE'!M9^2)/1000</f>
        <v>3.6134302942300502</v>
      </c>
      <c r="AF9" s="3">
        <f t="shared" si="2"/>
        <v>1343.1185811928315</v>
      </c>
      <c r="AJ9" s="3">
        <v>2250</v>
      </c>
    </row>
    <row r="10" spans="2:37" ht="17" x14ac:dyDescent="0.2">
      <c r="B10" s="3">
        <v>6</v>
      </c>
      <c r="C10" s="94"/>
      <c r="D10" s="59" t="s">
        <v>113</v>
      </c>
      <c r="E10" s="3" t="str">
        <f t="shared" si="0"/>
        <v>UPHILL</v>
      </c>
      <c r="F10" s="60">
        <v>7.1</v>
      </c>
      <c r="G10" s="60">
        <f t="shared" si="3"/>
        <v>0.59999999999999964</v>
      </c>
      <c r="H10" s="3">
        <f t="shared" si="4"/>
        <v>8.289416553839672</v>
      </c>
      <c r="I10" s="3">
        <f>SUM(M$4:M10)</f>
        <v>16.747247804123681</v>
      </c>
      <c r="J10" s="3">
        <f t="shared" si="5"/>
        <v>4.1181756895386084</v>
      </c>
      <c r="K10" s="3">
        <v>3750</v>
      </c>
      <c r="L10" s="3">
        <v>1</v>
      </c>
      <c r="M10" s="3">
        <f>VLOOKUP(K10,VEHICLE!I$30:L$54,MATCH(L10,VEHICLE!I$30:L$30,0),0)</f>
        <v>4.1181756895386101</v>
      </c>
      <c r="N10" s="3">
        <f t="shared" si="6"/>
        <v>0.54909009193848135</v>
      </c>
      <c r="O10" s="3">
        <f>IF(L10=1,VEHICLE!C$68*'DUTY CYCLE'!N10,IF(L10=2,VEHICLE!C$69*'DUTY CYCLE'!N10,IF('DUTY CYCLE'!L10=3,VEHICLE!C$70*'DUTY CYCLE'!N10)))</f>
        <v>326.67056926184949</v>
      </c>
      <c r="P10" s="37">
        <v>1.2999999999999999E-2</v>
      </c>
      <c r="Q10" s="3">
        <f>P10*VEHICLE!C$47*9.81</f>
        <v>72.351594900000009</v>
      </c>
      <c r="R10" s="3">
        <f>0.5*VEHICLE!C$20*VEHICLE!C$28*1.2*((M10)^2)</f>
        <v>6.6638626102936911</v>
      </c>
      <c r="S10" s="3">
        <f>VEHICLE!C$47*9.81*SIN(RADIANS(H10))</f>
        <v>802.39820651446746</v>
      </c>
      <c r="T10" s="3">
        <f t="shared" si="7"/>
        <v>1208.0842332866107</v>
      </c>
      <c r="U10" s="3">
        <f t="shared" si="8"/>
        <v>4.9751031204358114</v>
      </c>
      <c r="V10" s="3">
        <f>((VEHICLE!C$12*1000)-U10*1000)/1000</f>
        <v>8.4477156715104975</v>
      </c>
      <c r="W10" s="3">
        <f t="shared" si="1"/>
        <v>4.9751031204358114</v>
      </c>
      <c r="X10" s="3">
        <f t="shared" si="13"/>
        <v>12.668996064148359</v>
      </c>
      <c r="Y10" s="3">
        <f t="shared" si="9"/>
        <v>13</v>
      </c>
      <c r="Z10" s="3">
        <f t="shared" si="10"/>
        <v>1208.0842332866107</v>
      </c>
      <c r="AA10" s="3">
        <f>SUM(Z$4:Z10)</f>
        <v>6550.9678068991834</v>
      </c>
      <c r="AB10" s="3">
        <f>INDEX(BSFC!D$5:AD$27,MATCH('DUTY CYCLE'!Y10,BSFC!C$5:C$27,0),MATCH('DUTY CYCLE'!K10,BSFC!D$28:AD$28,0))</f>
        <v>505.48915017000007</v>
      </c>
      <c r="AC10" s="3">
        <f t="shared" si="11"/>
        <v>0.69857240232144835</v>
      </c>
      <c r="AD10" s="3">
        <f t="shared" si="12"/>
        <v>2158.5887231732754</v>
      </c>
      <c r="AE10" s="3">
        <f>0.5*VEHICLE!C$47*('DUTY CYCLE'!M10^2)/1000</f>
        <v>4.8107799775252156</v>
      </c>
      <c r="AF10" s="3">
        <f t="shared" si="2"/>
        <v>1212.895013264136</v>
      </c>
      <c r="AJ10" s="3">
        <v>2500</v>
      </c>
    </row>
    <row r="11" spans="2:37" ht="17" x14ac:dyDescent="0.2">
      <c r="B11" s="3">
        <v>7</v>
      </c>
      <c r="C11" s="94"/>
      <c r="D11" s="59" t="s">
        <v>113</v>
      </c>
      <c r="E11" s="3" t="str">
        <f t="shared" si="0"/>
        <v>UPHILL</v>
      </c>
      <c r="F11" s="60">
        <v>7.45</v>
      </c>
      <c r="G11" s="60">
        <f t="shared" si="3"/>
        <v>0.35000000000000053</v>
      </c>
      <c r="H11" s="3">
        <f t="shared" si="4"/>
        <v>4.1417441584681107</v>
      </c>
      <c r="I11" s="3">
        <f>SUM(M$4:M11)</f>
        <v>21.580617641626048</v>
      </c>
      <c r="J11" s="3">
        <f t="shared" si="5"/>
        <v>4.8333698375023673</v>
      </c>
      <c r="K11" s="3">
        <v>3000</v>
      </c>
      <c r="L11" s="3">
        <v>2</v>
      </c>
      <c r="M11" s="3">
        <f>VLOOKUP(K11,VEHICLE!I$30:L$54,MATCH(L11,VEHICLE!I$30:L$30,0),0)</f>
        <v>4.8333698375023681</v>
      </c>
      <c r="N11" s="3">
        <f t="shared" si="6"/>
        <v>0.71519414796375802</v>
      </c>
      <c r="O11" s="3">
        <f>IF(L11=1,VEHICLE!C$68*'DUTY CYCLE'!N11,IF(L11=2,VEHICLE!C$69*'DUTY CYCLE'!N11,IF('DUTY CYCLE'!L11=3,VEHICLE!C$70*'DUTY CYCLE'!N11)))</f>
        <v>420.37820211622284</v>
      </c>
      <c r="P11" s="37">
        <v>1.2999999999999999E-2</v>
      </c>
      <c r="Q11" s="3">
        <f>P11*VEHICLE!C$47*9.81</f>
        <v>72.351594900000009</v>
      </c>
      <c r="R11" s="3">
        <f>0.5*VEHICLE!C$20*VEHICLE!C$28*1.2*((M11)^2)</f>
        <v>9.179443405513485</v>
      </c>
      <c r="S11" s="3">
        <f>VEHICLE!C$47*9.81*SIN(RADIANS(H11))</f>
        <v>401.96394348027127</v>
      </c>
      <c r="T11" s="3">
        <f t="shared" si="7"/>
        <v>903.87318390200767</v>
      </c>
      <c r="U11" s="3">
        <f t="shared" si="8"/>
        <v>4.368753383999195</v>
      </c>
      <c r="V11" s="3">
        <f>((VEHICLE!C$12*1000)-U11*1000)/1000</f>
        <v>9.0540654079471139</v>
      </c>
      <c r="W11" s="3">
        <f t="shared" si="1"/>
        <v>4.368753383999195</v>
      </c>
      <c r="X11" s="3">
        <f t="shared" si="13"/>
        <v>13.90617392425834</v>
      </c>
      <c r="Y11" s="3">
        <f t="shared" si="9"/>
        <v>14</v>
      </c>
      <c r="Z11" s="3">
        <f t="shared" si="10"/>
        <v>903.87318390200767</v>
      </c>
      <c r="AA11" s="3">
        <f>SUM(Z$4:Z11)</f>
        <v>7454.8409908011909</v>
      </c>
      <c r="AB11" s="3">
        <f>INDEX(BSFC!D$5:AD$27,MATCH('DUTY CYCLE'!Y11,BSFC!C$5:C$27,0),MATCH('DUTY CYCLE'!K11,BSFC!D$28:AD$28,0))</f>
        <v>554.46638785599998</v>
      </c>
      <c r="AC11" s="3">
        <f t="shared" si="11"/>
        <v>0.67286858562769736</v>
      </c>
      <c r="AD11" s="3">
        <f t="shared" si="12"/>
        <v>2079.1639295895848</v>
      </c>
      <c r="AE11" s="3">
        <f>0.5*VEHICLE!C$47*('DUTY CYCLE'!M11^2)/1000</f>
        <v>6.6268296816107233</v>
      </c>
      <c r="AF11" s="3">
        <f t="shared" si="2"/>
        <v>910.5000135836184</v>
      </c>
      <c r="AJ11" s="3">
        <v>2750</v>
      </c>
    </row>
    <row r="12" spans="2:37" ht="17" x14ac:dyDescent="0.2">
      <c r="B12" s="3">
        <v>8</v>
      </c>
      <c r="C12" s="94"/>
      <c r="D12" s="59" t="s">
        <v>113</v>
      </c>
      <c r="E12" s="3" t="str">
        <f t="shared" si="0"/>
        <v>UPHILL</v>
      </c>
      <c r="F12" s="60">
        <v>7.8</v>
      </c>
      <c r="G12" s="60">
        <f t="shared" si="3"/>
        <v>0.34999999999999964</v>
      </c>
      <c r="H12" s="3">
        <f t="shared" si="4"/>
        <v>3.5517065989143615</v>
      </c>
      <c r="I12" s="3">
        <f>SUM(M$4:M12)</f>
        <v>27.219549118712145</v>
      </c>
      <c r="J12" s="3">
        <f t="shared" si="5"/>
        <v>5.6389314770860963</v>
      </c>
      <c r="K12" s="3">
        <v>3500</v>
      </c>
      <c r="L12" s="3">
        <v>2</v>
      </c>
      <c r="M12" s="3">
        <f>VLOOKUP(K12,VEHICLE!I$30:L$54,MATCH(L12,VEHICLE!I$30:L$30,0),0)</f>
        <v>5.6389314770860981</v>
      </c>
      <c r="N12" s="3">
        <f t="shared" si="6"/>
        <v>0.80556163958372995</v>
      </c>
      <c r="O12" s="3">
        <f>IF(L12=1,VEHICLE!C$68*'DUTY CYCLE'!N12,IF(L12=2,VEHICLE!C$69*'DUTY CYCLE'!N12,IF('DUTY CYCLE'!L12=3,VEHICLE!C$70*'DUTY CYCLE'!N12)))</f>
        <v>473.49458144498897</v>
      </c>
      <c r="P12" s="37">
        <v>1.2999999999999999E-2</v>
      </c>
      <c r="Q12" s="3">
        <f>P12*VEHICLE!C$47*9.81</f>
        <v>72.351594900000009</v>
      </c>
      <c r="R12" s="3">
        <f>0.5*VEHICLE!C$20*VEHICLE!C$28*1.2*((M12)^2)</f>
        <v>12.494242413060027</v>
      </c>
      <c r="S12" s="3">
        <f>VEHICLE!C$47*9.81*SIN(RADIANS(H12))</f>
        <v>344.77917951595242</v>
      </c>
      <c r="T12" s="3">
        <f t="shared" si="7"/>
        <v>903.11959827400142</v>
      </c>
      <c r="U12" s="3">
        <f t="shared" si="8"/>
        <v>5.0926295302806182</v>
      </c>
      <c r="V12" s="3">
        <f>((VEHICLE!C$12*1000)-U12*1000)/1000</f>
        <v>8.3301892616656907</v>
      </c>
      <c r="W12" s="3">
        <f t="shared" si="1"/>
        <v>5.0926295302806182</v>
      </c>
      <c r="X12" s="3">
        <f t="shared" si="13"/>
        <v>13.894579938512873</v>
      </c>
      <c r="Y12" s="3">
        <f t="shared" si="9"/>
        <v>14</v>
      </c>
      <c r="Z12" s="3">
        <f t="shared" si="10"/>
        <v>903.11959827400142</v>
      </c>
      <c r="AA12" s="3">
        <f>SUM(Z$4:Z12)</f>
        <v>8357.9605890751918</v>
      </c>
      <c r="AB12" s="3">
        <f>INDEX(BSFC!D$5:AD$27,MATCH('DUTY CYCLE'!Y12,BSFC!C$5:C$27,0),MATCH('DUTY CYCLE'!K12,BSFC!D$28:AD$28,0))</f>
        <v>523.69058706879991</v>
      </c>
      <c r="AC12" s="3">
        <f t="shared" si="11"/>
        <v>0.74082281901015667</v>
      </c>
      <c r="AD12" s="3">
        <f t="shared" si="12"/>
        <v>2289.1425107413843</v>
      </c>
      <c r="AE12" s="3">
        <f>0.5*VEHICLE!C$47*('DUTY CYCLE'!M12^2)/1000</f>
        <v>9.0198515110812654</v>
      </c>
      <c r="AF12" s="3">
        <f t="shared" si="2"/>
        <v>912.13944978508266</v>
      </c>
      <c r="AJ12" s="3">
        <v>3000</v>
      </c>
    </row>
    <row r="13" spans="2:37" ht="17" x14ac:dyDescent="0.2">
      <c r="B13" s="3">
        <v>9</v>
      </c>
      <c r="C13" s="94"/>
      <c r="D13" s="59" t="s">
        <v>113</v>
      </c>
      <c r="E13" s="3" t="str">
        <f t="shared" si="0"/>
        <v>UPHILL</v>
      </c>
      <c r="F13" s="60">
        <v>8.15</v>
      </c>
      <c r="G13" s="60">
        <f t="shared" si="3"/>
        <v>0.35000000000000053</v>
      </c>
      <c r="H13" s="3">
        <f t="shared" si="4"/>
        <v>2.9261404294414057</v>
      </c>
      <c r="I13" s="3">
        <f>SUM(M$4:M13)</f>
        <v>34.066823055173835</v>
      </c>
      <c r="J13" s="3">
        <f t="shared" si="5"/>
        <v>6.8472739364616899</v>
      </c>
      <c r="K13" s="3">
        <v>4250</v>
      </c>
      <c r="L13" s="3">
        <v>2</v>
      </c>
      <c r="M13" s="3">
        <f>VLOOKUP(K13,VEHICLE!I$30:L$54,MATCH(L13,VEHICLE!I$30:L$30,0),0)</f>
        <v>6.8472739364616908</v>
      </c>
      <c r="N13" s="3">
        <f t="shared" si="6"/>
        <v>1.2083424593755927</v>
      </c>
      <c r="O13" s="3">
        <f>IF(L13=1,VEHICLE!C$68*'DUTY CYCLE'!N13,IF(L13=2,VEHICLE!C$69*'DUTY CYCLE'!N13,IF('DUTY CYCLE'!L13=3,VEHICLE!C$70*'DUTY CYCLE'!N13)))</f>
        <v>710.24187216748214</v>
      </c>
      <c r="P13" s="37">
        <v>1.2999999999999999E-2</v>
      </c>
      <c r="Q13" s="3">
        <f>P13*VEHICLE!C$47*9.81</f>
        <v>72.351594900000009</v>
      </c>
      <c r="R13" s="3">
        <f>0.5*VEHICLE!C$20*VEHICLE!C$28*1.2*((M13)^2)</f>
        <v>18.422632945787491</v>
      </c>
      <c r="S13" s="3">
        <f>VEHICLE!C$47*9.81*SIN(RADIANS(H13))</f>
        <v>284.11128405378514</v>
      </c>
      <c r="T13" s="3">
        <f t="shared" si="7"/>
        <v>1085.1273840670547</v>
      </c>
      <c r="U13" s="3">
        <f t="shared" si="8"/>
        <v>7.4301644546631991</v>
      </c>
      <c r="V13" s="3">
        <f>((VEHICLE!C$12*1000)-U13*1000)/1000</f>
        <v>5.9926543372831098</v>
      </c>
      <c r="W13" s="3">
        <f t="shared" si="1"/>
        <v>7.4301644546631991</v>
      </c>
      <c r="X13" s="3">
        <f t="shared" si="13"/>
        <v>16.694786836875458</v>
      </c>
      <c r="Y13" s="3">
        <f t="shared" si="9"/>
        <v>17</v>
      </c>
      <c r="Z13" s="3">
        <f t="shared" si="10"/>
        <v>1085.1273840670547</v>
      </c>
      <c r="AA13" s="3">
        <f>SUM(Z$4:Z13)</f>
        <v>9443.0879731422465</v>
      </c>
      <c r="AB13" s="3">
        <f>INDEX(BSFC!D$5:AD$27,MATCH('DUTY CYCLE'!Y13,BSFC!C$5:C$27,0),MATCH('DUTY CYCLE'!K13,BSFC!D$28:AD$28,0))</f>
        <v>505.64047879999998</v>
      </c>
      <c r="AC13" s="3">
        <f t="shared" si="11"/>
        <v>1.0436088645607335</v>
      </c>
      <c r="AD13" s="3">
        <f t="shared" si="12"/>
        <v>3224.7513914926667</v>
      </c>
      <c r="AE13" s="3">
        <f>0.5*VEHICLE!C$47*('DUTY CYCLE'!M13^2)/1000</f>
        <v>13.299679013788197</v>
      </c>
      <c r="AF13" s="3">
        <f t="shared" si="2"/>
        <v>1098.4270630808428</v>
      </c>
      <c r="AJ13" s="3">
        <v>3250</v>
      </c>
    </row>
    <row r="14" spans="2:37" ht="17" x14ac:dyDescent="0.2">
      <c r="B14" s="3">
        <v>10</v>
      </c>
      <c r="C14" s="94"/>
      <c r="D14" s="59" t="s">
        <v>113</v>
      </c>
      <c r="E14" s="3" t="str">
        <f t="shared" si="0"/>
        <v>UPHILL</v>
      </c>
      <c r="F14" s="60">
        <v>8.5</v>
      </c>
      <c r="G14" s="60">
        <f t="shared" si="3"/>
        <v>0.34999999999999964</v>
      </c>
      <c r="H14" s="3">
        <f t="shared" si="4"/>
        <v>2.618579535208597</v>
      </c>
      <c r="I14" s="3">
        <f>SUM(M$4:M14)</f>
        <v>41.719658631219254</v>
      </c>
      <c r="J14" s="3">
        <f t="shared" si="5"/>
        <v>7.652835576045419</v>
      </c>
      <c r="K14" s="3">
        <v>4750</v>
      </c>
      <c r="L14" s="3">
        <v>2</v>
      </c>
      <c r="M14" s="3">
        <f>VLOOKUP(K14,VEHICLE!I$30:L$54,MATCH(L14,VEHICLE!I$30:L$30,0),0)</f>
        <v>7.6528355760454181</v>
      </c>
      <c r="N14" s="3">
        <f t="shared" si="6"/>
        <v>0.80556163958372728</v>
      </c>
      <c r="O14" s="3">
        <f>IF(L14=1,VEHICLE!C$68*'DUTY CYCLE'!N14,IF(L14=2,VEHICLE!C$69*'DUTY CYCLE'!N14,IF('DUTY CYCLE'!L14=3,VEHICLE!C$70*'DUTY CYCLE'!N14)))</f>
        <v>473.49458144498738</v>
      </c>
      <c r="P14" s="37">
        <v>1.2999999999999999E-2</v>
      </c>
      <c r="Q14" s="3">
        <f>P14*VEHICLE!C$47*9.81</f>
        <v>72.351594900000009</v>
      </c>
      <c r="R14" s="3">
        <f>0.5*VEHICLE!C$20*VEHICLE!C$28*1.2*((M14)^2)</f>
        <v>23.012354648544232</v>
      </c>
      <c r="S14" s="3">
        <f>VEHICLE!C$47*9.81*SIN(RADIANS(H14))</f>
        <v>254.27092007794445</v>
      </c>
      <c r="T14" s="3">
        <f t="shared" si="7"/>
        <v>823.12945107147607</v>
      </c>
      <c r="U14" s="3">
        <f t="shared" si="8"/>
        <v>6.2992743468505283</v>
      </c>
      <c r="V14" s="3">
        <f>((VEHICLE!C$12*1000)-U14*1000)/1000</f>
        <v>7.1235444450957806</v>
      </c>
      <c r="W14" s="3">
        <f t="shared" si="1"/>
        <v>6.2992743468505283</v>
      </c>
      <c r="X14" s="3">
        <f t="shared" si="13"/>
        <v>12.663924002440826</v>
      </c>
      <c r="Y14" s="3">
        <f t="shared" si="9"/>
        <v>13</v>
      </c>
      <c r="Z14" s="3">
        <f t="shared" si="10"/>
        <v>823.12945107147607</v>
      </c>
      <c r="AA14" s="3">
        <f>SUM(Z$4:Z14)</f>
        <v>10266.217424213723</v>
      </c>
      <c r="AB14" s="3">
        <f>INDEX(BSFC!D$5:AD$27,MATCH('DUTY CYCLE'!Y14,BSFC!C$5:C$27,0),MATCH('DUTY CYCLE'!K14,BSFC!D$28:AD$28,0))</f>
        <v>409.05703272000011</v>
      </c>
      <c r="AC14" s="3">
        <f t="shared" si="11"/>
        <v>0.71576735350330389</v>
      </c>
      <c r="AD14" s="3">
        <f t="shared" si="12"/>
        <v>2211.7211223252089</v>
      </c>
      <c r="AE14" s="3">
        <f>0.5*VEHICLE!C$47*('DUTY CYCLE'!M14^2)/1000</f>
        <v>16.613093854593558</v>
      </c>
      <c r="AF14" s="3">
        <f t="shared" si="2"/>
        <v>839.74254492606963</v>
      </c>
      <c r="AJ14" s="3">
        <v>3500</v>
      </c>
    </row>
    <row r="15" spans="2:37" ht="17" x14ac:dyDescent="0.2">
      <c r="B15" s="3">
        <v>11</v>
      </c>
      <c r="C15" s="94"/>
      <c r="D15" s="59" t="s">
        <v>113</v>
      </c>
      <c r="E15" s="3" t="str">
        <f t="shared" si="0"/>
        <v>DOWNHILL</v>
      </c>
      <c r="F15" s="60">
        <v>8.35</v>
      </c>
      <c r="G15" s="60">
        <f t="shared" si="3"/>
        <v>-0.15000000000000036</v>
      </c>
      <c r="H15" s="3">
        <f t="shared" si="4"/>
        <v>-1.2536709981587857</v>
      </c>
      <c r="I15" s="3">
        <f>SUM(M$4:M15)</f>
        <v>48.573925290246777</v>
      </c>
      <c r="J15" s="3">
        <f t="shared" si="5"/>
        <v>6.8542666590275232</v>
      </c>
      <c r="K15" s="3">
        <v>3250</v>
      </c>
      <c r="L15" s="3">
        <v>3</v>
      </c>
      <c r="M15" s="3">
        <f>VLOOKUP(K15,VEHICLE!I$30:L$54,MATCH(L15,VEHICLE!I$30:L$30,0),0)</f>
        <v>6.8542666590275205</v>
      </c>
      <c r="N15" s="3">
        <f t="shared" si="6"/>
        <v>-0.79856891701789756</v>
      </c>
      <c r="O15" s="3">
        <f>IF(L15=1,VEHICLE!C$68*'DUTY CYCLE'!N15,IF(L15=2,VEHICLE!C$69*'DUTY CYCLE'!N15,IF('DUTY CYCLE'!L15=3,VEHICLE!C$70*'DUTY CYCLE'!N15)))</f>
        <v>-467.3214083504115</v>
      </c>
      <c r="P15" s="37">
        <v>1.2999999999999999E-2</v>
      </c>
      <c r="Q15" s="3">
        <f>P15*VEHICLE!C$47*9.81</f>
        <v>72.351594900000009</v>
      </c>
      <c r="R15" s="3">
        <f>0.5*VEHICLE!C$20*VEHICLE!C$28*1.2*((M15)^2)</f>
        <v>18.460280086162239</v>
      </c>
      <c r="S15" s="3">
        <f>VEHICLE!C$47*9.81*SIN(RADIANS(H15))</f>
        <v>-121.7674044452688</v>
      </c>
      <c r="T15" s="3">
        <f t="shared" si="7"/>
        <v>-498.27693780951802</v>
      </c>
      <c r="U15" s="3">
        <f t="shared" si="8"/>
        <v>3.4153230017901088</v>
      </c>
      <c r="V15" s="3">
        <f>((VEHICLE!C$12*1000)-U15*1000)/1000</f>
        <v>10.0074957901562</v>
      </c>
      <c r="W15" s="3">
        <f t="shared" si="1"/>
        <v>3.4153230017901088</v>
      </c>
      <c r="X15" s="3">
        <f t="shared" si="13"/>
        <v>10.035056085975617</v>
      </c>
      <c r="Y15" s="3">
        <f t="shared" si="9"/>
        <v>11</v>
      </c>
      <c r="Z15" s="3">
        <f t="shared" si="10"/>
        <v>-498.27693780951802</v>
      </c>
      <c r="AA15" s="3">
        <f>SUM(Z$4:Z15)</f>
        <v>9767.9404864042044</v>
      </c>
      <c r="AB15" s="3">
        <f>INDEX(BSFC!D$5:AD$27,MATCH('DUTY CYCLE'!Y15,BSFC!C$5:C$27,0),MATCH('DUTY CYCLE'!K15,BSFC!D$28:AD$28,0))</f>
        <v>562.64721312000006</v>
      </c>
      <c r="AC15" s="3">
        <f t="shared" si="11"/>
        <v>0.53378388023939938</v>
      </c>
      <c r="AD15" s="3">
        <f t="shared" si="12"/>
        <v>1649.3921899397442</v>
      </c>
      <c r="AE15" s="3">
        <f>0.5*VEHICLE!C$47*('DUTY CYCLE'!M15^2)/1000</f>
        <v>13.326857261557914</v>
      </c>
      <c r="AF15" s="3">
        <f t="shared" si="2"/>
        <v>-484.95008054796011</v>
      </c>
      <c r="AJ15" s="3">
        <v>3750</v>
      </c>
    </row>
    <row r="16" spans="2:37" ht="17" x14ac:dyDescent="0.2">
      <c r="B16" s="3">
        <v>12</v>
      </c>
      <c r="C16" s="94"/>
      <c r="D16" s="59" t="s">
        <v>113</v>
      </c>
      <c r="E16" s="3" t="str">
        <f t="shared" si="0"/>
        <v>UPHILL</v>
      </c>
      <c r="F16" s="60">
        <v>9.1999999999999993</v>
      </c>
      <c r="G16" s="60">
        <f t="shared" si="3"/>
        <v>0.84999999999999964</v>
      </c>
      <c r="H16" s="3">
        <f t="shared" si="4"/>
        <v>7.0691790867677149</v>
      </c>
      <c r="I16" s="3">
        <f>SUM(M$4:M16)</f>
        <v>55.4281919492743</v>
      </c>
      <c r="J16" s="3">
        <f t="shared" si="5"/>
        <v>6.8542666590275232</v>
      </c>
      <c r="K16" s="3">
        <v>3250</v>
      </c>
      <c r="L16" s="3">
        <v>3</v>
      </c>
      <c r="M16" s="3">
        <f>VLOOKUP(K16,VEHICLE!I$30:L$54,MATCH(L16,VEHICLE!I$30:L$30,0),0)</f>
        <v>6.8542666590275205</v>
      </c>
      <c r="N16" s="3">
        <f t="shared" si="6"/>
        <v>0</v>
      </c>
      <c r="O16" s="3">
        <f>IF(L16=1,VEHICLE!C$68*'DUTY CYCLE'!N16,IF(L16=2,VEHICLE!C$69*'DUTY CYCLE'!N16,IF('DUTY CYCLE'!L16=3,VEHICLE!C$70*'DUTY CYCLE'!N16)))</f>
        <v>0</v>
      </c>
      <c r="P16" s="37">
        <v>1.2999999999999999E-2</v>
      </c>
      <c r="Q16" s="3">
        <f>P16*VEHICLE!C$47*9.81</f>
        <v>72.351594900000009</v>
      </c>
      <c r="R16" s="3">
        <f>0.5*VEHICLE!C$20*VEHICLE!C$28*1.2*((M16)^2)</f>
        <v>18.460280086162239</v>
      </c>
      <c r="S16" s="3">
        <f>VEHICLE!C$47*9.81*SIN(RADIANS(H16))</f>
        <v>684.93394521982702</v>
      </c>
      <c r="T16" s="3">
        <f t="shared" si="7"/>
        <v>775.74582020598928</v>
      </c>
      <c r="U16" s="3">
        <f t="shared" si="8"/>
        <v>5.3171687113178692</v>
      </c>
      <c r="V16" s="3">
        <f>((VEHICLE!C$12*1000)-U16*1000)/1000</f>
        <v>8.1056500806284397</v>
      </c>
      <c r="W16" s="3">
        <f t="shared" si="1"/>
        <v>5.3171687113178692</v>
      </c>
      <c r="X16" s="3">
        <f t="shared" si="13"/>
        <v>15.623144929104036</v>
      </c>
      <c r="Y16" s="3">
        <f t="shared" si="9"/>
        <v>16</v>
      </c>
      <c r="Z16" s="3">
        <f t="shared" si="10"/>
        <v>775.74582020598928</v>
      </c>
      <c r="AA16" s="3">
        <f>SUM(Z$4:Z16)</f>
        <v>10543.686306610194</v>
      </c>
      <c r="AB16" s="3">
        <f>INDEX(BSFC!D$5:AD$27,MATCH('DUTY CYCLE'!Y16,BSFC!C$5:C$27,0),MATCH('DUTY CYCLE'!K16,BSFC!D$28:AD$28,0))</f>
        <v>552.93900464640012</v>
      </c>
      <c r="AC16" s="3">
        <f t="shared" si="11"/>
        <v>0.81668610410363462</v>
      </c>
      <c r="AD16" s="3">
        <f t="shared" si="12"/>
        <v>2523.5600616802308</v>
      </c>
      <c r="AE16" s="3">
        <f>0.5*VEHICLE!C$47*('DUTY CYCLE'!M16^2)/1000</f>
        <v>13.326857261557914</v>
      </c>
      <c r="AF16" s="3">
        <f t="shared" si="2"/>
        <v>789.07267746754724</v>
      </c>
      <c r="AJ16" s="3">
        <v>4000</v>
      </c>
    </row>
    <row r="17" spans="2:36" ht="17" x14ac:dyDescent="0.2">
      <c r="B17" s="3">
        <v>13</v>
      </c>
      <c r="C17" s="94"/>
      <c r="D17" s="59" t="s">
        <v>113</v>
      </c>
      <c r="E17" s="3" t="str">
        <f t="shared" si="0"/>
        <v>UPHILL</v>
      </c>
      <c r="F17" s="60">
        <v>9.5500000000000007</v>
      </c>
      <c r="G17" s="60">
        <f t="shared" si="3"/>
        <v>0.35000000000000142</v>
      </c>
      <c r="H17" s="3">
        <f t="shared" si="4"/>
        <v>2.7146875185589892</v>
      </c>
      <c r="I17" s="3">
        <f>SUM(M$4:M17)</f>
        <v>62.809709889765479</v>
      </c>
      <c r="J17" s="3">
        <f t="shared" si="5"/>
        <v>7.3815179404911788</v>
      </c>
      <c r="K17" s="3">
        <v>3500</v>
      </c>
      <c r="L17" s="3">
        <v>3</v>
      </c>
      <c r="M17" s="3">
        <f>VLOOKUP(K17,VEHICLE!I$30:L$54,MATCH(L17,VEHICLE!I$30:L$30,0),0)</f>
        <v>7.381517940491177</v>
      </c>
      <c r="N17" s="3">
        <f t="shared" si="6"/>
        <v>0.52725128146365652</v>
      </c>
      <c r="O17" s="3">
        <f>IF(L17=1,VEHICLE!C$68*'DUTY CYCLE'!N17,IF(L17=2,VEHICLE!C$69*'DUTY CYCLE'!N17,IF('DUTY CYCLE'!L17=3,VEHICLE!C$70*'DUTY CYCLE'!N17)))</f>
        <v>308.54670919107781</v>
      </c>
      <c r="P17" s="37">
        <v>1.2999999999999999E-2</v>
      </c>
      <c r="Q17" s="3">
        <f>P17*VEHICLE!C$47*9.81</f>
        <v>72.351594900000009</v>
      </c>
      <c r="R17" s="3">
        <f>0.5*VEHICLE!C$20*VEHICLE!C$28*1.2*((M17)^2)</f>
        <v>21.409555602886389</v>
      </c>
      <c r="S17" s="3">
        <f>VEHICLE!C$47*9.81*SIN(RADIANS(H17))</f>
        <v>263.59639593752951</v>
      </c>
      <c r="T17" s="3">
        <f t="shared" si="7"/>
        <v>665.9042556314937</v>
      </c>
      <c r="U17" s="3">
        <f t="shared" si="8"/>
        <v>4.9153842095932934</v>
      </c>
      <c r="V17" s="3">
        <f>((VEHICLE!C$12*1000)-U17*1000)/1000</f>
        <v>8.5074345823530173</v>
      </c>
      <c r="W17" s="3">
        <f t="shared" si="1"/>
        <v>4.9153842095932934</v>
      </c>
      <c r="X17" s="3">
        <f t="shared" si="13"/>
        <v>13.41098904261637</v>
      </c>
      <c r="Y17" s="3">
        <f t="shared" si="9"/>
        <v>14</v>
      </c>
      <c r="Z17" s="3">
        <f t="shared" si="10"/>
        <v>665.9042556314937</v>
      </c>
      <c r="AA17" s="3">
        <f>SUM(Z$4:Z17)</f>
        <v>11209.590562241689</v>
      </c>
      <c r="AB17" s="3">
        <f>INDEX(BSFC!D$5:AD$27,MATCH('DUTY CYCLE'!Y17,BSFC!C$5:C$27,0),MATCH('DUTY CYCLE'!K17,BSFC!D$28:AD$28,0))</f>
        <v>523.69058706879991</v>
      </c>
      <c r="AC17" s="3">
        <f t="shared" si="11"/>
        <v>0.71503901177517248</v>
      </c>
      <c r="AD17" s="3">
        <f t="shared" si="12"/>
        <v>2209.4705463852829</v>
      </c>
      <c r="AE17" s="3">
        <f>0.5*VEHICLE!C$47*('DUTY CYCLE'!M17^2)/1000</f>
        <v>15.456000137664802</v>
      </c>
      <c r="AF17" s="3">
        <f t="shared" si="2"/>
        <v>681.36025576915847</v>
      </c>
      <c r="AJ17" s="3">
        <v>4250</v>
      </c>
    </row>
    <row r="18" spans="2:36" ht="17" x14ac:dyDescent="0.2">
      <c r="B18" s="3">
        <v>14</v>
      </c>
      <c r="C18" s="94"/>
      <c r="D18" s="59" t="s">
        <v>113</v>
      </c>
      <c r="E18" s="3" t="str">
        <f t="shared" si="0"/>
        <v>UPHILL</v>
      </c>
      <c r="F18" s="60">
        <v>9.9</v>
      </c>
      <c r="G18" s="60">
        <f t="shared" si="3"/>
        <v>0.34999999999999964</v>
      </c>
      <c r="H18" s="3">
        <f t="shared" si="4"/>
        <v>2.5339526518789373</v>
      </c>
      <c r="I18" s="3">
        <f>SUM(M$4:M18)</f>
        <v>70.718479111720313</v>
      </c>
      <c r="J18" s="3">
        <f t="shared" si="5"/>
        <v>7.9087692219548344</v>
      </c>
      <c r="K18" s="3">
        <v>3750</v>
      </c>
      <c r="L18" s="3">
        <v>3</v>
      </c>
      <c r="M18" s="3">
        <f>VLOOKUP(K18,VEHICLE!I$30:L$54,MATCH(L18,VEHICLE!I$30:L$30,0),0)</f>
        <v>7.9087692219548336</v>
      </c>
      <c r="N18" s="3">
        <f t="shared" si="6"/>
        <v>0.52725128146365652</v>
      </c>
      <c r="O18" s="3">
        <f>IF(L18=1,VEHICLE!C$68*'DUTY CYCLE'!N18,IF(L18=2,VEHICLE!C$69*'DUTY CYCLE'!N18,IF('DUTY CYCLE'!L18=3,VEHICLE!C$70*'DUTY CYCLE'!N18)))</f>
        <v>308.54670919107781</v>
      </c>
      <c r="P18" s="37">
        <v>1.2999999999999999E-2</v>
      </c>
      <c r="Q18" s="3">
        <f>P18*VEHICLE!C$47*9.81</f>
        <v>72.351594900000009</v>
      </c>
      <c r="R18" s="3">
        <f>0.5*VEHICLE!C$20*VEHICLE!C$28*1.2*((M18)^2)</f>
        <v>24.577295972701222</v>
      </c>
      <c r="S18" s="3">
        <f>VEHICLE!C$47*9.81*SIN(RADIANS(H18))</f>
        <v>246.05887627190685</v>
      </c>
      <c r="T18" s="3">
        <f t="shared" si="7"/>
        <v>651.53447633568589</v>
      </c>
      <c r="U18" s="3">
        <f t="shared" si="8"/>
        <v>5.1528358134861332</v>
      </c>
      <c r="V18" s="3">
        <f>((VEHICLE!C$12*1000)-U18*1000)/1000</f>
        <v>8.2699829784601757</v>
      </c>
      <c r="W18" s="3">
        <f t="shared" si="1"/>
        <v>5.1528358134861332</v>
      </c>
      <c r="X18" s="3">
        <f t="shared" si="13"/>
        <v>13.12158865051625</v>
      </c>
      <c r="Y18" s="3">
        <f t="shared" si="9"/>
        <v>14</v>
      </c>
      <c r="Z18" s="3">
        <f t="shared" si="10"/>
        <v>651.53447633568589</v>
      </c>
      <c r="AA18" s="3">
        <f>SUM(Z$4:Z18)</f>
        <v>11861.125038577375</v>
      </c>
      <c r="AB18" s="3">
        <f>INDEX(BSFC!D$5:AD$27,MATCH('DUTY CYCLE'!Y18,BSFC!C$5:C$27,0),MATCH('DUTY CYCLE'!K18,BSFC!D$28:AD$28,0))</f>
        <v>524.73782776500002</v>
      </c>
      <c r="AC18" s="3">
        <f t="shared" si="11"/>
        <v>0.7510799643328917</v>
      </c>
      <c r="AD18" s="3">
        <f t="shared" si="12"/>
        <v>2320.8370897886352</v>
      </c>
      <c r="AE18" s="3">
        <f>0.5*VEHICLE!C$47*('DUTY CYCLE'!M18^2)/1000</f>
        <v>17.742857300890723</v>
      </c>
      <c r="AF18" s="3">
        <f t="shared" si="2"/>
        <v>669.2773336365766</v>
      </c>
      <c r="AJ18" s="3">
        <v>4500</v>
      </c>
    </row>
    <row r="19" spans="2:36" ht="17" x14ac:dyDescent="0.2">
      <c r="B19" s="3">
        <v>15</v>
      </c>
      <c r="C19" s="94"/>
      <c r="D19" s="59" t="s">
        <v>113</v>
      </c>
      <c r="E19" s="3" t="str">
        <f t="shared" si="0"/>
        <v>UPHILL</v>
      </c>
      <c r="F19" s="60">
        <v>10.25</v>
      </c>
      <c r="G19" s="60">
        <f t="shared" si="3"/>
        <v>0.34999999999999964</v>
      </c>
      <c r="H19" s="3">
        <f t="shared" si="4"/>
        <v>2.618579535208597</v>
      </c>
      <c r="I19" s="3">
        <f>SUM(M$4:M19)</f>
        <v>78.371314687765732</v>
      </c>
      <c r="J19" s="3">
        <f t="shared" si="5"/>
        <v>7.652835576045419</v>
      </c>
      <c r="K19" s="3">
        <v>4750</v>
      </c>
      <c r="L19" s="3">
        <v>2</v>
      </c>
      <c r="M19" s="3">
        <f>VLOOKUP(K19,VEHICLE!I$30:L$54,MATCH(L19,VEHICLE!I$30:L$30,0),0)</f>
        <v>7.6528355760454181</v>
      </c>
      <c r="N19" s="3">
        <f t="shared" si="6"/>
        <v>-0.25593364590941547</v>
      </c>
      <c r="O19" s="3">
        <f>IF(L19=1,VEHICLE!C$68*'DUTY CYCLE'!N19,IF(L19=2,VEHICLE!C$69*'DUTY CYCLE'!N19,IF('DUTY CYCLE'!L19=3,VEHICLE!C$70*'DUTY CYCLE'!N19)))</f>
        <v>-150.43317431325244</v>
      </c>
      <c r="P19" s="37">
        <v>1.2999999999999999E-2</v>
      </c>
      <c r="Q19" s="3">
        <f>P19*VEHICLE!C$47*9.81</f>
        <v>72.351594900000009</v>
      </c>
      <c r="R19" s="3">
        <f>0.5*VEHICLE!C$20*VEHICLE!C$28*1.2*((M19)^2)</f>
        <v>23.012354648544232</v>
      </c>
      <c r="S19" s="3">
        <f>VEHICLE!C$47*9.81*SIN(RADIANS(H19))</f>
        <v>254.27092007794445</v>
      </c>
      <c r="T19" s="3">
        <f t="shared" si="7"/>
        <v>199.20169531323626</v>
      </c>
      <c r="U19" s="3">
        <f t="shared" si="8"/>
        <v>1.5244578207016943</v>
      </c>
      <c r="V19" s="3">
        <f>((VEHICLE!C$12*1000)-U19*1000)/1000</f>
        <v>11.898360971244614</v>
      </c>
      <c r="W19" s="3">
        <f t="shared" si="1"/>
        <v>1.5244578207016943</v>
      </c>
      <c r="X19" s="3">
        <f t="shared" si="13"/>
        <v>3.0647368130497639</v>
      </c>
      <c r="Y19" s="3">
        <f t="shared" si="9"/>
        <v>4</v>
      </c>
      <c r="Z19" s="3">
        <f t="shared" si="10"/>
        <v>199.20169531323626</v>
      </c>
      <c r="AA19" s="3">
        <f>SUM(Z$4:Z19)</f>
        <v>12060.326733890612</v>
      </c>
      <c r="AB19" s="3">
        <f>INDEX(BSFC!D$5:AD$27,MATCH('DUTY CYCLE'!Y19,BSFC!C$5:C$27,0),MATCH('DUTY CYCLE'!K19,BSFC!D$28:AD$28,0))</f>
        <v>731.05834368000012</v>
      </c>
      <c r="AC19" s="3">
        <f t="shared" si="11"/>
        <v>0.30957433594783423</v>
      </c>
      <c r="AD19" s="3">
        <f t="shared" si="12"/>
        <v>956.58469807880783</v>
      </c>
      <c r="AE19" s="3">
        <f>0.5*VEHICLE!C$47*('DUTY CYCLE'!M19^2)/1000</f>
        <v>16.613093854593558</v>
      </c>
      <c r="AF19" s="3">
        <f t="shared" si="2"/>
        <v>215.81478916782982</v>
      </c>
      <c r="AJ19" s="3">
        <v>4750</v>
      </c>
    </row>
    <row r="20" spans="2:36" ht="17" x14ac:dyDescent="0.2">
      <c r="B20" s="3">
        <v>16</v>
      </c>
      <c r="C20" s="94" t="s">
        <v>84</v>
      </c>
      <c r="D20" s="59" t="s">
        <v>113</v>
      </c>
      <c r="E20" s="3" t="str">
        <f t="shared" si="0"/>
        <v>UPHILL</v>
      </c>
      <c r="F20" s="60">
        <v>10.6</v>
      </c>
      <c r="G20" s="60">
        <f t="shared" si="3"/>
        <v>0.34999999999999964</v>
      </c>
      <c r="H20" s="3">
        <f t="shared" si="4"/>
        <v>3.1086760230894166</v>
      </c>
      <c r="I20" s="3">
        <f>SUM(M$4:M20)</f>
        <v>84.815807804435565</v>
      </c>
      <c r="J20" s="3">
        <f t="shared" si="5"/>
        <v>6.4444931166698325</v>
      </c>
      <c r="K20" s="3">
        <v>4000</v>
      </c>
      <c r="L20" s="3">
        <v>2</v>
      </c>
      <c r="M20" s="3">
        <f>VLOOKUP(K20,VEHICLE!I$30:L$54,MATCH(L20,VEHICLE!I$30:L$30,0),0)</f>
        <v>6.4444931166698263</v>
      </c>
      <c r="N20" s="3">
        <f t="shared" si="6"/>
        <v>-1.2083424593755918</v>
      </c>
      <c r="O20" s="3">
        <f>IF(L20=1,VEHICLE!C$68*'DUTY CYCLE'!N20,IF(L20=2,VEHICLE!C$69*'DUTY CYCLE'!N20,IF('DUTY CYCLE'!L20=3,VEHICLE!C$70*'DUTY CYCLE'!N20)))</f>
        <v>-710.24187216748157</v>
      </c>
      <c r="P20" s="37">
        <v>1.2999999999999999E-2</v>
      </c>
      <c r="Q20" s="3">
        <f>P20*VEHICLE!C$47*9.81</f>
        <v>72.351594900000009</v>
      </c>
      <c r="R20" s="3">
        <f>0.5*VEHICLE!C$20*VEHICLE!C$28*1.2*((M20)^2)</f>
        <v>16.319010498690648</v>
      </c>
      <c r="S20" s="3">
        <f>VEHICLE!C$47*9.81*SIN(RADIANS(H20))</f>
        <v>301.81754963849829</v>
      </c>
      <c r="T20" s="3">
        <f t="shared" si="7"/>
        <v>-319.75371713029261</v>
      </c>
      <c r="U20" s="3">
        <f t="shared" si="8"/>
        <v>2.0606506290757616</v>
      </c>
      <c r="V20" s="3">
        <f>((VEHICLE!C$12*1000)-U20*1000)/1000</f>
        <v>11.362168162870548</v>
      </c>
      <c r="W20" s="3">
        <f t="shared" si="1"/>
        <v>2.0606506290757616</v>
      </c>
      <c r="X20" s="3">
        <f t="shared" si="13"/>
        <v>4.9194410040424676</v>
      </c>
      <c r="Y20" s="3">
        <f t="shared" si="9"/>
        <v>5</v>
      </c>
      <c r="Z20" s="3">
        <f t="shared" si="10"/>
        <v>-319.75371713029261</v>
      </c>
      <c r="AA20" s="3">
        <f>SUM(Z$4:Z20)</f>
        <v>11740.57301676032</v>
      </c>
      <c r="AB20" s="3">
        <f>INDEX(BSFC!D$5:AD$27,MATCH('DUTY CYCLE'!Y20,BSFC!C$5:C$27,0),MATCH('DUTY CYCLE'!K20,BSFC!D$28:AD$28,0))</f>
        <v>708.06942760000004</v>
      </c>
      <c r="AC20" s="3">
        <f t="shared" si="11"/>
        <v>0.40530103094812631</v>
      </c>
      <c r="AD20" s="3">
        <f t="shared" si="12"/>
        <v>1252.3801856297102</v>
      </c>
      <c r="AE20" s="3">
        <f>0.5*VEHICLE!C$47*('DUTY CYCLE'!M20^2)/1000</f>
        <v>11.781030545085736</v>
      </c>
      <c r="AF20" s="3">
        <f t="shared" si="2"/>
        <v>-307.97268658520687</v>
      </c>
      <c r="AJ20" s="3">
        <v>5000</v>
      </c>
    </row>
    <row r="21" spans="2:36" ht="17" x14ac:dyDescent="0.2">
      <c r="B21" s="3">
        <v>17</v>
      </c>
      <c r="C21" s="94"/>
      <c r="D21" s="59" t="s">
        <v>113</v>
      </c>
      <c r="E21" s="3" t="str">
        <f t="shared" si="0"/>
        <v>UPHILL</v>
      </c>
      <c r="F21" s="60">
        <v>10.65</v>
      </c>
      <c r="G21" s="60">
        <f t="shared" si="3"/>
        <v>5.0000000000000711E-2</v>
      </c>
      <c r="H21" s="3">
        <f t="shared" si="4"/>
        <v>0.41837643496099242</v>
      </c>
      <c r="I21" s="3">
        <f>SUM(M$4:M21)</f>
        <v>91.663081740897255</v>
      </c>
      <c r="J21" s="3">
        <f t="shared" si="5"/>
        <v>6.8472739364616899</v>
      </c>
      <c r="K21" s="3">
        <v>4250</v>
      </c>
      <c r="L21" s="3">
        <v>2</v>
      </c>
      <c r="M21" s="3">
        <f>VLOOKUP(K21,VEHICLE!I$30:L$54,MATCH(L21,VEHICLE!I$30:L$30,0),0)</f>
        <v>6.8472739364616908</v>
      </c>
      <c r="N21" s="3">
        <f t="shared" si="6"/>
        <v>0.40278081979186453</v>
      </c>
      <c r="O21" s="3">
        <f>IF(L21=1,VEHICLE!C$68*'DUTY CYCLE'!N21,IF(L21=2,VEHICLE!C$69*'DUTY CYCLE'!N21,IF('DUTY CYCLE'!L21=3,VEHICLE!C$70*'DUTY CYCLE'!N21)))</f>
        <v>236.74729072249423</v>
      </c>
      <c r="P21" s="37">
        <v>1.2999999999999999E-2</v>
      </c>
      <c r="Q21" s="3">
        <f>P21*VEHICLE!C$47*9.81</f>
        <v>72.351594900000009</v>
      </c>
      <c r="R21" s="3">
        <f>0.5*VEHICLE!C$20*VEHICLE!C$28*1.2*((M21)^2)</f>
        <v>18.422632945787491</v>
      </c>
      <c r="S21" s="3">
        <f>VEHICLE!C$47*9.81*SIN(RADIANS(H21))</f>
        <v>40.639230854578443</v>
      </c>
      <c r="T21" s="3">
        <f t="shared" si="7"/>
        <v>368.16074942286014</v>
      </c>
      <c r="U21" s="3">
        <f t="shared" si="8"/>
        <v>2.5208975039513537</v>
      </c>
      <c r="V21" s="3">
        <f>((VEHICLE!C$12*1000)-U21*1000)/1000</f>
        <v>10.901921287994956</v>
      </c>
      <c r="W21" s="3">
        <f t="shared" si="1"/>
        <v>2.5208975039513537</v>
      </c>
      <c r="X21" s="3">
        <f t="shared" si="13"/>
        <v>5.6641877475088762</v>
      </c>
      <c r="Y21" s="3">
        <f t="shared" si="9"/>
        <v>6</v>
      </c>
      <c r="Z21" s="3">
        <f t="shared" si="10"/>
        <v>368.16074942286014</v>
      </c>
      <c r="AA21" s="3">
        <f>SUM(Z$4:Z21)</f>
        <v>12108.733766183181</v>
      </c>
      <c r="AB21" s="3">
        <f>INDEX(BSFC!D$5:AD$27,MATCH('DUTY CYCLE'!Y21,BSFC!C$5:C$27,0),MATCH('DUTY CYCLE'!K21,BSFC!D$28:AD$28,0))</f>
        <v>622.70878735999997</v>
      </c>
      <c r="AC21" s="3">
        <f t="shared" si="11"/>
        <v>0.43605139659566616</v>
      </c>
      <c r="AD21" s="3">
        <f t="shared" si="12"/>
        <v>1347.3988154806084</v>
      </c>
      <c r="AE21" s="3">
        <f>0.5*VEHICLE!C$47*('DUTY CYCLE'!M21^2)/1000</f>
        <v>13.299679013788197</v>
      </c>
      <c r="AF21" s="3">
        <f t="shared" si="2"/>
        <v>381.46042843664833</v>
      </c>
      <c r="AJ21" s="3">
        <v>5250</v>
      </c>
    </row>
    <row r="22" spans="2:36" ht="17" x14ac:dyDescent="0.2">
      <c r="B22" s="3">
        <v>18</v>
      </c>
      <c r="C22" s="94"/>
      <c r="D22" s="59" t="s">
        <v>113</v>
      </c>
      <c r="E22" s="3" t="str">
        <f t="shared" si="0"/>
        <v>UPHILL</v>
      </c>
      <c r="F22" s="60">
        <v>11.1</v>
      </c>
      <c r="G22" s="60">
        <f t="shared" si="3"/>
        <v>0.44999999999999929</v>
      </c>
      <c r="H22" s="3">
        <f t="shared" si="4"/>
        <v>3.5517065989143624</v>
      </c>
      <c r="I22" s="3">
        <f>SUM(M$4:M22)</f>
        <v>98.913136497150802</v>
      </c>
      <c r="J22" s="3">
        <f t="shared" si="5"/>
        <v>7.2500547562535473</v>
      </c>
      <c r="K22" s="3">
        <v>4500</v>
      </c>
      <c r="L22" s="3">
        <v>2</v>
      </c>
      <c r="M22" s="3">
        <f>VLOOKUP(K22,VEHICLE!I$30:L$54,MATCH(L22,VEHICLE!I$30:L$30,0),0)</f>
        <v>7.2500547562535536</v>
      </c>
      <c r="N22" s="3">
        <f t="shared" si="6"/>
        <v>0.40278081979186275</v>
      </c>
      <c r="O22" s="3">
        <f>IF(L22=1,VEHICLE!C$68*'DUTY CYCLE'!N22,IF(L22=2,VEHICLE!C$69*'DUTY CYCLE'!N22,IF('DUTY CYCLE'!L22=3,VEHICLE!C$70*'DUTY CYCLE'!N22)))</f>
        <v>236.74729072249318</v>
      </c>
      <c r="P22" s="37">
        <v>1.2999999999999999E-2</v>
      </c>
      <c r="Q22" s="3">
        <f>P22*VEHICLE!C$47*9.81</f>
        <v>72.351594900000009</v>
      </c>
      <c r="R22" s="3">
        <f>0.5*VEHICLE!C$20*VEHICLE!C$28*1.2*((M22)^2)</f>
        <v>20.653747662405344</v>
      </c>
      <c r="S22" s="3">
        <f>VEHICLE!C$47*9.81*SIN(RADIANS(H22))</f>
        <v>344.77917951595253</v>
      </c>
      <c r="T22" s="3">
        <f t="shared" si="7"/>
        <v>674.53181280085107</v>
      </c>
      <c r="U22" s="3">
        <f t="shared" si="8"/>
        <v>4.8903925776411414</v>
      </c>
      <c r="V22" s="3">
        <f>((VEHICLE!C$12*1000)-U22*1000)/1000</f>
        <v>8.5324262143051666</v>
      </c>
      <c r="W22" s="3">
        <f t="shared" si="1"/>
        <v>4.8903925776411414</v>
      </c>
      <c r="X22" s="3">
        <f t="shared" si="13"/>
        <v>10.377735365220042</v>
      </c>
      <c r="Y22" s="3">
        <f t="shared" si="9"/>
        <v>11</v>
      </c>
      <c r="Z22" s="3">
        <f t="shared" si="10"/>
        <v>674.53181280085107</v>
      </c>
      <c r="AA22" s="3">
        <f>SUM(Z$4:Z22)</f>
        <v>12783.265578984032</v>
      </c>
      <c r="AB22" s="3">
        <f>INDEX(BSFC!D$5:AD$27,MATCH('DUTY CYCLE'!Y22,BSFC!C$5:C$27,0),MATCH('DUTY CYCLE'!K22,BSFC!D$28:AD$28,0))</f>
        <v>472.43852356000008</v>
      </c>
      <c r="AC22" s="3">
        <f t="shared" si="11"/>
        <v>0.64178051361376776</v>
      </c>
      <c r="AD22" s="3">
        <f t="shared" si="12"/>
        <v>1983.1017870665423</v>
      </c>
      <c r="AE22" s="3">
        <f>0.5*VEHICLE!C$47*('DUTY CYCLE'!M22^2)/1000</f>
        <v>14.910366783624129</v>
      </c>
      <c r="AF22" s="3">
        <f t="shared" si="2"/>
        <v>689.44217958447518</v>
      </c>
      <c r="AJ22" s="3">
        <v>5500</v>
      </c>
    </row>
    <row r="23" spans="2:36" ht="17" x14ac:dyDescent="0.2">
      <c r="B23" s="3">
        <v>19</v>
      </c>
      <c r="C23" s="94"/>
      <c r="D23" s="59" t="s">
        <v>113</v>
      </c>
      <c r="E23" s="3" t="str">
        <f t="shared" si="0"/>
        <v>DOWNHILL</v>
      </c>
      <c r="F23" s="60">
        <v>10.8</v>
      </c>
      <c r="G23" s="60">
        <f t="shared" si="3"/>
        <v>-0.29999999999999893</v>
      </c>
      <c r="H23" s="3">
        <f t="shared" si="4"/>
        <v>-2.2449113109536878</v>
      </c>
      <c r="I23" s="3">
        <f>SUM(M$4:M23)</f>
        <v>106.56597207319622</v>
      </c>
      <c r="J23" s="3">
        <f t="shared" si="5"/>
        <v>7.652835576045419</v>
      </c>
      <c r="K23" s="3">
        <v>4750</v>
      </c>
      <c r="L23" s="3">
        <v>2</v>
      </c>
      <c r="M23" s="3">
        <f>VLOOKUP(K23,VEHICLE!I$30:L$54,MATCH(L23,VEHICLE!I$30:L$30,0),0)</f>
        <v>7.6528355760454181</v>
      </c>
      <c r="N23" s="3">
        <f t="shared" si="6"/>
        <v>0.40278081979186453</v>
      </c>
      <c r="O23" s="3">
        <f>IF(L23=1,VEHICLE!C$68*'DUTY CYCLE'!N23,IF(L23=2,VEHICLE!C$69*'DUTY CYCLE'!N23,IF('DUTY CYCLE'!L23=3,VEHICLE!C$70*'DUTY CYCLE'!N23)))</f>
        <v>236.74729072249423</v>
      </c>
      <c r="P23" s="37">
        <v>1.2999999999999999E-2</v>
      </c>
      <c r="Q23" s="3">
        <f>P23*VEHICLE!C$47*9.81</f>
        <v>72.351594900000009</v>
      </c>
      <c r="R23" s="3">
        <f>0.5*VEHICLE!C$20*VEHICLE!C$28*1.2*((M23)^2)</f>
        <v>23.012354648544232</v>
      </c>
      <c r="S23" s="3">
        <f>VEHICLE!C$47*9.81*SIN(RADIANS(H23))</f>
        <v>-218.00687435605252</v>
      </c>
      <c r="T23" s="3">
        <f t="shared" si="7"/>
        <v>114.10436591498595</v>
      </c>
      <c r="U23" s="3">
        <f t="shared" si="8"/>
        <v>0.87322195085630872</v>
      </c>
      <c r="V23" s="3">
        <f>((VEHICLE!C$12*1000)-U23*1000)/1000</f>
        <v>12.549596841090001</v>
      </c>
      <c r="W23" s="3">
        <f t="shared" si="1"/>
        <v>0.87322195085630872</v>
      </c>
      <c r="X23" s="3">
        <f t="shared" si="13"/>
        <v>1.7555063986753219</v>
      </c>
      <c r="Y23" s="3">
        <f t="shared" si="9"/>
        <v>2</v>
      </c>
      <c r="Z23" s="3">
        <f t="shared" si="10"/>
        <v>114.10436591498595</v>
      </c>
      <c r="AA23" s="3">
        <f>SUM(Z$4:Z23)</f>
        <v>12897.369944899017</v>
      </c>
      <c r="AB23" s="3">
        <f>INDEX(BSFC!D$5:AD$27,MATCH('DUTY CYCLE'!Y23,BSFC!C$5:C$27,0),MATCH('DUTY CYCLE'!K23,BSFC!D$28:AD$28,0))</f>
        <v>892.41381767999997</v>
      </c>
      <c r="AC23" s="3">
        <f t="shared" si="11"/>
        <v>0.21646537079045991</v>
      </c>
      <c r="AD23" s="3">
        <f t="shared" si="12"/>
        <v>668.87799574252108</v>
      </c>
      <c r="AE23" s="3">
        <f>0.5*VEHICLE!C$47*('DUTY CYCLE'!M23^2)/1000</f>
        <v>16.613093854593558</v>
      </c>
      <c r="AF23" s="3">
        <f t="shared" si="2"/>
        <v>130.71745976957951</v>
      </c>
      <c r="AJ23" s="3">
        <v>5750</v>
      </c>
    </row>
    <row r="24" spans="2:36" ht="17" x14ac:dyDescent="0.2">
      <c r="B24" s="3">
        <v>20</v>
      </c>
      <c r="C24" s="94"/>
      <c r="D24" s="59" t="s">
        <v>113</v>
      </c>
      <c r="E24" s="3" t="str">
        <f t="shared" si="0"/>
        <v>DOWNHILL</v>
      </c>
      <c r="F24" s="60">
        <v>10.5</v>
      </c>
      <c r="G24" s="60">
        <f t="shared" si="3"/>
        <v>-0.30000000000000071</v>
      </c>
      <c r="H24" s="3">
        <f t="shared" si="4"/>
        <v>-2.1327721266124513</v>
      </c>
      <c r="I24" s="3">
        <f>SUM(M$4:M24)</f>
        <v>114.6215884690335</v>
      </c>
      <c r="J24" s="3">
        <f t="shared" si="5"/>
        <v>8.0556163958372764</v>
      </c>
      <c r="K24" s="3">
        <v>5000</v>
      </c>
      <c r="L24" s="3">
        <v>2</v>
      </c>
      <c r="M24" s="3">
        <f>VLOOKUP(K24,VEHICLE!I$30:L$54,MATCH(L24,VEHICLE!I$30:L$30,0),0)</f>
        <v>8.0556163958372817</v>
      </c>
      <c r="N24" s="3">
        <f t="shared" si="6"/>
        <v>0.40278081979186364</v>
      </c>
      <c r="O24" s="3">
        <f>IF(L24=1,VEHICLE!C$68*'DUTY CYCLE'!N24,IF(L24=2,VEHICLE!C$69*'DUTY CYCLE'!N24,IF('DUTY CYCLE'!L24=3,VEHICLE!C$70*'DUTY CYCLE'!N24)))</f>
        <v>236.74729072249369</v>
      </c>
      <c r="P24" s="37">
        <v>1.2999999999999999E-2</v>
      </c>
      <c r="Q24" s="3">
        <f>P24*VEHICLE!C$47*9.81</f>
        <v>72.351594900000009</v>
      </c>
      <c r="R24" s="3">
        <f>0.5*VEHICLE!C$20*VEHICLE!C$28*1.2*((M24)^2)</f>
        <v>25.49845390420413</v>
      </c>
      <c r="S24" s="3">
        <f>VEHICLE!C$47*9.81*SIN(RADIANS(H24))</f>
        <v>-207.12202408373844</v>
      </c>
      <c r="T24" s="3">
        <f t="shared" si="7"/>
        <v>127.47531544295938</v>
      </c>
      <c r="U24" s="3">
        <f t="shared" si="8"/>
        <v>1.0268922411468331</v>
      </c>
      <c r="V24" s="3">
        <f>((VEHICLE!C$12*1000)-U24*1000)/1000</f>
        <v>12.395926550799475</v>
      </c>
      <c r="W24" s="3">
        <f t="shared" si="1"/>
        <v>1.0268922411468331</v>
      </c>
      <c r="X24" s="3">
        <f t="shared" si="13"/>
        <v>1.9612197144147971</v>
      </c>
      <c r="Y24" s="3">
        <f t="shared" si="9"/>
        <v>2</v>
      </c>
      <c r="Z24" s="3">
        <f t="shared" si="10"/>
        <v>127.47531544295938</v>
      </c>
      <c r="AA24" s="3">
        <f>SUM(Z$4:Z24)</f>
        <v>13024.845260341977</v>
      </c>
      <c r="AB24" s="3">
        <f>INDEX(BSFC!D$5:AD$27,MATCH('DUTY CYCLE'!Y24,BSFC!C$5:C$27,0),MATCH('DUTY CYCLE'!K24,BSFC!D$28:AD$28,0))</f>
        <v>881.18348872000001</v>
      </c>
      <c r="AC24" s="3">
        <f t="shared" si="11"/>
        <v>0.25135569099812943</v>
      </c>
      <c r="AD24" s="3">
        <f t="shared" si="12"/>
        <v>776.68908518421995</v>
      </c>
      <c r="AE24" s="3">
        <f>0.5*VEHICLE!C$47*('DUTY CYCLE'!M24^2)/1000</f>
        <v>18.40786022669646</v>
      </c>
      <c r="AF24" s="3">
        <f t="shared" si="2"/>
        <v>145.88317566965586</v>
      </c>
      <c r="AJ24" s="3">
        <v>6000</v>
      </c>
    </row>
    <row r="25" spans="2:36" ht="17" x14ac:dyDescent="0.2">
      <c r="B25" s="3">
        <v>21</v>
      </c>
      <c r="C25" s="94" t="s">
        <v>85</v>
      </c>
      <c r="D25" s="59" t="s">
        <v>113</v>
      </c>
      <c r="E25" s="3" t="str">
        <f t="shared" si="0"/>
        <v>DOWNHILL</v>
      </c>
      <c r="F25" s="60">
        <v>10.199999999999999</v>
      </c>
      <c r="G25" s="60">
        <f t="shared" si="3"/>
        <v>-0.30000000000000071</v>
      </c>
      <c r="H25" s="3">
        <f t="shared" si="4"/>
        <v>-2.0312987530772095</v>
      </c>
      <c r="I25" s="3">
        <f>SUM(M$4:M25)</f>
        <v>123.07998568466265</v>
      </c>
      <c r="J25" s="3">
        <f t="shared" si="5"/>
        <v>8.458397215629148</v>
      </c>
      <c r="K25" s="3">
        <v>5250</v>
      </c>
      <c r="L25" s="3">
        <v>2</v>
      </c>
      <c r="M25" s="3">
        <f>VLOOKUP(K25,VEHICLE!I$30:L$54,MATCH(L25,VEHICLE!I$30:L$30,0),0)</f>
        <v>8.458397215629148</v>
      </c>
      <c r="N25" s="3">
        <f t="shared" si="6"/>
        <v>0.40278081979186631</v>
      </c>
      <c r="O25" s="3">
        <f>IF(L25=1,VEHICLE!C$68*'DUTY CYCLE'!N25,IF(L25=2,VEHICLE!C$69*'DUTY CYCLE'!N25,IF('DUTY CYCLE'!L25=3,VEHICLE!C$70*'DUTY CYCLE'!N25)))</f>
        <v>236.74729072249525</v>
      </c>
      <c r="P25" s="37">
        <v>1.2999999999999999E-2</v>
      </c>
      <c r="Q25" s="3">
        <f>P25*VEHICLE!C$47*9.81</f>
        <v>72.351594900000009</v>
      </c>
      <c r="R25" s="3">
        <f>0.5*VEHICLE!C$20*VEHICLE!C$28*1.2*((M25)^2)</f>
        <v>28.11204542938507</v>
      </c>
      <c r="S25" s="3">
        <f>VEHICLE!C$47*9.81*SIN(RADIANS(H25))</f>
        <v>-197.27177153636757</v>
      </c>
      <c r="T25" s="3">
        <f t="shared" si="7"/>
        <v>139.93915951551276</v>
      </c>
      <c r="U25" s="3">
        <f t="shared" si="8"/>
        <v>1.1836609972034962</v>
      </c>
      <c r="V25" s="3">
        <f>((VEHICLE!C$12*1000)-U25*1000)/1000</f>
        <v>12.239157794742813</v>
      </c>
      <c r="W25" s="3">
        <f t="shared" si="1"/>
        <v>1.1836609972034962</v>
      </c>
      <c r="X25" s="3">
        <f t="shared" si="13"/>
        <v>2.1529771274287834</v>
      </c>
      <c r="Y25" s="3">
        <f t="shared" si="9"/>
        <v>3</v>
      </c>
      <c r="Z25" s="3">
        <f t="shared" si="10"/>
        <v>139.93915951551276</v>
      </c>
      <c r="AA25" s="3">
        <f>SUM(Z$4:Z25)</f>
        <v>13164.784419857489</v>
      </c>
      <c r="AB25" s="3">
        <f>INDEX(BSFC!D$5:AD$27,MATCH('DUTY CYCLE'!Y25,BSFC!C$5:C$27,0),MATCH('DUTY CYCLE'!K25,BSFC!D$28:AD$28,0))</f>
        <v>787.59409607999999</v>
      </c>
      <c r="AC25" s="3">
        <f t="shared" si="11"/>
        <v>0.25895678143267747</v>
      </c>
      <c r="AD25" s="3">
        <f t="shared" si="12"/>
        <v>800.1764546269734</v>
      </c>
      <c r="AE25" s="3">
        <f>0.5*VEHICLE!C$47*('DUTY CYCLE'!M25^2)/1000</f>
        <v>20.294665899932859</v>
      </c>
      <c r="AF25" s="3">
        <f t="shared" si="2"/>
        <v>160.23382541544561</v>
      </c>
      <c r="AJ25" s="3">
        <v>6250</v>
      </c>
    </row>
    <row r="26" spans="2:36" ht="17" x14ac:dyDescent="0.2">
      <c r="B26" s="3">
        <v>22</v>
      </c>
      <c r="C26" s="94"/>
      <c r="D26" s="59" t="s">
        <v>113</v>
      </c>
      <c r="E26" s="3" t="str">
        <f t="shared" si="0"/>
        <v>DOWNHILL</v>
      </c>
      <c r="F26" s="60">
        <v>9.9</v>
      </c>
      <c r="G26" s="60">
        <f t="shared" si="3"/>
        <v>-0.29999999999999893</v>
      </c>
      <c r="H26" s="3">
        <f t="shared" si="4"/>
        <v>-1.7153109745354813</v>
      </c>
      <c r="I26" s="3">
        <f>SUM(M$4:M26)</f>
        <v>133.09776003247211</v>
      </c>
      <c r="J26" s="3">
        <f t="shared" si="5"/>
        <v>10.017774347809464</v>
      </c>
      <c r="K26" s="3">
        <v>4750</v>
      </c>
      <c r="L26" s="3">
        <v>3</v>
      </c>
      <c r="M26" s="3">
        <f>VLOOKUP(K26,VEHICLE!I$30:L$54,MATCH(L26,VEHICLE!I$30:L$30,0),0)</f>
        <v>10.017774347809453</v>
      </c>
      <c r="N26" s="3">
        <f t="shared" si="6"/>
        <v>1.5593771321803054</v>
      </c>
      <c r="O26" s="3">
        <f>IF(L26=1,VEHICLE!C$68*'DUTY CYCLE'!N26,IF(L26=2,VEHICLE!C$69*'DUTY CYCLE'!N26,IF('DUTY CYCLE'!L26=3,VEHICLE!C$70*'DUTY CYCLE'!N26)))</f>
        <v>912.545307024007</v>
      </c>
      <c r="P26" s="37">
        <v>1.2999999999999999E-2</v>
      </c>
      <c r="Q26" s="3">
        <f>P26*VEHICLE!C$47*9.81</f>
        <v>72.351594900000009</v>
      </c>
      <c r="R26" s="3">
        <f>0.5*VEHICLE!C$20*VEHICLE!C$28*1.2*((M26)^2)</f>
        <v>39.432905982867275</v>
      </c>
      <c r="S26" s="3">
        <f>VEHICLE!C$47*9.81*SIN(RADIANS(H26))</f>
        <v>-166.59429086604203</v>
      </c>
      <c r="T26" s="3">
        <f t="shared" si="7"/>
        <v>857.73551704083229</v>
      </c>
      <c r="U26" s="3">
        <f t="shared" si="8"/>
        <v>8.5926008598167289</v>
      </c>
      <c r="V26" s="3">
        <f>((VEHICLE!C$12*1000)-U26*1000)/1000</f>
        <v>4.8302179321295808</v>
      </c>
      <c r="W26" s="3">
        <f t="shared" si="1"/>
        <v>8.5926008598167289</v>
      </c>
      <c r="X26" s="3">
        <f t="shared" si="13"/>
        <v>17.274377695016874</v>
      </c>
      <c r="Y26" s="3">
        <f t="shared" si="9"/>
        <v>18</v>
      </c>
      <c r="Z26" s="3">
        <f t="shared" si="10"/>
        <v>857.73551704083229</v>
      </c>
      <c r="AA26" s="3">
        <f>SUM(Z$4:Z26)</f>
        <v>14022.519936898321</v>
      </c>
      <c r="AB26" s="3">
        <f>INDEX(BSFC!D$5:AD$27,MATCH('DUTY CYCLE'!Y26,BSFC!C$5:C$27,0),MATCH('DUTY CYCLE'!K26,BSFC!D$28:AD$28,0))</f>
        <v>500.37750839999995</v>
      </c>
      <c r="AC26" s="3">
        <f t="shared" si="11"/>
        <v>1.1943178358085533</v>
      </c>
      <c r="AD26" s="3">
        <f t="shared" si="12"/>
        <v>3690.4421126484299</v>
      </c>
      <c r="AE26" s="3">
        <f>0.5*VEHICLE!C$47*('DUTY CYCLE'!M26^2)/1000</f>
        <v>28.467428824984658</v>
      </c>
      <c r="AF26" s="3">
        <f t="shared" si="2"/>
        <v>886.2029458658169</v>
      </c>
      <c r="AJ26" s="3">
        <v>6500</v>
      </c>
    </row>
    <row r="27" spans="2:36" ht="17" x14ac:dyDescent="0.2">
      <c r="B27" s="3">
        <v>23</v>
      </c>
      <c r="C27" s="94"/>
      <c r="D27" s="59" t="s">
        <v>113</v>
      </c>
      <c r="E27" s="3" t="str">
        <f t="shared" si="0"/>
        <v>DOWNHILL</v>
      </c>
      <c r="F27" s="60">
        <v>9.6</v>
      </c>
      <c r="G27" s="60">
        <f t="shared" si="3"/>
        <v>-0.30000000000000071</v>
      </c>
      <c r="H27" s="3">
        <f t="shared" si="4"/>
        <v>-1.6295928866264437</v>
      </c>
      <c r="I27" s="3">
        <f>SUM(M$4:M27)</f>
        <v>143.64278566174522</v>
      </c>
      <c r="J27" s="3">
        <f t="shared" si="5"/>
        <v>10.545025629273113</v>
      </c>
      <c r="K27" s="3">
        <v>5000</v>
      </c>
      <c r="L27" s="3">
        <v>3</v>
      </c>
      <c r="M27" s="3">
        <f>VLOOKUP(K27,VEHICLE!I$30:L$54,MATCH(L27,VEHICLE!I$30:L$30,0),0)</f>
        <v>10.545025629273109</v>
      </c>
      <c r="N27" s="3">
        <f t="shared" si="6"/>
        <v>0.52725128146365563</v>
      </c>
      <c r="O27" s="3">
        <f>IF(L27=1,VEHICLE!C$68*'DUTY CYCLE'!N27,IF(L27=2,VEHICLE!C$69*'DUTY CYCLE'!N27,IF('DUTY CYCLE'!L27=3,VEHICLE!C$70*'DUTY CYCLE'!N27)))</f>
        <v>308.5467091910773</v>
      </c>
      <c r="P27" s="37">
        <v>1.2999999999999999E-2</v>
      </c>
      <c r="Q27" s="3">
        <f>P27*VEHICLE!C$47*9.81</f>
        <v>72.351594900000009</v>
      </c>
      <c r="R27" s="3">
        <f>0.5*VEHICLE!C$20*VEHICLE!C$28*1.2*((M27)^2)</f>
        <v>43.692970618135483</v>
      </c>
      <c r="S27" s="3">
        <f>VEHICLE!C$47*9.81*SIN(RADIANS(H27))</f>
        <v>-158.27148981547472</v>
      </c>
      <c r="T27" s="3">
        <f t="shared" si="7"/>
        <v>266.31978489373807</v>
      </c>
      <c r="U27" s="3">
        <f t="shared" si="8"/>
        <v>2.8083489572869693</v>
      </c>
      <c r="V27" s="3">
        <f>((VEHICLE!C$12*1000)-U27*1000)/1000</f>
        <v>10.614469834659339</v>
      </c>
      <c r="W27" s="3">
        <f t="shared" si="1"/>
        <v>2.8083489572869693</v>
      </c>
      <c r="X27" s="3">
        <f t="shared" si="13"/>
        <v>5.3635514217502944</v>
      </c>
      <c r="Y27" s="3">
        <f t="shared" si="9"/>
        <v>6</v>
      </c>
      <c r="Z27" s="3">
        <f t="shared" si="10"/>
        <v>266.31978489373807</v>
      </c>
      <c r="AA27" s="3">
        <f>SUM(Z$4:Z27)</f>
        <v>14288.839721792059</v>
      </c>
      <c r="AB27" s="3">
        <f>INDEX(BSFC!D$5:AD$27,MATCH('DUTY CYCLE'!Y27,BSFC!C$5:C$27,0),MATCH('DUTY CYCLE'!K27,BSFC!D$28:AD$28,0))</f>
        <v>545.34399592000011</v>
      </c>
      <c r="AC27" s="3">
        <f t="shared" si="11"/>
        <v>0.42542117841795596</v>
      </c>
      <c r="AD27" s="3">
        <f t="shared" si="12"/>
        <v>1314.5514413114838</v>
      </c>
      <c r="AE27" s="3">
        <f>0.5*VEHICLE!C$47*('DUTY CYCLE'!M27^2)/1000</f>
        <v>31.542857423805714</v>
      </c>
      <c r="AF27" s="3">
        <f t="shared" si="2"/>
        <v>297.86264231754376</v>
      </c>
    </row>
    <row r="28" spans="2:36" ht="17" x14ac:dyDescent="0.2">
      <c r="B28" s="3">
        <v>24</v>
      </c>
      <c r="C28" s="61" t="s">
        <v>87</v>
      </c>
      <c r="D28" s="59" t="s">
        <v>113</v>
      </c>
      <c r="E28" s="3" t="str">
        <f t="shared" si="0"/>
        <v>DOWNHILL</v>
      </c>
      <c r="F28" s="60">
        <v>9.3000000000000007</v>
      </c>
      <c r="G28" s="60">
        <f t="shared" si="3"/>
        <v>-0.29999999999999893</v>
      </c>
      <c r="H28" s="3">
        <f t="shared" si="4"/>
        <v>-1.5520321277356142</v>
      </c>
      <c r="I28" s="3">
        <f>SUM(M$4:M28)</f>
        <v>154.715062572482</v>
      </c>
      <c r="J28" s="3">
        <f t="shared" si="5"/>
        <v>11.072276910736775</v>
      </c>
      <c r="K28" s="3">
        <v>5250</v>
      </c>
      <c r="L28" s="3">
        <v>3</v>
      </c>
      <c r="M28" s="3">
        <f>VLOOKUP(K28,VEHICLE!I$30:L$54,MATCH(L28,VEHICLE!I$30:L$30,0),0)</f>
        <v>11.072276910736765</v>
      </c>
      <c r="N28" s="3">
        <f t="shared" si="6"/>
        <v>0.52725128146365563</v>
      </c>
      <c r="O28" s="3">
        <f>IF(L28=1,VEHICLE!C$68*'DUTY CYCLE'!N28,IF(L28=2,VEHICLE!C$69*'DUTY CYCLE'!N28,IF('DUTY CYCLE'!L28=3,VEHICLE!C$70*'DUTY CYCLE'!N28)))</f>
        <v>308.5467091910773</v>
      </c>
      <c r="P28" s="37">
        <v>1.2999999999999999E-2</v>
      </c>
      <c r="Q28" s="3">
        <f>P28*VEHICLE!C$47*9.81</f>
        <v>72.351594900000009</v>
      </c>
      <c r="R28" s="3">
        <f>0.5*VEHICLE!C$20*VEHICLE!C$28*1.2*((M28)^2)</f>
        <v>48.171500106494371</v>
      </c>
      <c r="S28" s="3">
        <f>VEHICLE!C$47*9.81*SIN(RADIANS(H28))</f>
        <v>-150.74041915051774</v>
      </c>
      <c r="T28" s="3">
        <f t="shared" si="7"/>
        <v>278.32938504705396</v>
      </c>
      <c r="U28" s="3">
        <f t="shared" si="8"/>
        <v>3.0817400236360579</v>
      </c>
      <c r="V28" s="3">
        <f>((VEHICLE!C$12*1000)-U28*1000)/1000</f>
        <v>10.341078768310251</v>
      </c>
      <c r="W28" s="3">
        <f t="shared" si="1"/>
        <v>3.0817400236360579</v>
      </c>
      <c r="X28" s="3">
        <f t="shared" si="13"/>
        <v>5.6054189495521491</v>
      </c>
      <c r="Y28" s="3">
        <f t="shared" si="9"/>
        <v>6</v>
      </c>
      <c r="Z28" s="3">
        <f t="shared" si="10"/>
        <v>278.32938504705396</v>
      </c>
      <c r="AA28" s="3">
        <f>SUM(Z$4:Z28)</f>
        <v>14567.169106839114</v>
      </c>
      <c r="AB28" s="3">
        <f>INDEX(BSFC!D$5:AD$27,MATCH('DUTY CYCLE'!Y28,BSFC!C$5:C$27,0),MATCH('DUTY CYCLE'!K28,BSFC!D$28:AD$28,0))</f>
        <v>537.86207592000017</v>
      </c>
      <c r="AC28" s="3">
        <f t="shared" si="11"/>
        <v>0.46043085737740014</v>
      </c>
      <c r="AD28" s="3">
        <f t="shared" si="12"/>
        <v>1422.7313492961664</v>
      </c>
      <c r="AE28" s="3">
        <f>0.5*VEHICLE!C$47*('DUTY CYCLE'!M28^2)/1000</f>
        <v>34.776000309745804</v>
      </c>
      <c r="AF28" s="3">
        <f t="shared" si="2"/>
        <v>313.10538535679979</v>
      </c>
    </row>
    <row r="29" spans="2:36" ht="17" x14ac:dyDescent="0.2">
      <c r="B29" s="3">
        <v>25</v>
      </c>
      <c r="C29" s="94" t="s">
        <v>86</v>
      </c>
      <c r="D29" s="59" t="s">
        <v>113</v>
      </c>
      <c r="E29" s="3" t="str">
        <f t="shared" si="0"/>
        <v>DOWNHILL</v>
      </c>
      <c r="F29" s="60">
        <v>9</v>
      </c>
      <c r="G29" s="60">
        <f t="shared" si="3"/>
        <v>-0.30000000000000071</v>
      </c>
      <c r="H29" s="3">
        <f t="shared" si="4"/>
        <v>-1.5520321277356233</v>
      </c>
      <c r="I29" s="3">
        <f>SUM(M$4:M29)</f>
        <v>165.78733948321877</v>
      </c>
      <c r="J29" s="3">
        <f t="shared" si="5"/>
        <v>11.072276910736775</v>
      </c>
      <c r="K29" s="3">
        <v>5250</v>
      </c>
      <c r="L29" s="3">
        <v>3</v>
      </c>
      <c r="M29" s="3">
        <f>VLOOKUP(K29,VEHICLE!I$30:L$54,MATCH(L29,VEHICLE!I$30:L$30,0),0)</f>
        <v>11.072276910736765</v>
      </c>
      <c r="N29" s="3">
        <f t="shared" si="6"/>
        <v>0</v>
      </c>
      <c r="O29" s="3">
        <f>IF(L29=1,VEHICLE!C$68*'DUTY CYCLE'!N29,IF(L29=2,VEHICLE!C$69*'DUTY CYCLE'!N29,IF('DUTY CYCLE'!L29=3,VEHICLE!C$70*'DUTY CYCLE'!N29)))</f>
        <v>0</v>
      </c>
      <c r="P29" s="37">
        <v>1.2999999999999999E-2</v>
      </c>
      <c r="Q29" s="3">
        <f>P29*VEHICLE!C$47*9.81</f>
        <v>72.351594900000009</v>
      </c>
      <c r="R29" s="3">
        <f>0.5*VEHICLE!C$20*VEHICLE!C$28*1.2*((M29)^2)</f>
        <v>48.171500106494371</v>
      </c>
      <c r="S29" s="3">
        <f>VEHICLE!C$47*9.81*SIN(RADIANS(H29))</f>
        <v>-150.74041915051862</v>
      </c>
      <c r="T29" s="3">
        <f t="shared" si="7"/>
        <v>-30.217324144024246</v>
      </c>
      <c r="U29" s="3">
        <f t="shared" si="8"/>
        <v>0.33457458042412819</v>
      </c>
      <c r="V29" s="3">
        <f>((VEHICLE!C$12*1000)-U29*1000)/1000</f>
        <v>13.088244211522181</v>
      </c>
      <c r="W29" s="3">
        <f t="shared" si="1"/>
        <v>0.33457458042412819</v>
      </c>
      <c r="X29" s="3">
        <f t="shared" si="13"/>
        <v>0.60856226637025024</v>
      </c>
      <c r="Y29" s="3">
        <f t="shared" si="9"/>
        <v>1</v>
      </c>
      <c r="Z29" s="3">
        <f t="shared" si="10"/>
        <v>-30.217324144024246</v>
      </c>
      <c r="AA29" s="3">
        <f>SUM(Z$4:Z29)</f>
        <v>14536.951782695089</v>
      </c>
      <c r="AB29" s="3">
        <f>INDEX(BSFC!D$5:AD$27,MATCH('DUTY CYCLE'!Y29,BSFC!C$5:C$27,0),MATCH('DUTY CYCLE'!K29,BSFC!D$28:AD$28,0))</f>
        <v>959.80904135999981</v>
      </c>
      <c r="AC29" s="3">
        <f t="shared" si="11"/>
        <v>8.920214091675184E-2</v>
      </c>
      <c r="AD29" s="3">
        <f t="shared" si="12"/>
        <v>275.63461543276321</v>
      </c>
      <c r="AE29" s="3">
        <f>0.5*VEHICLE!C$47*('DUTY CYCLE'!M29^2)/1000</f>
        <v>34.776000309745804</v>
      </c>
      <c r="AF29" s="3">
        <f t="shared" si="2"/>
        <v>4.5586761657215575</v>
      </c>
    </row>
    <row r="30" spans="2:36" ht="17" x14ac:dyDescent="0.2">
      <c r="B30" s="3">
        <v>26</v>
      </c>
      <c r="C30" s="94"/>
      <c r="D30" s="59" t="s">
        <v>113</v>
      </c>
      <c r="E30" s="3" t="str">
        <f t="shared" si="0"/>
        <v>DOWNHILL</v>
      </c>
      <c r="F30" s="60">
        <v>8.6999999999999993</v>
      </c>
      <c r="G30" s="60">
        <f t="shared" si="3"/>
        <v>-0.30000000000000071</v>
      </c>
      <c r="H30" s="3">
        <f t="shared" si="4"/>
        <v>-1.5520321277356233</v>
      </c>
      <c r="I30" s="3">
        <f>SUM(M$4:M30)</f>
        <v>176.85961639395555</v>
      </c>
      <c r="J30" s="3">
        <f t="shared" si="5"/>
        <v>11.072276910736775</v>
      </c>
      <c r="K30" s="3">
        <v>5250</v>
      </c>
      <c r="L30" s="3">
        <v>3</v>
      </c>
      <c r="M30" s="3">
        <f>VLOOKUP(K30,VEHICLE!I$30:L$54,MATCH(L30,VEHICLE!I$30:L$30,0),0)</f>
        <v>11.072276910736765</v>
      </c>
      <c r="N30" s="3">
        <f t="shared" si="6"/>
        <v>0</v>
      </c>
      <c r="O30" s="3">
        <f>IF(L30=1,VEHICLE!C$68*'DUTY CYCLE'!N30,IF(L30=2,VEHICLE!C$69*'DUTY CYCLE'!N30,IF('DUTY CYCLE'!L30=3,VEHICLE!C$70*'DUTY CYCLE'!N30)))</f>
        <v>0</v>
      </c>
      <c r="P30" s="37">
        <v>1.2999999999999999E-2</v>
      </c>
      <c r="Q30" s="3">
        <f>P30*VEHICLE!C$47*9.81</f>
        <v>72.351594900000009</v>
      </c>
      <c r="R30" s="3">
        <f>0.5*VEHICLE!C$20*VEHICLE!C$28*1.2*((M30)^2)</f>
        <v>48.171500106494371</v>
      </c>
      <c r="S30" s="3">
        <f>VEHICLE!C$47*9.81*SIN(RADIANS(H30))</f>
        <v>-150.74041915051862</v>
      </c>
      <c r="T30" s="3">
        <f t="shared" si="7"/>
        <v>-30.217324144024246</v>
      </c>
      <c r="U30" s="3">
        <f t="shared" si="8"/>
        <v>0.33457458042412819</v>
      </c>
      <c r="V30" s="3">
        <f>((VEHICLE!C$12*1000)-U30*1000)/1000</f>
        <v>13.088244211522181</v>
      </c>
      <c r="W30" s="3">
        <f t="shared" si="1"/>
        <v>0.33457458042412819</v>
      </c>
      <c r="X30" s="3">
        <f t="shared" si="13"/>
        <v>0.60856226637025024</v>
      </c>
      <c r="Y30" s="3">
        <f t="shared" si="9"/>
        <v>1</v>
      </c>
      <c r="Z30" s="3">
        <f t="shared" si="10"/>
        <v>-30.217324144024246</v>
      </c>
      <c r="AA30" s="3">
        <f>SUM(Z$4:Z30)</f>
        <v>14506.734458551064</v>
      </c>
      <c r="AB30" s="3">
        <f>INDEX(BSFC!D$5:AD$27,MATCH('DUTY CYCLE'!Y30,BSFC!C$5:C$27,0),MATCH('DUTY CYCLE'!K30,BSFC!D$28:AD$28,0))</f>
        <v>959.80904135999981</v>
      </c>
      <c r="AC30" s="3">
        <f t="shared" si="11"/>
        <v>8.920214091675184E-2</v>
      </c>
      <c r="AD30" s="3">
        <f t="shared" si="12"/>
        <v>275.63461543276321</v>
      </c>
      <c r="AE30" s="3">
        <f>0.5*VEHICLE!C$47*('DUTY CYCLE'!M30^2)/1000</f>
        <v>34.776000309745804</v>
      </c>
      <c r="AF30" s="3">
        <f t="shared" si="2"/>
        <v>4.5586761657215575</v>
      </c>
    </row>
    <row r="31" spans="2:36" ht="17" x14ac:dyDescent="0.2">
      <c r="B31" s="3">
        <v>27</v>
      </c>
      <c r="C31" s="94"/>
      <c r="D31" s="59" t="s">
        <v>113</v>
      </c>
      <c r="E31" s="3" t="str">
        <f t="shared" si="0"/>
        <v>DOWNHILL</v>
      </c>
      <c r="F31" s="60">
        <v>8.4</v>
      </c>
      <c r="G31" s="60">
        <f t="shared" si="3"/>
        <v>-0.29999999999999893</v>
      </c>
      <c r="H31" s="3">
        <f t="shared" si="4"/>
        <v>-1.4815174019181869</v>
      </c>
      <c r="I31" s="3">
        <f>SUM(M$4:M31)</f>
        <v>188.45914458615596</v>
      </c>
      <c r="J31" s="3">
        <f t="shared" si="5"/>
        <v>11.59952819220041</v>
      </c>
      <c r="K31" s="3">
        <v>5500</v>
      </c>
      <c r="L31" s="3">
        <v>3</v>
      </c>
      <c r="M31" s="3">
        <f>VLOOKUP(K31,VEHICLE!I$30:L$54,MATCH(L31,VEHICLE!I$30:L$30,0),0)</f>
        <v>11.59952819220042</v>
      </c>
      <c r="N31" s="3">
        <f t="shared" si="6"/>
        <v>0.52725128146365563</v>
      </c>
      <c r="O31" s="3">
        <f>IF(L31=1,VEHICLE!C$68*'DUTY CYCLE'!N31,IF(L31=2,VEHICLE!C$69*'DUTY CYCLE'!N31,IF('DUTY CYCLE'!L31=3,VEHICLE!C$70*'DUTY CYCLE'!N31)))</f>
        <v>308.5467091910773</v>
      </c>
      <c r="P31" s="37">
        <v>1.2999999999999999E-2</v>
      </c>
      <c r="Q31" s="3">
        <f>P31*VEHICLE!C$47*9.81</f>
        <v>72.351594900000009</v>
      </c>
      <c r="R31" s="3">
        <f>0.5*VEHICLE!C$20*VEHICLE!C$28*1.2*((M31)^2)</f>
        <v>52.868494447943938</v>
      </c>
      <c r="S31" s="3">
        <f>VEHICLE!C$47*9.81*SIN(RADIANS(H31))</f>
        <v>-143.89327102815963</v>
      </c>
      <c r="T31" s="3">
        <f t="shared" si="7"/>
        <v>289.87352751086161</v>
      </c>
      <c r="U31" s="3">
        <f t="shared" si="8"/>
        <v>3.3623961545348235</v>
      </c>
      <c r="V31" s="3">
        <f>((VEHICLE!C$12*1000)-U31*1000)/1000</f>
        <v>10.060422637411486</v>
      </c>
      <c r="W31" s="3">
        <f t="shared" si="1"/>
        <v>3.3623961545348235</v>
      </c>
      <c r="X31" s="3">
        <f t="shared" si="13"/>
        <v>5.8379123850261561</v>
      </c>
      <c r="Y31" s="3">
        <f t="shared" si="9"/>
        <v>6</v>
      </c>
      <c r="Z31" s="3">
        <f t="shared" si="10"/>
        <v>289.87352751086161</v>
      </c>
      <c r="AA31" s="3">
        <f>SUM(Z$4:Z31)</f>
        <v>14796.607986061925</v>
      </c>
      <c r="AB31" s="3">
        <f>INDEX(BSFC!D$5:AD$27,MATCH('DUTY CYCLE'!Y31,BSFC!C$5:C$27,0),MATCH('DUTY CYCLE'!K31,BSFC!D$28:AD$28,0))</f>
        <v>530.98202200000003</v>
      </c>
      <c r="AC31" s="3">
        <f t="shared" si="11"/>
        <v>0.49593664136109028</v>
      </c>
      <c r="AD31" s="3">
        <f t="shared" si="12"/>
        <v>1532.4442218057691</v>
      </c>
      <c r="AE31" s="3">
        <f>0.5*VEHICLE!C$47*('DUTY CYCLE'!M31^2)/1000</f>
        <v>38.166857482804915</v>
      </c>
      <c r="AF31" s="3">
        <f t="shared" si="2"/>
        <v>328.04038499366652</v>
      </c>
    </row>
    <row r="32" spans="2:36" ht="17" x14ac:dyDescent="0.2">
      <c r="B32" s="3">
        <v>28</v>
      </c>
      <c r="C32" s="94"/>
      <c r="D32" s="59" t="s">
        <v>113</v>
      </c>
      <c r="E32" s="3" t="str">
        <f t="shared" si="0"/>
        <v>DOWNHILL</v>
      </c>
      <c r="F32" s="60">
        <v>8.1</v>
      </c>
      <c r="G32" s="60">
        <f t="shared" si="3"/>
        <v>-0.30000000000000071</v>
      </c>
      <c r="H32" s="3">
        <f t="shared" si="4"/>
        <v>-1.481517401918196</v>
      </c>
      <c r="I32" s="3">
        <f>SUM(M$4:M32)</f>
        <v>200.05867277835637</v>
      </c>
      <c r="J32" s="3">
        <f t="shared" si="5"/>
        <v>11.59952819220041</v>
      </c>
      <c r="K32" s="3">
        <v>5500</v>
      </c>
      <c r="L32" s="3">
        <v>3</v>
      </c>
      <c r="M32" s="3">
        <f>VLOOKUP(K32,VEHICLE!I$30:L$54,MATCH(L32,VEHICLE!I$30:L$30,0),0)</f>
        <v>11.59952819220042</v>
      </c>
      <c r="N32" s="3">
        <f t="shared" si="6"/>
        <v>0</v>
      </c>
      <c r="O32" s="3">
        <f>IF(L32=1,VEHICLE!C$68*'DUTY CYCLE'!N32,IF(L32=2,VEHICLE!C$69*'DUTY CYCLE'!N32,IF('DUTY CYCLE'!L32=3,VEHICLE!C$70*'DUTY CYCLE'!N32)))</f>
        <v>0</v>
      </c>
      <c r="P32" s="37">
        <v>1.2999999999999999E-2</v>
      </c>
      <c r="Q32" s="3">
        <f>P32*VEHICLE!C$47*9.81</f>
        <v>72.351594900000009</v>
      </c>
      <c r="R32" s="3">
        <f>0.5*VEHICLE!C$20*VEHICLE!C$28*1.2*((M32)^2)</f>
        <v>52.868494447943938</v>
      </c>
      <c r="S32" s="3">
        <f>VEHICLE!C$47*9.81*SIN(RADIANS(H32))</f>
        <v>-143.89327102816054</v>
      </c>
      <c r="T32" s="3">
        <f t="shared" si="7"/>
        <v>-18.673181680216601</v>
      </c>
      <c r="U32" s="3">
        <f t="shared" si="8"/>
        <v>0.21660009733775287</v>
      </c>
      <c r="V32" s="3">
        <f>((VEHICLE!C$12*1000)-U32*1000)/1000</f>
        <v>13.206218694608557</v>
      </c>
      <c r="W32" s="3">
        <f t="shared" si="1"/>
        <v>0.21660009733775287</v>
      </c>
      <c r="X32" s="3">
        <f t="shared" si="13"/>
        <v>0.37606883089624427</v>
      </c>
      <c r="Y32" s="3">
        <f t="shared" si="9"/>
        <v>1</v>
      </c>
      <c r="Z32" s="3">
        <f t="shared" si="10"/>
        <v>-18.673181680216601</v>
      </c>
      <c r="AA32" s="3">
        <f>SUM(Z$4:Z32)</f>
        <v>14777.934804381708</v>
      </c>
      <c r="AB32" s="3">
        <f>INDEX(BSFC!D$5:AD$27,MATCH('DUTY CYCLE'!Y32,BSFC!C$5:C$27,0),MATCH('DUTY CYCLE'!K32,BSFC!D$28:AD$28,0))</f>
        <v>937.87346920000005</v>
      </c>
      <c r="AC32" s="3">
        <f t="shared" si="11"/>
        <v>5.6428745755337774E-2</v>
      </c>
      <c r="AD32" s="3">
        <f t="shared" si="12"/>
        <v>174.36482438399372</v>
      </c>
      <c r="AE32" s="3">
        <f>0.5*VEHICLE!C$47*('DUTY CYCLE'!M32^2)/1000</f>
        <v>38.166857482804915</v>
      </c>
      <c r="AF32" s="3">
        <f t="shared" si="2"/>
        <v>19.493675802588314</v>
      </c>
    </row>
    <row r="33" spans="2:32" ht="17" x14ac:dyDescent="0.2">
      <c r="B33" s="3">
        <v>29</v>
      </c>
      <c r="C33" s="94"/>
      <c r="D33" s="59" t="s">
        <v>113</v>
      </c>
      <c r="E33" s="3" t="str">
        <f t="shared" si="0"/>
        <v>DOWNHILL</v>
      </c>
      <c r="F33" s="60">
        <v>7.8</v>
      </c>
      <c r="G33" s="60">
        <f t="shared" si="3"/>
        <v>-0.29999999999999982</v>
      </c>
      <c r="H33" s="3">
        <f t="shared" si="4"/>
        <v>-1.4815174019181916</v>
      </c>
      <c r="I33" s="3">
        <f>SUM(M$4:M33)</f>
        <v>211.65820097055678</v>
      </c>
      <c r="J33" s="3">
        <f t="shared" si="5"/>
        <v>11.59952819220041</v>
      </c>
      <c r="K33" s="3">
        <v>5500</v>
      </c>
      <c r="L33" s="3">
        <v>3</v>
      </c>
      <c r="M33" s="3">
        <f>VLOOKUP(K33,VEHICLE!I$30:L$54,MATCH(L33,VEHICLE!I$30:L$30,0),0)</f>
        <v>11.59952819220042</v>
      </c>
      <c r="N33" s="3">
        <f t="shared" si="6"/>
        <v>0</v>
      </c>
      <c r="O33" s="3">
        <f>IF(L33=1,VEHICLE!C$68*'DUTY CYCLE'!N33,IF(L33=2,VEHICLE!C$69*'DUTY CYCLE'!N33,IF('DUTY CYCLE'!L33=3,VEHICLE!C$70*'DUTY CYCLE'!N33)))</f>
        <v>0</v>
      </c>
      <c r="P33" s="37">
        <v>1.2999999999999999E-2</v>
      </c>
      <c r="Q33" s="3">
        <f>P33*VEHICLE!C$47*9.81</f>
        <v>72.351594900000009</v>
      </c>
      <c r="R33" s="3">
        <f>0.5*VEHICLE!C$20*VEHICLE!C$28*1.2*((M33)^2)</f>
        <v>52.868494447943938</v>
      </c>
      <c r="S33" s="3">
        <f>VEHICLE!C$47*9.81*SIN(RADIANS(H33))</f>
        <v>-143.89327102816009</v>
      </c>
      <c r="T33" s="3">
        <f t="shared" si="7"/>
        <v>-18.673181680216146</v>
      </c>
      <c r="U33" s="3">
        <f t="shared" si="8"/>
        <v>0.2166000973377476</v>
      </c>
      <c r="V33" s="3">
        <f>((VEHICLE!C$12*1000)-U33*1000)/1000</f>
        <v>13.206218694608562</v>
      </c>
      <c r="W33" s="3">
        <f t="shared" si="1"/>
        <v>0.2166000973377476</v>
      </c>
      <c r="X33" s="3">
        <f t="shared" si="13"/>
        <v>0.37606883089623511</v>
      </c>
      <c r="Y33" s="3">
        <f t="shared" si="9"/>
        <v>1</v>
      </c>
      <c r="Z33" s="3">
        <f t="shared" si="10"/>
        <v>-18.673181680216146</v>
      </c>
      <c r="AA33" s="3">
        <f>SUM(Z$4:Z33)</f>
        <v>14759.261622701491</v>
      </c>
      <c r="AB33" s="3">
        <f>INDEX(BSFC!D$5:AD$27,MATCH('DUTY CYCLE'!Y33,BSFC!C$5:C$27,0),MATCH('DUTY CYCLE'!K33,BSFC!D$28:AD$28,0))</f>
        <v>937.87346920000005</v>
      </c>
      <c r="AC33" s="3">
        <f t="shared" si="11"/>
        <v>5.64287457553364E-2</v>
      </c>
      <c r="AD33" s="3">
        <f t="shared" si="12"/>
        <v>174.36482438398949</v>
      </c>
      <c r="AE33" s="3">
        <f>0.5*VEHICLE!C$47*('DUTY CYCLE'!M33^2)/1000</f>
        <v>38.166857482804915</v>
      </c>
      <c r="AF33" s="3">
        <f t="shared" si="2"/>
        <v>19.493675802588768</v>
      </c>
    </row>
    <row r="34" spans="2:32" ht="17" x14ac:dyDescent="0.2">
      <c r="B34" s="3">
        <v>30</v>
      </c>
      <c r="C34" s="94" t="s">
        <v>89</v>
      </c>
      <c r="D34" s="59" t="s">
        <v>113</v>
      </c>
      <c r="E34" s="3" t="str">
        <f t="shared" si="0"/>
        <v>DOWNHILL</v>
      </c>
      <c r="F34" s="60">
        <v>7.5</v>
      </c>
      <c r="G34" s="60">
        <f t="shared" si="3"/>
        <v>-0.29999999999999982</v>
      </c>
      <c r="H34" s="3">
        <f t="shared" si="4"/>
        <v>-1.6295928866264389</v>
      </c>
      <c r="I34" s="3">
        <f>SUM(M$4:M34)</f>
        <v>222.20322659982989</v>
      </c>
      <c r="J34" s="3">
        <f t="shared" si="5"/>
        <v>10.545025629273113</v>
      </c>
      <c r="K34" s="3">
        <v>5000</v>
      </c>
      <c r="L34" s="3">
        <v>3</v>
      </c>
      <c r="M34" s="3">
        <f>VLOOKUP(K34,VEHICLE!I$30:L$54,MATCH(L34,VEHICLE!I$30:L$30,0),0)</f>
        <v>10.545025629273109</v>
      </c>
      <c r="N34" s="3">
        <f t="shared" si="6"/>
        <v>-1.0545025629273113</v>
      </c>
      <c r="O34" s="3">
        <f>IF(L34=1,VEHICLE!C$68*'DUTY CYCLE'!N34,IF(L34=2,VEHICLE!C$69*'DUTY CYCLE'!N34,IF('DUTY CYCLE'!L34=3,VEHICLE!C$70*'DUTY CYCLE'!N34)))</f>
        <v>-617.0934183821546</v>
      </c>
      <c r="P34" s="37">
        <v>1.2999999999999999E-2</v>
      </c>
      <c r="Q34" s="3">
        <f>P34*VEHICLE!C$47*9.81</f>
        <v>72.351594900000009</v>
      </c>
      <c r="R34" s="3">
        <f>0.5*VEHICLE!C$20*VEHICLE!C$28*1.2*((M34)^2)</f>
        <v>43.692970618135483</v>
      </c>
      <c r="S34" s="3">
        <f>VEHICLE!C$47*9.81*SIN(RADIANS(H34))</f>
        <v>-158.27148981547424</v>
      </c>
      <c r="T34" s="3">
        <f>SUM(Q34:S34)+O34</f>
        <v>-659.32034267949336</v>
      </c>
      <c r="U34" s="3">
        <f t="shared" si="8"/>
        <v>6.9525499114563862</v>
      </c>
      <c r="V34" s="3">
        <f>((VEHICLE!C$12*1000)-U34*1000)/1000</f>
        <v>6.4702688804899227</v>
      </c>
      <c r="W34" s="3">
        <f t="shared" si="1"/>
        <v>6.9525499114563862</v>
      </c>
      <c r="X34" s="3">
        <f t="shared" si="13"/>
        <v>13.278392226016837</v>
      </c>
      <c r="Y34" s="3">
        <f t="shared" si="9"/>
        <v>14</v>
      </c>
      <c r="Z34" s="3">
        <f t="shared" si="10"/>
        <v>-659.32034267949336</v>
      </c>
      <c r="AA34" s="3">
        <f>SUM(Z$4:Z34)</f>
        <v>14099.941280021998</v>
      </c>
      <c r="AB34" s="3">
        <f>INDEX(BSFC!D$5:AD$27,MATCH('DUTY CYCLE'!Y34,BSFC!C$5:C$27,0),MATCH('DUTY CYCLE'!K34,BSFC!D$28:AD$28,0))</f>
        <v>358.75046488000004</v>
      </c>
      <c r="AC34" s="3">
        <f t="shared" si="11"/>
        <v>0.69284180912121718</v>
      </c>
      <c r="AD34" s="3">
        <f t="shared" si="12"/>
        <v>2140.8811901845611</v>
      </c>
      <c r="AE34" s="3">
        <f>0.5*VEHICLE!C$47*('DUTY CYCLE'!M34^2)/1000</f>
        <v>31.542857423805714</v>
      </c>
      <c r="AF34" s="3">
        <f t="shared" si="2"/>
        <v>-627.77748525568768</v>
      </c>
    </row>
    <row r="35" spans="2:32" ht="17" x14ac:dyDescent="0.2">
      <c r="B35" s="3">
        <v>31</v>
      </c>
      <c r="C35" s="94"/>
      <c r="D35" s="59" t="s">
        <v>113</v>
      </c>
      <c r="E35" s="3" t="str">
        <f t="shared" si="0"/>
        <v>DOWNHILL</v>
      </c>
      <c r="F35" s="60">
        <v>7.2</v>
      </c>
      <c r="G35" s="60">
        <f t="shared" si="3"/>
        <v>-0.29999999999999982</v>
      </c>
      <c r="H35" s="3">
        <f t="shared" si="4"/>
        <v>-1.7153109745354889</v>
      </c>
      <c r="I35" s="3">
        <f>SUM(M$4:M35)</f>
        <v>232.22100094763934</v>
      </c>
      <c r="J35" s="3">
        <f t="shared" si="5"/>
        <v>10.01777434780945</v>
      </c>
      <c r="K35" s="3">
        <v>4750</v>
      </c>
      <c r="L35" s="3">
        <v>3</v>
      </c>
      <c r="M35" s="3">
        <f>VLOOKUP(K35,VEHICLE!I$30:L$54,MATCH(L35,VEHICLE!I$30:L$30,0),0)</f>
        <v>10.017774347809453</v>
      </c>
      <c r="N35" s="3">
        <f t="shared" si="6"/>
        <v>-0.52725128146365563</v>
      </c>
      <c r="O35" s="3">
        <f>IF(L35=1,VEHICLE!C$68*'DUTY CYCLE'!N35,IF(L35=2,VEHICLE!C$69*'DUTY CYCLE'!N35,IF('DUTY CYCLE'!L35=3,VEHICLE!C$70*'DUTY CYCLE'!N35)))</f>
        <v>-308.5467091910773</v>
      </c>
      <c r="P35" s="37">
        <v>1.2999999999999999E-2</v>
      </c>
      <c r="Q35" s="3">
        <f>P35*VEHICLE!C$47*9.81</f>
        <v>72.351594900000009</v>
      </c>
      <c r="R35" s="3">
        <f>0.5*VEHICLE!C$20*VEHICLE!C$28*1.2*((M35)^2)</f>
        <v>39.432905982867275</v>
      </c>
      <c r="S35" s="3">
        <f>VEHICLE!C$47*9.81*SIN(RADIANS(H35))</f>
        <v>-166.59429086604277</v>
      </c>
      <c r="T35" s="3">
        <f t="shared" si="7"/>
        <v>-363.3564991742528</v>
      </c>
      <c r="U35" s="3">
        <f t="shared" si="8"/>
        <v>3.6400234165376766</v>
      </c>
      <c r="V35" s="3">
        <f>((VEHICLE!C$12*1000)-U35*1000)/1000</f>
        <v>9.7827953754086323</v>
      </c>
      <c r="W35" s="3">
        <f t="shared" si="1"/>
        <v>3.6400234165376766</v>
      </c>
      <c r="X35" s="3">
        <f t="shared" si="13"/>
        <v>7.3178238279438359</v>
      </c>
      <c r="Y35" s="3">
        <f t="shared" si="9"/>
        <v>8</v>
      </c>
      <c r="Z35" s="3">
        <f t="shared" si="10"/>
        <v>-363.3564991742528</v>
      </c>
      <c r="AA35" s="3">
        <f>SUM(Z$4:Z35)</f>
        <v>13736.584780847745</v>
      </c>
      <c r="AB35" s="3">
        <f>INDEX(BSFC!D$5:AD$27,MATCH('DUTY CYCLE'!Y35,BSFC!C$5:C$27,0),MATCH('DUTY CYCLE'!K35,BSFC!D$28:AD$28,0))</f>
        <v>524.2310318437502</v>
      </c>
      <c r="AC35" s="3">
        <f t="shared" si="11"/>
        <v>0.53005923099637753</v>
      </c>
      <c r="AD35" s="3">
        <f t="shared" si="12"/>
        <v>1637.8830237788065</v>
      </c>
      <c r="AE35" s="3">
        <f>0.5*VEHICLE!C$47*('DUTY CYCLE'!M35^2)/1000</f>
        <v>28.467428824984658</v>
      </c>
      <c r="AF35" s="3">
        <f t="shared" si="2"/>
        <v>-334.88907034926814</v>
      </c>
    </row>
    <row r="36" spans="2:32" ht="17" x14ac:dyDescent="0.2">
      <c r="B36" s="3">
        <v>32</v>
      </c>
      <c r="C36" s="94"/>
      <c r="D36" s="59" t="s">
        <v>113</v>
      </c>
      <c r="E36" s="3" t="str">
        <f t="shared" si="0"/>
        <v>DOWNHILL</v>
      </c>
      <c r="F36" s="60">
        <v>6.9</v>
      </c>
      <c r="G36" s="60">
        <f t="shared" si="3"/>
        <v>-0.29999999999999982</v>
      </c>
      <c r="H36" s="3">
        <f t="shared" si="4"/>
        <v>-2.1327721266124411</v>
      </c>
      <c r="I36" s="3">
        <f>SUM(M$4:M36)</f>
        <v>240.27661734347663</v>
      </c>
      <c r="J36" s="3">
        <f t="shared" si="5"/>
        <v>8.0556163958372906</v>
      </c>
      <c r="K36" s="3">
        <v>5000</v>
      </c>
      <c r="L36" s="3">
        <v>2</v>
      </c>
      <c r="M36" s="3">
        <f>VLOOKUP(K36,VEHICLE!I$30:L$54,MATCH(L36,VEHICLE!I$30:L$30,0),0)</f>
        <v>8.0556163958372817</v>
      </c>
      <c r="N36" s="3">
        <f t="shared" si="6"/>
        <v>-1.9621579519721717</v>
      </c>
      <c r="O36" s="3">
        <f>IF(L36=1,VEHICLE!C$68*'DUTY CYCLE'!N36,IF(L36=2,VEHICLE!C$69*'DUTY CYCLE'!N36,IF('DUTY CYCLE'!L36=3,VEHICLE!C$70*'DUTY CYCLE'!N36)))</f>
        <v>-1153.3210030682608</v>
      </c>
      <c r="P36" s="37">
        <v>1.2999999999999999E-2</v>
      </c>
      <c r="Q36" s="3">
        <f>P36*VEHICLE!C$47*9.81</f>
        <v>72.351594900000009</v>
      </c>
      <c r="R36" s="3">
        <f>0.5*VEHICLE!C$20*VEHICLE!C$28*1.2*((M36)^2)</f>
        <v>25.49845390420413</v>
      </c>
      <c r="S36" s="3">
        <f>VEHICLE!C$47*9.81*SIN(RADIANS(H36))</f>
        <v>-207.12202408373744</v>
      </c>
      <c r="T36" s="3">
        <f t="shared" si="7"/>
        <v>-1262.5929783477941</v>
      </c>
      <c r="U36" s="3">
        <f t="shared" si="8"/>
        <v>10.170964697647516</v>
      </c>
      <c r="V36" s="3">
        <f>((VEHICLE!C$12*1000)-U36*1000)/1000</f>
        <v>3.251854094298793</v>
      </c>
      <c r="W36" s="3">
        <f t="shared" si="1"/>
        <v>10.170964697647516</v>
      </c>
      <c r="X36" s="3">
        <f t="shared" si="13"/>
        <v>19.425111691725203</v>
      </c>
      <c r="Y36" s="3">
        <f t="shared" si="9"/>
        <v>20</v>
      </c>
      <c r="Z36" s="3">
        <f t="shared" si="10"/>
        <v>-1262.5929783477941</v>
      </c>
      <c r="AA36" s="3">
        <f>SUM(Z$4:Z36)</f>
        <v>12473.99180249995</v>
      </c>
      <c r="AB36" s="3">
        <f>INDEX(BSFC!D$5:AD$27,MATCH('DUTY CYCLE'!Y36,BSFC!C$5:C$27,0),MATCH('DUTY CYCLE'!K36,BSFC!D$28:AD$28,0))</f>
        <v>501.69742456</v>
      </c>
      <c r="AC36" s="3">
        <f t="shared" si="11"/>
        <v>1.4174296650278995</v>
      </c>
      <c r="AD36" s="3">
        <f t="shared" si="12"/>
        <v>4379.8576649362094</v>
      </c>
      <c r="AE36" s="3">
        <f>0.5*VEHICLE!C$47*('DUTY CYCLE'!M36^2)/1000</f>
        <v>18.40786022669646</v>
      </c>
      <c r="AF36" s="3">
        <f t="shared" si="2"/>
        <v>-1244.1851181210977</v>
      </c>
    </row>
    <row r="37" spans="2:32" ht="17" x14ac:dyDescent="0.2">
      <c r="B37" s="3">
        <v>33</v>
      </c>
      <c r="C37" s="94"/>
      <c r="D37" s="59" t="s">
        <v>113</v>
      </c>
      <c r="E37" s="3" t="str">
        <f t="shared" si="0"/>
        <v>DOWNHILL</v>
      </c>
      <c r="F37" s="60">
        <v>6.6</v>
      </c>
      <c r="G37" s="60">
        <f t="shared" si="3"/>
        <v>-0.30000000000000071</v>
      </c>
      <c r="H37" s="3">
        <f t="shared" si="4"/>
        <v>-2.1327721266124473</v>
      </c>
      <c r="I37" s="3">
        <f>SUM(M$4:M37)</f>
        <v>248.33223373931392</v>
      </c>
      <c r="J37" s="3">
        <f t="shared" si="5"/>
        <v>8.0556163958372906</v>
      </c>
      <c r="K37" s="3">
        <v>5000</v>
      </c>
      <c r="L37" s="3">
        <v>2</v>
      </c>
      <c r="M37" s="3">
        <f>VLOOKUP(K37,VEHICLE!I$30:L$54,MATCH(L37,VEHICLE!I$30:L$30,0),0)</f>
        <v>8.0556163958372817</v>
      </c>
      <c r="N37" s="3">
        <f t="shared" si="6"/>
        <v>0</v>
      </c>
      <c r="O37" s="3">
        <f>IF(L37=1,VEHICLE!C$68*'DUTY CYCLE'!N37,IF(L37=2,VEHICLE!C$69*'DUTY CYCLE'!N37,IF('DUTY CYCLE'!L37=3,VEHICLE!C$70*'DUTY CYCLE'!N37)))</f>
        <v>0</v>
      </c>
      <c r="P37" s="37">
        <v>1.2999999999999999E-2</v>
      </c>
      <c r="Q37" s="3">
        <f>P37*VEHICLE!C$47*9.81</f>
        <v>72.351594900000009</v>
      </c>
      <c r="R37" s="3">
        <f>0.5*VEHICLE!C$20*VEHICLE!C$28*1.2*((M37)^2)</f>
        <v>25.49845390420413</v>
      </c>
      <c r="S37" s="3">
        <f>VEHICLE!C$47*9.81*SIN(RADIANS(H37))</f>
        <v>-207.12202408373807</v>
      </c>
      <c r="T37" s="3">
        <f t="shared" si="7"/>
        <v>-109.27197527953393</v>
      </c>
      <c r="U37" s="3">
        <f t="shared" si="8"/>
        <v>0.88025311566733966</v>
      </c>
      <c r="V37" s="3">
        <f>((VEHICLE!C$12*1000)-U37*1000)/1000</f>
        <v>12.54256567627897</v>
      </c>
      <c r="W37" s="3">
        <f t="shared" si="1"/>
        <v>0.88025311566733966</v>
      </c>
      <c r="X37" s="3">
        <f t="shared" si="13"/>
        <v>1.6811596143659882</v>
      </c>
      <c r="Y37" s="3">
        <f t="shared" si="9"/>
        <v>2</v>
      </c>
      <c r="Z37" s="3">
        <f t="shared" si="10"/>
        <v>-109.27197527953393</v>
      </c>
      <c r="AA37" s="3">
        <f>SUM(Z$4:Z37)</f>
        <v>12364.719827220415</v>
      </c>
      <c r="AB37" s="3">
        <f>INDEX(BSFC!D$5:AD$27,MATCH('DUTY CYCLE'!Y37,BSFC!C$5:C$27,0),MATCH('DUTY CYCLE'!K37,BSFC!D$28:AD$28,0))</f>
        <v>881.18348872000001</v>
      </c>
      <c r="AC37" s="3">
        <f t="shared" si="11"/>
        <v>0.21546236428344334</v>
      </c>
      <c r="AD37" s="3">
        <f t="shared" si="12"/>
        <v>665.77870563583997</v>
      </c>
      <c r="AE37" s="3">
        <f>0.5*VEHICLE!C$47*('DUTY CYCLE'!M37^2)/1000</f>
        <v>18.40786022669646</v>
      </c>
      <c r="AF37" s="3">
        <f t="shared" si="2"/>
        <v>-90.864115052837477</v>
      </c>
    </row>
    <row r="38" spans="2:32" ht="17" x14ac:dyDescent="0.2">
      <c r="B38" s="3">
        <v>34</v>
      </c>
      <c r="C38" s="94"/>
      <c r="D38" s="59" t="s">
        <v>113</v>
      </c>
      <c r="E38" s="3" t="str">
        <f t="shared" si="0"/>
        <v>DOWNHILL</v>
      </c>
      <c r="F38" s="60">
        <v>6.3</v>
      </c>
      <c r="G38" s="60">
        <f t="shared" si="3"/>
        <v>-0.29999999999999982</v>
      </c>
      <c r="H38" s="3">
        <f t="shared" si="4"/>
        <v>-2.1327721266124411</v>
      </c>
      <c r="I38" s="3">
        <f>SUM(M$4:M38)</f>
        <v>256.38785013515121</v>
      </c>
      <c r="J38" s="3">
        <f t="shared" si="5"/>
        <v>8.0556163958372906</v>
      </c>
      <c r="K38" s="3">
        <v>5000</v>
      </c>
      <c r="L38" s="3">
        <v>2</v>
      </c>
      <c r="M38" s="3">
        <f>VLOOKUP(K38,VEHICLE!I$30:L$54,MATCH(L38,VEHICLE!I$30:L$30,0),0)</f>
        <v>8.0556163958372817</v>
      </c>
      <c r="N38" s="3">
        <f t="shared" si="6"/>
        <v>0</v>
      </c>
      <c r="O38" s="3">
        <f>IF(L38=1,VEHICLE!C$68*'DUTY CYCLE'!N38,IF(L38=2,VEHICLE!C$69*'DUTY CYCLE'!N38,IF('DUTY CYCLE'!L38=3,VEHICLE!C$70*'DUTY CYCLE'!N38)))</f>
        <v>0</v>
      </c>
      <c r="P38" s="37">
        <v>1.2999999999999999E-2</v>
      </c>
      <c r="Q38" s="3">
        <f>P38*VEHICLE!C$47*9.81</f>
        <v>72.351594900000009</v>
      </c>
      <c r="R38" s="3">
        <f>0.5*VEHICLE!C$20*VEHICLE!C$28*1.2*((M38)^2)</f>
        <v>25.49845390420413</v>
      </c>
      <c r="S38" s="3">
        <f>VEHICLE!C$47*9.81*SIN(RADIANS(H38))</f>
        <v>-207.12202408373744</v>
      </c>
      <c r="T38" s="3">
        <f t="shared" si="7"/>
        <v>-109.27197527953331</v>
      </c>
      <c r="U38" s="3">
        <f t="shared" si="8"/>
        <v>0.88025311566733466</v>
      </c>
      <c r="V38" s="3">
        <f>((VEHICLE!C$12*1000)-U38*1000)/1000</f>
        <v>12.542565676278976</v>
      </c>
      <c r="W38" s="3">
        <f t="shared" si="1"/>
        <v>0.88025311566733466</v>
      </c>
      <c r="X38" s="3">
        <f t="shared" si="13"/>
        <v>1.6811596143659786</v>
      </c>
      <c r="Y38" s="3">
        <f t="shared" si="9"/>
        <v>2</v>
      </c>
      <c r="Z38" s="3">
        <f t="shared" si="10"/>
        <v>-109.27197527953331</v>
      </c>
      <c r="AA38" s="3">
        <f>SUM(Z$4:Z38)</f>
        <v>12255.447851940882</v>
      </c>
      <c r="AB38" s="3">
        <f>INDEX(BSFC!D$5:AD$27,MATCH('DUTY CYCLE'!Y38,BSFC!C$5:C$27,0),MATCH('DUTY CYCLE'!K38,BSFC!D$28:AD$28,0))</f>
        <v>881.18348872000001</v>
      </c>
      <c r="AC38" s="3">
        <f t="shared" si="11"/>
        <v>0.21546236428344215</v>
      </c>
      <c r="AD38" s="3">
        <f t="shared" si="12"/>
        <v>665.77870563583622</v>
      </c>
      <c r="AE38" s="3">
        <f>0.5*VEHICLE!C$47*('DUTY CYCLE'!M38^2)/1000</f>
        <v>18.40786022669646</v>
      </c>
      <c r="AF38" s="3">
        <f t="shared" si="2"/>
        <v>-90.864115052836851</v>
      </c>
    </row>
    <row r="39" spans="2:32" ht="17" x14ac:dyDescent="0.2">
      <c r="B39" s="3">
        <v>35</v>
      </c>
      <c r="C39" s="94"/>
      <c r="D39" s="59" t="s">
        <v>113</v>
      </c>
      <c r="E39" s="3" t="str">
        <f t="shared" si="0"/>
        <v>DOWNHILL</v>
      </c>
      <c r="F39" s="60">
        <v>6</v>
      </c>
      <c r="G39" s="60">
        <f t="shared" si="3"/>
        <v>-0.29999999999999982</v>
      </c>
      <c r="H39" s="3">
        <f t="shared" si="4"/>
        <v>-2.0312987530772069</v>
      </c>
      <c r="I39" s="3">
        <f>SUM(M$4:M39)</f>
        <v>264.84624735078035</v>
      </c>
      <c r="J39" s="3">
        <f t="shared" si="5"/>
        <v>8.4583972156291338</v>
      </c>
      <c r="K39" s="3">
        <v>5250</v>
      </c>
      <c r="L39" s="3">
        <v>2</v>
      </c>
      <c r="M39" s="3">
        <f>VLOOKUP(K39,VEHICLE!I$30:L$54,MATCH(L39,VEHICLE!I$30:L$30,0),0)</f>
        <v>8.458397215629148</v>
      </c>
      <c r="N39" s="3">
        <f t="shared" si="6"/>
        <v>0.40278081979186631</v>
      </c>
      <c r="O39" s="3">
        <f>IF(L39=1,VEHICLE!C$68*'DUTY CYCLE'!N39,IF(L39=2,VEHICLE!C$69*'DUTY CYCLE'!N39,IF('DUTY CYCLE'!L39=3,VEHICLE!C$70*'DUTY CYCLE'!N39)))</f>
        <v>236.74729072249525</v>
      </c>
      <c r="P39" s="37">
        <v>1.2999999999999999E-2</v>
      </c>
      <c r="Q39" s="3">
        <f>P39*VEHICLE!C$47*9.81</f>
        <v>72.351594900000009</v>
      </c>
      <c r="R39" s="3">
        <f>0.5*VEHICLE!C$20*VEHICLE!C$28*1.2*((M39)^2)</f>
        <v>28.11204542938507</v>
      </c>
      <c r="S39" s="3">
        <f>VEHICLE!C$47*9.81*SIN(RADIANS(H39))</f>
        <v>-197.27177153636731</v>
      </c>
      <c r="T39" s="3">
        <f t="shared" si="7"/>
        <v>139.93915951551301</v>
      </c>
      <c r="U39" s="3">
        <f t="shared" si="8"/>
        <v>1.1836609972034984</v>
      </c>
      <c r="V39" s="3">
        <f>((VEHICLE!C$12*1000)-U39*1000)/1000</f>
        <v>12.239157794742811</v>
      </c>
      <c r="W39" s="3">
        <f t="shared" si="1"/>
        <v>1.1836609972034984</v>
      </c>
      <c r="X39" s="3">
        <f t="shared" si="13"/>
        <v>2.1529771274287874</v>
      </c>
      <c r="Y39" s="3">
        <f t="shared" si="9"/>
        <v>3</v>
      </c>
      <c r="Z39" s="3">
        <f t="shared" si="10"/>
        <v>139.93915951551301</v>
      </c>
      <c r="AA39" s="3">
        <f>SUM(Z$4:Z39)</f>
        <v>12395.387011456396</v>
      </c>
      <c r="AB39" s="3">
        <f>INDEX(BSFC!D$5:AD$27,MATCH('DUTY CYCLE'!Y39,BSFC!C$5:C$27,0),MATCH('DUTY CYCLE'!K39,BSFC!D$28:AD$28,0))</f>
        <v>787.59409607999999</v>
      </c>
      <c r="AC39" s="3">
        <f t="shared" si="11"/>
        <v>0.25895678143267797</v>
      </c>
      <c r="AD39" s="3">
        <f t="shared" si="12"/>
        <v>800.17645462697499</v>
      </c>
      <c r="AE39" s="3">
        <f>0.5*VEHICLE!C$47*('DUTY CYCLE'!M39^2)/1000</f>
        <v>20.294665899932859</v>
      </c>
      <c r="AF39" s="3">
        <f t="shared" si="2"/>
        <v>160.23382541544586</v>
      </c>
    </row>
    <row r="40" spans="2:32" ht="17" x14ac:dyDescent="0.2">
      <c r="B40" s="3">
        <v>36</v>
      </c>
      <c r="C40" s="94" t="s">
        <v>88</v>
      </c>
      <c r="D40" s="59" t="s">
        <v>113</v>
      </c>
      <c r="E40" s="3" t="str">
        <f t="shared" si="0"/>
        <v>DOWNHILL</v>
      </c>
      <c r="F40" s="60">
        <v>5.7</v>
      </c>
      <c r="G40" s="60">
        <f t="shared" si="3"/>
        <v>-0.29999999999999982</v>
      </c>
      <c r="H40" s="3">
        <f t="shared" si="4"/>
        <v>-1.8105442703701522</v>
      </c>
      <c r="I40" s="3">
        <f>SUM(M$4:M40)</f>
        <v>274.33677041712616</v>
      </c>
      <c r="J40" s="3">
        <f t="shared" si="5"/>
        <v>9.4905230663458156</v>
      </c>
      <c r="K40" s="3">
        <v>4500</v>
      </c>
      <c r="L40" s="3">
        <v>3</v>
      </c>
      <c r="M40" s="3">
        <f>VLOOKUP(K40,VEHICLE!I$30:L$54,MATCH(L40,VEHICLE!I$30:L$30,0),0)</f>
        <v>9.4905230663458013</v>
      </c>
      <c r="N40" s="3">
        <f t="shared" si="6"/>
        <v>1.0321258507166533</v>
      </c>
      <c r="O40" s="3">
        <f>IF(L40=1,VEHICLE!C$68*'DUTY CYCLE'!N40,IF(L40=2,VEHICLE!C$69*'DUTY CYCLE'!N40,IF('DUTY CYCLE'!L40=3,VEHICLE!C$70*'DUTY CYCLE'!N40)))</f>
        <v>603.99859783293175</v>
      </c>
      <c r="P40" s="37">
        <v>1.2999999999999999E-2</v>
      </c>
      <c r="Q40" s="3">
        <f>P40*VEHICLE!C$47*9.81</f>
        <v>72.351594900000009</v>
      </c>
      <c r="R40" s="3">
        <f>0.5*VEHICLE!C$20*VEHICLE!C$28*1.2*((M40)^2)</f>
        <v>35.391306200689762</v>
      </c>
      <c r="S40" s="3">
        <f>VEHICLE!C$47*9.81*SIN(RADIANS(H40))</f>
        <v>-175.84053333304468</v>
      </c>
      <c r="T40" s="3">
        <f t="shared" si="7"/>
        <v>535.90096560057691</v>
      </c>
      <c r="U40" s="3">
        <f t="shared" si="8"/>
        <v>5.0859804753092632</v>
      </c>
      <c r="V40" s="3">
        <f>((VEHICLE!C$12*1000)-U40*1000)/1000</f>
        <v>8.3368383166370457</v>
      </c>
      <c r="W40" s="3">
        <f t="shared" si="1"/>
        <v>5.0859804753092632</v>
      </c>
      <c r="X40" s="3">
        <f t="shared" si="13"/>
        <v>10.792785774857821</v>
      </c>
      <c r="Y40" s="3">
        <f t="shared" si="9"/>
        <v>11</v>
      </c>
      <c r="Z40" s="3">
        <f t="shared" si="10"/>
        <v>535.90096560057691</v>
      </c>
      <c r="AA40" s="3">
        <f>SUM(Z$4:Z40)</f>
        <v>12931.287977056973</v>
      </c>
      <c r="AB40" s="3">
        <f>INDEX(BSFC!D$5:AD$27,MATCH('DUTY CYCLE'!Y40,BSFC!C$5:C$27,0),MATCH('DUTY CYCLE'!K40,BSFC!D$28:AD$28,0))</f>
        <v>472.43852356000008</v>
      </c>
      <c r="AC40" s="3">
        <f t="shared" si="11"/>
        <v>0.66744808516947107</v>
      </c>
      <c r="AD40" s="3">
        <f t="shared" si="12"/>
        <v>2062.4145831736655</v>
      </c>
      <c r="AE40" s="3">
        <f>0.5*VEHICLE!C$47*('DUTY CYCLE'!M40^2)/1000</f>
        <v>25.549714513282645</v>
      </c>
      <c r="AF40" s="3">
        <f t="shared" si="2"/>
        <v>561.45068011385956</v>
      </c>
    </row>
    <row r="41" spans="2:32" ht="17" x14ac:dyDescent="0.2">
      <c r="B41" s="3">
        <v>37</v>
      </c>
      <c r="C41" s="94"/>
      <c r="D41" s="59" t="s">
        <v>113</v>
      </c>
      <c r="E41" s="3" t="str">
        <f t="shared" si="0"/>
        <v>DOWNHILL</v>
      </c>
      <c r="F41" s="60">
        <v>5.4</v>
      </c>
      <c r="G41" s="60">
        <f t="shared" si="3"/>
        <v>-0.29999999999999982</v>
      </c>
      <c r="H41" s="3">
        <f t="shared" si="4"/>
        <v>-1.8105442703701522</v>
      </c>
      <c r="I41" s="3">
        <f>SUM(M$4:M41)</f>
        <v>283.82729348347198</v>
      </c>
      <c r="J41" s="3">
        <f t="shared" si="5"/>
        <v>9.4905230663458156</v>
      </c>
      <c r="K41" s="3">
        <v>4500</v>
      </c>
      <c r="L41" s="3">
        <v>3</v>
      </c>
      <c r="M41" s="3">
        <f>VLOOKUP(K41,VEHICLE!I$30:L$54,MATCH(L41,VEHICLE!I$30:L$30,0),0)</f>
        <v>9.4905230663458013</v>
      </c>
      <c r="N41" s="3">
        <f t="shared" si="6"/>
        <v>0</v>
      </c>
      <c r="O41" s="3">
        <f>IF(L41=1,VEHICLE!C$68*'DUTY CYCLE'!N41,IF(L41=2,VEHICLE!C$69*'DUTY CYCLE'!N41,IF('DUTY CYCLE'!L41=3,VEHICLE!C$70*'DUTY CYCLE'!N41)))</f>
        <v>0</v>
      </c>
      <c r="P41" s="37">
        <v>1.2999999999999999E-2</v>
      </c>
      <c r="Q41" s="3">
        <f>P41*VEHICLE!C$47*9.81</f>
        <v>72.351594900000009</v>
      </c>
      <c r="R41" s="3">
        <f>0.5*VEHICLE!C$20*VEHICLE!C$28*1.2*((M41)^2)</f>
        <v>35.391306200689762</v>
      </c>
      <c r="S41" s="3">
        <f>VEHICLE!C$47*9.81*SIN(RADIANS(H41))</f>
        <v>-175.84053333304468</v>
      </c>
      <c r="T41" s="3">
        <f t="shared" si="7"/>
        <v>-68.097632232354897</v>
      </c>
      <c r="U41" s="3">
        <f t="shared" si="8"/>
        <v>0.64628214946469742</v>
      </c>
      <c r="V41" s="3">
        <f>((VEHICLE!C$12*1000)-U41*1000)/1000</f>
        <v>12.776536642481611</v>
      </c>
      <c r="W41" s="3">
        <f t="shared" si="1"/>
        <v>0.64628214946469742</v>
      </c>
      <c r="X41" s="3">
        <f t="shared" si="13"/>
        <v>1.3714533162581561</v>
      </c>
      <c r="Y41" s="3">
        <f t="shared" si="9"/>
        <v>2</v>
      </c>
      <c r="Z41" s="3">
        <f t="shared" si="10"/>
        <v>-68.097632232354897</v>
      </c>
      <c r="AA41" s="3">
        <f>SUM(Z$4:Z41)</f>
        <v>12863.190344824618</v>
      </c>
      <c r="AB41" s="3">
        <f>INDEX(BSFC!D$5:AD$27,MATCH('DUTY CYCLE'!Y41,BSFC!C$5:C$27,0),MATCH('DUTY CYCLE'!K41,BSFC!D$28:AD$28,0))</f>
        <v>900.03169767999987</v>
      </c>
      <c r="AC41" s="3">
        <f t="shared" si="11"/>
        <v>0.16157622782305306</v>
      </c>
      <c r="AD41" s="3">
        <f t="shared" si="12"/>
        <v>499.27054397323394</v>
      </c>
      <c r="AE41" s="3">
        <f>0.5*VEHICLE!C$47*('DUTY CYCLE'!M41^2)/1000</f>
        <v>25.549714513282645</v>
      </c>
      <c r="AF41" s="3">
        <f t="shared" si="2"/>
        <v>-42.547917719072252</v>
      </c>
    </row>
    <row r="42" spans="2:32" ht="17" x14ac:dyDescent="0.2">
      <c r="B42" s="3">
        <v>38</v>
      </c>
      <c r="C42" s="94"/>
      <c r="D42" s="59" t="s">
        <v>113</v>
      </c>
      <c r="E42" s="3" t="str">
        <f t="shared" si="0"/>
        <v>DOWNHILL</v>
      </c>
      <c r="F42" s="60">
        <v>5.0999999999999996</v>
      </c>
      <c r="G42" s="60">
        <f t="shared" si="3"/>
        <v>-0.30000000000000071</v>
      </c>
      <c r="H42" s="3">
        <f t="shared" si="4"/>
        <v>-1.7153109745354937</v>
      </c>
      <c r="I42" s="3">
        <f>SUM(M$4:M42)</f>
        <v>293.84506783128143</v>
      </c>
      <c r="J42" s="3">
        <f t="shared" si="5"/>
        <v>10.01777434780945</v>
      </c>
      <c r="K42" s="3">
        <v>4750</v>
      </c>
      <c r="L42" s="3">
        <v>3</v>
      </c>
      <c r="M42" s="3">
        <f>VLOOKUP(K42,VEHICLE!I$30:L$54,MATCH(L42,VEHICLE!I$30:L$30,0),0)</f>
        <v>10.017774347809453</v>
      </c>
      <c r="N42" s="3">
        <f t="shared" si="6"/>
        <v>0.52725128146365208</v>
      </c>
      <c r="O42" s="3">
        <f>IF(L42=1,VEHICLE!C$68*'DUTY CYCLE'!N42,IF(L42=2,VEHICLE!C$69*'DUTY CYCLE'!N42,IF('DUTY CYCLE'!L42=3,VEHICLE!C$70*'DUTY CYCLE'!N42)))</f>
        <v>308.54670919107519</v>
      </c>
      <c r="P42" s="37">
        <v>1.2999999999999999E-2</v>
      </c>
      <c r="Q42" s="3">
        <f>P42*VEHICLE!C$47*9.81</f>
        <v>72.351594900000009</v>
      </c>
      <c r="R42" s="3">
        <f>0.5*VEHICLE!C$20*VEHICLE!C$28*1.2*((M42)^2)</f>
        <v>39.432905982867275</v>
      </c>
      <c r="S42" s="3">
        <f>VEHICLE!C$47*9.81*SIN(RADIANS(H42))</f>
        <v>-166.59429086604322</v>
      </c>
      <c r="T42" s="3">
        <f t="shared" si="7"/>
        <v>253.73691920789926</v>
      </c>
      <c r="U42" s="3">
        <f t="shared" si="8"/>
        <v>2.541879200333093</v>
      </c>
      <c r="V42" s="3">
        <f>((VEHICLE!C$12*1000)-U42*1000)/1000</f>
        <v>10.880939591613217</v>
      </c>
      <c r="W42" s="3">
        <f t="shared" si="1"/>
        <v>2.541879200333093</v>
      </c>
      <c r="X42" s="3">
        <f t="shared" si="13"/>
        <v>5.1101386039008743</v>
      </c>
      <c r="Y42" s="3">
        <f t="shared" si="9"/>
        <v>6</v>
      </c>
      <c r="Z42" s="3">
        <f t="shared" si="10"/>
        <v>253.73691920789926</v>
      </c>
      <c r="AA42" s="3">
        <f>SUM(Z$4:Z42)</f>
        <v>13116.927264032516</v>
      </c>
      <c r="AB42" s="3">
        <f>INDEX(BSFC!D$5:AD$27,MATCH('DUTY CYCLE'!Y42,BSFC!C$5:C$27,0),MATCH('DUTY CYCLE'!K42,BSFC!D$28:AD$28,0))</f>
        <v>601.70090736000009</v>
      </c>
      <c r="AC42" s="3">
        <f t="shared" si="11"/>
        <v>0.42484750589998149</v>
      </c>
      <c r="AD42" s="3">
        <f t="shared" si="12"/>
        <v>1312.7787932309427</v>
      </c>
      <c r="AE42" s="3">
        <f>0.5*VEHICLE!C$47*('DUTY CYCLE'!M42^2)/1000</f>
        <v>28.467428824984658</v>
      </c>
      <c r="AF42" s="3">
        <f t="shared" si="2"/>
        <v>282.2043480328839</v>
      </c>
    </row>
    <row r="43" spans="2:32" ht="17" x14ac:dyDescent="0.2">
      <c r="B43" s="3">
        <v>39</v>
      </c>
      <c r="C43" s="94"/>
      <c r="D43" s="59" t="s">
        <v>113</v>
      </c>
      <c r="E43" s="3" t="str">
        <f t="shared" si="0"/>
        <v>DOWNHILL</v>
      </c>
      <c r="F43" s="60">
        <v>4.8</v>
      </c>
      <c r="G43" s="60">
        <f t="shared" si="3"/>
        <v>-0.29999999999999982</v>
      </c>
      <c r="H43" s="3">
        <f t="shared" si="4"/>
        <v>-1.7153109745354889</v>
      </c>
      <c r="I43" s="3">
        <f>SUM(M$4:M43)</f>
        <v>303.86284217909088</v>
      </c>
      <c r="J43" s="3">
        <f t="shared" si="5"/>
        <v>10.01777434780945</v>
      </c>
      <c r="K43" s="3">
        <v>4750</v>
      </c>
      <c r="L43" s="3">
        <v>3</v>
      </c>
      <c r="M43" s="3">
        <f>VLOOKUP(K43,VEHICLE!I$30:L$54,MATCH(L43,VEHICLE!I$30:L$30,0),0)</f>
        <v>10.017774347809453</v>
      </c>
      <c r="N43" s="3">
        <f t="shared" si="6"/>
        <v>0</v>
      </c>
      <c r="O43" s="3">
        <f>IF(L43=1,VEHICLE!C$68*'DUTY CYCLE'!N43,IF(L43=2,VEHICLE!C$69*'DUTY CYCLE'!N43,IF('DUTY CYCLE'!L43=3,VEHICLE!C$70*'DUTY CYCLE'!N43)))</f>
        <v>0</v>
      </c>
      <c r="P43" s="37">
        <v>1.2999999999999999E-2</v>
      </c>
      <c r="Q43" s="3">
        <f>P43*VEHICLE!C$47*9.81</f>
        <v>72.351594900000009</v>
      </c>
      <c r="R43" s="3">
        <f>0.5*VEHICLE!C$20*VEHICLE!C$28*1.2*((M43)^2)</f>
        <v>39.432905982867275</v>
      </c>
      <c r="S43" s="3">
        <f>VEHICLE!C$47*9.81*SIN(RADIANS(H43))</f>
        <v>-166.59429086604277</v>
      </c>
      <c r="T43" s="3">
        <f t="shared" si="7"/>
        <v>-54.809789983175477</v>
      </c>
      <c r="U43" s="3">
        <f t="shared" si="8"/>
        <v>0.5490721081022788</v>
      </c>
      <c r="V43" s="3">
        <f>((VEHICLE!C$12*1000)-U43*1000)/1000</f>
        <v>12.873746683844031</v>
      </c>
      <c r="W43" s="3">
        <f t="shared" si="1"/>
        <v>0.5490721081022788</v>
      </c>
      <c r="X43" s="3">
        <f t="shared" si="13"/>
        <v>1.1038426120214551</v>
      </c>
      <c r="Y43" s="3">
        <f t="shared" si="9"/>
        <v>2</v>
      </c>
      <c r="Z43" s="3">
        <f t="shared" si="10"/>
        <v>-54.809789983175477</v>
      </c>
      <c r="AA43" s="3">
        <f>SUM(Z$4:Z43)</f>
        <v>13062.117474049341</v>
      </c>
      <c r="AB43" s="3">
        <f>INDEX(BSFC!D$5:AD$27,MATCH('DUTY CYCLE'!Y43,BSFC!C$5:C$27,0),MATCH('DUTY CYCLE'!K43,BSFC!D$28:AD$28,0))</f>
        <v>892.41381767999997</v>
      </c>
      <c r="AC43" s="3">
        <f t="shared" si="11"/>
        <v>0.13611098227032228</v>
      </c>
      <c r="AD43" s="3">
        <f t="shared" si="12"/>
        <v>420.58293521529583</v>
      </c>
      <c r="AE43" s="3">
        <f>0.5*VEHICLE!C$47*('DUTY CYCLE'!M43^2)/1000</f>
        <v>28.467428824984658</v>
      </c>
      <c r="AF43" s="3">
        <f t="shared" si="2"/>
        <v>-26.342361158190819</v>
      </c>
    </row>
    <row r="44" spans="2:32" ht="17" x14ac:dyDescent="0.2">
      <c r="B44" s="3">
        <v>40</v>
      </c>
      <c r="C44" s="94"/>
      <c r="D44" s="59" t="s">
        <v>113</v>
      </c>
      <c r="E44" s="3" t="str">
        <f t="shared" si="0"/>
        <v>DOWNHILL</v>
      </c>
      <c r="F44" s="60">
        <v>4.5</v>
      </c>
      <c r="G44" s="60">
        <f t="shared" si="3"/>
        <v>-0.29999999999999982</v>
      </c>
      <c r="H44" s="3">
        <f t="shared" si="4"/>
        <v>-1.6295928866264433</v>
      </c>
      <c r="I44" s="3">
        <f>SUM(M$4:M44)</f>
        <v>314.40786780836396</v>
      </c>
      <c r="J44" s="3">
        <f t="shared" si="5"/>
        <v>10.545025629273084</v>
      </c>
      <c r="K44" s="3">
        <v>5000</v>
      </c>
      <c r="L44" s="3">
        <v>3</v>
      </c>
      <c r="M44" s="3">
        <f>VLOOKUP(K44,VEHICLE!I$30:L$54,MATCH(L44,VEHICLE!I$30:L$30,0),0)</f>
        <v>10.545025629273109</v>
      </c>
      <c r="N44" s="3">
        <f t="shared" si="6"/>
        <v>0.52725128146365563</v>
      </c>
      <c r="O44" s="3">
        <f>IF(L44=1,VEHICLE!C$68*'DUTY CYCLE'!N44,IF(L44=2,VEHICLE!C$69*'DUTY CYCLE'!N44,IF('DUTY CYCLE'!L44=3,VEHICLE!C$70*'DUTY CYCLE'!N44)))</f>
        <v>308.5467091910773</v>
      </c>
      <c r="P44" s="37">
        <v>1.2999999999999999E-2</v>
      </c>
      <c r="Q44" s="3">
        <f>P44*VEHICLE!C$47*9.81</f>
        <v>72.351594900000009</v>
      </c>
      <c r="R44" s="3">
        <f>0.5*VEHICLE!C$20*VEHICLE!C$28*1.2*((M44)^2)</f>
        <v>43.692970618135483</v>
      </c>
      <c r="S44" s="3">
        <f>VEHICLE!C$47*9.81*SIN(RADIANS(H44))</f>
        <v>-158.27148981547467</v>
      </c>
      <c r="T44" s="3">
        <f t="shared" si="7"/>
        <v>266.31978489373813</v>
      </c>
      <c r="U44" s="3">
        <f t="shared" si="8"/>
        <v>2.8083489572869698</v>
      </c>
      <c r="V44" s="3">
        <f>((VEHICLE!C$12*1000)-U44*1000)/1000</f>
        <v>10.614469834659339</v>
      </c>
      <c r="W44" s="3">
        <f t="shared" si="1"/>
        <v>2.8083489572869698</v>
      </c>
      <c r="X44" s="3">
        <f t="shared" si="13"/>
        <v>5.3635514217502953</v>
      </c>
      <c r="Y44" s="3">
        <f t="shared" si="9"/>
        <v>6</v>
      </c>
      <c r="Z44" s="3">
        <f t="shared" si="10"/>
        <v>266.31978489373813</v>
      </c>
      <c r="AA44" s="3">
        <f>SUM(Z$4:Z44)</f>
        <v>13328.437258943079</v>
      </c>
      <c r="AB44" s="3">
        <f>INDEX(BSFC!D$5:AD$27,MATCH('DUTY CYCLE'!Y44,BSFC!C$5:C$27,0),MATCH('DUTY CYCLE'!K44,BSFC!D$28:AD$28,0))</f>
        <v>545.34399592000011</v>
      </c>
      <c r="AC44" s="3">
        <f t="shared" si="11"/>
        <v>0.42542117841795607</v>
      </c>
      <c r="AD44" s="3">
        <f t="shared" si="12"/>
        <v>1314.5514413114843</v>
      </c>
      <c r="AE44" s="3">
        <f>0.5*VEHICLE!C$47*('DUTY CYCLE'!M44^2)/1000</f>
        <v>31.542857423805714</v>
      </c>
      <c r="AF44" s="3">
        <f t="shared" si="2"/>
        <v>297.86264231754387</v>
      </c>
    </row>
    <row r="45" spans="2:32" ht="17" x14ac:dyDescent="0.2">
      <c r="B45" s="3">
        <v>41</v>
      </c>
      <c r="C45" s="94"/>
      <c r="D45" s="59" t="s">
        <v>113</v>
      </c>
      <c r="E45" s="3" t="str">
        <f t="shared" si="0"/>
        <v>DOWNHILL</v>
      </c>
      <c r="F45" s="60">
        <v>4.2</v>
      </c>
      <c r="G45" s="60">
        <f t="shared" si="3"/>
        <v>-0.29999999999999982</v>
      </c>
      <c r="H45" s="3">
        <f t="shared" si="4"/>
        <v>-1.6295928866264433</v>
      </c>
      <c r="I45" s="3">
        <f>SUM(M$4:M45)</f>
        <v>324.95289343763704</v>
      </c>
      <c r="J45" s="3">
        <f t="shared" si="5"/>
        <v>10.545025629273084</v>
      </c>
      <c r="K45" s="3">
        <v>5000</v>
      </c>
      <c r="L45" s="3">
        <v>3</v>
      </c>
      <c r="M45" s="3">
        <f>VLOOKUP(K45,VEHICLE!I$30:L$54,MATCH(L45,VEHICLE!I$30:L$30,0),0)</f>
        <v>10.545025629273109</v>
      </c>
      <c r="N45" s="3">
        <f t="shared" si="6"/>
        <v>0</v>
      </c>
      <c r="O45" s="3">
        <f>IF(L45=1,VEHICLE!C$68*'DUTY CYCLE'!N45,IF(L45=2,VEHICLE!C$69*'DUTY CYCLE'!N45,IF('DUTY CYCLE'!L45=3,VEHICLE!C$70*'DUTY CYCLE'!N45)))</f>
        <v>0</v>
      </c>
      <c r="P45" s="37">
        <v>1.2999999999999999E-2</v>
      </c>
      <c r="Q45" s="3">
        <f>P45*VEHICLE!C$47*9.81</f>
        <v>72.351594900000009</v>
      </c>
      <c r="R45" s="3">
        <f>0.5*VEHICLE!C$20*VEHICLE!C$28*1.2*((M45)^2)</f>
        <v>43.692970618135483</v>
      </c>
      <c r="S45" s="3">
        <f>VEHICLE!C$47*9.81*SIN(RADIANS(H45))</f>
        <v>-158.27148981547467</v>
      </c>
      <c r="T45" s="3">
        <f t="shared" si="7"/>
        <v>-42.226924297339167</v>
      </c>
      <c r="U45" s="3">
        <f t="shared" si="8"/>
        <v>0.44528399896081688</v>
      </c>
      <c r="V45" s="3">
        <f>((VEHICLE!C$12*1000)-U45*1000)/1000</f>
        <v>12.977534792985493</v>
      </c>
      <c r="W45" s="3">
        <f t="shared" si="1"/>
        <v>0.44528399896081688</v>
      </c>
      <c r="X45" s="3">
        <f t="shared" si="13"/>
        <v>0.85042979417208464</v>
      </c>
      <c r="Y45" s="3">
        <f t="shared" si="9"/>
        <v>1</v>
      </c>
      <c r="Z45" s="3">
        <f t="shared" si="10"/>
        <v>-42.226924297339167</v>
      </c>
      <c r="AA45" s="3">
        <f>SUM(Z$4:Z45)</f>
        <v>13286.210334645739</v>
      </c>
      <c r="AB45" s="3">
        <f>INDEX(BSFC!D$5:AD$27,MATCH('DUTY CYCLE'!Y45,BSFC!C$5:C$27,0),MATCH('DUTY CYCLE'!K45,BSFC!D$28:AD$28,0))</f>
        <v>967.29096135999976</v>
      </c>
      <c r="AC45" s="3">
        <f t="shared" si="11"/>
        <v>0.11964421873139826</v>
      </c>
      <c r="AD45" s="3">
        <f t="shared" si="12"/>
        <v>369.70063588002063</v>
      </c>
      <c r="AE45" s="3">
        <f>0.5*VEHICLE!C$47*('DUTY CYCLE'!M45^2)/1000</f>
        <v>31.542857423805714</v>
      </c>
      <c r="AF45" s="3">
        <f t="shared" si="2"/>
        <v>-10.684066873533453</v>
      </c>
    </row>
    <row r="46" spans="2:32" ht="17" x14ac:dyDescent="0.2">
      <c r="B46" s="3">
        <v>42</v>
      </c>
      <c r="C46" s="94"/>
      <c r="D46" s="59" t="s">
        <v>113</v>
      </c>
      <c r="E46" s="3" t="str">
        <f t="shared" si="0"/>
        <v>DOWNHILL</v>
      </c>
      <c r="F46" s="60">
        <v>3.9</v>
      </c>
      <c r="G46" s="60">
        <f t="shared" si="3"/>
        <v>-0.30000000000000027</v>
      </c>
      <c r="H46" s="3">
        <f t="shared" si="4"/>
        <v>-1.552032127735621</v>
      </c>
      <c r="I46" s="3">
        <f>SUM(M$4:M46)</f>
        <v>336.02517034837382</v>
      </c>
      <c r="J46" s="3">
        <f t="shared" si="5"/>
        <v>11.072276910736775</v>
      </c>
      <c r="K46" s="3">
        <v>5250</v>
      </c>
      <c r="L46" s="3">
        <v>3</v>
      </c>
      <c r="M46" s="3">
        <f>VLOOKUP(K46,VEHICLE!I$30:L$54,MATCH(L46,VEHICLE!I$30:L$30,0),0)</f>
        <v>11.072276910736765</v>
      </c>
      <c r="N46" s="3">
        <f t="shared" si="6"/>
        <v>0.52725128146365563</v>
      </c>
      <c r="O46" s="3">
        <f>IF(L46=1,VEHICLE!C$68*'DUTY CYCLE'!N46,IF(L46=2,VEHICLE!C$69*'DUTY CYCLE'!N46,IF('DUTY CYCLE'!L46=3,VEHICLE!C$70*'DUTY CYCLE'!N46)))</f>
        <v>308.5467091910773</v>
      </c>
      <c r="P46" s="37">
        <v>1.2999999999999999E-2</v>
      </c>
      <c r="Q46" s="3">
        <f>P46*VEHICLE!C$47*9.81</f>
        <v>72.351594900000009</v>
      </c>
      <c r="R46" s="3">
        <f>0.5*VEHICLE!C$20*VEHICLE!C$28*1.2*((M46)^2)</f>
        <v>48.171500106494371</v>
      </c>
      <c r="S46" s="3">
        <f>VEHICLE!C$47*9.81*SIN(RADIANS(H46))</f>
        <v>-150.74041915051842</v>
      </c>
      <c r="T46" s="3">
        <f t="shared" si="7"/>
        <v>278.32938504705328</v>
      </c>
      <c r="U46" s="3">
        <f t="shared" si="8"/>
        <v>3.0817400236360504</v>
      </c>
      <c r="V46" s="3">
        <f>((VEHICLE!C$12*1000)-U46*1000)/1000</f>
        <v>10.341078768310259</v>
      </c>
      <c r="W46" s="3">
        <f t="shared" si="1"/>
        <v>3.0817400236360504</v>
      </c>
      <c r="X46" s="3">
        <f t="shared" si="13"/>
        <v>5.6054189495521358</v>
      </c>
      <c r="Y46" s="3">
        <f t="shared" si="9"/>
        <v>6</v>
      </c>
      <c r="Z46" s="3">
        <f t="shared" si="10"/>
        <v>278.32938504705328</v>
      </c>
      <c r="AA46" s="3">
        <f>SUM(Z$4:Z46)</f>
        <v>13564.539719692792</v>
      </c>
      <c r="AB46" s="3">
        <f>INDEX(BSFC!D$5:AD$27,MATCH('DUTY CYCLE'!Y46,BSFC!C$5:C$27,0),MATCH('DUTY CYCLE'!K46,BSFC!D$28:AD$28,0))</f>
        <v>537.86207592000017</v>
      </c>
      <c r="AC46" s="3">
        <f t="shared" si="11"/>
        <v>0.46043085737739897</v>
      </c>
      <c r="AD46" s="3">
        <f t="shared" si="12"/>
        <v>1422.7313492961628</v>
      </c>
      <c r="AE46" s="3">
        <f>0.5*VEHICLE!C$47*('DUTY CYCLE'!M46^2)/1000</f>
        <v>34.776000309745804</v>
      </c>
      <c r="AF46" s="3">
        <f t="shared" si="2"/>
        <v>313.1053853567991</v>
      </c>
    </row>
    <row r="47" spans="2:32" ht="17" x14ac:dyDescent="0.2">
      <c r="B47" s="3">
        <v>43</v>
      </c>
      <c r="C47" s="94"/>
      <c r="D47" s="59" t="s">
        <v>113</v>
      </c>
      <c r="E47" s="3" t="str">
        <f t="shared" si="0"/>
        <v>DOWNHILL</v>
      </c>
      <c r="F47" s="60">
        <v>3.6</v>
      </c>
      <c r="G47" s="60">
        <f t="shared" si="3"/>
        <v>-0.29999999999999982</v>
      </c>
      <c r="H47" s="3">
        <f t="shared" si="4"/>
        <v>-1.5520321277356186</v>
      </c>
      <c r="I47" s="3">
        <f>SUM(M$4:M47)</f>
        <v>347.0974472591106</v>
      </c>
      <c r="J47" s="3">
        <f t="shared" si="5"/>
        <v>11.072276910736775</v>
      </c>
      <c r="K47" s="3">
        <v>5250</v>
      </c>
      <c r="L47" s="3">
        <v>3</v>
      </c>
      <c r="M47" s="3">
        <f>VLOOKUP(K47,VEHICLE!I$30:L$54,MATCH(L47,VEHICLE!I$30:L$30,0),0)</f>
        <v>11.072276910736765</v>
      </c>
      <c r="N47" s="3">
        <f t="shared" si="6"/>
        <v>0</v>
      </c>
      <c r="O47" s="3">
        <f>IF(L47=1,VEHICLE!C$68*'DUTY CYCLE'!N47,IF(L47=2,VEHICLE!C$69*'DUTY CYCLE'!N47,IF('DUTY CYCLE'!L47=3,VEHICLE!C$70*'DUTY CYCLE'!N47)))</f>
        <v>0</v>
      </c>
      <c r="P47" s="37">
        <v>1.2999999999999999E-2</v>
      </c>
      <c r="Q47" s="3">
        <f>P47*VEHICLE!C$47*9.81</f>
        <v>72.351594900000009</v>
      </c>
      <c r="R47" s="3">
        <f>0.5*VEHICLE!C$20*VEHICLE!C$28*1.2*((M47)^2)</f>
        <v>48.171500106494371</v>
      </c>
      <c r="S47" s="3">
        <f>VEHICLE!C$47*9.81*SIN(RADIANS(H47))</f>
        <v>-150.74041915051819</v>
      </c>
      <c r="T47" s="3">
        <f t="shared" si="7"/>
        <v>-30.21732414402382</v>
      </c>
      <c r="U47" s="3">
        <f t="shared" si="8"/>
        <v>0.33457458042412347</v>
      </c>
      <c r="V47" s="3">
        <f>((VEHICLE!C$12*1000)-U47*1000)/1000</f>
        <v>13.088244211522186</v>
      </c>
      <c r="W47" s="3">
        <f t="shared" si="1"/>
        <v>0.33457458042412347</v>
      </c>
      <c r="X47" s="3">
        <f t="shared" si="13"/>
        <v>0.60856226637024158</v>
      </c>
      <c r="Y47" s="3">
        <f t="shared" si="9"/>
        <v>1</v>
      </c>
      <c r="Z47" s="3">
        <f t="shared" si="10"/>
        <v>-30.21732414402382</v>
      </c>
      <c r="AA47" s="3">
        <f>SUM(Z$4:Z47)</f>
        <v>13534.322395548768</v>
      </c>
      <c r="AB47" s="3">
        <f>INDEX(BSFC!D$5:AD$27,MATCH('DUTY CYCLE'!Y47,BSFC!C$5:C$27,0),MATCH('DUTY CYCLE'!K47,BSFC!D$28:AD$28,0))</f>
        <v>959.80904135999981</v>
      </c>
      <c r="AC47" s="3">
        <f t="shared" si="11"/>
        <v>8.9202140916750591E-2</v>
      </c>
      <c r="AD47" s="3">
        <f t="shared" si="12"/>
        <v>275.63461543275935</v>
      </c>
      <c r="AE47" s="3">
        <f>0.5*VEHICLE!C$47*('DUTY CYCLE'!M47^2)/1000</f>
        <v>34.776000309745804</v>
      </c>
      <c r="AF47" s="3">
        <f t="shared" si="2"/>
        <v>4.5586761657219839</v>
      </c>
    </row>
    <row r="48" spans="2:32" ht="17" x14ac:dyDescent="0.2">
      <c r="B48" s="3">
        <v>44</v>
      </c>
      <c r="C48" s="94"/>
      <c r="D48" s="59" t="s">
        <v>113</v>
      </c>
      <c r="E48" s="3" t="str">
        <f t="shared" si="0"/>
        <v>DOWNHILL</v>
      </c>
      <c r="F48" s="60">
        <v>3.3</v>
      </c>
      <c r="G48" s="60">
        <f t="shared" si="3"/>
        <v>-0.30000000000000027</v>
      </c>
      <c r="H48" s="3">
        <f t="shared" si="4"/>
        <v>-1.552032127735621</v>
      </c>
      <c r="I48" s="3">
        <f>SUM(M$4:M48)</f>
        <v>358.16972416984737</v>
      </c>
      <c r="J48" s="3">
        <f t="shared" si="5"/>
        <v>11.072276910736775</v>
      </c>
      <c r="K48" s="3">
        <v>5250</v>
      </c>
      <c r="L48" s="3">
        <v>3</v>
      </c>
      <c r="M48" s="3">
        <f>VLOOKUP(K48,VEHICLE!I$30:L$54,MATCH(L48,VEHICLE!I$30:L$30,0),0)</f>
        <v>11.072276910736765</v>
      </c>
      <c r="N48" s="3">
        <f t="shared" si="6"/>
        <v>0</v>
      </c>
      <c r="O48" s="3">
        <f>IF(L48=1,VEHICLE!C$68*'DUTY CYCLE'!N48,IF(L48=2,VEHICLE!C$69*'DUTY CYCLE'!N48,IF('DUTY CYCLE'!L48=3,VEHICLE!C$70*'DUTY CYCLE'!N48)))</f>
        <v>0</v>
      </c>
      <c r="P48" s="37">
        <v>1.2999999999999999E-2</v>
      </c>
      <c r="Q48" s="3">
        <f>P48*VEHICLE!C$47*9.81</f>
        <v>72.351594900000009</v>
      </c>
      <c r="R48" s="3">
        <f>0.5*VEHICLE!C$20*VEHICLE!C$28*1.2*((M48)^2)</f>
        <v>48.171500106494371</v>
      </c>
      <c r="S48" s="3">
        <f>VEHICLE!C$47*9.81*SIN(RADIANS(H48))</f>
        <v>-150.74041915051842</v>
      </c>
      <c r="T48" s="3">
        <f t="shared" si="7"/>
        <v>-30.217324144024047</v>
      </c>
      <c r="U48" s="3">
        <f t="shared" si="8"/>
        <v>0.33457458042412608</v>
      </c>
      <c r="V48" s="3">
        <f>((VEHICLE!C$12*1000)-U48*1000)/1000</f>
        <v>13.088244211522182</v>
      </c>
      <c r="W48" s="3">
        <f t="shared" si="1"/>
        <v>0.33457458042412608</v>
      </c>
      <c r="X48" s="3">
        <f t="shared" si="13"/>
        <v>0.60856226637024624</v>
      </c>
      <c r="Y48" s="3">
        <f t="shared" si="9"/>
        <v>1</v>
      </c>
      <c r="Z48" s="3">
        <f t="shared" si="10"/>
        <v>-30.217324144024047</v>
      </c>
      <c r="AA48" s="3">
        <f>SUM(Z$4:Z48)</f>
        <v>13504.105071404745</v>
      </c>
      <c r="AB48" s="3">
        <f>INDEX(BSFC!D$5:AD$27,MATCH('DUTY CYCLE'!Y48,BSFC!C$5:C$27,0),MATCH('DUTY CYCLE'!K48,BSFC!D$28:AD$28,0))</f>
        <v>959.80904135999981</v>
      </c>
      <c r="AC48" s="3">
        <f t="shared" si="11"/>
        <v>8.9202140916751285E-2</v>
      </c>
      <c r="AD48" s="3">
        <f t="shared" si="12"/>
        <v>275.63461543276145</v>
      </c>
      <c r="AE48" s="3">
        <f>0.5*VEHICLE!C$47*('DUTY CYCLE'!M48^2)/1000</f>
        <v>34.776000309745804</v>
      </c>
      <c r="AF48" s="3">
        <f t="shared" si="2"/>
        <v>4.5586761657217565</v>
      </c>
    </row>
    <row r="49" spans="2:32" ht="17" x14ac:dyDescent="0.2">
      <c r="B49" s="3">
        <v>45</v>
      </c>
      <c r="C49" s="94"/>
      <c r="D49" s="59" t="s">
        <v>113</v>
      </c>
      <c r="E49" s="3" t="str">
        <f t="shared" si="0"/>
        <v>DOWNHILL</v>
      </c>
      <c r="F49" s="60">
        <v>3</v>
      </c>
      <c r="G49" s="60">
        <f t="shared" si="3"/>
        <v>-0.29999999999999982</v>
      </c>
      <c r="H49" s="3">
        <f t="shared" si="4"/>
        <v>-1.4815174019181916</v>
      </c>
      <c r="I49" s="3">
        <f>SUM(M$4:M49)</f>
        <v>369.76925236204778</v>
      </c>
      <c r="J49" s="3">
        <f t="shared" si="5"/>
        <v>11.59952819220041</v>
      </c>
      <c r="K49" s="3">
        <v>5500</v>
      </c>
      <c r="L49" s="3">
        <v>3</v>
      </c>
      <c r="M49" s="3">
        <f>VLOOKUP(K49,VEHICLE!I$30:L$54,MATCH(L49,VEHICLE!I$30:L$30,0),0)</f>
        <v>11.59952819220042</v>
      </c>
      <c r="N49" s="3">
        <f t="shared" si="6"/>
        <v>0.52725128146365563</v>
      </c>
      <c r="O49" s="3">
        <f>IF(L49=1,VEHICLE!C$68*'DUTY CYCLE'!N49,IF(L49=2,VEHICLE!C$69*'DUTY CYCLE'!N49,IF('DUTY CYCLE'!L49=3,VEHICLE!C$70*'DUTY CYCLE'!N49)))</f>
        <v>308.5467091910773</v>
      </c>
      <c r="P49" s="37">
        <v>1.2999999999999999E-2</v>
      </c>
      <c r="Q49" s="3">
        <f>P49*VEHICLE!C$47*9.81</f>
        <v>72.351594900000009</v>
      </c>
      <c r="R49" s="3">
        <f>0.5*VEHICLE!C$20*VEHICLE!C$28*1.2*((M49)^2)</f>
        <v>52.868494447943938</v>
      </c>
      <c r="S49" s="3">
        <f>VEHICLE!C$47*9.81*SIN(RADIANS(H49))</f>
        <v>-143.89327102816009</v>
      </c>
      <c r="T49" s="3">
        <f t="shared" si="7"/>
        <v>289.87352751086115</v>
      </c>
      <c r="U49" s="3">
        <f t="shared" si="8"/>
        <v>3.3623961545348178</v>
      </c>
      <c r="V49" s="3">
        <f>((VEHICLE!C$12*1000)-U49*1000)/1000</f>
        <v>10.060422637411492</v>
      </c>
      <c r="W49" s="3">
        <f t="shared" si="1"/>
        <v>3.3623961545348178</v>
      </c>
      <c r="X49" s="3">
        <f t="shared" si="13"/>
        <v>5.8379123850261463</v>
      </c>
      <c r="Y49" s="3">
        <f t="shared" si="9"/>
        <v>6</v>
      </c>
      <c r="Z49" s="3">
        <f t="shared" si="10"/>
        <v>289.87352751086115</v>
      </c>
      <c r="AA49" s="3">
        <f>SUM(Z$4:Z49)</f>
        <v>13793.978598915606</v>
      </c>
      <c r="AB49" s="3">
        <f>INDEX(BSFC!D$5:AD$27,MATCH('DUTY CYCLE'!Y49,BSFC!C$5:C$27,0),MATCH('DUTY CYCLE'!K49,BSFC!D$28:AD$28,0))</f>
        <v>530.98202200000003</v>
      </c>
      <c r="AC49" s="3">
        <f t="shared" si="11"/>
        <v>0.4959366413610895</v>
      </c>
      <c r="AD49" s="3">
        <f t="shared" si="12"/>
        <v>1532.4442218057666</v>
      </c>
      <c r="AE49" s="3">
        <f>0.5*VEHICLE!C$47*('DUTY CYCLE'!M49^2)/1000</f>
        <v>38.166857482804915</v>
      </c>
      <c r="AF49" s="3">
        <f t="shared" si="2"/>
        <v>328.04038499366607</v>
      </c>
    </row>
    <row r="50" spans="2:32" ht="17" x14ac:dyDescent="0.2">
      <c r="B50" s="3">
        <v>46</v>
      </c>
      <c r="C50" s="94"/>
      <c r="D50" s="59" t="s">
        <v>113</v>
      </c>
      <c r="E50" s="3" t="str">
        <f t="shared" si="0"/>
        <v>DOWNHILL</v>
      </c>
      <c r="F50" s="60">
        <v>2.7</v>
      </c>
      <c r="G50" s="60">
        <f t="shared" si="3"/>
        <v>-0.29999999999999982</v>
      </c>
      <c r="H50" s="3">
        <f t="shared" si="4"/>
        <v>-1.4815174019181916</v>
      </c>
      <c r="I50" s="3">
        <f>SUM(M$4:M50)</f>
        <v>381.36878055424819</v>
      </c>
      <c r="J50" s="3">
        <f t="shared" si="5"/>
        <v>11.59952819220041</v>
      </c>
      <c r="K50" s="3">
        <v>5500</v>
      </c>
      <c r="L50" s="3">
        <v>3</v>
      </c>
      <c r="M50" s="3">
        <f>VLOOKUP(K50,VEHICLE!I$30:L$54,MATCH(L50,VEHICLE!I$30:L$30,0),0)</f>
        <v>11.59952819220042</v>
      </c>
      <c r="N50" s="3">
        <f t="shared" si="6"/>
        <v>0</v>
      </c>
      <c r="O50" s="3">
        <f>IF(L50=1,VEHICLE!C$68*'DUTY CYCLE'!N50,IF(L50=2,VEHICLE!C$69*'DUTY CYCLE'!N50,IF('DUTY CYCLE'!L50=3,VEHICLE!C$70*'DUTY CYCLE'!N50)))</f>
        <v>0</v>
      </c>
      <c r="P50" s="37">
        <v>1.2999999999999999E-2</v>
      </c>
      <c r="Q50" s="3">
        <f>P50*VEHICLE!C$47*9.81</f>
        <v>72.351594900000009</v>
      </c>
      <c r="R50" s="3">
        <f>0.5*VEHICLE!C$20*VEHICLE!C$28*1.2*((M50)^2)</f>
        <v>52.868494447943938</v>
      </c>
      <c r="S50" s="3">
        <f>VEHICLE!C$47*9.81*SIN(RADIANS(H50))</f>
        <v>-143.89327102816009</v>
      </c>
      <c r="T50" s="3">
        <f t="shared" si="7"/>
        <v>-18.673181680216146</v>
      </c>
      <c r="U50" s="3">
        <f t="shared" si="8"/>
        <v>0.2166000973377476</v>
      </c>
      <c r="V50" s="3">
        <f>((VEHICLE!C$12*1000)-U50*1000)/1000</f>
        <v>13.206218694608562</v>
      </c>
      <c r="W50" s="3">
        <f t="shared" si="1"/>
        <v>0.2166000973377476</v>
      </c>
      <c r="X50" s="3">
        <f t="shared" si="13"/>
        <v>0.37606883089623511</v>
      </c>
      <c r="Y50" s="3">
        <f t="shared" si="9"/>
        <v>1</v>
      </c>
      <c r="Z50" s="3">
        <f t="shared" si="10"/>
        <v>-18.673181680216146</v>
      </c>
      <c r="AA50" s="3">
        <f>SUM(Z$4:Z50)</f>
        <v>13775.30541723539</v>
      </c>
      <c r="AB50" s="3">
        <f>INDEX(BSFC!D$5:AD$27,MATCH('DUTY CYCLE'!Y50,BSFC!C$5:C$27,0),MATCH('DUTY CYCLE'!K50,BSFC!D$28:AD$28,0))</f>
        <v>937.87346920000005</v>
      </c>
      <c r="AC50" s="3">
        <f t="shared" si="11"/>
        <v>5.64287457553364E-2</v>
      </c>
      <c r="AD50" s="3">
        <f t="shared" si="12"/>
        <v>174.36482438398949</v>
      </c>
      <c r="AE50" s="3">
        <f>0.5*VEHICLE!C$47*('DUTY CYCLE'!M50^2)/1000</f>
        <v>38.166857482804915</v>
      </c>
      <c r="AF50" s="3">
        <f t="shared" si="2"/>
        <v>19.493675802588768</v>
      </c>
    </row>
    <row r="51" spans="2:32" ht="17" x14ac:dyDescent="0.2">
      <c r="B51" s="3">
        <v>47</v>
      </c>
      <c r="C51" s="94"/>
      <c r="D51" s="59" t="s">
        <v>113</v>
      </c>
      <c r="E51" s="3" t="str">
        <f t="shared" si="0"/>
        <v>DOWNHILL</v>
      </c>
      <c r="F51" s="60">
        <v>2.4</v>
      </c>
      <c r="G51" s="60">
        <f t="shared" si="3"/>
        <v>-0.30000000000000027</v>
      </c>
      <c r="H51" s="3">
        <f t="shared" si="4"/>
        <v>-1.4171304653092101</v>
      </c>
      <c r="I51" s="3">
        <f>SUM(M$4:M51)</f>
        <v>393.49556002791229</v>
      </c>
      <c r="J51" s="3">
        <f t="shared" si="5"/>
        <v>12.126779473664101</v>
      </c>
      <c r="K51" s="3">
        <v>5750</v>
      </c>
      <c r="L51" s="3">
        <v>3</v>
      </c>
      <c r="M51" s="3">
        <f>VLOOKUP(K51,VEHICLE!I$30:L$54,MATCH(L51,VEHICLE!I$30:L$30,0),0)</f>
        <v>12.126779473664074</v>
      </c>
      <c r="N51" s="3">
        <f t="shared" si="6"/>
        <v>0.52725128146365385</v>
      </c>
      <c r="O51" s="3">
        <f>IF(L51=1,VEHICLE!C$68*'DUTY CYCLE'!N51,IF(L51=2,VEHICLE!C$69*'DUTY CYCLE'!N51,IF('DUTY CYCLE'!L51=3,VEHICLE!C$70*'DUTY CYCLE'!N51)))</f>
        <v>308.54670919107622</v>
      </c>
      <c r="P51" s="37">
        <v>1.2999999999999999E-2</v>
      </c>
      <c r="Q51" s="3">
        <f>P51*VEHICLE!C$47*9.81</f>
        <v>72.351594900000009</v>
      </c>
      <c r="R51" s="3">
        <f>0.5*VEHICLE!C$20*VEHICLE!C$28*1.2*((M51)^2)</f>
        <v>57.783953642484164</v>
      </c>
      <c r="S51" s="3">
        <f>VEHICLE!C$47*9.81*SIN(RADIANS(H51))</f>
        <v>-137.64095523422853</v>
      </c>
      <c r="T51" s="3">
        <f t="shared" si="7"/>
        <v>301.04130249933189</v>
      </c>
      <c r="U51" s="3">
        <f t="shared" si="8"/>
        <v>3.6506614878739954</v>
      </c>
      <c r="V51" s="3">
        <f>((VEHICLE!C$12*1000)-U51*1000)/1000</f>
        <v>9.772157304072314</v>
      </c>
      <c r="W51" s="3">
        <f t="shared" si="1"/>
        <v>3.6506614878739954</v>
      </c>
      <c r="X51" s="3">
        <f t="shared" si="13"/>
        <v>6.0628259619167961</v>
      </c>
      <c r="Y51" s="3">
        <f t="shared" si="9"/>
        <v>7</v>
      </c>
      <c r="Z51" s="3">
        <f t="shared" si="10"/>
        <v>301.04130249933189</v>
      </c>
      <c r="AA51" s="3">
        <f>SUM(Z$4:Z51)</f>
        <v>14076.346719734722</v>
      </c>
      <c r="AB51" s="3">
        <f>INDEX(BSFC!D$5:AD$27,MATCH('DUTY CYCLE'!Y51,BSFC!C$5:C$27,0),MATCH('DUTY CYCLE'!K51,BSFC!D$28:AD$28,0))</f>
        <v>530.9476859199998</v>
      </c>
      <c r="AC51" s="3">
        <f t="shared" si="11"/>
        <v>0.53841951918443365</v>
      </c>
      <c r="AD51" s="3">
        <f t="shared" si="12"/>
        <v>1663.7163142799</v>
      </c>
      <c r="AE51" s="3">
        <f>0.5*VEHICLE!C$47*('DUTY CYCLE'!M51^2)/1000</f>
        <v>41.715428942983053</v>
      </c>
      <c r="AF51" s="3">
        <f t="shared" si="2"/>
        <v>342.75673144231496</v>
      </c>
    </row>
    <row r="52" spans="2:32" ht="17" x14ac:dyDescent="0.2">
      <c r="B52" s="3">
        <v>48</v>
      </c>
      <c r="C52" s="94"/>
      <c r="D52" s="59" t="s">
        <v>113</v>
      </c>
      <c r="E52" s="3" t="str">
        <f t="shared" si="0"/>
        <v>DOWNHILL</v>
      </c>
      <c r="F52" s="60">
        <v>2.1</v>
      </c>
      <c r="G52" s="60">
        <f t="shared" si="3"/>
        <v>-0.29999999999999982</v>
      </c>
      <c r="H52" s="3">
        <f t="shared" si="4"/>
        <v>-1.4171304653092078</v>
      </c>
      <c r="I52" s="3">
        <f>SUM(M$4:M52)</f>
        <v>405.62233950157639</v>
      </c>
      <c r="J52" s="3">
        <f t="shared" si="5"/>
        <v>12.126779473664101</v>
      </c>
      <c r="K52" s="3">
        <v>5750</v>
      </c>
      <c r="L52" s="3">
        <v>3</v>
      </c>
      <c r="M52" s="3">
        <f>VLOOKUP(K52,VEHICLE!I$30:L$54,MATCH(L52,VEHICLE!I$30:L$30,0),0)</f>
        <v>12.126779473664074</v>
      </c>
      <c r="N52" s="3">
        <f t="shared" si="6"/>
        <v>0</v>
      </c>
      <c r="O52" s="3">
        <f>IF(L52=1,VEHICLE!C$68*'DUTY CYCLE'!N52,IF(L52=2,VEHICLE!C$69*'DUTY CYCLE'!N52,IF('DUTY CYCLE'!L52=3,VEHICLE!C$70*'DUTY CYCLE'!N52)))</f>
        <v>0</v>
      </c>
      <c r="P52" s="37">
        <v>1.2999999999999999E-2</v>
      </c>
      <c r="Q52" s="3">
        <f>P52*VEHICLE!C$47*9.81</f>
        <v>72.351594900000009</v>
      </c>
      <c r="R52" s="3">
        <f>0.5*VEHICLE!C$20*VEHICLE!C$28*1.2*((M52)^2)</f>
        <v>57.783953642484164</v>
      </c>
      <c r="S52" s="3">
        <f>VEHICLE!C$47*9.81*SIN(RADIANS(H52))</f>
        <v>-137.6409552342283</v>
      </c>
      <c r="T52" s="3">
        <f t="shared" si="7"/>
        <v>-7.5054066917441276</v>
      </c>
      <c r="U52" s="3">
        <f t="shared" si="8"/>
        <v>9.1016411810943665E-2</v>
      </c>
      <c r="V52" s="3">
        <f>((VEHICLE!C$12*1000)-U52*1000)/1000</f>
        <v>13.331802380135365</v>
      </c>
      <c r="W52" s="3">
        <f t="shared" si="1"/>
        <v>9.1016411810943665E-2</v>
      </c>
      <c r="X52" s="3">
        <f t="shared" si="13"/>
        <v>0.15115525400555738</v>
      </c>
      <c r="Y52" s="3">
        <f t="shared" si="9"/>
        <v>1</v>
      </c>
      <c r="Z52" s="3">
        <f t="shared" si="10"/>
        <v>-7.5054066917441276</v>
      </c>
      <c r="AA52" s="3">
        <f>SUM(Z$4:Z52)</f>
        <v>14068.841313042978</v>
      </c>
      <c r="AB52" s="3">
        <f>INDEX(BSFC!D$5:AD$27,MATCH('DUTY CYCLE'!Y52,BSFC!C$5:C$27,0),MATCH('DUTY CYCLE'!K52,BSFC!D$28:AD$28,0))</f>
        <v>963.77384919999997</v>
      </c>
      <c r="AC52" s="3">
        <f t="shared" si="11"/>
        <v>2.4366454875390419E-2</v>
      </c>
      <c r="AD52" s="3">
        <f t="shared" si="12"/>
        <v>75.292345564956392</v>
      </c>
      <c r="AE52" s="3">
        <f>0.5*VEHICLE!C$47*('DUTY CYCLE'!M52^2)/1000</f>
        <v>41.715428942983053</v>
      </c>
      <c r="AF52" s="3">
        <f t="shared" si="2"/>
        <v>34.210022251238925</v>
      </c>
    </row>
    <row r="53" spans="2:32" ht="17" x14ac:dyDescent="0.2">
      <c r="B53" s="3">
        <v>49</v>
      </c>
      <c r="C53" s="94"/>
      <c r="D53" s="59" t="s">
        <v>113</v>
      </c>
      <c r="E53" s="3" t="str">
        <f t="shared" si="0"/>
        <v>DOWNHILL</v>
      </c>
      <c r="F53" s="60">
        <v>1.8</v>
      </c>
      <c r="G53" s="60">
        <f t="shared" si="3"/>
        <v>-0.30000000000000004</v>
      </c>
      <c r="H53" s="3">
        <f t="shared" si="4"/>
        <v>-1.3581059577168362</v>
      </c>
      <c r="I53" s="3">
        <f>SUM(M$4:M53)</f>
        <v>418.27637025670413</v>
      </c>
      <c r="J53" s="3">
        <f t="shared" si="5"/>
        <v>12.654030755127735</v>
      </c>
      <c r="K53" s="3">
        <v>6000</v>
      </c>
      <c r="L53" s="3">
        <v>3</v>
      </c>
      <c r="M53" s="3">
        <f>VLOOKUP(K53,VEHICLE!I$30:L$54,MATCH(L53,VEHICLE!I$30:L$30,0),0)</f>
        <v>12.654030755127732</v>
      </c>
      <c r="N53" s="3">
        <f t="shared" si="6"/>
        <v>0.52725128146365741</v>
      </c>
      <c r="O53" s="3">
        <f>IF(L53=1,VEHICLE!C$68*'DUTY CYCLE'!N53,IF(L53=2,VEHICLE!C$69*'DUTY CYCLE'!N53,IF('DUTY CYCLE'!L53=3,VEHICLE!C$70*'DUTY CYCLE'!N53)))</f>
        <v>308.54670919107832</v>
      </c>
      <c r="P53" s="37">
        <v>1.2999999999999999E-2</v>
      </c>
      <c r="Q53" s="3">
        <f>P53*VEHICLE!C$47*9.81</f>
        <v>72.351594900000009</v>
      </c>
      <c r="R53" s="3">
        <f>0.5*VEHICLE!C$20*VEHICLE!C$28*1.2*((M53)^2)</f>
        <v>62.917877690115105</v>
      </c>
      <c r="S53" s="3">
        <f>VEHICLE!C$47*9.81*SIN(RADIANS(H53))</f>
        <v>-131.90920706839529</v>
      </c>
      <c r="T53" s="3">
        <f t="shared" si="7"/>
        <v>311.90697471279816</v>
      </c>
      <c r="U53" s="3">
        <f t="shared" si="8"/>
        <v>3.9468804507545956</v>
      </c>
      <c r="V53" s="3">
        <f>((VEHICLE!C$12*1000)-U53*1000)/1000</f>
        <v>9.4759383411917142</v>
      </c>
      <c r="W53" s="3">
        <f t="shared" si="1"/>
        <v>3.9468804507545956</v>
      </c>
      <c r="X53" s="3">
        <f t="shared" si="13"/>
        <v>6.2816553353036184</v>
      </c>
      <c r="Y53" s="3">
        <f t="shared" si="9"/>
        <v>7</v>
      </c>
      <c r="Z53" s="3">
        <f t="shared" si="10"/>
        <v>311.90697471279816</v>
      </c>
      <c r="AA53" s="3">
        <f>SUM(Z$4:Z53)</f>
        <v>14380.748287755776</v>
      </c>
      <c r="AB53" s="3">
        <f>INDEX(BSFC!D$5:AD$27,MATCH('DUTY CYCLE'!Y53,BSFC!C$5:C$27,0),MATCH('DUTY CYCLE'!K53,BSFC!D$28:AD$28,0))</f>
        <v>585.82289704000016</v>
      </c>
      <c r="AC53" s="3">
        <f t="shared" si="11"/>
        <v>0.64227026109211072</v>
      </c>
      <c r="AD53" s="3">
        <f t="shared" si="12"/>
        <v>1984.6151067746221</v>
      </c>
      <c r="AE53" s="3">
        <f>0.5*VEHICLE!C$47*('DUTY CYCLE'!M53^2)/1000</f>
        <v>45.421714690280233</v>
      </c>
      <c r="AF53" s="3">
        <f t="shared" si="2"/>
        <v>357.32868940307839</v>
      </c>
    </row>
    <row r="54" spans="2:32" ht="17" x14ac:dyDescent="0.2">
      <c r="B54" s="3">
        <v>50</v>
      </c>
      <c r="C54" s="94" t="s">
        <v>91</v>
      </c>
      <c r="D54" s="59" t="s">
        <v>113</v>
      </c>
      <c r="E54" s="3" t="str">
        <f t="shared" si="0"/>
        <v>DOWNHILL</v>
      </c>
      <c r="F54" s="60">
        <v>1.5</v>
      </c>
      <c r="G54" s="60">
        <f t="shared" si="3"/>
        <v>-0.30000000000000004</v>
      </c>
      <c r="H54" s="3">
        <f t="shared" si="4"/>
        <v>-1.4815174019181925</v>
      </c>
      <c r="I54" s="3">
        <f>SUM(M$4:M54)</f>
        <v>429.87589844890454</v>
      </c>
      <c r="J54" s="3">
        <f t="shared" si="5"/>
        <v>11.59952819220041</v>
      </c>
      <c r="K54" s="3">
        <v>5500</v>
      </c>
      <c r="L54" s="3">
        <v>3</v>
      </c>
      <c r="M54" s="3">
        <f>VLOOKUP(K54,VEHICLE!I$30:L$54,MATCH(L54,VEHICLE!I$30:L$30,0),0)</f>
        <v>11.59952819220042</v>
      </c>
      <c r="N54" s="3">
        <f t="shared" si="6"/>
        <v>-1.0545025629273113</v>
      </c>
      <c r="O54" s="3">
        <f>IF(L54=1,VEHICLE!C$68*'DUTY CYCLE'!N54,IF(L54=2,VEHICLE!C$69*'DUTY CYCLE'!N54,IF('DUTY CYCLE'!L54=3,VEHICLE!C$70*'DUTY CYCLE'!N54)))</f>
        <v>-617.0934183821546</v>
      </c>
      <c r="P54" s="37">
        <v>1.2999999999999999E-2</v>
      </c>
      <c r="Q54" s="3">
        <f>P54*VEHICLE!C$47*9.81</f>
        <v>72.351594900000009</v>
      </c>
      <c r="R54" s="3">
        <f>0.5*VEHICLE!C$20*VEHICLE!C$28*1.2*((M54)^2)</f>
        <v>52.868494447943938</v>
      </c>
      <c r="S54" s="3">
        <f>VEHICLE!C$47*9.81*SIN(RADIANS(H54))</f>
        <v>-143.89327102816017</v>
      </c>
      <c r="T54" s="3">
        <f t="shared" si="7"/>
        <v>-635.7666000623708</v>
      </c>
      <c r="U54" s="3">
        <f t="shared" si="8"/>
        <v>7.3745926010828802</v>
      </c>
      <c r="V54" s="3">
        <f>((VEHICLE!C$12*1000)-U54*1000)/1000</f>
        <v>6.0482261908634287</v>
      </c>
      <c r="W54" s="3">
        <f t="shared" si="1"/>
        <v>7.3745926010828802</v>
      </c>
      <c r="X54" s="3">
        <f t="shared" si="13"/>
        <v>12.804031262741001</v>
      </c>
      <c r="Y54" s="3">
        <f t="shared" si="9"/>
        <v>13</v>
      </c>
      <c r="Z54" s="3">
        <f t="shared" si="10"/>
        <v>-635.7666000623708</v>
      </c>
      <c r="AA54" s="3">
        <f>SUM(Z$4:Z54)</f>
        <v>13744.981687693406</v>
      </c>
      <c r="AB54" s="3">
        <f>INDEX(BSFC!D$5:AD$27,MATCH('DUTY CYCLE'!Y54,BSFC!C$5:C$27,0),MATCH('DUTY CYCLE'!K54,BSFC!D$28:AD$28,0))</f>
        <v>307.99298776000001</v>
      </c>
      <c r="AC54" s="3">
        <f t="shared" si="11"/>
        <v>0.63092300242230726</v>
      </c>
      <c r="AD54" s="3">
        <f t="shared" si="12"/>
        <v>1949.5520774849294</v>
      </c>
      <c r="AE54" s="3">
        <f>0.5*VEHICLE!C$47*('DUTY CYCLE'!M54^2)/1000</f>
        <v>38.166857482804915</v>
      </c>
      <c r="AF54" s="3">
        <f t="shared" si="2"/>
        <v>-597.59974257956583</v>
      </c>
    </row>
    <row r="55" spans="2:32" ht="17" x14ac:dyDescent="0.2">
      <c r="B55" s="3">
        <v>51</v>
      </c>
      <c r="C55" s="94"/>
      <c r="D55" s="59" t="s">
        <v>113</v>
      </c>
      <c r="E55" s="3" t="str">
        <f t="shared" si="0"/>
        <v>DOWNHILL</v>
      </c>
      <c r="F55" s="60">
        <v>1.2</v>
      </c>
      <c r="G55" s="60">
        <f t="shared" si="3"/>
        <v>-0.30000000000000004</v>
      </c>
      <c r="H55" s="3">
        <f t="shared" si="4"/>
        <v>-1.6295928866264444</v>
      </c>
      <c r="I55" s="3">
        <f>SUM(M$4:M55)</f>
        <v>440.42092407817762</v>
      </c>
      <c r="J55" s="3">
        <f t="shared" si="5"/>
        <v>10.545025629273084</v>
      </c>
      <c r="K55" s="3">
        <v>5000</v>
      </c>
      <c r="L55" s="3">
        <v>3</v>
      </c>
      <c r="M55" s="3">
        <f>VLOOKUP(K55,VEHICLE!I$30:L$54,MATCH(L55,VEHICLE!I$30:L$30,0),0)</f>
        <v>10.545025629273109</v>
      </c>
      <c r="N55" s="3">
        <f t="shared" si="6"/>
        <v>-1.0545025629273113</v>
      </c>
      <c r="O55" s="3">
        <f>IF(L55=1,VEHICLE!C$68*'DUTY CYCLE'!N55,IF(L55=2,VEHICLE!C$69*'DUTY CYCLE'!N55,IF('DUTY CYCLE'!L55=3,VEHICLE!C$70*'DUTY CYCLE'!N55)))</f>
        <v>-617.0934183821546</v>
      </c>
      <c r="P55" s="37">
        <v>1.2999999999999999E-2</v>
      </c>
      <c r="Q55" s="3">
        <f>P55*VEHICLE!C$47*9.81</f>
        <v>72.351594900000009</v>
      </c>
      <c r="R55" s="3">
        <f>0.5*VEHICLE!C$20*VEHICLE!C$28*1.2*((M55)^2)</f>
        <v>43.692970618135483</v>
      </c>
      <c r="S55" s="3">
        <f>VEHICLE!C$47*9.81*SIN(RADIANS(H55))</f>
        <v>-158.27148981547478</v>
      </c>
      <c r="T55" s="3">
        <f t="shared" si="7"/>
        <v>-659.32034267949393</v>
      </c>
      <c r="U55" s="3">
        <f t="shared" si="8"/>
        <v>6.9525499114563925</v>
      </c>
      <c r="V55" s="3">
        <f>((VEHICLE!C$12*1000)-U55*1000)/1000</f>
        <v>6.4702688804899164</v>
      </c>
      <c r="W55" s="3">
        <f t="shared" si="1"/>
        <v>6.9525499114563925</v>
      </c>
      <c r="X55" s="3">
        <f t="shared" si="13"/>
        <v>13.27839222601685</v>
      </c>
      <c r="Y55" s="3">
        <f t="shared" si="9"/>
        <v>14</v>
      </c>
      <c r="Z55" s="3">
        <f t="shared" si="10"/>
        <v>-659.32034267949393</v>
      </c>
      <c r="AA55" s="3">
        <f>SUM(Z$4:Z55)</f>
        <v>13085.661345013912</v>
      </c>
      <c r="AB55" s="3">
        <f>INDEX(BSFC!D$5:AD$27,MATCH('DUTY CYCLE'!Y55,BSFC!C$5:C$27,0),MATCH('DUTY CYCLE'!K55,BSFC!D$28:AD$28,0))</f>
        <v>358.75046488000004</v>
      </c>
      <c r="AC55" s="3">
        <f t="shared" si="11"/>
        <v>0.69284180912121773</v>
      </c>
      <c r="AD55" s="3">
        <f t="shared" si="12"/>
        <v>2140.8811901845629</v>
      </c>
      <c r="AE55" s="3">
        <f>0.5*VEHICLE!C$47*('DUTY CYCLE'!M55^2)/1000</f>
        <v>31.542857423805714</v>
      </c>
      <c r="AF55" s="3">
        <f t="shared" si="2"/>
        <v>-627.77748525568825</v>
      </c>
    </row>
    <row r="56" spans="2:32" ht="17" x14ac:dyDescent="0.2">
      <c r="B56" s="3">
        <v>52</v>
      </c>
      <c r="C56" s="94"/>
      <c r="D56" s="59" t="s">
        <v>113</v>
      </c>
      <c r="E56" s="3" t="str">
        <f t="shared" si="0"/>
        <v>DOWNHILL</v>
      </c>
      <c r="F56" s="60">
        <v>0.9</v>
      </c>
      <c r="G56" s="60">
        <f t="shared" si="3"/>
        <v>-0.29999999999999993</v>
      </c>
      <c r="H56" s="3">
        <f t="shared" si="4"/>
        <v>-1.8105442703701529</v>
      </c>
      <c r="I56" s="3">
        <f>SUM(M$4:M56)</f>
        <v>449.91144714452344</v>
      </c>
      <c r="J56" s="3">
        <f t="shared" si="5"/>
        <v>9.4905230663458156</v>
      </c>
      <c r="K56" s="3">
        <v>4500</v>
      </c>
      <c r="L56" s="3">
        <v>3</v>
      </c>
      <c r="M56" s="3">
        <f>VLOOKUP(K56,VEHICLE!I$30:L$54,MATCH(L56,VEHICLE!I$30:L$30,0),0)</f>
        <v>9.4905230663458013</v>
      </c>
      <c r="N56" s="3">
        <f t="shared" si="6"/>
        <v>-1.0545025629273077</v>
      </c>
      <c r="O56" s="3">
        <f>IF(L56=1,VEHICLE!C$68*'DUTY CYCLE'!N56,IF(L56=2,VEHICLE!C$69*'DUTY CYCLE'!N56,IF('DUTY CYCLE'!L56=3,VEHICLE!C$70*'DUTY CYCLE'!N56)))</f>
        <v>-617.09341838215244</v>
      </c>
      <c r="P56" s="37">
        <v>1.2999999999999999E-2</v>
      </c>
      <c r="Q56" s="3">
        <f>P56*VEHICLE!C$47*9.81</f>
        <v>72.351594900000009</v>
      </c>
      <c r="R56" s="3">
        <f>0.5*VEHICLE!C$20*VEHICLE!C$28*1.2*((M56)^2)</f>
        <v>35.391306200689762</v>
      </c>
      <c r="S56" s="3">
        <f>VEHICLE!C$47*9.81*SIN(RADIANS(H56))</f>
        <v>-175.84053333304476</v>
      </c>
      <c r="T56" s="3">
        <f t="shared" si="7"/>
        <v>-685.19105061450739</v>
      </c>
      <c r="U56" s="3">
        <f t="shared" si="8"/>
        <v>6.5028214707106953</v>
      </c>
      <c r="V56" s="3">
        <f>((VEHICLE!C$12*1000)-U56*1000)/1000</f>
        <v>6.9199973212356136</v>
      </c>
      <c r="W56" s="3">
        <f t="shared" si="1"/>
        <v>6.5028214707106953</v>
      </c>
      <c r="X56" s="3">
        <f t="shared" si="13"/>
        <v>13.799415748102877</v>
      </c>
      <c r="Y56" s="3">
        <f t="shared" si="9"/>
        <v>14</v>
      </c>
      <c r="Z56" s="3">
        <f t="shared" si="10"/>
        <v>-685.19105061450739</v>
      </c>
      <c r="AA56" s="3">
        <f>SUM(Z$4:Z56)</f>
        <v>12400.470294399405</v>
      </c>
      <c r="AB56" s="3">
        <f>INDEX(BSFC!D$5:AD$27,MATCH('DUTY CYCLE'!Y56,BSFC!C$5:C$27,0),MATCH('DUTY CYCLE'!K56,BSFC!D$28:AD$28,0))</f>
        <v>441.18581242000005</v>
      </c>
      <c r="AC56" s="3">
        <f t="shared" si="11"/>
        <v>0.79693127043825485</v>
      </c>
      <c r="AD56" s="3">
        <f t="shared" si="12"/>
        <v>2462.5176256542077</v>
      </c>
      <c r="AE56" s="3">
        <f>0.5*VEHICLE!C$47*('DUTY CYCLE'!M56^2)/1000</f>
        <v>25.549714513282645</v>
      </c>
      <c r="AF56" s="3">
        <f t="shared" si="2"/>
        <v>-659.64133610122474</v>
      </c>
    </row>
    <row r="57" spans="2:32" ht="17" x14ac:dyDescent="0.2">
      <c r="B57" s="3">
        <v>53</v>
      </c>
      <c r="C57" s="94"/>
      <c r="D57" s="59" t="s">
        <v>113</v>
      </c>
      <c r="E57" s="3" t="str">
        <f t="shared" si="0"/>
        <v>DOWNHILL</v>
      </c>
      <c r="F57" s="60">
        <v>0.6</v>
      </c>
      <c r="G57" s="60">
        <f t="shared" si="3"/>
        <v>-0.30000000000000004</v>
      </c>
      <c r="H57" s="3">
        <f t="shared" si="4"/>
        <v>-2.2449113109537047</v>
      </c>
      <c r="I57" s="3">
        <f>SUM(M$4:M57)</f>
        <v>457.56428272056883</v>
      </c>
      <c r="J57" s="3">
        <f t="shared" si="5"/>
        <v>7.6528355760453906</v>
      </c>
      <c r="K57" s="3">
        <v>4750</v>
      </c>
      <c r="L57" s="3">
        <v>2</v>
      </c>
      <c r="M57" s="3">
        <f>VLOOKUP(K57,VEHICLE!I$30:L$54,MATCH(L57,VEHICLE!I$30:L$30,0),0)</f>
        <v>7.6528355760454181</v>
      </c>
      <c r="N57" s="3">
        <f t="shared" si="6"/>
        <v>-1.8376874903003833</v>
      </c>
      <c r="O57" s="3">
        <f>IF(L57=1,VEHICLE!C$68*'DUTY CYCLE'!N57,IF(L57=2,VEHICLE!C$69*'DUTY CYCLE'!N57,IF('DUTY CYCLE'!L57=3,VEHICLE!C$70*'DUTY CYCLE'!N57)))</f>
        <v>-1080.1595139213807</v>
      </c>
      <c r="P57" s="37">
        <v>1.2999999999999999E-2</v>
      </c>
      <c r="Q57" s="3">
        <f>P57*VEHICLE!C$47*9.81</f>
        <v>72.351594900000009</v>
      </c>
      <c r="R57" s="3">
        <f>0.5*VEHICLE!C$20*VEHICLE!C$28*1.2*((M57)^2)</f>
        <v>23.012354648544232</v>
      </c>
      <c r="S57" s="3">
        <f>VEHICLE!C$47*9.81*SIN(RADIANS(H57))</f>
        <v>-218.00687435605417</v>
      </c>
      <c r="T57" s="3">
        <f t="shared" si="7"/>
        <v>-1202.8024387288906</v>
      </c>
      <c r="U57" s="3">
        <f t="shared" si="8"/>
        <v>9.2048492940586435</v>
      </c>
      <c r="V57" s="3">
        <f>((VEHICLE!C$12*1000)-U57*1000)/1000</f>
        <v>4.2179694978876654</v>
      </c>
      <c r="W57" s="3">
        <f t="shared" si="1"/>
        <v>9.2048492940586435</v>
      </c>
      <c r="X57" s="3">
        <f t="shared" si="13"/>
        <v>18.505228617667914</v>
      </c>
      <c r="Y57" s="3">
        <f t="shared" si="9"/>
        <v>19</v>
      </c>
      <c r="Z57" s="3">
        <f t="shared" si="10"/>
        <v>-1202.8024387288906</v>
      </c>
      <c r="AA57" s="3">
        <f>SUM(Z$4:Z57)</f>
        <v>11197.667855670516</v>
      </c>
      <c r="AB57" s="3">
        <f>INDEX(BSFC!D$5:AD$27,MATCH('DUTY CYCLE'!Y57,BSFC!C$5:C$27,0),MATCH('DUTY CYCLE'!K57,BSFC!D$28:AD$28,0))</f>
        <v>510.16084392000005</v>
      </c>
      <c r="AC57" s="3">
        <f t="shared" si="11"/>
        <v>1.304431578892604</v>
      </c>
      <c r="AD57" s="3">
        <f t="shared" si="12"/>
        <v>4030.6935787781463</v>
      </c>
      <c r="AE57" s="3">
        <f>0.5*VEHICLE!C$47*('DUTY CYCLE'!M57^2)/1000</f>
        <v>16.613093854593558</v>
      </c>
      <c r="AF57" s="3">
        <f t="shared" si="2"/>
        <v>-1186.1893448742971</v>
      </c>
    </row>
    <row r="58" spans="2:32" ht="17" x14ac:dyDescent="0.2">
      <c r="B58" s="3">
        <v>54</v>
      </c>
      <c r="C58" s="94"/>
      <c r="D58" s="59" t="s">
        <v>113</v>
      </c>
      <c r="E58" s="3" t="str">
        <f t="shared" si="0"/>
        <v>DOWNHILL</v>
      </c>
      <c r="F58" s="60">
        <v>0.3</v>
      </c>
      <c r="G58" s="60">
        <f t="shared" si="3"/>
        <v>-0.3</v>
      </c>
      <c r="H58" s="3">
        <f t="shared" si="4"/>
        <v>-2.1327721266124495</v>
      </c>
      <c r="I58" s="3">
        <f>SUM(M$4:M58)</f>
        <v>465.61989911640609</v>
      </c>
      <c r="J58" s="3">
        <f t="shared" si="5"/>
        <v>8.0556163958372622</v>
      </c>
      <c r="K58" s="3">
        <v>5000</v>
      </c>
      <c r="L58" s="3">
        <v>2</v>
      </c>
      <c r="M58" s="3">
        <f>VLOOKUP(K58,VEHICLE!I$30:L$54,MATCH(L58,VEHICLE!I$30:L$30,0),0)</f>
        <v>8.0556163958372817</v>
      </c>
      <c r="N58" s="3">
        <f t="shared" si="6"/>
        <v>0.40278081979186364</v>
      </c>
      <c r="O58" s="3">
        <f>IF(L58=1,VEHICLE!C$68*'DUTY CYCLE'!N58,IF(L58=2,VEHICLE!C$69*'DUTY CYCLE'!N58,IF('DUTY CYCLE'!L58=3,VEHICLE!C$70*'DUTY CYCLE'!N58)))</f>
        <v>236.74729072249369</v>
      </c>
      <c r="P58" s="37">
        <v>1.2999999999999999E-2</v>
      </c>
      <c r="Q58" s="3">
        <f>P58*VEHICLE!C$47*9.81</f>
        <v>72.351594900000009</v>
      </c>
      <c r="R58" s="3">
        <f>0.5*VEHICLE!C$20*VEHICLE!C$28*1.2*((M58)^2)</f>
        <v>25.49845390420413</v>
      </c>
      <c r="S58" s="3">
        <f>VEHICLE!C$47*9.81*SIN(RADIANS(H58))</f>
        <v>-207.1220240837383</v>
      </c>
      <c r="T58" s="3">
        <f t="shared" si="7"/>
        <v>127.47531544295953</v>
      </c>
      <c r="U58" s="3">
        <f t="shared" si="8"/>
        <v>1.0268922411468342</v>
      </c>
      <c r="V58" s="3">
        <f>((VEHICLE!C$12*1000)-U58*1000)/1000</f>
        <v>12.395926550799475</v>
      </c>
      <c r="W58" s="3">
        <f t="shared" si="1"/>
        <v>1.0268922411468342</v>
      </c>
      <c r="X58" s="3">
        <f t="shared" si="13"/>
        <v>1.9612197144147994</v>
      </c>
      <c r="Y58" s="3">
        <f t="shared" si="9"/>
        <v>2</v>
      </c>
      <c r="Z58" s="3">
        <f t="shared" si="10"/>
        <v>127.47531544295953</v>
      </c>
      <c r="AA58" s="3">
        <f>SUM(Z$4:Z58)</f>
        <v>11325.143171113476</v>
      </c>
      <c r="AB58" s="3">
        <f>INDEX(BSFC!D$5:AD$27,MATCH('DUTY CYCLE'!Y58,BSFC!C$5:C$27,0),MATCH('DUTY CYCLE'!K58,BSFC!D$28:AD$28,0))</f>
        <v>881.18348872000001</v>
      </c>
      <c r="AC58" s="3">
        <f t="shared" si="11"/>
        <v>0.25135569099812971</v>
      </c>
      <c r="AD58" s="3">
        <f t="shared" si="12"/>
        <v>776.68908518422086</v>
      </c>
      <c r="AE58" s="3">
        <f>0.5*VEHICLE!C$47*('DUTY CYCLE'!M58^2)/1000</f>
        <v>18.40786022669646</v>
      </c>
      <c r="AF58" s="3">
        <f t="shared" si="2"/>
        <v>145.883175669656</v>
      </c>
    </row>
    <row r="59" spans="2:32" ht="17" x14ac:dyDescent="0.2">
      <c r="B59" s="3">
        <v>55</v>
      </c>
      <c r="C59" s="94"/>
      <c r="D59" s="59" t="s">
        <v>113</v>
      </c>
      <c r="E59" s="3" t="str">
        <f t="shared" si="0"/>
        <v>DOWNHILL</v>
      </c>
      <c r="F59" s="60">
        <v>0</v>
      </c>
      <c r="G59" s="60">
        <f t="shared" si="3"/>
        <v>-0.3</v>
      </c>
      <c r="H59" s="3">
        <f t="shared" si="4"/>
        <v>-2.1327721266124495</v>
      </c>
      <c r="I59" s="3">
        <f>SUM(M$4:M59)</f>
        <v>473.67551551224335</v>
      </c>
      <c r="J59" s="3">
        <f t="shared" si="5"/>
        <v>8.0556163958372622</v>
      </c>
      <c r="K59" s="3">
        <v>5000</v>
      </c>
      <c r="L59" s="3">
        <v>2</v>
      </c>
      <c r="M59" s="3">
        <f>VLOOKUP(K59,VEHICLE!I$30:L$54,MATCH(L59,VEHICLE!I$30:L$30,0),0)</f>
        <v>8.0556163958372817</v>
      </c>
      <c r="N59" s="3">
        <f t="shared" si="6"/>
        <v>0</v>
      </c>
      <c r="O59" s="3">
        <f>IF(L59=1,VEHICLE!C$68*'DUTY CYCLE'!N59,IF(L59=2,VEHICLE!C$69*'DUTY CYCLE'!N59,IF('DUTY CYCLE'!L59=3,VEHICLE!C$70*'DUTY CYCLE'!N59)))</f>
        <v>0</v>
      </c>
      <c r="P59" s="37">
        <v>1.2999999999999999E-2</v>
      </c>
      <c r="Q59" s="3">
        <f>P59*VEHICLE!C$47*9.81</f>
        <v>72.351594900000009</v>
      </c>
      <c r="R59" s="3">
        <f>0.5*VEHICLE!C$20*VEHICLE!C$28*1.2*((M59)^2)</f>
        <v>25.49845390420413</v>
      </c>
      <c r="S59" s="3">
        <f>VEHICLE!C$47*9.81*SIN(RADIANS(H59))</f>
        <v>-207.1220240837383</v>
      </c>
      <c r="T59" s="3">
        <f t="shared" si="7"/>
        <v>-109.27197527953416</v>
      </c>
      <c r="U59" s="3">
        <f t="shared" si="8"/>
        <v>0.88025311566734143</v>
      </c>
      <c r="V59" s="3">
        <f>((VEHICLE!C$12*1000)-U59*1000)/1000</f>
        <v>12.542565676278967</v>
      </c>
      <c r="W59" s="3">
        <f t="shared" si="1"/>
        <v>0.88025311566734143</v>
      </c>
      <c r="X59" s="3">
        <f t="shared" si="13"/>
        <v>1.6811596143659917</v>
      </c>
      <c r="Y59" s="3">
        <f t="shared" si="9"/>
        <v>2</v>
      </c>
      <c r="Z59" s="3">
        <f t="shared" si="10"/>
        <v>-109.27197527953416</v>
      </c>
      <c r="AA59" s="3">
        <f>SUM(Z$4:Z59)</f>
        <v>11215.871195833941</v>
      </c>
      <c r="AB59" s="3">
        <f>INDEX(BSFC!D$5:AD$27,MATCH('DUTY CYCLE'!Y59,BSFC!C$5:C$27,0),MATCH('DUTY CYCLE'!K59,BSFC!D$28:AD$28,0))</f>
        <v>881.18348872000001</v>
      </c>
      <c r="AC59" s="3">
        <f t="shared" si="11"/>
        <v>0.21546236428344379</v>
      </c>
      <c r="AD59" s="3">
        <f t="shared" si="12"/>
        <v>665.77870563584133</v>
      </c>
      <c r="AE59" s="3">
        <f>0.5*VEHICLE!C$47*('DUTY CYCLE'!M59^2)/1000</f>
        <v>18.40786022669646</v>
      </c>
      <c r="AF59" s="3">
        <f t="shared" si="2"/>
        <v>-90.864115052837704</v>
      </c>
    </row>
    <row r="60" spans="2:32" ht="17" x14ac:dyDescent="0.2">
      <c r="B60" s="3">
        <v>56</v>
      </c>
      <c r="C60" s="94"/>
      <c r="D60" s="59" t="s">
        <v>113</v>
      </c>
      <c r="E60" s="3" t="str">
        <f t="shared" si="0"/>
        <v>FLAT</v>
      </c>
      <c r="F60" s="60">
        <v>0</v>
      </c>
      <c r="G60" s="60">
        <f t="shared" si="3"/>
        <v>0</v>
      </c>
      <c r="H60" s="3">
        <f t="shared" si="4"/>
        <v>0</v>
      </c>
      <c r="I60" s="3">
        <f>SUM(M$4:M60)</f>
        <v>482.13391272787248</v>
      </c>
      <c r="J60" s="3">
        <f t="shared" si="5"/>
        <v>8.4583972156291338</v>
      </c>
      <c r="K60" s="3">
        <v>5250</v>
      </c>
      <c r="L60" s="3">
        <v>2</v>
      </c>
      <c r="M60" s="3">
        <f>VLOOKUP(K60,VEHICLE!I$30:L$54,MATCH(L60,VEHICLE!I$30:L$30,0),0)</f>
        <v>8.458397215629148</v>
      </c>
      <c r="N60" s="3">
        <f t="shared" si="6"/>
        <v>0.40278081979186631</v>
      </c>
      <c r="O60" s="3">
        <f>IF(L60=1,VEHICLE!C$68*'DUTY CYCLE'!N60,IF(L60=2,VEHICLE!C$69*'DUTY CYCLE'!N60,IF('DUTY CYCLE'!L60=3,VEHICLE!C$70*'DUTY CYCLE'!N60)))</f>
        <v>236.74729072249525</v>
      </c>
      <c r="P60" s="37">
        <v>1.2999999999999999E-2</v>
      </c>
      <c r="Q60" s="3">
        <f>P60*VEHICLE!C$47*9.81</f>
        <v>72.351594900000009</v>
      </c>
      <c r="R60" s="3">
        <f>0.5*VEHICLE!C$20*VEHICLE!C$28*1.2*((M60)^2)</f>
        <v>28.11204542938507</v>
      </c>
      <c r="S60" s="3">
        <f>VEHICLE!C$47*9.81*SIN(RADIANS(H60))</f>
        <v>0</v>
      </c>
      <c r="T60" s="3">
        <f t="shared" si="7"/>
        <v>337.21093105188032</v>
      </c>
      <c r="U60" s="3">
        <f t="shared" si="8"/>
        <v>2.8522640002889372</v>
      </c>
      <c r="V60" s="3">
        <f>((VEHICLE!C$12*1000)-U60*1000)/1000</f>
        <v>10.570554791657372</v>
      </c>
      <c r="W60" s="3">
        <f t="shared" si="1"/>
        <v>2.8522640002889372</v>
      </c>
      <c r="X60" s="3">
        <f t="shared" si="13"/>
        <v>5.188021881703401</v>
      </c>
      <c r="Y60" s="3">
        <f t="shared" si="9"/>
        <v>6</v>
      </c>
      <c r="Z60" s="3">
        <f t="shared" si="10"/>
        <v>337.21093105188032</v>
      </c>
      <c r="AA60" s="3">
        <f>SUM(Z$4:Z60)</f>
        <v>11553.082126885822</v>
      </c>
      <c r="AB60" s="3">
        <f>INDEX(BSFC!D$5:AD$27,MATCH('DUTY CYCLE'!Y60,BSFC!C$5:C$27,0),MATCH('DUTY CYCLE'!K60,BSFC!D$28:AD$28,0))</f>
        <v>537.86207592000017</v>
      </c>
      <c r="AC60" s="3">
        <f t="shared" si="11"/>
        <v>0.4261457322964699</v>
      </c>
      <c r="AD60" s="3">
        <f t="shared" si="12"/>
        <v>1316.7903127960919</v>
      </c>
      <c r="AE60" s="3">
        <f>0.5*VEHICLE!C$47*('DUTY CYCLE'!M60^2)/1000</f>
        <v>20.294665899932859</v>
      </c>
      <c r="AF60" s="3">
        <f t="shared" si="2"/>
        <v>357.50559695181317</v>
      </c>
    </row>
    <row r="61" spans="2:32" ht="17" x14ac:dyDescent="0.2">
      <c r="B61" s="3">
        <v>57</v>
      </c>
      <c r="C61" s="94"/>
      <c r="D61" s="59" t="s">
        <v>113</v>
      </c>
      <c r="E61" s="3" t="str">
        <f t="shared" si="0"/>
        <v>FLAT</v>
      </c>
      <c r="F61" s="60">
        <v>0</v>
      </c>
      <c r="G61" s="60">
        <f t="shared" si="3"/>
        <v>0</v>
      </c>
      <c r="H61" s="3">
        <f t="shared" si="4"/>
        <v>0</v>
      </c>
      <c r="I61" s="3">
        <f>SUM(M$4:M61)</f>
        <v>490.59230994350162</v>
      </c>
      <c r="J61" s="3">
        <f t="shared" si="5"/>
        <v>8.4583972156291338</v>
      </c>
      <c r="K61" s="3">
        <v>5250</v>
      </c>
      <c r="L61" s="3">
        <v>2</v>
      </c>
      <c r="M61" s="3">
        <f>VLOOKUP(K61,VEHICLE!I$30:L$54,MATCH(L61,VEHICLE!I$30:L$30,0),0)</f>
        <v>8.458397215629148</v>
      </c>
      <c r="N61" s="3">
        <f t="shared" si="6"/>
        <v>0</v>
      </c>
      <c r="O61" s="3">
        <f>IF(L61=1,VEHICLE!C$68*'DUTY CYCLE'!N61,IF(L61=2,VEHICLE!C$69*'DUTY CYCLE'!N61,IF('DUTY CYCLE'!L61=3,VEHICLE!C$70*'DUTY CYCLE'!N61)))</f>
        <v>0</v>
      </c>
      <c r="P61" s="37">
        <v>1.2999999999999999E-2</v>
      </c>
      <c r="Q61" s="3">
        <f>P61*VEHICLE!C$47*9.81</f>
        <v>72.351594900000009</v>
      </c>
      <c r="R61" s="3">
        <f>0.5*VEHICLE!C$20*VEHICLE!C$28*1.2*((M61)^2)</f>
        <v>28.11204542938507</v>
      </c>
      <c r="S61" s="3">
        <f>VEHICLE!C$47*9.81*SIN(RADIANS(H61))</f>
        <v>0</v>
      </c>
      <c r="T61" s="3">
        <f t="shared" si="7"/>
        <v>100.46364032938507</v>
      </c>
      <c r="U61" s="3">
        <f t="shared" si="8"/>
        <v>0.84976137563403897</v>
      </c>
      <c r="V61" s="3">
        <f>((VEHICLE!C$12*1000)-U61*1000)/1000</f>
        <v>12.573057416312269</v>
      </c>
      <c r="W61" s="3">
        <f t="shared" si="1"/>
        <v>0.84976137563403897</v>
      </c>
      <c r="X61" s="3">
        <f t="shared" si="13"/>
        <v>1.5456425529225848</v>
      </c>
      <c r="Y61" s="3">
        <f t="shared" si="9"/>
        <v>2</v>
      </c>
      <c r="Z61" s="3">
        <f t="shared" si="10"/>
        <v>100.46364032938507</v>
      </c>
      <c r="AA61" s="3">
        <f>SUM(Z$4:Z61)</f>
        <v>11653.545767215206</v>
      </c>
      <c r="AB61" s="3">
        <f>INDEX(BSFC!D$5:AD$27,MATCH('DUTY CYCLE'!Y61,BSFC!C$5:C$27,0),MATCH('DUTY CYCLE'!K61,BSFC!D$28:AD$28,0))</f>
        <v>873.70156872000007</v>
      </c>
      <c r="AC61" s="3">
        <f t="shared" si="11"/>
        <v>0.2062327352580903</v>
      </c>
      <c r="AD61" s="3">
        <f t="shared" si="12"/>
        <v>637.25915194749905</v>
      </c>
      <c r="AE61" s="3">
        <f>0.5*VEHICLE!C$47*('DUTY CYCLE'!M61^2)/1000</f>
        <v>20.294665899932859</v>
      </c>
      <c r="AF61" s="3">
        <f t="shared" si="2"/>
        <v>120.75830622931792</v>
      </c>
    </row>
    <row r="62" spans="2:32" ht="17" x14ac:dyDescent="0.2">
      <c r="B62" s="3">
        <v>58</v>
      </c>
      <c r="C62" s="94"/>
      <c r="D62" s="59" t="s">
        <v>113</v>
      </c>
      <c r="E62" s="3" t="str">
        <f t="shared" si="0"/>
        <v>FLAT</v>
      </c>
      <c r="F62" s="60">
        <v>0</v>
      </c>
      <c r="G62" s="60">
        <f t="shared" si="3"/>
        <v>0</v>
      </c>
      <c r="H62" s="3">
        <f t="shared" si="4"/>
        <v>0</v>
      </c>
      <c r="I62" s="3">
        <f>SUM(M$4:M62)</f>
        <v>499.45348797892262</v>
      </c>
      <c r="J62" s="3">
        <f t="shared" si="5"/>
        <v>8.8611780354210055</v>
      </c>
      <c r="K62" s="3">
        <v>5500</v>
      </c>
      <c r="L62" s="3">
        <v>2</v>
      </c>
      <c r="M62" s="3">
        <f>VLOOKUP(K62,VEHICLE!I$30:L$54,MATCH(L62,VEHICLE!I$30:L$30,0),0)</f>
        <v>8.8611780354210126</v>
      </c>
      <c r="N62" s="3">
        <f t="shared" si="6"/>
        <v>0.40278081979186453</v>
      </c>
      <c r="O62" s="3">
        <f>IF(L62=1,VEHICLE!C$68*'DUTY CYCLE'!N62,IF(L62=2,VEHICLE!C$69*'DUTY CYCLE'!N62,IF('DUTY CYCLE'!L62=3,VEHICLE!C$70*'DUTY CYCLE'!N62)))</f>
        <v>236.74729072249423</v>
      </c>
      <c r="P62" s="37">
        <v>1.2999999999999999E-2</v>
      </c>
      <c r="Q62" s="3">
        <f>P62*VEHICLE!C$47*9.81</f>
        <v>72.351594900000009</v>
      </c>
      <c r="R62" s="3">
        <f>0.5*VEHICLE!C$20*VEHICLE!C$28*1.2*((M62)^2)</f>
        <v>30.85312922408702</v>
      </c>
      <c r="S62" s="3">
        <f>VEHICLE!C$47*9.81*SIN(RADIANS(H62))</f>
        <v>0</v>
      </c>
      <c r="T62" s="3">
        <f t="shared" si="7"/>
        <v>339.95201484658128</v>
      </c>
      <c r="U62" s="3">
        <f t="shared" si="8"/>
        <v>3.0123753270556439</v>
      </c>
      <c r="V62" s="3">
        <f>((VEHICLE!C$12*1000)-U62*1000)/1000</f>
        <v>10.410443464890664</v>
      </c>
      <c r="W62" s="3">
        <f t="shared" si="1"/>
        <v>3.0123753270556439</v>
      </c>
      <c r="X62" s="3">
        <f t="shared" si="13"/>
        <v>5.2301937136251349</v>
      </c>
      <c r="Y62" s="3">
        <f t="shared" si="9"/>
        <v>6</v>
      </c>
      <c r="Z62" s="3">
        <f t="shared" si="10"/>
        <v>339.95201484658128</v>
      </c>
      <c r="AA62" s="3">
        <f>SUM(Z$4:Z62)</f>
        <v>11993.497782061788</v>
      </c>
      <c r="AB62" s="3">
        <f>INDEX(BSFC!D$5:AD$27,MATCH('DUTY CYCLE'!Y62,BSFC!C$5:C$27,0),MATCH('DUTY CYCLE'!K62,BSFC!D$28:AD$28,0))</f>
        <v>530.98202200000003</v>
      </c>
      <c r="AC62" s="3">
        <f t="shared" si="11"/>
        <v>0.44431031727303255</v>
      </c>
      <c r="AD62" s="3">
        <f t="shared" si="12"/>
        <v>1372.9188803736706</v>
      </c>
      <c r="AE62" s="3">
        <f>0.5*VEHICLE!C$47*('DUTY CYCLE'!M62^2)/1000</f>
        <v>22.27351087430273</v>
      </c>
      <c r="AF62" s="3">
        <f t="shared" si="2"/>
        <v>362.22552572088398</v>
      </c>
    </row>
    <row r="63" spans="2:32" ht="17" x14ac:dyDescent="0.2">
      <c r="B63" s="3">
        <v>59</v>
      </c>
      <c r="C63" s="94"/>
      <c r="D63" s="59" t="s">
        <v>113</v>
      </c>
      <c r="E63" s="3" t="str">
        <f t="shared" si="0"/>
        <v>FLAT</v>
      </c>
      <c r="F63" s="60">
        <v>0</v>
      </c>
      <c r="G63" s="60">
        <f t="shared" si="3"/>
        <v>0</v>
      </c>
      <c r="H63" s="3">
        <f t="shared" si="4"/>
        <v>0</v>
      </c>
      <c r="I63" s="3">
        <f>SUM(M$4:M63)</f>
        <v>508.31466601434363</v>
      </c>
      <c r="J63" s="3">
        <f t="shared" si="5"/>
        <v>8.8611780354210055</v>
      </c>
      <c r="K63" s="3">
        <v>5500</v>
      </c>
      <c r="L63" s="3">
        <v>2</v>
      </c>
      <c r="M63" s="3">
        <f>VLOOKUP(K63,VEHICLE!I$30:L$54,MATCH(L63,VEHICLE!I$30:L$30,0),0)</f>
        <v>8.8611780354210126</v>
      </c>
      <c r="N63" s="3">
        <f t="shared" si="6"/>
        <v>0</v>
      </c>
      <c r="O63" s="3">
        <f>IF(L63=1,VEHICLE!C$68*'DUTY CYCLE'!N63,IF(L63=2,VEHICLE!C$69*'DUTY CYCLE'!N63,IF('DUTY CYCLE'!L63=3,VEHICLE!C$70*'DUTY CYCLE'!N63)))</f>
        <v>0</v>
      </c>
      <c r="P63" s="37">
        <v>0.02</v>
      </c>
      <c r="Q63" s="3">
        <f>P63*VEHICLE!C$47*9.81</f>
        <v>111.310146</v>
      </c>
      <c r="R63" s="3">
        <f>0.5*VEHICLE!C$20*VEHICLE!C$28*1.2*((M63)^2)</f>
        <v>30.85312922408702</v>
      </c>
      <c r="S63" s="3">
        <f>VEHICLE!C$47*9.81*SIN(RADIANS(H63))</f>
        <v>0</v>
      </c>
      <c r="T63" s="3">
        <f t="shared" si="7"/>
        <v>142.16327522408702</v>
      </c>
      <c r="U63" s="3">
        <f t="shared" si="8"/>
        <v>1.2597340918591922</v>
      </c>
      <c r="V63" s="3">
        <f>((VEHICLE!C$12*1000)-U63*1000)/1000</f>
        <v>12.163084700087117</v>
      </c>
      <c r="W63" s="3">
        <f t="shared" si="1"/>
        <v>1.2597340918591922</v>
      </c>
      <c r="X63" s="3">
        <f t="shared" si="13"/>
        <v>2.1871953567356752</v>
      </c>
      <c r="Y63" s="3">
        <f t="shared" si="9"/>
        <v>3</v>
      </c>
      <c r="Z63" s="3">
        <f t="shared" si="10"/>
        <v>142.16327522408702</v>
      </c>
      <c r="AA63" s="3">
        <f>SUM(Z$4:Z63)</f>
        <v>12135.661057285875</v>
      </c>
      <c r="AB63" s="3">
        <f>INDEX(BSFC!D$5:AD$27,MATCH('DUTY CYCLE'!Y63,BSFC!C$5:C$27,0),MATCH('DUTY CYCLE'!K63,BSFC!D$28:AD$28,0))</f>
        <v>786.79709032000005</v>
      </c>
      <c r="AC63" s="3">
        <f t="shared" si="11"/>
        <v>0.27532086612547779</v>
      </c>
      <c r="AD63" s="3">
        <f t="shared" si="12"/>
        <v>850.74147632772633</v>
      </c>
      <c r="AE63" s="3">
        <f>0.5*VEHICLE!C$47*('DUTY CYCLE'!M63^2)/1000</f>
        <v>22.27351087430273</v>
      </c>
      <c r="AF63" s="3">
        <f t="shared" si="2"/>
        <v>164.43678609838975</v>
      </c>
    </row>
    <row r="64" spans="2:32" ht="17" x14ac:dyDescent="0.2">
      <c r="B64" s="3">
        <v>60</v>
      </c>
      <c r="C64" s="94" t="s">
        <v>90</v>
      </c>
      <c r="D64" s="59" t="s">
        <v>114</v>
      </c>
      <c r="E64" s="3" t="str">
        <f t="shared" si="0"/>
        <v>FLAT</v>
      </c>
      <c r="F64" s="60">
        <v>0</v>
      </c>
      <c r="G64" s="60">
        <f t="shared" si="3"/>
        <v>0</v>
      </c>
      <c r="H64" s="3">
        <f t="shared" si="4"/>
        <v>0</v>
      </c>
      <c r="I64" s="3">
        <f>SUM(M$4:M64)</f>
        <v>517.57862486955651</v>
      </c>
      <c r="J64" s="3">
        <f t="shared" si="5"/>
        <v>9.2639588552128771</v>
      </c>
      <c r="K64" s="3">
        <v>5750</v>
      </c>
      <c r="L64" s="3">
        <v>2</v>
      </c>
      <c r="M64" s="3">
        <f>VLOOKUP(K64,VEHICLE!I$30:L$54,MATCH(L64,VEHICLE!I$30:L$30,0),0)</f>
        <v>9.2639588552128771</v>
      </c>
      <c r="N64" s="3">
        <f t="shared" si="6"/>
        <v>0.40278081979186453</v>
      </c>
      <c r="O64" s="3">
        <f>IF(L64=1,VEHICLE!C$68*'DUTY CYCLE'!N64,IF(L64=2,VEHICLE!C$69*'DUTY CYCLE'!N64,IF('DUTY CYCLE'!L64=3,VEHICLE!C$70*'DUTY CYCLE'!N64)))</f>
        <v>236.74729072249423</v>
      </c>
      <c r="P64" s="37">
        <v>0.02</v>
      </c>
      <c r="Q64" s="3">
        <f>P64*VEHICLE!C$47*9.81</f>
        <v>111.310146</v>
      </c>
      <c r="R64" s="3">
        <f>0.5*VEHICLE!C$20*VEHICLE!C$28*1.2*((M64)^2)</f>
        <v>33.721705288309991</v>
      </c>
      <c r="S64" s="3">
        <f>VEHICLE!C$47*9.81*SIN(RADIANS(H64))</f>
        <v>0</v>
      </c>
      <c r="T64" s="3">
        <f t="shared" si="7"/>
        <v>381.77914201080421</v>
      </c>
      <c r="U64" s="3">
        <f t="shared" si="8"/>
        <v>3.5367862633665639</v>
      </c>
      <c r="V64" s="3">
        <f>((VEHICLE!C$12*1000)-U64*1000)/1000</f>
        <v>9.8860325285797437</v>
      </c>
      <c r="W64" s="3">
        <f t="shared" si="1"/>
        <v>3.5367862633665639</v>
      </c>
      <c r="X64" s="3">
        <f t="shared" si="13"/>
        <v>5.8737079979927227</v>
      </c>
      <c r="Y64" s="3">
        <f t="shared" si="9"/>
        <v>6</v>
      </c>
      <c r="Z64" s="3">
        <f t="shared" si="10"/>
        <v>381.77914201080421</v>
      </c>
      <c r="AA64" s="3">
        <f>SUM(Z$4:Z64)</f>
        <v>12517.44019929668</v>
      </c>
      <c r="AB64" s="3">
        <f>INDEX(BSFC!D$5:AD$27,MATCH('DUTY CYCLE'!Y64,BSFC!C$5:C$27,0),MATCH('DUTY CYCLE'!K64,BSFC!D$28:AD$28,0))</f>
        <v>556.88240199999996</v>
      </c>
      <c r="AC64" s="3">
        <f t="shared" si="11"/>
        <v>0.54710389714004903</v>
      </c>
      <c r="AD64" s="3">
        <f t="shared" si="12"/>
        <v>1690.5510421627514</v>
      </c>
      <c r="AE64" s="3">
        <f>0.5*VEHICLE!C$47*('DUTY CYCLE'!M64^2)/1000</f>
        <v>24.344395149806083</v>
      </c>
      <c r="AF64" s="3">
        <f t="shared" si="2"/>
        <v>406.12353716061028</v>
      </c>
    </row>
    <row r="65" spans="2:32" ht="17" x14ac:dyDescent="0.2">
      <c r="B65" s="3">
        <v>61</v>
      </c>
      <c r="C65" s="94"/>
      <c r="D65" s="59" t="s">
        <v>114</v>
      </c>
      <c r="E65" s="3" t="str">
        <f t="shared" si="0"/>
        <v>FLAT</v>
      </c>
      <c r="F65" s="60">
        <v>0</v>
      </c>
      <c r="G65" s="60">
        <f t="shared" si="3"/>
        <v>0</v>
      </c>
      <c r="H65" s="3">
        <f t="shared" si="4"/>
        <v>0</v>
      </c>
      <c r="I65" s="3">
        <f>SUM(M$4:M65)</f>
        <v>526.84258372476938</v>
      </c>
      <c r="J65" s="3">
        <f t="shared" si="5"/>
        <v>9.2639588552128771</v>
      </c>
      <c r="K65" s="3">
        <v>5750</v>
      </c>
      <c r="L65" s="3">
        <v>2</v>
      </c>
      <c r="M65" s="3">
        <f>VLOOKUP(K65,VEHICLE!I$30:L$54,MATCH(L65,VEHICLE!I$30:L$30,0),0)</f>
        <v>9.2639588552128771</v>
      </c>
      <c r="N65" s="3">
        <f t="shared" si="6"/>
        <v>0</v>
      </c>
      <c r="O65" s="3">
        <f>IF(L65=1,VEHICLE!C$68*'DUTY CYCLE'!N65,IF(L65=2,VEHICLE!C$69*'DUTY CYCLE'!N65,IF('DUTY CYCLE'!L65=3,VEHICLE!C$70*'DUTY CYCLE'!N65)))</f>
        <v>0</v>
      </c>
      <c r="P65" s="37">
        <v>0.02</v>
      </c>
      <c r="Q65" s="3">
        <f>P65*VEHICLE!C$47*9.81</f>
        <v>111.310146</v>
      </c>
      <c r="R65" s="3">
        <f>0.5*VEHICLE!C$20*VEHICLE!C$28*1.2*((M65)^2)</f>
        <v>33.721705288309991</v>
      </c>
      <c r="S65" s="3">
        <f>VEHICLE!C$47*9.81*SIN(RADIANS(H65))</f>
        <v>0</v>
      </c>
      <c r="T65" s="3">
        <f t="shared" si="7"/>
        <v>145.03185128831001</v>
      </c>
      <c r="U65" s="3">
        <f t="shared" si="8"/>
        <v>1.3435691030302566</v>
      </c>
      <c r="V65" s="3">
        <f>((VEHICLE!C$12*1000)-U65*1000)/1000</f>
        <v>12.079249688916052</v>
      </c>
      <c r="W65" s="3">
        <f t="shared" si="1"/>
        <v>1.3435691030302566</v>
      </c>
      <c r="X65" s="3">
        <f t="shared" si="13"/>
        <v>2.2313286692119236</v>
      </c>
      <c r="Y65" s="3">
        <f t="shared" si="9"/>
        <v>3</v>
      </c>
      <c r="Z65" s="3">
        <f t="shared" si="10"/>
        <v>145.03185128831001</v>
      </c>
      <c r="AA65" s="3">
        <f>SUM(Z$4:Z65)</f>
        <v>12662.472050584989</v>
      </c>
      <c r="AB65" s="3">
        <f>INDEX(BSFC!D$5:AD$27,MATCH('DUTY CYCLE'!Y65,BSFC!C$5:C$27,0),MATCH('DUTY CYCLE'!K65,BSFC!D$28:AD$28,0))</f>
        <v>812.69747031999998</v>
      </c>
      <c r="AC65" s="3">
        <f t="shared" si="11"/>
        <v>0.30330978089800026</v>
      </c>
      <c r="AD65" s="3">
        <f t="shared" si="12"/>
        <v>937.22722297482085</v>
      </c>
      <c r="AE65" s="3">
        <f>0.5*VEHICLE!C$47*('DUTY CYCLE'!M65^2)/1000</f>
        <v>24.344395149806083</v>
      </c>
      <c r="AF65" s="3">
        <f t="shared" si="2"/>
        <v>169.37624643811608</v>
      </c>
    </row>
    <row r="66" spans="2:32" ht="17" x14ac:dyDescent="0.2">
      <c r="B66" s="3">
        <v>62</v>
      </c>
      <c r="C66" s="94"/>
      <c r="D66" s="59" t="s">
        <v>114</v>
      </c>
      <c r="E66" s="3" t="str">
        <f t="shared" si="0"/>
        <v>FLAT</v>
      </c>
      <c r="F66" s="60">
        <v>0</v>
      </c>
      <c r="G66" s="60">
        <f t="shared" si="3"/>
        <v>0</v>
      </c>
      <c r="H66" s="3">
        <f t="shared" si="4"/>
        <v>0</v>
      </c>
      <c r="I66" s="3">
        <f>SUM(M$4:M66)</f>
        <v>536.86035807257883</v>
      </c>
      <c r="J66" s="3">
        <f t="shared" si="5"/>
        <v>10.01777434780945</v>
      </c>
      <c r="K66" s="3">
        <v>4750</v>
      </c>
      <c r="L66" s="3">
        <v>3</v>
      </c>
      <c r="M66" s="3">
        <f>VLOOKUP(K66,VEHICLE!I$30:L$54,MATCH(L66,VEHICLE!I$30:L$30,0),0)</f>
        <v>10.017774347809453</v>
      </c>
      <c r="N66" s="3">
        <f t="shared" si="6"/>
        <v>0.75381549259657632</v>
      </c>
      <c r="O66" s="3">
        <f>IF(L66=1,VEHICLE!C$68*'DUTY CYCLE'!N66,IF(L66=2,VEHICLE!C$69*'DUTY CYCLE'!N66,IF('DUTY CYCLE'!L66=3,VEHICLE!C$70*'DUTY CYCLE'!N66)))</f>
        <v>441.13176725196286</v>
      </c>
      <c r="P66" s="37">
        <v>0.02</v>
      </c>
      <c r="Q66" s="3">
        <f>P66*VEHICLE!C$47*9.81</f>
        <v>111.310146</v>
      </c>
      <c r="R66" s="3">
        <f>0.5*VEHICLE!C$20*VEHICLE!C$28*1.2*((M66)^2)</f>
        <v>39.432905982867275</v>
      </c>
      <c r="S66" s="3">
        <f>VEHICLE!C$47*9.81*SIN(RADIANS(H66))</f>
        <v>0</v>
      </c>
      <c r="T66" s="3">
        <f t="shared" si="7"/>
        <v>591.87481923483017</v>
      </c>
      <c r="U66" s="3">
        <f t="shared" si="8"/>
        <v>5.9292683812450386</v>
      </c>
      <c r="V66" s="3">
        <f>((VEHICLE!C$12*1000)-U66*1000)/1000</f>
        <v>7.4935504107012703</v>
      </c>
      <c r="W66" s="3">
        <f t="shared" si="1"/>
        <v>5.9292683812450386</v>
      </c>
      <c r="X66" s="3">
        <f t="shared" si="13"/>
        <v>11.920072064761623</v>
      </c>
      <c r="Y66" s="3">
        <f t="shared" si="9"/>
        <v>12</v>
      </c>
      <c r="Z66" s="3">
        <f t="shared" si="10"/>
        <v>591.87481923483017</v>
      </c>
      <c r="AA66" s="3">
        <f>SUM(Z$4:Z66)</f>
        <v>13254.346869819819</v>
      </c>
      <c r="AB66" s="3">
        <f>INDEX(BSFC!D$5:AD$27,MATCH('DUTY CYCLE'!Y66,BSFC!C$5:C$27,0),MATCH('DUTY CYCLE'!K66,BSFC!D$28:AD$28,0))</f>
        <v>458.32878840000001</v>
      </c>
      <c r="AC66" s="3">
        <f t="shared" si="11"/>
        <v>0.75487622035401891</v>
      </c>
      <c r="AD66" s="3">
        <f t="shared" si="12"/>
        <v>2332.5675208939183</v>
      </c>
      <c r="AE66" s="3">
        <f>0.5*VEHICLE!C$47*('DUTY CYCLE'!M66^2)/1000</f>
        <v>28.467428824984658</v>
      </c>
      <c r="AF66" s="3">
        <f t="shared" si="2"/>
        <v>620.34224805981478</v>
      </c>
    </row>
    <row r="67" spans="2:32" ht="17" x14ac:dyDescent="0.2">
      <c r="B67" s="3">
        <v>63</v>
      </c>
      <c r="C67" s="94"/>
      <c r="D67" s="59" t="s">
        <v>114</v>
      </c>
      <c r="E67" s="3" t="str">
        <f t="shared" si="0"/>
        <v>FLAT</v>
      </c>
      <c r="F67" s="60">
        <v>0</v>
      </c>
      <c r="G67" s="60">
        <f t="shared" si="3"/>
        <v>0</v>
      </c>
      <c r="H67" s="3">
        <f t="shared" si="4"/>
        <v>0</v>
      </c>
      <c r="I67" s="3">
        <f>SUM(M$4:M67)</f>
        <v>546.87813242038828</v>
      </c>
      <c r="J67" s="3">
        <f t="shared" si="5"/>
        <v>10.01777434780945</v>
      </c>
      <c r="K67" s="3">
        <v>4750</v>
      </c>
      <c r="L67" s="3">
        <v>3</v>
      </c>
      <c r="M67" s="3">
        <f>VLOOKUP(K67,VEHICLE!I$30:L$54,MATCH(L67,VEHICLE!I$30:L$30,0),0)</f>
        <v>10.017774347809453</v>
      </c>
      <c r="N67" s="3">
        <f t="shared" si="6"/>
        <v>0</v>
      </c>
      <c r="O67" s="3">
        <f>IF(L67=1,VEHICLE!C$68*'DUTY CYCLE'!N67,IF(L67=2,VEHICLE!C$69*'DUTY CYCLE'!N67,IF('DUTY CYCLE'!L67=3,VEHICLE!C$70*'DUTY CYCLE'!N67)))</f>
        <v>0</v>
      </c>
      <c r="P67" s="37">
        <v>0.02</v>
      </c>
      <c r="Q67" s="3">
        <f>P67*VEHICLE!C$47*9.81</f>
        <v>111.310146</v>
      </c>
      <c r="R67" s="3">
        <f>0.5*VEHICLE!C$20*VEHICLE!C$28*1.2*((M67)^2)</f>
        <v>39.432905982867275</v>
      </c>
      <c r="S67" s="3">
        <f>VEHICLE!C$47*9.81*SIN(RADIANS(H67))</f>
        <v>0</v>
      </c>
      <c r="T67" s="3">
        <f t="shared" si="7"/>
        <v>150.74305198286729</v>
      </c>
      <c r="U67" s="3">
        <f t="shared" si="8"/>
        <v>1.5101098792644747</v>
      </c>
      <c r="V67" s="3">
        <f>((VEHICLE!C$12*1000)-U67*1000)/1000</f>
        <v>11.912708912681834</v>
      </c>
      <c r="W67" s="3">
        <f t="shared" si="1"/>
        <v>1.5101098792644747</v>
      </c>
      <c r="X67" s="3">
        <f t="shared" si="13"/>
        <v>3.0358920239601654</v>
      </c>
      <c r="Y67" s="3">
        <f t="shared" si="9"/>
        <v>4</v>
      </c>
      <c r="Z67" s="3">
        <f t="shared" si="10"/>
        <v>150.74305198286729</v>
      </c>
      <c r="AA67" s="3">
        <f>SUM(Z$4:Z67)</f>
        <v>13405.089921802686</v>
      </c>
      <c r="AB67" s="3">
        <f>INDEX(BSFC!D$5:AD$27,MATCH('DUTY CYCLE'!Y67,BSFC!C$5:C$27,0),MATCH('DUTY CYCLE'!K67,BSFC!D$28:AD$28,0))</f>
        <v>731.05834368000012</v>
      </c>
      <c r="AC67" s="3">
        <f t="shared" si="11"/>
        <v>0.30666067419719217</v>
      </c>
      <c r="AD67" s="3">
        <f t="shared" si="12"/>
        <v>947.58148326932383</v>
      </c>
      <c r="AE67" s="3">
        <f>0.5*VEHICLE!C$47*('DUTY CYCLE'!M67^2)/1000</f>
        <v>28.467428824984658</v>
      </c>
      <c r="AF67" s="3">
        <f t="shared" si="2"/>
        <v>179.21048080785195</v>
      </c>
    </row>
    <row r="68" spans="2:32" ht="17" x14ac:dyDescent="0.2">
      <c r="B68" s="3">
        <v>64</v>
      </c>
      <c r="C68" s="94"/>
      <c r="D68" s="59" t="s">
        <v>114</v>
      </c>
      <c r="E68" s="3" t="str">
        <f t="shared" si="0"/>
        <v>FLAT</v>
      </c>
      <c r="F68" s="60">
        <v>0</v>
      </c>
      <c r="G68" s="60">
        <f t="shared" si="3"/>
        <v>0</v>
      </c>
      <c r="H68" s="3">
        <f t="shared" si="4"/>
        <v>0</v>
      </c>
      <c r="I68" s="3">
        <f>SUM(M$4:M68)</f>
        <v>557.42315804966142</v>
      </c>
      <c r="J68" s="3">
        <f t="shared" si="5"/>
        <v>10.545025629273141</v>
      </c>
      <c r="K68" s="3">
        <v>5000</v>
      </c>
      <c r="L68" s="3">
        <v>3</v>
      </c>
      <c r="M68" s="3">
        <f>VLOOKUP(K68,VEHICLE!I$30:L$54,MATCH(L68,VEHICLE!I$30:L$30,0),0)</f>
        <v>10.545025629273109</v>
      </c>
      <c r="N68" s="3">
        <f t="shared" si="6"/>
        <v>0.52725128146365563</v>
      </c>
      <c r="O68" s="3">
        <f>IF(L68=1,VEHICLE!C$68*'DUTY CYCLE'!N68,IF(L68=2,VEHICLE!C$69*'DUTY CYCLE'!N68,IF('DUTY CYCLE'!L68=3,VEHICLE!C$70*'DUTY CYCLE'!N68)))</f>
        <v>308.5467091910773</v>
      </c>
      <c r="P68" s="37">
        <v>0.02</v>
      </c>
      <c r="Q68" s="3">
        <f>P68*VEHICLE!C$47*9.81</f>
        <v>111.310146</v>
      </c>
      <c r="R68" s="3">
        <f>0.5*VEHICLE!C$20*VEHICLE!C$28*1.2*((M68)^2)</f>
        <v>43.692970618135483</v>
      </c>
      <c r="S68" s="3">
        <f>VEHICLE!C$47*9.81*SIN(RADIANS(H68))</f>
        <v>0</v>
      </c>
      <c r="T68" s="3">
        <f t="shared" si="7"/>
        <v>463.54982580921279</v>
      </c>
      <c r="U68" s="3">
        <f t="shared" si="8"/>
        <v>4.8881447936032343</v>
      </c>
      <c r="V68" s="3">
        <f>((VEHICLE!C$12*1000)-U68*1000)/1000</f>
        <v>8.5346739983430737</v>
      </c>
      <c r="W68" s="3">
        <f t="shared" si="1"/>
        <v>4.8881447936032343</v>
      </c>
      <c r="X68" s="3">
        <f t="shared" si="13"/>
        <v>9.3356688774104075</v>
      </c>
      <c r="Y68" s="3">
        <f t="shared" si="9"/>
        <v>10</v>
      </c>
      <c r="Z68" s="3">
        <f t="shared" si="10"/>
        <v>463.54982580921279</v>
      </c>
      <c r="AA68" s="3">
        <f>SUM(Z$4:Z68)</f>
        <v>13868.639747611898</v>
      </c>
      <c r="AB68" s="3">
        <f>INDEX(BSFC!D$5:AD$27,MATCH('DUTY CYCLE'!Y68,BSFC!C$5:C$27,0),MATCH('DUTY CYCLE'!K68,BSFC!D$28:AD$28,0))</f>
        <v>405.53355928000008</v>
      </c>
      <c r="AC68" s="3">
        <f t="shared" si="11"/>
        <v>0.55064076567386688</v>
      </c>
      <c r="AD68" s="3">
        <f t="shared" si="12"/>
        <v>1701.4799659322487</v>
      </c>
      <c r="AE68" s="3">
        <f>0.5*VEHICLE!C$47*('DUTY CYCLE'!M68^2)/1000</f>
        <v>31.542857423805714</v>
      </c>
      <c r="AF68" s="3">
        <f t="shared" si="2"/>
        <v>495.09268323301853</v>
      </c>
    </row>
    <row r="69" spans="2:32" ht="17" x14ac:dyDescent="0.2">
      <c r="B69" s="3">
        <v>65</v>
      </c>
      <c r="C69" s="94"/>
      <c r="D69" s="59" t="s">
        <v>114</v>
      </c>
      <c r="E69" s="3" t="str">
        <f t="shared" ref="E69:E132" si="14">IF(H69&gt;0,"UPHILL",IF(H69&lt;0,"DOWNHILL",IF(H69=0,"FLAT",0)))</f>
        <v>FLAT</v>
      </c>
      <c r="F69" s="60">
        <v>0</v>
      </c>
      <c r="G69" s="60">
        <f t="shared" si="3"/>
        <v>0</v>
      </c>
      <c r="H69" s="3">
        <f t="shared" si="4"/>
        <v>0</v>
      </c>
      <c r="I69" s="3">
        <f>SUM(M$4:M69)</f>
        <v>567.96818367893457</v>
      </c>
      <c r="J69" s="3">
        <f t="shared" si="5"/>
        <v>10.545025629273141</v>
      </c>
      <c r="K69" s="3">
        <v>5000</v>
      </c>
      <c r="L69" s="3">
        <v>3</v>
      </c>
      <c r="M69" s="3">
        <f>VLOOKUP(K69,VEHICLE!I$30:L$54,MATCH(L69,VEHICLE!I$30:L$30,0),0)</f>
        <v>10.545025629273109</v>
      </c>
      <c r="N69" s="3">
        <f t="shared" si="6"/>
        <v>0</v>
      </c>
      <c r="O69" s="3">
        <f>IF(L69=1,VEHICLE!C$68*'DUTY CYCLE'!N69,IF(L69=2,VEHICLE!C$69*'DUTY CYCLE'!N69,IF('DUTY CYCLE'!L69=3,VEHICLE!C$70*'DUTY CYCLE'!N69)))</f>
        <v>0</v>
      </c>
      <c r="P69" s="37">
        <v>0.02</v>
      </c>
      <c r="Q69" s="3">
        <f>P69*VEHICLE!C$47*9.81</f>
        <v>111.310146</v>
      </c>
      <c r="R69" s="3">
        <f>0.5*VEHICLE!C$20*VEHICLE!C$28*1.2*((M69)^2)</f>
        <v>43.692970618135483</v>
      </c>
      <c r="S69" s="3">
        <f>VEHICLE!C$47*9.81*SIN(RADIANS(H69))</f>
        <v>0</v>
      </c>
      <c r="T69" s="3">
        <f t="shared" si="7"/>
        <v>155.00311661813549</v>
      </c>
      <c r="U69" s="3">
        <f t="shared" si="8"/>
        <v>1.6345118373554475</v>
      </c>
      <c r="V69" s="3">
        <f>((VEHICLE!C$12*1000)-U69*1000)/1000</f>
        <v>11.788306954590862</v>
      </c>
      <c r="W69" s="3">
        <f t="shared" ref="W69:W132" si="15">U69</f>
        <v>1.6345118373554475</v>
      </c>
      <c r="X69" s="3">
        <f t="shared" si="13"/>
        <v>3.1216876614880262</v>
      </c>
      <c r="Y69" s="3">
        <f t="shared" si="9"/>
        <v>4</v>
      </c>
      <c r="Z69" s="3">
        <f t="shared" si="10"/>
        <v>155.00311661813549</v>
      </c>
      <c r="AA69" s="3">
        <f>SUM(Z$4:Z69)</f>
        <v>14023.642864230034</v>
      </c>
      <c r="AB69" s="3">
        <f>INDEX(BSFC!D$5:AD$27,MATCH('DUTY CYCLE'!Y69,BSFC!C$5:C$27,0),MATCH('DUTY CYCLE'!K69,BSFC!D$28:AD$28,0))</f>
        <v>717.50079975999995</v>
      </c>
      <c r="AC69" s="3">
        <f t="shared" si="11"/>
        <v>0.32576765292214455</v>
      </c>
      <c r="AD69" s="3">
        <f t="shared" si="12"/>
        <v>1006.6220475294266</v>
      </c>
      <c r="AE69" s="3">
        <f>0.5*VEHICLE!C$47*('DUTY CYCLE'!M69^2)/1000</f>
        <v>31.542857423805714</v>
      </c>
      <c r="AF69" s="3">
        <f t="shared" ref="AF69:AF132" si="16">Z69+AE69</f>
        <v>186.54597404194121</v>
      </c>
    </row>
    <row r="70" spans="2:32" ht="17" x14ac:dyDescent="0.2">
      <c r="B70" s="3">
        <v>66</v>
      </c>
      <c r="C70" s="94"/>
      <c r="D70" s="59" t="s">
        <v>114</v>
      </c>
      <c r="E70" s="3" t="str">
        <f t="shared" si="14"/>
        <v>FLAT</v>
      </c>
      <c r="F70" s="60">
        <v>0</v>
      </c>
      <c r="G70" s="60">
        <f t="shared" ref="G70:G133" si="17">F70-F69</f>
        <v>0</v>
      </c>
      <c r="H70" s="3">
        <f t="shared" ref="H70:H133" si="18">DEGREES(ATAN(G70/J70))</f>
        <v>0</v>
      </c>
      <c r="I70" s="3">
        <f>SUM(M$4:M70)</f>
        <v>579.04046058967128</v>
      </c>
      <c r="J70" s="3">
        <f t="shared" ref="J70:J133" si="19">I70-I69</f>
        <v>11.072276910736718</v>
      </c>
      <c r="K70" s="3">
        <v>5250</v>
      </c>
      <c r="L70" s="3">
        <v>3</v>
      </c>
      <c r="M70" s="3">
        <f>VLOOKUP(K70,VEHICLE!I$30:L$54,MATCH(L70,VEHICLE!I$30:L$30,0),0)</f>
        <v>11.072276910736765</v>
      </c>
      <c r="N70" s="3">
        <f t="shared" ref="N70:N133" si="20">M70-M69</f>
        <v>0.52725128146365563</v>
      </c>
      <c r="O70" s="3">
        <f>IF(L70=1,VEHICLE!C$68*'DUTY CYCLE'!N70,IF(L70=2,VEHICLE!C$69*'DUTY CYCLE'!N70,IF('DUTY CYCLE'!L70=3,VEHICLE!C$70*'DUTY CYCLE'!N70)))</f>
        <v>308.5467091910773</v>
      </c>
      <c r="P70" s="37">
        <f>VLOOKUP(D70,TRACK!B$3:C$5,2)</f>
        <v>0.02</v>
      </c>
      <c r="Q70" s="3">
        <f>P70*VEHICLE!C$47*9.81</f>
        <v>111.310146</v>
      </c>
      <c r="R70" s="3">
        <f>0.5*VEHICLE!C$20*VEHICLE!C$28*1.2*((M70)^2)</f>
        <v>48.171500106494371</v>
      </c>
      <c r="S70" s="3">
        <f>VEHICLE!C$47*9.81*SIN(RADIANS(H70))</f>
        <v>0</v>
      </c>
      <c r="T70" s="3">
        <f t="shared" ref="T70:T133" si="21">SUM(Q70:S70)+O70</f>
        <v>468.02835529757169</v>
      </c>
      <c r="U70" s="3">
        <f t="shared" ref="U70:U133" si="22">ABS(((+T70)*(+M70))/1000)</f>
        <v>5.1821395519314057</v>
      </c>
      <c r="V70" s="3">
        <f>((VEHICLE!C$12*1000)-U70*1000)/1000</f>
        <v>8.2406792400149023</v>
      </c>
      <c r="W70" s="3">
        <f t="shared" si="15"/>
        <v>5.1821395519314057</v>
      </c>
      <c r="X70" s="3">
        <f t="shared" ref="X70:X133" si="23">ABS((W70*1000)/((2*PI()*K70)/60))</f>
        <v>9.4258642912217478</v>
      </c>
      <c r="Y70" s="3">
        <f t="shared" ref="Y70:Y133" si="24">ROUNDUP(X70,0)</f>
        <v>10</v>
      </c>
      <c r="Z70" s="3">
        <f t="shared" ref="Z70:Z133" si="25">T70</f>
        <v>468.02835529757169</v>
      </c>
      <c r="AA70" s="3">
        <f>SUM(Z$4:Z70)</f>
        <v>14491.671219527607</v>
      </c>
      <c r="AB70" s="3">
        <f>INDEX(BSFC!D$5:AD$27,MATCH('DUTY CYCLE'!Y70,BSFC!C$5:C$27,0),MATCH('DUTY CYCLE'!K70,BSFC!D$28:AD$28,0))</f>
        <v>398.05163928000007</v>
      </c>
      <c r="AC70" s="3">
        <f t="shared" ref="AC70:AC133" si="26">U70*AB70/3600</f>
        <v>0.57298865100667251</v>
      </c>
      <c r="AD70" s="3">
        <f t="shared" ref="AD70:AD133" si="27">AC70*(3.09*1000)</f>
        <v>1770.5349316106181</v>
      </c>
      <c r="AE70" s="3">
        <f>0.5*VEHICLE!C$47*('DUTY CYCLE'!M70^2)/1000</f>
        <v>34.776000309745804</v>
      </c>
      <c r="AF70" s="3">
        <f t="shared" si="16"/>
        <v>502.80435560731752</v>
      </c>
    </row>
    <row r="71" spans="2:32" ht="17" x14ac:dyDescent="0.2">
      <c r="B71" s="3">
        <v>67</v>
      </c>
      <c r="C71" s="94"/>
      <c r="D71" s="59" t="s">
        <v>114</v>
      </c>
      <c r="E71" s="3" t="str">
        <f t="shared" si="14"/>
        <v>FLAT</v>
      </c>
      <c r="F71" s="60">
        <v>0</v>
      </c>
      <c r="G71" s="60">
        <f t="shared" si="17"/>
        <v>0</v>
      </c>
      <c r="H71" s="3">
        <f t="shared" si="18"/>
        <v>0</v>
      </c>
      <c r="I71" s="3">
        <f>SUM(M$4:M71)</f>
        <v>590.63998878187169</v>
      </c>
      <c r="J71" s="3">
        <f t="shared" si="19"/>
        <v>11.59952819220041</v>
      </c>
      <c r="K71" s="3">
        <v>5500</v>
      </c>
      <c r="L71" s="3">
        <v>3</v>
      </c>
      <c r="M71" s="3">
        <f>VLOOKUP(K71,VEHICLE!I$30:L$54,MATCH(L71,VEHICLE!I$30:L$30,0),0)</f>
        <v>11.59952819220042</v>
      </c>
      <c r="N71" s="3">
        <f t="shared" si="20"/>
        <v>0.52725128146365563</v>
      </c>
      <c r="O71" s="3">
        <f>IF(L71=1,VEHICLE!C$68*'DUTY CYCLE'!N71,IF(L71=2,VEHICLE!C$69*'DUTY CYCLE'!N71,IF('DUTY CYCLE'!L71=3,VEHICLE!C$70*'DUTY CYCLE'!N71)))</f>
        <v>308.5467091910773</v>
      </c>
      <c r="P71" s="37">
        <f>VLOOKUP(D71,TRACK!B$3:C$5,2)</f>
        <v>0.02</v>
      </c>
      <c r="Q71" s="3">
        <f>P71*VEHICLE!C$47*9.81</f>
        <v>111.310146</v>
      </c>
      <c r="R71" s="3">
        <f>0.5*VEHICLE!C$20*VEHICLE!C$28*1.2*((M71)^2)</f>
        <v>52.868494447943938</v>
      </c>
      <c r="S71" s="3">
        <f>VEHICLE!C$47*9.81*SIN(RADIANS(H71))</f>
        <v>0</v>
      </c>
      <c r="T71" s="3">
        <f t="shared" si="21"/>
        <v>472.72534963902126</v>
      </c>
      <c r="U71" s="3">
        <f t="shared" si="22"/>
        <v>5.4833910203056275</v>
      </c>
      <c r="V71" s="3">
        <f>((VEHICLE!C$12*1000)-U71*1000)/1000</f>
        <v>7.9394277716406814</v>
      </c>
      <c r="W71" s="3">
        <f t="shared" si="15"/>
        <v>5.4833910203056275</v>
      </c>
      <c r="X71" s="3">
        <f t="shared" si="23"/>
        <v>9.5204594813165695</v>
      </c>
      <c r="Y71" s="3">
        <f t="shared" si="24"/>
        <v>10</v>
      </c>
      <c r="Z71" s="3">
        <f t="shared" si="25"/>
        <v>472.72534963902126</v>
      </c>
      <c r="AA71" s="3">
        <f>SUM(Z$4:Z71)</f>
        <v>14964.396569166627</v>
      </c>
      <c r="AB71" s="3">
        <f>INDEX(BSFC!D$5:AD$27,MATCH('DUTY CYCLE'!Y71,BSFC!C$5:C$27,0),MATCH('DUTY CYCLE'!K71,BSFC!D$28:AD$28,0))</f>
        <v>390.89437528000013</v>
      </c>
      <c r="AC71" s="3">
        <f t="shared" si="26"/>
        <v>0.59539630758286965</v>
      </c>
      <c r="AD71" s="3">
        <f t="shared" si="27"/>
        <v>1839.7745904310673</v>
      </c>
      <c r="AE71" s="3">
        <f>0.5*VEHICLE!C$47*('DUTY CYCLE'!M71^2)/1000</f>
        <v>38.166857482804915</v>
      </c>
      <c r="AF71" s="3">
        <f t="shared" si="16"/>
        <v>510.89220712182617</v>
      </c>
    </row>
    <row r="72" spans="2:32" ht="17" x14ac:dyDescent="0.2">
      <c r="B72" s="3">
        <v>68</v>
      </c>
      <c r="C72" s="94" t="s">
        <v>92</v>
      </c>
      <c r="D72" s="59" t="s">
        <v>114</v>
      </c>
      <c r="E72" s="3" t="str">
        <f t="shared" si="14"/>
        <v>FLAT</v>
      </c>
      <c r="F72" s="60">
        <v>0</v>
      </c>
      <c r="G72" s="60">
        <f t="shared" si="17"/>
        <v>0</v>
      </c>
      <c r="H72" s="3">
        <f t="shared" si="18"/>
        <v>0</v>
      </c>
      <c r="I72" s="3">
        <f>SUM(M$4:M72)</f>
        <v>602.76676825553579</v>
      </c>
      <c r="J72" s="3">
        <f t="shared" si="19"/>
        <v>12.126779473664101</v>
      </c>
      <c r="K72" s="3">
        <v>5750</v>
      </c>
      <c r="L72" s="3">
        <v>3</v>
      </c>
      <c r="M72" s="3">
        <f>VLOOKUP(K72,VEHICLE!I$30:L$54,MATCH(L72,VEHICLE!I$30:L$30,0),0)</f>
        <v>12.126779473664074</v>
      </c>
      <c r="N72" s="3">
        <f t="shared" si="20"/>
        <v>0.52725128146365385</v>
      </c>
      <c r="O72" s="3">
        <f>IF(L72=1,VEHICLE!C$68*'DUTY CYCLE'!N72,IF(L72=2,VEHICLE!C$69*'DUTY CYCLE'!N72,IF('DUTY CYCLE'!L72=3,VEHICLE!C$70*'DUTY CYCLE'!N72)))</f>
        <v>308.54670919107622</v>
      </c>
      <c r="P72" s="37">
        <f>VLOOKUP(D72,TRACK!B$3:C$5,2)</f>
        <v>0.02</v>
      </c>
      <c r="Q72" s="3">
        <f>P72*VEHICLE!C$47*9.81</f>
        <v>111.310146</v>
      </c>
      <c r="R72" s="3">
        <f>0.5*VEHICLE!C$20*VEHICLE!C$28*1.2*((M72)^2)</f>
        <v>57.783953642484164</v>
      </c>
      <c r="S72" s="3">
        <f>VEHICLE!C$47*9.81*SIN(RADIANS(H72))</f>
        <v>0</v>
      </c>
      <c r="T72" s="3">
        <f t="shared" si="21"/>
        <v>477.64080883356041</v>
      </c>
      <c r="U72" s="3">
        <f t="shared" si="22"/>
        <v>5.7922447563471255</v>
      </c>
      <c r="V72" s="3">
        <f>((VEHICLE!C$12*1000)-U72*1000)/1000</f>
        <v>7.6305740355991833</v>
      </c>
      <c r="W72" s="3">
        <f t="shared" si="15"/>
        <v>5.7922447563471255</v>
      </c>
      <c r="X72" s="3">
        <f t="shared" si="23"/>
        <v>9.619454447694844</v>
      </c>
      <c r="Y72" s="3">
        <f t="shared" si="24"/>
        <v>10</v>
      </c>
      <c r="Z72" s="3">
        <f t="shared" si="25"/>
        <v>477.64080883356041</v>
      </c>
      <c r="AA72" s="3">
        <f>SUM(Z$4:Z72)</f>
        <v>15442.037378000188</v>
      </c>
      <c r="AB72" s="3">
        <f>INDEX(BSFC!D$5:AD$27,MATCH('DUTY CYCLE'!Y72,BSFC!C$5:C$27,0),MATCH('DUTY CYCLE'!K72,BSFC!D$28:AD$28,0))</f>
        <v>416.79475528000017</v>
      </c>
      <c r="AC72" s="3">
        <f t="shared" si="26"/>
        <v>0.67060478770654564</v>
      </c>
      <c r="AD72" s="3">
        <f t="shared" si="27"/>
        <v>2072.168794013226</v>
      </c>
      <c r="AE72" s="3">
        <f>0.5*VEHICLE!C$47*('DUTY CYCLE'!M72^2)/1000</f>
        <v>41.715428942983053</v>
      </c>
      <c r="AF72" s="3">
        <f t="shared" si="16"/>
        <v>519.35623777654348</v>
      </c>
    </row>
    <row r="73" spans="2:32" ht="17" x14ac:dyDescent="0.2">
      <c r="B73" s="3">
        <v>69</v>
      </c>
      <c r="C73" s="94"/>
      <c r="D73" s="59" t="s">
        <v>114</v>
      </c>
      <c r="E73" s="3" t="str">
        <f t="shared" si="14"/>
        <v>FLAT</v>
      </c>
      <c r="F73" s="60">
        <v>0</v>
      </c>
      <c r="G73" s="60">
        <f t="shared" si="17"/>
        <v>0</v>
      </c>
      <c r="H73" s="3">
        <f t="shared" si="18"/>
        <v>0</v>
      </c>
      <c r="I73" s="3">
        <f>SUM(M$4:M73)</f>
        <v>613.83904516627251</v>
      </c>
      <c r="J73" s="3">
        <f t="shared" si="19"/>
        <v>11.072276910736718</v>
      </c>
      <c r="K73" s="3">
        <v>5250</v>
      </c>
      <c r="L73" s="3">
        <v>3</v>
      </c>
      <c r="M73" s="3">
        <f>VLOOKUP(K73,VEHICLE!I$30:L$54,MATCH(L73,VEHICLE!I$30:L$30,0),0)</f>
        <v>11.072276910736765</v>
      </c>
      <c r="N73" s="3">
        <f t="shared" si="20"/>
        <v>-1.0545025629273095</v>
      </c>
      <c r="O73" s="3">
        <f>IF(L73=1,VEHICLE!C$68*'DUTY CYCLE'!N73,IF(L73=2,VEHICLE!C$69*'DUTY CYCLE'!N73,IF('DUTY CYCLE'!L73=3,VEHICLE!C$70*'DUTY CYCLE'!N73)))</f>
        <v>-617.09341838215346</v>
      </c>
      <c r="P73" s="37">
        <f>VLOOKUP(D73,TRACK!B$3:C$5,2)</f>
        <v>0.02</v>
      </c>
      <c r="Q73" s="3">
        <f>P73*VEHICLE!C$47*9.81</f>
        <v>111.310146</v>
      </c>
      <c r="R73" s="3">
        <f>0.5*VEHICLE!C$20*VEHICLE!C$28*1.2*((M73)^2)</f>
        <v>48.171500106494371</v>
      </c>
      <c r="S73" s="3">
        <f>VEHICLE!C$47*9.81*SIN(RADIANS(H73))</f>
        <v>0</v>
      </c>
      <c r="T73" s="3">
        <f t="shared" si="21"/>
        <v>-457.61177227565906</v>
      </c>
      <c r="U73" s="3">
        <f t="shared" si="22"/>
        <v>5.0668042602491106</v>
      </c>
      <c r="V73" s="3">
        <f>((VEHICLE!C$12*1000)-U73*1000)/1000</f>
        <v>8.3560145316971983</v>
      </c>
      <c r="W73" s="3">
        <f t="shared" si="15"/>
        <v>5.0668042602491106</v>
      </c>
      <c r="X73" s="3">
        <f t="shared" si="23"/>
        <v>9.2160793565453734</v>
      </c>
      <c r="Y73" s="3">
        <f t="shared" si="24"/>
        <v>10</v>
      </c>
      <c r="Z73" s="3">
        <f t="shared" si="25"/>
        <v>-457.61177227565906</v>
      </c>
      <c r="AA73" s="3">
        <f>SUM(Z$4:Z73)</f>
        <v>14984.425605724529</v>
      </c>
      <c r="AB73" s="3">
        <f>INDEX(BSFC!D$5:AD$27,MATCH('DUTY CYCLE'!Y73,BSFC!C$5:C$27,0),MATCH('DUTY CYCLE'!K73,BSFC!D$28:AD$28,0))</f>
        <v>398.05163928000007</v>
      </c>
      <c r="AC73" s="3">
        <f t="shared" si="26"/>
        <v>0.56023603936195743</v>
      </c>
      <c r="AD73" s="3">
        <f t="shared" si="27"/>
        <v>1731.1293616284484</v>
      </c>
      <c r="AE73" s="3">
        <f>0.5*VEHICLE!C$47*('DUTY CYCLE'!M73^2)/1000</f>
        <v>34.776000309745804</v>
      </c>
      <c r="AF73" s="3">
        <f t="shared" si="16"/>
        <v>-422.83577196591324</v>
      </c>
    </row>
    <row r="74" spans="2:32" ht="17" x14ac:dyDescent="0.2">
      <c r="B74" s="3">
        <v>70</v>
      </c>
      <c r="C74" s="94"/>
      <c r="D74" s="59" t="s">
        <v>114</v>
      </c>
      <c r="E74" s="3" t="str">
        <f t="shared" si="14"/>
        <v>UPHILL</v>
      </c>
      <c r="F74" s="60">
        <v>0.2</v>
      </c>
      <c r="G74" s="60">
        <f t="shared" si="17"/>
        <v>0.2</v>
      </c>
      <c r="H74" s="3">
        <f t="shared" si="18"/>
        <v>1.3545144251044923</v>
      </c>
      <c r="I74" s="3">
        <f>SUM(M$4:M74)</f>
        <v>622.29744238190165</v>
      </c>
      <c r="J74" s="3">
        <f t="shared" si="19"/>
        <v>8.4583972156291338</v>
      </c>
      <c r="K74" s="3">
        <v>5250</v>
      </c>
      <c r="L74" s="3">
        <v>2</v>
      </c>
      <c r="M74" s="3">
        <f>VLOOKUP(K74,VEHICLE!I$30:L$54,MATCH(L74,VEHICLE!I$30:L$30,0),0)</f>
        <v>8.458397215629148</v>
      </c>
      <c r="N74" s="3">
        <f t="shared" si="20"/>
        <v>-2.6138796951076166</v>
      </c>
      <c r="O74" s="3">
        <f>IF(L74=1,VEHICLE!C$68*'DUTY CYCLE'!N74,IF(L74=2,VEHICLE!C$69*'DUTY CYCLE'!N74,IF('DUTY CYCLE'!L74=3,VEHICLE!C$70*'DUTY CYCLE'!N74)))</f>
        <v>-1536.3912720845174</v>
      </c>
      <c r="P74" s="37">
        <f>VLOOKUP(D74,TRACK!B$3:C$5,2)</f>
        <v>0.02</v>
      </c>
      <c r="Q74" s="3">
        <f>P74*VEHICLE!C$47*9.81</f>
        <v>111.310146</v>
      </c>
      <c r="R74" s="3">
        <f>0.5*VEHICLE!C$20*VEHICLE!C$28*1.2*((M74)^2)</f>
        <v>28.11204542938507</v>
      </c>
      <c r="S74" s="3">
        <f>VEHICLE!C$47*9.81*SIN(RADIANS(H74))</f>
        <v>131.5604361660173</v>
      </c>
      <c r="T74" s="3">
        <f t="shared" si="21"/>
        <v>-1265.408644489115</v>
      </c>
      <c r="U74" s="3">
        <f t="shared" si="22"/>
        <v>10.703328955179785</v>
      </c>
      <c r="V74" s="3">
        <f>((VEHICLE!C$12*1000)-U74*1000)/1000</f>
        <v>2.7194898367665248</v>
      </c>
      <c r="W74" s="3">
        <f t="shared" si="15"/>
        <v>10.703328955179785</v>
      </c>
      <c r="X74" s="3">
        <f t="shared" si="23"/>
        <v>19.468430980062564</v>
      </c>
      <c r="Y74" s="3">
        <f t="shared" si="24"/>
        <v>20</v>
      </c>
      <c r="Z74" s="3">
        <f t="shared" si="25"/>
        <v>-1265.408644489115</v>
      </c>
      <c r="AA74" s="3">
        <f>SUM(Z$4:Z74)</f>
        <v>13719.016961235415</v>
      </c>
      <c r="AB74" s="3">
        <f>INDEX(BSFC!D$5:AD$27,MATCH('DUTY CYCLE'!Y74,BSFC!C$5:C$27,0),MATCH('DUTY CYCLE'!K74,BSFC!D$28:AD$28,0))</f>
        <v>494.21550456</v>
      </c>
      <c r="AC74" s="3">
        <f t="shared" si="26"/>
        <v>1.4693753111266208</v>
      </c>
      <c r="AD74" s="3">
        <f t="shared" si="27"/>
        <v>4540.3697113812586</v>
      </c>
      <c r="AE74" s="3">
        <f>0.5*VEHICLE!C$47*('DUTY CYCLE'!M74^2)/1000</f>
        <v>20.294665899932859</v>
      </c>
      <c r="AF74" s="3">
        <f t="shared" si="16"/>
        <v>-1245.1139785891821</v>
      </c>
    </row>
    <row r="75" spans="2:32" ht="17" x14ac:dyDescent="0.2">
      <c r="B75" s="3">
        <v>71</v>
      </c>
      <c r="C75" s="94"/>
      <c r="D75" s="59" t="s">
        <v>114</v>
      </c>
      <c r="E75" s="3" t="str">
        <f t="shared" si="14"/>
        <v>UPHILL</v>
      </c>
      <c r="F75" s="60">
        <v>0.4</v>
      </c>
      <c r="G75" s="60">
        <f t="shared" si="17"/>
        <v>0.2</v>
      </c>
      <c r="H75" s="3">
        <f t="shared" si="18"/>
        <v>1.4222129923430875</v>
      </c>
      <c r="I75" s="3">
        <f>SUM(M$4:M75)</f>
        <v>630.35305877773897</v>
      </c>
      <c r="J75" s="3">
        <f t="shared" si="19"/>
        <v>8.055616395837319</v>
      </c>
      <c r="K75" s="3">
        <v>5000</v>
      </c>
      <c r="L75" s="3">
        <v>2</v>
      </c>
      <c r="M75" s="3">
        <f>VLOOKUP(K75,VEHICLE!I$30:L$54,MATCH(L75,VEHICLE!I$30:L$30,0),0)</f>
        <v>8.0556163958372817</v>
      </c>
      <c r="N75" s="3">
        <f t="shared" si="20"/>
        <v>-0.40278081979186631</v>
      </c>
      <c r="O75" s="3">
        <f>IF(L75=1,VEHICLE!C$68*'DUTY CYCLE'!N75,IF(L75=2,VEHICLE!C$69*'DUTY CYCLE'!N75,IF('DUTY CYCLE'!L75=3,VEHICLE!C$70*'DUTY CYCLE'!N75)))</f>
        <v>-236.74729072249525</v>
      </c>
      <c r="P75" s="37">
        <f>VLOOKUP(D75,TRACK!B$3:C$5,2)</f>
        <v>0.02</v>
      </c>
      <c r="Q75" s="3">
        <f>P75*VEHICLE!C$47*9.81</f>
        <v>111.310146</v>
      </c>
      <c r="R75" s="3">
        <f>0.5*VEHICLE!C$20*VEHICLE!C$28*1.2*((M75)^2)</f>
        <v>25.49845390420413</v>
      </c>
      <c r="S75" s="3">
        <f>VEHICLE!C$47*9.81*SIN(RADIANS(H75))</f>
        <v>138.1345022053959</v>
      </c>
      <c r="T75" s="3">
        <f t="shared" si="21"/>
        <v>38.195811387104783</v>
      </c>
      <c r="U75" s="3">
        <f t="shared" si="22"/>
        <v>0.30769080446226965</v>
      </c>
      <c r="V75" s="3">
        <f>((VEHICLE!C$12*1000)-U75*1000)/1000</f>
        <v>13.115127987484041</v>
      </c>
      <c r="W75" s="3">
        <f t="shared" si="15"/>
        <v>0.30769080446226965</v>
      </c>
      <c r="X75" s="3">
        <f t="shared" si="23"/>
        <v>0.58764614968910422</v>
      </c>
      <c r="Y75" s="3">
        <f t="shared" si="24"/>
        <v>1</v>
      </c>
      <c r="Z75" s="3">
        <f t="shared" si="25"/>
        <v>38.195811387104783</v>
      </c>
      <c r="AA75" s="3">
        <f>SUM(Z$4:Z75)</f>
        <v>13757.212772622519</v>
      </c>
      <c r="AB75" s="3">
        <f>INDEX(BSFC!D$5:AD$27,MATCH('DUTY CYCLE'!Y75,BSFC!C$5:C$27,0),MATCH('DUTY CYCLE'!K75,BSFC!D$28:AD$28,0))</f>
        <v>967.29096135999976</v>
      </c>
      <c r="AC75" s="3">
        <f t="shared" si="26"/>
        <v>8.2674037236094594E-2</v>
      </c>
      <c r="AD75" s="3">
        <f t="shared" si="27"/>
        <v>255.46277505953231</v>
      </c>
      <c r="AE75" s="3">
        <f>0.5*VEHICLE!C$47*('DUTY CYCLE'!M75^2)/1000</f>
        <v>18.40786022669646</v>
      </c>
      <c r="AF75" s="3">
        <f t="shared" si="16"/>
        <v>56.603671613801239</v>
      </c>
    </row>
    <row r="76" spans="2:32" ht="17" x14ac:dyDescent="0.2">
      <c r="B76" s="3">
        <v>72</v>
      </c>
      <c r="C76" s="94" t="s">
        <v>94</v>
      </c>
      <c r="D76" s="59" t="s">
        <v>114</v>
      </c>
      <c r="E76" s="3" t="str">
        <f t="shared" si="14"/>
        <v>UPHILL</v>
      </c>
      <c r="F76" s="60">
        <v>0.6</v>
      </c>
      <c r="G76" s="60">
        <f t="shared" si="17"/>
        <v>0.19999999999999996</v>
      </c>
      <c r="H76" s="3">
        <f t="shared" si="18"/>
        <v>1.4222129923430871</v>
      </c>
      <c r="I76" s="3">
        <f>SUM(M$4:M76)</f>
        <v>638.40867517357628</v>
      </c>
      <c r="J76" s="3">
        <f t="shared" si="19"/>
        <v>8.055616395837319</v>
      </c>
      <c r="K76" s="3">
        <v>5000</v>
      </c>
      <c r="L76" s="3">
        <v>2</v>
      </c>
      <c r="M76" s="3">
        <f>VLOOKUP(K76,VEHICLE!I$30:L$54,MATCH(L76,VEHICLE!I$30:L$30,0),0)</f>
        <v>8.0556163958372817</v>
      </c>
      <c r="N76" s="3">
        <f t="shared" si="20"/>
        <v>0</v>
      </c>
      <c r="O76" s="3">
        <f>IF(L76=1,VEHICLE!C$68*'DUTY CYCLE'!N76,IF(L76=2,VEHICLE!C$69*'DUTY CYCLE'!N76,IF('DUTY CYCLE'!L76=3,VEHICLE!C$70*'DUTY CYCLE'!N76)))</f>
        <v>0</v>
      </c>
      <c r="P76" s="37">
        <f>VLOOKUP(D76,TRACK!B$3:C$5,2)</f>
        <v>0.02</v>
      </c>
      <c r="Q76" s="3">
        <f>P76*VEHICLE!C$47*9.81</f>
        <v>111.310146</v>
      </c>
      <c r="R76" s="3">
        <f>0.5*VEHICLE!C$20*VEHICLE!C$28*1.2*((M76)^2)</f>
        <v>25.49845390420413</v>
      </c>
      <c r="S76" s="3">
        <f>VEHICLE!C$47*9.81*SIN(RADIANS(H76))</f>
        <v>138.13450220539588</v>
      </c>
      <c r="T76" s="3">
        <f t="shared" si="21"/>
        <v>274.94310210959998</v>
      </c>
      <c r="U76" s="3">
        <f t="shared" si="22"/>
        <v>2.2148361612764575</v>
      </c>
      <c r="V76" s="3">
        <f>((VEHICLE!C$12*1000)-U76*1000)/1000</f>
        <v>11.207982630669852</v>
      </c>
      <c r="W76" s="3">
        <f t="shared" si="15"/>
        <v>2.2148361612764575</v>
      </c>
      <c r="X76" s="3">
        <f t="shared" si="23"/>
        <v>4.2300254784699183</v>
      </c>
      <c r="Y76" s="3">
        <f t="shared" si="24"/>
        <v>5</v>
      </c>
      <c r="Z76" s="3">
        <f t="shared" si="25"/>
        <v>274.94310210959998</v>
      </c>
      <c r="AA76" s="3">
        <f>SUM(Z$4:Z76)</f>
        <v>14032.15587473212</v>
      </c>
      <c r="AB76" s="3">
        <f>INDEX(BSFC!D$5:AD$27,MATCH('DUTY CYCLE'!Y76,BSFC!C$5:C$27,0),MATCH('DUTY CYCLE'!K76,BSFC!D$28:AD$28,0))</f>
        <v>639.92558343999985</v>
      </c>
      <c r="AC76" s="3">
        <f t="shared" si="26"/>
        <v>0.39370286742467969</v>
      </c>
      <c r="AD76" s="3">
        <f t="shared" si="27"/>
        <v>1216.5418603422602</v>
      </c>
      <c r="AE76" s="3">
        <f>0.5*VEHICLE!C$47*('DUTY CYCLE'!M76^2)/1000</f>
        <v>18.40786022669646</v>
      </c>
      <c r="AF76" s="3">
        <f t="shared" si="16"/>
        <v>293.35096233629645</v>
      </c>
    </row>
    <row r="77" spans="2:32" ht="17" x14ac:dyDescent="0.2">
      <c r="B77" s="3">
        <v>73</v>
      </c>
      <c r="C77" s="94"/>
      <c r="D77" s="59" t="s">
        <v>114</v>
      </c>
      <c r="E77" s="3" t="str">
        <f t="shared" si="14"/>
        <v>UPHILL</v>
      </c>
      <c r="F77" s="60">
        <v>0.8</v>
      </c>
      <c r="G77" s="60">
        <f t="shared" si="17"/>
        <v>0.20000000000000007</v>
      </c>
      <c r="H77" s="3">
        <f t="shared" si="18"/>
        <v>1.3545144251044927</v>
      </c>
      <c r="I77" s="3">
        <f>SUM(M$4:M77)</f>
        <v>646.86707238920542</v>
      </c>
      <c r="J77" s="3">
        <f t="shared" si="19"/>
        <v>8.4583972156291338</v>
      </c>
      <c r="K77" s="3">
        <v>5250</v>
      </c>
      <c r="L77" s="3">
        <v>2</v>
      </c>
      <c r="M77" s="3">
        <f>VLOOKUP(K77,VEHICLE!I$30:L$54,MATCH(L77,VEHICLE!I$30:L$30,0),0)</f>
        <v>8.458397215629148</v>
      </c>
      <c r="N77" s="3">
        <f t="shared" si="20"/>
        <v>0.40278081979186631</v>
      </c>
      <c r="O77" s="3">
        <f>IF(L77=1,VEHICLE!C$68*'DUTY CYCLE'!N77,IF(L77=2,VEHICLE!C$69*'DUTY CYCLE'!N77,IF('DUTY CYCLE'!L77=3,VEHICLE!C$70*'DUTY CYCLE'!N77)))</f>
        <v>236.74729072249525</v>
      </c>
      <c r="P77" s="37">
        <f>VLOOKUP(D77,TRACK!B$3:C$5,2)</f>
        <v>0.02</v>
      </c>
      <c r="Q77" s="3">
        <f>P77*VEHICLE!C$47*9.81</f>
        <v>111.310146</v>
      </c>
      <c r="R77" s="3">
        <f>0.5*VEHICLE!C$20*VEHICLE!C$28*1.2*((M77)^2)</f>
        <v>28.11204542938507</v>
      </c>
      <c r="S77" s="3">
        <f>VEHICLE!C$47*9.81*SIN(RADIANS(H77))</f>
        <v>131.56043616601733</v>
      </c>
      <c r="T77" s="3">
        <f t="shared" si="21"/>
        <v>507.72991831789761</v>
      </c>
      <c r="U77" s="3">
        <f t="shared" si="22"/>
        <v>4.2945813273917199</v>
      </c>
      <c r="V77" s="3">
        <f>((VEHICLE!C$12*1000)-U77*1000)/1000</f>
        <v>9.128237464554589</v>
      </c>
      <c r="W77" s="3">
        <f t="shared" si="15"/>
        <v>4.2945813273917199</v>
      </c>
      <c r="X77" s="3">
        <f t="shared" si="23"/>
        <v>7.8114725344519504</v>
      </c>
      <c r="Y77" s="3">
        <f t="shared" si="24"/>
        <v>8</v>
      </c>
      <c r="Z77" s="3">
        <f t="shared" si="25"/>
        <v>507.72991831789761</v>
      </c>
      <c r="AA77" s="3">
        <f>SUM(Z$4:Z77)</f>
        <v>14539.885793050018</v>
      </c>
      <c r="AB77" s="3">
        <f>INDEX(BSFC!D$5:AD$27,MATCH('DUTY CYCLE'!Y77,BSFC!C$5:C$27,0),MATCH('DUTY CYCLE'!K77,BSFC!D$28:AD$28,0))</f>
        <v>445.11194376000014</v>
      </c>
      <c r="AC77" s="3">
        <f t="shared" si="26"/>
        <v>0.53099151174186943</v>
      </c>
      <c r="AD77" s="3">
        <f t="shared" si="27"/>
        <v>1640.7637712823766</v>
      </c>
      <c r="AE77" s="3">
        <f>0.5*VEHICLE!C$47*('DUTY CYCLE'!M77^2)/1000</f>
        <v>20.294665899932859</v>
      </c>
      <c r="AF77" s="3">
        <f t="shared" si="16"/>
        <v>528.02458421783047</v>
      </c>
    </row>
    <row r="78" spans="2:32" ht="17" x14ac:dyDescent="0.2">
      <c r="B78" s="3">
        <v>74</v>
      </c>
      <c r="C78" s="94" t="s">
        <v>93</v>
      </c>
      <c r="D78" s="59" t="s">
        <v>114</v>
      </c>
      <c r="E78" s="3" t="str">
        <f t="shared" si="14"/>
        <v>UPHILL</v>
      </c>
      <c r="F78" s="60">
        <v>1</v>
      </c>
      <c r="G78" s="60">
        <f t="shared" si="17"/>
        <v>0.19999999999999996</v>
      </c>
      <c r="H78" s="3">
        <f t="shared" si="18"/>
        <v>1.2782447051081283</v>
      </c>
      <c r="I78" s="3">
        <f>SUM(M$4:M78)</f>
        <v>655.8303441740876</v>
      </c>
      <c r="J78" s="3">
        <f t="shared" si="19"/>
        <v>8.9632717848821812</v>
      </c>
      <c r="K78" s="3">
        <v>4250</v>
      </c>
      <c r="L78" s="3">
        <v>3</v>
      </c>
      <c r="M78" s="3">
        <f>VLOOKUP(K78,VEHICLE!I$30:L$54,MATCH(L78,VEHICLE!I$30:L$30,0),0)</f>
        <v>8.9632717848821439</v>
      </c>
      <c r="N78" s="3">
        <f t="shared" si="20"/>
        <v>0.5048745692529959</v>
      </c>
      <c r="O78" s="3">
        <f>IF(L78=1,VEHICLE!C$68*'DUTY CYCLE'!N78,IF(L78=2,VEHICLE!C$69*'DUTY CYCLE'!N78,IF('DUTY CYCLE'!L78=3,VEHICLE!C$70*'DUTY CYCLE'!N78)))</f>
        <v>295.45188864185349</v>
      </c>
      <c r="P78" s="37">
        <f>VLOOKUP(D78,TRACK!B$3:C$5,2)</f>
        <v>0.02</v>
      </c>
      <c r="Q78" s="3">
        <f>P78*VEHICLE!C$47*9.81</f>
        <v>111.310146</v>
      </c>
      <c r="R78" s="3">
        <f>0.5*VEHICLE!C$20*VEHICLE!C$28*1.2*((M78)^2)</f>
        <v>31.568171271602893</v>
      </c>
      <c r="S78" s="3">
        <f>VEHICLE!C$47*9.81*SIN(RADIANS(H78))</f>
        <v>124.15382387902585</v>
      </c>
      <c r="T78" s="3">
        <f t="shared" si="21"/>
        <v>562.48402979248226</v>
      </c>
      <c r="U78" s="3">
        <f t="shared" si="22"/>
        <v>5.0416972336857633</v>
      </c>
      <c r="V78" s="3">
        <f>((VEHICLE!C$12*1000)-U78*1000)/1000</f>
        <v>8.3811215582605456</v>
      </c>
      <c r="W78" s="3">
        <f t="shared" si="15"/>
        <v>5.0416972336857633</v>
      </c>
      <c r="X78" s="3">
        <f t="shared" si="23"/>
        <v>11.328155806783396</v>
      </c>
      <c r="Y78" s="3">
        <f t="shared" si="24"/>
        <v>12</v>
      </c>
      <c r="Z78" s="3">
        <f t="shared" si="25"/>
        <v>562.48402979248226</v>
      </c>
      <c r="AA78" s="3">
        <f>SUM(Z$4:Z78)</f>
        <v>15102.3698228425</v>
      </c>
      <c r="AB78" s="3">
        <f>INDEX(BSFC!D$5:AD$27,MATCH('DUTY CYCLE'!Y78,BSFC!C$5:C$27,0),MATCH('DUTY CYCLE'!K78,BSFC!D$28:AD$28,0))</f>
        <v>479.33666840000001</v>
      </c>
      <c r="AC78" s="3">
        <f t="shared" si="26"/>
        <v>0.67129732085456395</v>
      </c>
      <c r="AD78" s="3">
        <f t="shared" si="27"/>
        <v>2074.3087214406028</v>
      </c>
      <c r="AE78" s="3">
        <f>0.5*VEHICLE!C$47*('DUTY CYCLE'!M78^2)/1000</f>
        <v>22.789714488699637</v>
      </c>
      <c r="AF78" s="3">
        <f t="shared" si="16"/>
        <v>585.27374428118185</v>
      </c>
    </row>
    <row r="79" spans="2:32" ht="17" x14ac:dyDescent="0.2">
      <c r="B79" s="3">
        <v>75</v>
      </c>
      <c r="C79" s="94"/>
      <c r="D79" s="59" t="s">
        <v>114</v>
      </c>
      <c r="E79" s="3" t="str">
        <f t="shared" si="14"/>
        <v>UPHILL</v>
      </c>
      <c r="F79" s="60">
        <v>1.2</v>
      </c>
      <c r="G79" s="60">
        <f t="shared" si="17"/>
        <v>0.19999999999999996</v>
      </c>
      <c r="H79" s="3">
        <f t="shared" si="18"/>
        <v>1.2072527448227601</v>
      </c>
      <c r="I79" s="3">
        <f>SUM(M$4:M79)</f>
        <v>665.32086724043336</v>
      </c>
      <c r="J79" s="3">
        <f t="shared" si="19"/>
        <v>9.4905230663457587</v>
      </c>
      <c r="K79" s="3">
        <v>4500</v>
      </c>
      <c r="L79" s="3">
        <v>3</v>
      </c>
      <c r="M79" s="3">
        <f>VLOOKUP(K79,VEHICLE!I$30:L$54,MATCH(L79,VEHICLE!I$30:L$30,0),0)</f>
        <v>9.4905230663458013</v>
      </c>
      <c r="N79" s="3">
        <f t="shared" si="20"/>
        <v>0.52725128146365741</v>
      </c>
      <c r="O79" s="3">
        <f>IF(L79=1,VEHICLE!C$68*'DUTY CYCLE'!N79,IF(L79=2,VEHICLE!C$69*'DUTY CYCLE'!N79,IF('DUTY CYCLE'!L79=3,VEHICLE!C$70*'DUTY CYCLE'!N79)))</f>
        <v>308.54670919107832</v>
      </c>
      <c r="P79" s="37">
        <f>VLOOKUP(D79,TRACK!B$3:C$5,2)</f>
        <v>0.02</v>
      </c>
      <c r="Q79" s="3">
        <f>P79*VEHICLE!C$47*9.81</f>
        <v>111.310146</v>
      </c>
      <c r="R79" s="3">
        <f>0.5*VEHICLE!C$20*VEHICLE!C$28*1.2*((M79)^2)</f>
        <v>35.391306200689762</v>
      </c>
      <c r="S79" s="3">
        <f>VEHICLE!C$47*9.81*SIN(RADIANS(H79))</f>
        <v>117.25954101255483</v>
      </c>
      <c r="T79" s="3">
        <f t="shared" si="21"/>
        <v>572.50770240432291</v>
      </c>
      <c r="U79" s="3">
        <f t="shared" si="22"/>
        <v>5.433397555328864</v>
      </c>
      <c r="V79" s="3">
        <f>((VEHICLE!C$12*1000)-U79*1000)/1000</f>
        <v>7.9894212366174449</v>
      </c>
      <c r="W79" s="3">
        <f t="shared" si="15"/>
        <v>5.433397555328864</v>
      </c>
      <c r="X79" s="3">
        <f t="shared" si="23"/>
        <v>11.53002771618678</v>
      </c>
      <c r="Y79" s="3">
        <f t="shared" si="24"/>
        <v>12</v>
      </c>
      <c r="Z79" s="3">
        <f t="shared" si="25"/>
        <v>572.50770240432291</v>
      </c>
      <c r="AA79" s="3">
        <f>SUM(Z$4:Z79)</f>
        <v>15674.877525246822</v>
      </c>
      <c r="AB79" s="3">
        <f>INDEX(BSFC!D$5:AD$27,MATCH('DUTY CYCLE'!Y79,BSFC!C$5:C$27,0),MATCH('DUTY CYCLE'!K79,BSFC!D$28:AD$28,0))</f>
        <v>465.94666840000002</v>
      </c>
      <c r="AC79" s="3">
        <f t="shared" si="26"/>
        <v>0.70324263583283031</v>
      </c>
      <c r="AD79" s="3">
        <f t="shared" si="27"/>
        <v>2173.0197447234455</v>
      </c>
      <c r="AE79" s="3">
        <f>0.5*VEHICLE!C$47*('DUTY CYCLE'!M79^2)/1000</f>
        <v>25.549714513282645</v>
      </c>
      <c r="AF79" s="3">
        <f t="shared" si="16"/>
        <v>598.05741691760556</v>
      </c>
    </row>
    <row r="80" spans="2:32" ht="17" x14ac:dyDescent="0.2">
      <c r="B80" s="3">
        <v>76</v>
      </c>
      <c r="C80" s="94"/>
      <c r="D80" s="59" t="s">
        <v>114</v>
      </c>
      <c r="E80" s="3" t="str">
        <f t="shared" si="14"/>
        <v>UPHILL</v>
      </c>
      <c r="F80" s="60">
        <v>1.4</v>
      </c>
      <c r="G80" s="60">
        <f t="shared" si="17"/>
        <v>0.19999999999999996</v>
      </c>
      <c r="H80" s="3">
        <f t="shared" si="18"/>
        <v>1.1437304732917837</v>
      </c>
      <c r="I80" s="3">
        <f>SUM(M$4:M80)</f>
        <v>675.33864158824281</v>
      </c>
      <c r="J80" s="3">
        <f t="shared" si="19"/>
        <v>10.01777434780945</v>
      </c>
      <c r="K80" s="3">
        <v>4750</v>
      </c>
      <c r="L80" s="3">
        <v>3</v>
      </c>
      <c r="M80" s="3">
        <f>VLOOKUP(K80,VEHICLE!I$30:L$54,MATCH(L80,VEHICLE!I$30:L$30,0),0)</f>
        <v>10.017774347809453</v>
      </c>
      <c r="N80" s="3">
        <f t="shared" si="20"/>
        <v>0.52725128146365208</v>
      </c>
      <c r="O80" s="3">
        <f>IF(L80=1,VEHICLE!C$68*'DUTY CYCLE'!N80,IF(L80=2,VEHICLE!C$69*'DUTY CYCLE'!N80,IF('DUTY CYCLE'!L80=3,VEHICLE!C$70*'DUTY CYCLE'!N80)))</f>
        <v>308.54670919107519</v>
      </c>
      <c r="P80" s="37">
        <f>VLOOKUP(D80,TRACK!B$3:C$5,2)</f>
        <v>0.02</v>
      </c>
      <c r="Q80" s="3">
        <f>P80*VEHICLE!C$47*9.81</f>
        <v>111.310146</v>
      </c>
      <c r="R80" s="3">
        <f>0.5*VEHICLE!C$20*VEHICLE!C$28*1.2*((M80)^2)</f>
        <v>39.432905982867275</v>
      </c>
      <c r="S80" s="3">
        <f>VEHICLE!C$47*9.81*SIN(RADIANS(H80))</f>
        <v>111.09051338572253</v>
      </c>
      <c r="T80" s="3">
        <f t="shared" si="21"/>
        <v>570.38027455966494</v>
      </c>
      <c r="U80" s="3">
        <f t="shared" si="22"/>
        <v>5.7139408829803244</v>
      </c>
      <c r="V80" s="3">
        <f>((VEHICLE!C$12*1000)-U80*1000)/1000</f>
        <v>7.7088779089659845</v>
      </c>
      <c r="W80" s="3">
        <f t="shared" si="15"/>
        <v>5.7139408829803244</v>
      </c>
      <c r="X80" s="3">
        <f t="shared" si="23"/>
        <v>11.487182350246583</v>
      </c>
      <c r="Y80" s="3">
        <f t="shared" si="24"/>
        <v>12</v>
      </c>
      <c r="Z80" s="3">
        <f t="shared" si="25"/>
        <v>570.38027455966494</v>
      </c>
      <c r="AA80" s="3">
        <f>SUM(Z$4:Z80)</f>
        <v>16245.257799806488</v>
      </c>
      <c r="AB80" s="3">
        <f>INDEX(BSFC!D$5:AD$27,MATCH('DUTY CYCLE'!Y80,BSFC!C$5:C$27,0),MATCH('DUTY CYCLE'!K80,BSFC!D$28:AD$28,0))</f>
        <v>458.32878840000001</v>
      </c>
      <c r="AC80" s="3">
        <f t="shared" si="26"/>
        <v>0.72746211163488839</v>
      </c>
      <c r="AD80" s="3">
        <f t="shared" si="27"/>
        <v>2247.8579249518052</v>
      </c>
      <c r="AE80" s="3">
        <f>0.5*VEHICLE!C$47*('DUTY CYCLE'!M80^2)/1000</f>
        <v>28.467428824984658</v>
      </c>
      <c r="AF80" s="3">
        <f t="shared" si="16"/>
        <v>598.84770338464955</v>
      </c>
    </row>
    <row r="81" spans="2:32" ht="17" x14ac:dyDescent="0.2">
      <c r="B81" s="3">
        <v>77</v>
      </c>
      <c r="C81" s="94"/>
      <c r="D81" s="59" t="s">
        <v>114</v>
      </c>
      <c r="E81" s="3" t="str">
        <f t="shared" si="14"/>
        <v>UPHILL</v>
      </c>
      <c r="F81" s="60">
        <v>1.6</v>
      </c>
      <c r="G81" s="60">
        <f t="shared" si="17"/>
        <v>0.20000000000000018</v>
      </c>
      <c r="H81" s="3">
        <f t="shared" si="18"/>
        <v>1.0865580200870188</v>
      </c>
      <c r="I81" s="3">
        <f>SUM(M$4:M81)</f>
        <v>685.88366721751595</v>
      </c>
      <c r="J81" s="3">
        <f t="shared" si="19"/>
        <v>10.545025629273141</v>
      </c>
      <c r="K81" s="3">
        <v>5000</v>
      </c>
      <c r="L81" s="3">
        <v>3</v>
      </c>
      <c r="M81" s="3">
        <f>VLOOKUP(K81,VEHICLE!I$30:L$54,MATCH(L81,VEHICLE!I$30:L$30,0),0)</f>
        <v>10.545025629273109</v>
      </c>
      <c r="N81" s="3">
        <f t="shared" si="20"/>
        <v>0.52725128146365563</v>
      </c>
      <c r="O81" s="3">
        <f>IF(L81=1,VEHICLE!C$68*'DUTY CYCLE'!N81,IF(L81=2,VEHICLE!C$69*'DUTY CYCLE'!N81,IF('DUTY CYCLE'!L81=3,VEHICLE!C$70*'DUTY CYCLE'!N81)))</f>
        <v>308.5467091910773</v>
      </c>
      <c r="P81" s="37">
        <f>VLOOKUP(D81,TRACK!B$3:C$5,2)</f>
        <v>0.02</v>
      </c>
      <c r="Q81" s="3">
        <f>P81*VEHICLE!C$47*9.81</f>
        <v>111.310146</v>
      </c>
      <c r="R81" s="3">
        <f>0.5*VEHICLE!C$20*VEHICLE!C$28*1.2*((M81)^2)</f>
        <v>43.692970618135483</v>
      </c>
      <c r="S81" s="3">
        <f>VEHICLE!C$47*9.81*SIN(RADIANS(H81))</f>
        <v>105.5380376146003</v>
      </c>
      <c r="T81" s="3">
        <f t="shared" si="21"/>
        <v>569.08786342381313</v>
      </c>
      <c r="U81" s="3">
        <f t="shared" si="22"/>
        <v>6.0010461051123842</v>
      </c>
      <c r="V81" s="3">
        <f>((VEHICLE!C$12*1000)-U81*1000)/1000</f>
        <v>7.4217726868339247</v>
      </c>
      <c r="W81" s="3">
        <f t="shared" si="15"/>
        <v>6.0010461051123842</v>
      </c>
      <c r="X81" s="3">
        <f t="shared" si="23"/>
        <v>11.46115381621202</v>
      </c>
      <c r="Y81" s="3">
        <f t="shared" si="24"/>
        <v>12</v>
      </c>
      <c r="Z81" s="3">
        <f t="shared" si="25"/>
        <v>569.08786342381313</v>
      </c>
      <c r="AA81" s="3">
        <f>SUM(Z$4:Z81)</f>
        <v>16814.345663230302</v>
      </c>
      <c r="AB81" s="3">
        <f>INDEX(BSFC!D$5:AD$27,MATCH('DUTY CYCLE'!Y81,BSFC!C$5:C$27,0),MATCH('DUTY CYCLE'!K81,BSFC!D$28:AD$28,0))</f>
        <v>318.33697288000008</v>
      </c>
      <c r="AC81" s="3">
        <f t="shared" si="26"/>
        <v>0.53065412533744194</v>
      </c>
      <c r="AD81" s="3">
        <f t="shared" si="27"/>
        <v>1639.7212472926956</v>
      </c>
      <c r="AE81" s="3">
        <f>0.5*VEHICLE!C$47*('DUTY CYCLE'!M81^2)/1000</f>
        <v>31.542857423805714</v>
      </c>
      <c r="AF81" s="3">
        <f t="shared" si="16"/>
        <v>600.63072084761882</v>
      </c>
    </row>
    <row r="82" spans="2:32" ht="17" x14ac:dyDescent="0.2">
      <c r="B82" s="3">
        <v>78</v>
      </c>
      <c r="C82" s="5" t="s">
        <v>96</v>
      </c>
      <c r="D82" s="59" t="s">
        <v>114</v>
      </c>
      <c r="E82" s="3" t="str">
        <f t="shared" si="14"/>
        <v>UPHILL</v>
      </c>
      <c r="F82" s="60">
        <v>1.8</v>
      </c>
      <c r="G82" s="60">
        <f t="shared" si="17"/>
        <v>0.19999999999999996</v>
      </c>
      <c r="H82" s="3">
        <f t="shared" si="18"/>
        <v>1.0348286945467249</v>
      </c>
      <c r="I82" s="3">
        <f>SUM(M$4:M82)</f>
        <v>696.95594412825267</v>
      </c>
      <c r="J82" s="3">
        <f t="shared" si="19"/>
        <v>11.072276910736718</v>
      </c>
      <c r="K82" s="3">
        <v>5250</v>
      </c>
      <c r="L82" s="3">
        <v>3</v>
      </c>
      <c r="M82" s="3">
        <f>VLOOKUP(K82,VEHICLE!I$30:L$54,MATCH(L82,VEHICLE!I$30:L$30,0),0)</f>
        <v>11.072276910736765</v>
      </c>
      <c r="N82" s="3">
        <f t="shared" si="20"/>
        <v>0.52725128146365563</v>
      </c>
      <c r="O82" s="3">
        <f>IF(L82=1,VEHICLE!C$68*'DUTY CYCLE'!N82,IF(L82=2,VEHICLE!C$69*'DUTY CYCLE'!N82,IF('DUTY CYCLE'!L82=3,VEHICLE!C$70*'DUTY CYCLE'!N82)))</f>
        <v>308.5467091910773</v>
      </c>
      <c r="P82" s="37">
        <f>VLOOKUP(D82,TRACK!B$3:C$5,2)</f>
        <v>0.02</v>
      </c>
      <c r="Q82" s="3">
        <f>P82*VEHICLE!C$47*9.81</f>
        <v>111.310146</v>
      </c>
      <c r="R82" s="3">
        <f>0.5*VEHICLE!C$20*VEHICLE!C$28*1.2*((M82)^2)</f>
        <v>48.171500106494371</v>
      </c>
      <c r="S82" s="3">
        <f>VEHICLE!C$47*9.81*SIN(RADIANS(H82))</f>
        <v>100.51409695032268</v>
      </c>
      <c r="T82" s="3">
        <f t="shared" si="21"/>
        <v>568.54245224789429</v>
      </c>
      <c r="U82" s="3">
        <f t="shared" si="22"/>
        <v>6.2950594667980191</v>
      </c>
      <c r="V82" s="3">
        <f>((VEHICLE!C$12*1000)-U82*1000)/1000</f>
        <v>7.1277593251482898</v>
      </c>
      <c r="W82" s="3">
        <f t="shared" si="15"/>
        <v>6.2950594667980191</v>
      </c>
      <c r="X82" s="3">
        <f t="shared" si="23"/>
        <v>11.450169499409553</v>
      </c>
      <c r="Y82" s="3">
        <f t="shared" si="24"/>
        <v>12</v>
      </c>
      <c r="Z82" s="3">
        <f t="shared" si="25"/>
        <v>568.54245224789429</v>
      </c>
      <c r="AA82" s="3">
        <f>SUM(Z$4:Z82)</f>
        <v>17382.888115478196</v>
      </c>
      <c r="AB82" s="3">
        <f>INDEX(BSFC!D$5:AD$27,MATCH('DUTY CYCLE'!Y82,BSFC!C$5:C$27,0),MATCH('DUTY CYCLE'!K82,BSFC!D$28:AD$28,0))</f>
        <v>310.85505288000002</v>
      </c>
      <c r="AC82" s="3">
        <f t="shared" si="26"/>
        <v>0.54356973428728972</v>
      </c>
      <c r="AD82" s="3">
        <f t="shared" si="27"/>
        <v>1679.6304789477251</v>
      </c>
      <c r="AE82" s="3">
        <f>0.5*VEHICLE!C$47*('DUTY CYCLE'!M82^2)/1000</f>
        <v>34.776000309745804</v>
      </c>
      <c r="AF82" s="3">
        <f t="shared" si="16"/>
        <v>603.31845255764006</v>
      </c>
    </row>
    <row r="83" spans="2:32" ht="17" x14ac:dyDescent="0.2">
      <c r="B83" s="3">
        <v>79</v>
      </c>
      <c r="C83" s="94" t="s">
        <v>95</v>
      </c>
      <c r="D83" s="59" t="s">
        <v>114</v>
      </c>
      <c r="E83" s="3" t="str">
        <f t="shared" si="14"/>
        <v>UPHILL</v>
      </c>
      <c r="F83" s="60">
        <v>2</v>
      </c>
      <c r="G83" s="60">
        <f t="shared" si="17"/>
        <v>0.19999999999999996</v>
      </c>
      <c r="H83" s="3">
        <f t="shared" si="18"/>
        <v>1.0348286945467249</v>
      </c>
      <c r="I83" s="3">
        <f>SUM(M$4:M83)</f>
        <v>708.02822103898939</v>
      </c>
      <c r="J83" s="3">
        <f t="shared" si="19"/>
        <v>11.072276910736718</v>
      </c>
      <c r="K83" s="3">
        <v>5250</v>
      </c>
      <c r="L83" s="3">
        <v>3</v>
      </c>
      <c r="M83" s="3">
        <f>VLOOKUP(K83,VEHICLE!I$30:L$54,MATCH(L83,VEHICLE!I$30:L$30,0),0)</f>
        <v>11.072276910736765</v>
      </c>
      <c r="N83" s="3">
        <f t="shared" si="20"/>
        <v>0</v>
      </c>
      <c r="O83" s="3">
        <f>IF(L83=1,VEHICLE!C$68*'DUTY CYCLE'!N83,IF(L83=2,VEHICLE!C$69*'DUTY CYCLE'!N83,IF('DUTY CYCLE'!L83=3,VEHICLE!C$70*'DUTY CYCLE'!N83)))</f>
        <v>0</v>
      </c>
      <c r="P83" s="37">
        <f>VLOOKUP(D83,TRACK!B$3:C$5,2)</f>
        <v>0.02</v>
      </c>
      <c r="Q83" s="3">
        <f>P83*VEHICLE!C$47*9.81</f>
        <v>111.310146</v>
      </c>
      <c r="R83" s="3">
        <f>0.5*VEHICLE!C$20*VEHICLE!C$28*1.2*((M83)^2)</f>
        <v>48.171500106494371</v>
      </c>
      <c r="S83" s="3">
        <f>VEHICLE!C$47*9.81*SIN(RADIANS(H83))</f>
        <v>100.51409695032268</v>
      </c>
      <c r="T83" s="3">
        <f t="shared" si="21"/>
        <v>259.99574305681705</v>
      </c>
      <c r="U83" s="3">
        <f t="shared" si="22"/>
        <v>2.878744862737844</v>
      </c>
      <c r="V83" s="3">
        <f>((VEHICLE!C$12*1000)-U83*1000)/1000</f>
        <v>10.544073929208466</v>
      </c>
      <c r="W83" s="3">
        <f t="shared" si="15"/>
        <v>2.878744862737844</v>
      </c>
      <c r="X83" s="3">
        <f t="shared" si="23"/>
        <v>5.2361882834871736</v>
      </c>
      <c r="Y83" s="3">
        <f t="shared" si="24"/>
        <v>6</v>
      </c>
      <c r="Z83" s="3">
        <f t="shared" si="25"/>
        <v>259.99574305681705</v>
      </c>
      <c r="AA83" s="3">
        <f>SUM(Z$4:Z83)</f>
        <v>17642.883858535013</v>
      </c>
      <c r="AB83" s="3">
        <f>INDEX(BSFC!D$5:AD$27,MATCH('DUTY CYCLE'!Y83,BSFC!C$5:C$27,0),MATCH('DUTY CYCLE'!K83,BSFC!D$28:AD$28,0))</f>
        <v>537.86207592000017</v>
      </c>
      <c r="AC83" s="3">
        <f t="shared" si="26"/>
        <v>0.43010213553228127</v>
      </c>
      <c r="AD83" s="3">
        <f t="shared" si="27"/>
        <v>1329.0155987947492</v>
      </c>
      <c r="AE83" s="3">
        <f>0.5*VEHICLE!C$47*('DUTY CYCLE'!M83^2)/1000</f>
        <v>34.776000309745804</v>
      </c>
      <c r="AF83" s="3">
        <f t="shared" si="16"/>
        <v>294.77174336656287</v>
      </c>
    </row>
    <row r="84" spans="2:32" ht="17" x14ac:dyDescent="0.2">
      <c r="B84" s="3">
        <v>80</v>
      </c>
      <c r="C84" s="94"/>
      <c r="D84" s="59" t="s">
        <v>114</v>
      </c>
      <c r="E84" s="3" t="str">
        <f t="shared" si="14"/>
        <v>UPHILL</v>
      </c>
      <c r="F84" s="60">
        <v>2.2000000000000002</v>
      </c>
      <c r="G84" s="60">
        <f t="shared" si="17"/>
        <v>0.20000000000000018</v>
      </c>
      <c r="H84" s="3">
        <f t="shared" si="18"/>
        <v>0.98780056857721776</v>
      </c>
      <c r="I84" s="3">
        <f>SUM(M$4:M84)</f>
        <v>719.6277492311898</v>
      </c>
      <c r="J84" s="3">
        <f t="shared" si="19"/>
        <v>11.59952819220041</v>
      </c>
      <c r="K84" s="3">
        <v>5500</v>
      </c>
      <c r="L84" s="3">
        <v>3</v>
      </c>
      <c r="M84" s="3">
        <f>VLOOKUP(K84,VEHICLE!I$30:L$54,MATCH(L84,VEHICLE!I$30:L$30,0),0)</f>
        <v>11.59952819220042</v>
      </c>
      <c r="N84" s="3">
        <f t="shared" si="20"/>
        <v>0.52725128146365563</v>
      </c>
      <c r="O84" s="3">
        <f>IF(L84=1,VEHICLE!C$68*'DUTY CYCLE'!N84,IF(L84=2,VEHICLE!C$69*'DUTY CYCLE'!N84,IF('DUTY CYCLE'!L84=3,VEHICLE!C$70*'DUTY CYCLE'!N84)))</f>
        <v>308.5467091910773</v>
      </c>
      <c r="P84" s="37">
        <f>VLOOKUP(D84,TRACK!B$3:C$5,2)</f>
        <v>0.02</v>
      </c>
      <c r="Q84" s="3">
        <f>P84*VEHICLE!C$47*9.81</f>
        <v>111.310146</v>
      </c>
      <c r="R84" s="3">
        <f>0.5*VEHICLE!C$20*VEHICLE!C$28*1.2*((M84)^2)</f>
        <v>52.868494447943938</v>
      </c>
      <c r="S84" s="3">
        <f>VEHICLE!C$47*9.81*SIN(RADIANS(H84))</f>
        <v>95.946664540157045</v>
      </c>
      <c r="T84" s="3">
        <f t="shared" si="21"/>
        <v>568.67201417917829</v>
      </c>
      <c r="U84" s="3">
        <f t="shared" si="22"/>
        <v>6.5963270605867752</v>
      </c>
      <c r="V84" s="3">
        <f>((VEHICLE!C$12*1000)-U84*1000)/1000</f>
        <v>6.8264917313595337</v>
      </c>
      <c r="W84" s="3">
        <f t="shared" si="15"/>
        <v>6.5963270605867752</v>
      </c>
      <c r="X84" s="3">
        <f t="shared" si="23"/>
        <v>11.452778813926011</v>
      </c>
      <c r="Y84" s="3">
        <f t="shared" si="24"/>
        <v>12</v>
      </c>
      <c r="Z84" s="3">
        <f t="shared" si="25"/>
        <v>568.67201417917829</v>
      </c>
      <c r="AA84" s="3">
        <f>SUM(Z$4:Z84)</f>
        <v>18211.555872714191</v>
      </c>
      <c r="AB84" s="3">
        <f>INDEX(BSFC!D$5:AD$27,MATCH('DUTY CYCLE'!Y84,BSFC!C$5:C$27,0),MATCH('DUTY CYCLE'!K84,BSFC!D$28:AD$28,0))</f>
        <v>332.53853872000008</v>
      </c>
      <c r="AC84" s="3">
        <f t="shared" si="26"/>
        <v>0.60931471156853323</v>
      </c>
      <c r="AD84" s="3">
        <f t="shared" si="27"/>
        <v>1882.7824587467676</v>
      </c>
      <c r="AE84" s="3">
        <f>0.5*VEHICLE!C$47*('DUTY CYCLE'!M84^2)/1000</f>
        <v>38.166857482804915</v>
      </c>
      <c r="AF84" s="3">
        <f t="shared" si="16"/>
        <v>606.83887166198315</v>
      </c>
    </row>
    <row r="85" spans="2:32" ht="17" x14ac:dyDescent="0.2">
      <c r="B85" s="3">
        <v>81</v>
      </c>
      <c r="C85" s="94"/>
      <c r="D85" s="59" t="s">
        <v>114</v>
      </c>
      <c r="E85" s="3" t="str">
        <f t="shared" si="14"/>
        <v>UPHILL</v>
      </c>
      <c r="F85" s="60">
        <v>2.4</v>
      </c>
      <c r="G85" s="60">
        <f t="shared" si="17"/>
        <v>0.19999999999999973</v>
      </c>
      <c r="H85" s="3">
        <f t="shared" si="18"/>
        <v>0.94486068071519036</v>
      </c>
      <c r="I85" s="3">
        <f>SUM(M$4:M85)</f>
        <v>731.7545287048539</v>
      </c>
      <c r="J85" s="3">
        <f t="shared" si="19"/>
        <v>12.126779473664101</v>
      </c>
      <c r="K85" s="3">
        <v>5750</v>
      </c>
      <c r="L85" s="3">
        <v>3</v>
      </c>
      <c r="M85" s="3">
        <f>VLOOKUP(K85,VEHICLE!I$30:L$54,MATCH(L85,VEHICLE!I$30:L$30,0),0)</f>
        <v>12.126779473664074</v>
      </c>
      <c r="N85" s="3">
        <f t="shared" si="20"/>
        <v>0.52725128146365385</v>
      </c>
      <c r="O85" s="3">
        <f>IF(L85=1,VEHICLE!C$68*'DUTY CYCLE'!N85,IF(L85=2,VEHICLE!C$69*'DUTY CYCLE'!N85,IF('DUTY CYCLE'!L85=3,VEHICLE!C$70*'DUTY CYCLE'!N85)))</f>
        <v>308.54670919107622</v>
      </c>
      <c r="P85" s="37">
        <f>VLOOKUP(D85,TRACK!B$3:C$5,2)</f>
        <v>0.02</v>
      </c>
      <c r="Q85" s="3">
        <f>P85*VEHICLE!C$47*9.81</f>
        <v>111.310146</v>
      </c>
      <c r="R85" s="3">
        <f>0.5*VEHICLE!C$20*VEHICLE!C$28*1.2*((M85)^2)</f>
        <v>57.783953642484164</v>
      </c>
      <c r="S85" s="3">
        <f>VEHICLE!C$47*9.81*SIN(RADIANS(H85))</f>
        <v>91.77623056879699</v>
      </c>
      <c r="T85" s="3">
        <f t="shared" si="21"/>
        <v>569.41703940235743</v>
      </c>
      <c r="U85" s="3">
        <f t="shared" si="22"/>
        <v>6.9051948653790749</v>
      </c>
      <c r="V85" s="3">
        <f>((VEHICLE!C$12*1000)-U85*1000)/1000</f>
        <v>6.517623926567234</v>
      </c>
      <c r="W85" s="3">
        <f t="shared" si="15"/>
        <v>6.9051948653790749</v>
      </c>
      <c r="X85" s="3">
        <f t="shared" si="23"/>
        <v>11.467783260916741</v>
      </c>
      <c r="Y85" s="3">
        <f t="shared" si="24"/>
        <v>12</v>
      </c>
      <c r="Z85" s="3">
        <f t="shared" si="25"/>
        <v>569.41703940235743</v>
      </c>
      <c r="AA85" s="3">
        <f>SUM(Z$4:Z85)</f>
        <v>18780.972912116547</v>
      </c>
      <c r="AB85" s="3">
        <f>INDEX(BSFC!D$5:AD$27,MATCH('DUTY CYCLE'!Y85,BSFC!C$5:C$27,0),MATCH('DUTY CYCLE'!K85,BSFC!D$28:AD$28,0))</f>
        <v>358.43891872000012</v>
      </c>
      <c r="AC85" s="3">
        <f t="shared" si="26"/>
        <v>0.68752516141593678</v>
      </c>
      <c r="AD85" s="3">
        <f t="shared" si="27"/>
        <v>2124.4527487752448</v>
      </c>
      <c r="AE85" s="3">
        <f>0.5*VEHICLE!C$47*('DUTY CYCLE'!M85^2)/1000</f>
        <v>41.715428942983053</v>
      </c>
      <c r="AF85" s="3">
        <f t="shared" si="16"/>
        <v>611.1324683453405</v>
      </c>
    </row>
    <row r="86" spans="2:32" ht="17" x14ac:dyDescent="0.2">
      <c r="B86" s="3">
        <v>82</v>
      </c>
      <c r="C86" s="94"/>
      <c r="D86" s="59" t="s">
        <v>114</v>
      </c>
      <c r="E86" s="3" t="str">
        <f t="shared" si="14"/>
        <v>UPHILL</v>
      </c>
      <c r="F86" s="60">
        <v>2.6</v>
      </c>
      <c r="G86" s="60">
        <f t="shared" si="17"/>
        <v>0.20000000000000018</v>
      </c>
      <c r="H86" s="3">
        <f t="shared" si="18"/>
        <v>0.90549818315791197</v>
      </c>
      <c r="I86" s="3">
        <f>SUM(M$4:M86)</f>
        <v>744.40855945998157</v>
      </c>
      <c r="J86" s="3">
        <f t="shared" si="19"/>
        <v>12.654030755127678</v>
      </c>
      <c r="K86" s="3">
        <v>6000</v>
      </c>
      <c r="L86" s="3">
        <v>3</v>
      </c>
      <c r="M86" s="3">
        <f>VLOOKUP(K86,VEHICLE!I$30:L$54,MATCH(L86,VEHICLE!I$30:L$30,0),0)</f>
        <v>12.654030755127732</v>
      </c>
      <c r="N86" s="3">
        <f t="shared" si="20"/>
        <v>0.52725128146365741</v>
      </c>
      <c r="O86" s="3">
        <f>IF(L86=1,VEHICLE!C$68*'DUTY CYCLE'!N86,IF(L86=2,VEHICLE!C$69*'DUTY CYCLE'!N86,IF('DUTY CYCLE'!L86=3,VEHICLE!C$70*'DUTY CYCLE'!N86)))</f>
        <v>308.54670919107832</v>
      </c>
      <c r="P86" s="37">
        <f>VLOOKUP(D86,TRACK!B$3:C$5,2)</f>
        <v>0.02</v>
      </c>
      <c r="Q86" s="3">
        <f>P86*VEHICLE!C$47*9.81</f>
        <v>111.310146</v>
      </c>
      <c r="R86" s="3">
        <f>0.5*VEHICLE!C$20*VEHICLE!C$28*1.2*((M86)^2)</f>
        <v>62.917877690115105</v>
      </c>
      <c r="S86" s="3">
        <f>VEHICLE!C$47*9.81*SIN(RADIANS(H86))</f>
        <v>87.95319673822307</v>
      </c>
      <c r="T86" s="3">
        <f t="shared" si="21"/>
        <v>570.7279296194165</v>
      </c>
      <c r="U86" s="3">
        <f t="shared" si="22"/>
        <v>7.2220087742144718</v>
      </c>
      <c r="V86" s="3">
        <f>((VEHICLE!C$12*1000)-U86*1000)/1000</f>
        <v>6.200810017731837</v>
      </c>
      <c r="W86" s="3">
        <f t="shared" si="15"/>
        <v>7.2220087742144718</v>
      </c>
      <c r="X86" s="3">
        <f t="shared" si="23"/>
        <v>11.49418395469273</v>
      </c>
      <c r="Y86" s="3">
        <f t="shared" si="24"/>
        <v>12</v>
      </c>
      <c r="Z86" s="3">
        <f t="shared" si="25"/>
        <v>570.7279296194165</v>
      </c>
      <c r="AA86" s="3">
        <f>SUM(Z$4:Z86)</f>
        <v>19351.700841735965</v>
      </c>
      <c r="AB86" s="3">
        <f>INDEX(BSFC!D$5:AD$27,MATCH('DUTY CYCLE'!Y86,BSFC!C$5:C$27,0),MATCH('DUTY CYCLE'!K86,BSFC!D$28:AD$28,0))</f>
        <v>346.74010456000019</v>
      </c>
      <c r="AC86" s="3">
        <f t="shared" si="26"/>
        <v>0.69560002152899025</v>
      </c>
      <c r="AD86" s="3">
        <f t="shared" si="27"/>
        <v>2149.4040665245798</v>
      </c>
      <c r="AE86" s="3">
        <f>0.5*VEHICLE!C$47*('DUTY CYCLE'!M86^2)/1000</f>
        <v>45.421714690280233</v>
      </c>
      <c r="AF86" s="3">
        <f t="shared" si="16"/>
        <v>616.14964430969678</v>
      </c>
    </row>
    <row r="87" spans="2:32" ht="17" x14ac:dyDescent="0.2">
      <c r="B87" s="3">
        <v>83</v>
      </c>
      <c r="C87" s="94" t="s">
        <v>98</v>
      </c>
      <c r="D87" s="59" t="s">
        <v>115</v>
      </c>
      <c r="E87" s="3" t="str">
        <f t="shared" si="14"/>
        <v>UPHILL</v>
      </c>
      <c r="F87" s="60">
        <v>2.8</v>
      </c>
      <c r="G87" s="60">
        <f t="shared" si="17"/>
        <v>0.19999999999999973</v>
      </c>
      <c r="H87" s="3">
        <f t="shared" si="18"/>
        <v>0.90549818315790997</v>
      </c>
      <c r="I87" s="3">
        <f>SUM(M$4:M87)</f>
        <v>757.06259021510925</v>
      </c>
      <c r="J87" s="3">
        <f t="shared" si="19"/>
        <v>12.654030755127678</v>
      </c>
      <c r="K87" s="3">
        <v>6000</v>
      </c>
      <c r="L87" s="3">
        <v>3</v>
      </c>
      <c r="M87" s="3">
        <f>VLOOKUP(K87,VEHICLE!I$30:L$54,MATCH(L87,VEHICLE!I$30:L$30,0),0)</f>
        <v>12.654030755127732</v>
      </c>
      <c r="N87" s="3">
        <f t="shared" si="20"/>
        <v>0</v>
      </c>
      <c r="O87" s="3">
        <f>IF(L87=1,VEHICLE!C$68*'DUTY CYCLE'!N87,IF(L87=2,VEHICLE!C$69*'DUTY CYCLE'!N87,IF('DUTY CYCLE'!L87=3,VEHICLE!C$70*'DUTY CYCLE'!N87)))</f>
        <v>0</v>
      </c>
      <c r="P87" s="37">
        <f>VLOOKUP(D87,TRACK!B$3:C$5,2)</f>
        <v>0.1</v>
      </c>
      <c r="Q87" s="3">
        <f>P87*VEHICLE!C$47*9.81</f>
        <v>556.55073000000004</v>
      </c>
      <c r="R87" s="3">
        <f>0.5*VEHICLE!C$20*VEHICLE!C$28*1.2*((M87)^2)</f>
        <v>62.917877690115105</v>
      </c>
      <c r="S87" s="3">
        <f>VEHICLE!C$47*9.81*SIN(RADIANS(H87))</f>
        <v>87.953196738222886</v>
      </c>
      <c r="T87" s="3">
        <f t="shared" si="21"/>
        <v>707.42180442833808</v>
      </c>
      <c r="U87" s="3">
        <f t="shared" si="22"/>
        <v>8.9517372700841467</v>
      </c>
      <c r="V87" s="3">
        <f>((VEHICLE!C$12*1000)-U87*1000)/1000</f>
        <v>4.4710815218621631</v>
      </c>
      <c r="W87" s="3">
        <f t="shared" si="15"/>
        <v>8.9517372700841467</v>
      </c>
      <c r="X87" s="3">
        <f t="shared" si="23"/>
        <v>14.247132357938408</v>
      </c>
      <c r="Y87" s="3">
        <f t="shared" si="24"/>
        <v>15</v>
      </c>
      <c r="Z87" s="3">
        <f t="shared" si="25"/>
        <v>707.42180442833808</v>
      </c>
      <c r="AA87" s="3">
        <f>SUM(Z$4:Z87)</f>
        <v>20059.122646164302</v>
      </c>
      <c r="AB87" s="3">
        <f>INDEX(BSFC!D$5:AD$27,MATCH('DUTY CYCLE'!Y87,BSFC!C$5:C$27,0),MATCH('DUTY CYCLE'!K87,BSFC!D$28:AD$28,0))</f>
        <v>364.39564180899998</v>
      </c>
      <c r="AC87" s="3">
        <f t="shared" si="26"/>
        <v>0.90610390217718284</v>
      </c>
      <c r="AD87" s="3">
        <f t="shared" si="27"/>
        <v>2799.8610577274949</v>
      </c>
      <c r="AE87" s="3">
        <f>0.5*VEHICLE!C$47*('DUTY CYCLE'!M87^2)/1000</f>
        <v>45.421714690280233</v>
      </c>
      <c r="AF87" s="3">
        <f t="shared" si="16"/>
        <v>752.84351911861836</v>
      </c>
    </row>
    <row r="88" spans="2:32" ht="17" x14ac:dyDescent="0.2">
      <c r="B88" s="3">
        <v>84</v>
      </c>
      <c r="C88" s="94"/>
      <c r="D88" s="59" t="s">
        <v>115</v>
      </c>
      <c r="E88" s="3" t="str">
        <f t="shared" si="14"/>
        <v>UPHILL</v>
      </c>
      <c r="F88" s="60">
        <v>3</v>
      </c>
      <c r="G88" s="60">
        <f t="shared" si="17"/>
        <v>0.20000000000000018</v>
      </c>
      <c r="H88" s="3">
        <f t="shared" si="18"/>
        <v>0.90549818315791197</v>
      </c>
      <c r="I88" s="3">
        <f>SUM(M$4:M88)</f>
        <v>769.71662097023693</v>
      </c>
      <c r="J88" s="3">
        <f t="shared" si="19"/>
        <v>12.654030755127678</v>
      </c>
      <c r="K88" s="3">
        <v>6000</v>
      </c>
      <c r="L88" s="3">
        <v>3</v>
      </c>
      <c r="M88" s="3">
        <f>VLOOKUP(K88,VEHICLE!I$30:L$54,MATCH(L88,VEHICLE!I$30:L$30,0),0)</f>
        <v>12.654030755127732</v>
      </c>
      <c r="N88" s="3">
        <f t="shared" si="20"/>
        <v>0</v>
      </c>
      <c r="O88" s="3">
        <f>IF(L88=1,VEHICLE!C$68*'DUTY CYCLE'!N88,IF(L88=2,VEHICLE!C$69*'DUTY CYCLE'!N88,IF('DUTY CYCLE'!L88=3,VEHICLE!C$70*'DUTY CYCLE'!N88)))</f>
        <v>0</v>
      </c>
      <c r="P88" s="37">
        <f>VLOOKUP(D88,TRACK!B$3:C$5,2)</f>
        <v>0.1</v>
      </c>
      <c r="Q88" s="3">
        <f>P88*VEHICLE!C$47*9.81</f>
        <v>556.55073000000004</v>
      </c>
      <c r="R88" s="3">
        <f>0.5*VEHICLE!C$20*VEHICLE!C$28*1.2*((M88)^2)</f>
        <v>62.917877690115105</v>
      </c>
      <c r="S88" s="3">
        <f>VEHICLE!C$47*9.81*SIN(RADIANS(H88))</f>
        <v>87.95319673822307</v>
      </c>
      <c r="T88" s="3">
        <f t="shared" si="21"/>
        <v>707.42180442833819</v>
      </c>
      <c r="U88" s="3">
        <f t="shared" si="22"/>
        <v>8.9517372700841467</v>
      </c>
      <c r="V88" s="3">
        <f>((VEHICLE!C$12*1000)-U88*1000)/1000</f>
        <v>4.4710815218621631</v>
      </c>
      <c r="W88" s="3">
        <f t="shared" si="15"/>
        <v>8.9517372700841467</v>
      </c>
      <c r="X88" s="3">
        <f t="shared" si="23"/>
        <v>14.247132357938408</v>
      </c>
      <c r="Y88" s="3">
        <f t="shared" si="24"/>
        <v>15</v>
      </c>
      <c r="Z88" s="3">
        <f t="shared" si="25"/>
        <v>707.42180442833819</v>
      </c>
      <c r="AA88" s="3">
        <f>SUM(Z$4:Z88)</f>
        <v>20766.544450592639</v>
      </c>
      <c r="AB88" s="3">
        <f>INDEX(BSFC!D$5:AD$27,MATCH('DUTY CYCLE'!Y88,BSFC!C$5:C$27,0),MATCH('DUTY CYCLE'!K88,BSFC!D$28:AD$28,0))</f>
        <v>364.39564180899998</v>
      </c>
      <c r="AC88" s="3">
        <f t="shared" si="26"/>
        <v>0.90610390217718284</v>
      </c>
      <c r="AD88" s="3">
        <f t="shared" si="27"/>
        <v>2799.8610577274949</v>
      </c>
      <c r="AE88" s="3">
        <f>0.5*VEHICLE!C$47*('DUTY CYCLE'!M88^2)/1000</f>
        <v>45.421714690280233</v>
      </c>
      <c r="AF88" s="3">
        <f t="shared" si="16"/>
        <v>752.84351911861847</v>
      </c>
    </row>
    <row r="89" spans="2:32" ht="17" x14ac:dyDescent="0.2">
      <c r="B89" s="3">
        <v>85</v>
      </c>
      <c r="C89" s="94"/>
      <c r="D89" s="59" t="s">
        <v>115</v>
      </c>
      <c r="E89" s="3" t="str">
        <f t="shared" si="14"/>
        <v>UPHILL</v>
      </c>
      <c r="F89" s="60">
        <v>3.2</v>
      </c>
      <c r="G89" s="60">
        <f t="shared" si="17"/>
        <v>0.20000000000000018</v>
      </c>
      <c r="H89" s="3">
        <f t="shared" si="18"/>
        <v>0.90549818315791197</v>
      </c>
      <c r="I89" s="3">
        <f>SUM(M$4:M89)</f>
        <v>782.37065172536461</v>
      </c>
      <c r="J89" s="3">
        <f t="shared" si="19"/>
        <v>12.654030755127678</v>
      </c>
      <c r="K89" s="3">
        <v>6000</v>
      </c>
      <c r="L89" s="3">
        <v>3</v>
      </c>
      <c r="M89" s="3">
        <f>VLOOKUP(K89,VEHICLE!I$30:L$54,MATCH(L89,VEHICLE!I$30:L$30,0),0)</f>
        <v>12.654030755127732</v>
      </c>
      <c r="N89" s="3">
        <f t="shared" si="20"/>
        <v>0</v>
      </c>
      <c r="O89" s="3">
        <f>IF(L89=1,VEHICLE!C$68*'DUTY CYCLE'!N89,IF(L89=2,VEHICLE!C$69*'DUTY CYCLE'!N89,IF('DUTY CYCLE'!L89=3,VEHICLE!C$70*'DUTY CYCLE'!N89)))</f>
        <v>0</v>
      </c>
      <c r="P89" s="37">
        <f>VLOOKUP(D89,TRACK!B$3:C$5,2)</f>
        <v>0.1</v>
      </c>
      <c r="Q89" s="3">
        <f>P89*VEHICLE!C$47*9.81</f>
        <v>556.55073000000004</v>
      </c>
      <c r="R89" s="3">
        <f>0.5*VEHICLE!C$20*VEHICLE!C$28*1.2*((M89)^2)</f>
        <v>62.917877690115105</v>
      </c>
      <c r="S89" s="3">
        <f>VEHICLE!C$47*9.81*SIN(RADIANS(H89))</f>
        <v>87.95319673822307</v>
      </c>
      <c r="T89" s="3">
        <f t="shared" si="21"/>
        <v>707.42180442833819</v>
      </c>
      <c r="U89" s="3">
        <f t="shared" si="22"/>
        <v>8.9517372700841467</v>
      </c>
      <c r="V89" s="3">
        <f>((VEHICLE!C$12*1000)-U89*1000)/1000</f>
        <v>4.4710815218621631</v>
      </c>
      <c r="W89" s="3">
        <f t="shared" si="15"/>
        <v>8.9517372700841467</v>
      </c>
      <c r="X89" s="3">
        <f t="shared" si="23"/>
        <v>14.247132357938408</v>
      </c>
      <c r="Y89" s="3">
        <f t="shared" si="24"/>
        <v>15</v>
      </c>
      <c r="Z89" s="3">
        <f t="shared" si="25"/>
        <v>707.42180442833819</v>
      </c>
      <c r="AA89" s="3">
        <f>SUM(Z$4:Z89)</f>
        <v>21473.966255020976</v>
      </c>
      <c r="AB89" s="3">
        <f>INDEX(BSFC!D$5:AD$27,MATCH('DUTY CYCLE'!Y89,BSFC!C$5:C$27,0),MATCH('DUTY CYCLE'!K89,BSFC!D$28:AD$28,0))</f>
        <v>364.39564180899998</v>
      </c>
      <c r="AC89" s="3">
        <f t="shared" si="26"/>
        <v>0.90610390217718284</v>
      </c>
      <c r="AD89" s="3">
        <f t="shared" si="27"/>
        <v>2799.8610577274949</v>
      </c>
      <c r="AE89" s="3">
        <f>0.5*VEHICLE!C$47*('DUTY CYCLE'!M89^2)/1000</f>
        <v>45.421714690280233</v>
      </c>
      <c r="AF89" s="3">
        <f t="shared" si="16"/>
        <v>752.84351911861847</v>
      </c>
    </row>
    <row r="90" spans="2:32" ht="17" x14ac:dyDescent="0.2">
      <c r="B90" s="3">
        <v>86</v>
      </c>
      <c r="C90" s="94" t="s">
        <v>97</v>
      </c>
      <c r="D90" s="59" t="s">
        <v>115</v>
      </c>
      <c r="E90" s="3" t="str">
        <f t="shared" si="14"/>
        <v>UPHILL</v>
      </c>
      <c r="F90" s="60">
        <v>3.4</v>
      </c>
      <c r="G90" s="60">
        <f t="shared" si="17"/>
        <v>0.19999999999999973</v>
      </c>
      <c r="H90" s="3">
        <f t="shared" si="18"/>
        <v>0.90549818315790997</v>
      </c>
      <c r="I90" s="3">
        <f>SUM(M$4:M90)</f>
        <v>795.02468248049229</v>
      </c>
      <c r="J90" s="3">
        <f t="shared" si="19"/>
        <v>12.654030755127678</v>
      </c>
      <c r="K90" s="3">
        <v>6000</v>
      </c>
      <c r="L90" s="3">
        <v>3</v>
      </c>
      <c r="M90" s="3">
        <f>VLOOKUP(K90,VEHICLE!I$30:L$54,MATCH(L90,VEHICLE!I$30:L$30,0),0)</f>
        <v>12.654030755127732</v>
      </c>
      <c r="N90" s="3">
        <f t="shared" si="20"/>
        <v>0</v>
      </c>
      <c r="O90" s="3">
        <f>IF(L90=1,VEHICLE!C$68*'DUTY CYCLE'!N90,IF(L90=2,VEHICLE!C$69*'DUTY CYCLE'!N90,IF('DUTY CYCLE'!L90=3,VEHICLE!C$70*'DUTY CYCLE'!N90)))</f>
        <v>0</v>
      </c>
      <c r="P90" s="37">
        <f>VLOOKUP(D90,TRACK!B$3:C$5,2)</f>
        <v>0.1</v>
      </c>
      <c r="Q90" s="3">
        <f>P90*VEHICLE!C$47*9.81</f>
        <v>556.55073000000004</v>
      </c>
      <c r="R90" s="3">
        <f>0.5*VEHICLE!C$20*VEHICLE!C$28*1.2*((M90)^2)</f>
        <v>62.917877690115105</v>
      </c>
      <c r="S90" s="3">
        <f>VEHICLE!C$47*9.81*SIN(RADIANS(H90))</f>
        <v>87.953196738222886</v>
      </c>
      <c r="T90" s="3">
        <f t="shared" si="21"/>
        <v>707.42180442833808</v>
      </c>
      <c r="U90" s="3">
        <f t="shared" si="22"/>
        <v>8.9517372700841467</v>
      </c>
      <c r="V90" s="3">
        <f>((VEHICLE!C$12*1000)-U90*1000)/1000</f>
        <v>4.4710815218621631</v>
      </c>
      <c r="W90" s="3">
        <f t="shared" si="15"/>
        <v>8.9517372700841467</v>
      </c>
      <c r="X90" s="3">
        <f t="shared" si="23"/>
        <v>14.247132357938408</v>
      </c>
      <c r="Y90" s="3">
        <f t="shared" si="24"/>
        <v>15</v>
      </c>
      <c r="Z90" s="3">
        <f t="shared" si="25"/>
        <v>707.42180442833808</v>
      </c>
      <c r="AA90" s="3">
        <f>SUM(Z$4:Z90)</f>
        <v>22181.388059449313</v>
      </c>
      <c r="AB90" s="3">
        <f>INDEX(BSFC!D$5:AD$27,MATCH('DUTY CYCLE'!Y90,BSFC!C$5:C$27,0),MATCH('DUTY CYCLE'!K90,BSFC!D$28:AD$28,0))</f>
        <v>364.39564180899998</v>
      </c>
      <c r="AC90" s="3">
        <f t="shared" si="26"/>
        <v>0.90610390217718284</v>
      </c>
      <c r="AD90" s="3">
        <f t="shared" si="27"/>
        <v>2799.8610577274949</v>
      </c>
      <c r="AE90" s="3">
        <f>0.5*VEHICLE!C$47*('DUTY CYCLE'!M90^2)/1000</f>
        <v>45.421714690280233</v>
      </c>
      <c r="AF90" s="3">
        <f t="shared" si="16"/>
        <v>752.84351911861836</v>
      </c>
    </row>
    <row r="91" spans="2:32" ht="17" x14ac:dyDescent="0.2">
      <c r="B91" s="3">
        <v>87</v>
      </c>
      <c r="C91" s="94"/>
      <c r="D91" s="59" t="s">
        <v>115</v>
      </c>
      <c r="E91" s="3" t="str">
        <f t="shared" si="14"/>
        <v>UPHILL</v>
      </c>
      <c r="F91" s="60">
        <v>3.6</v>
      </c>
      <c r="G91" s="60">
        <f t="shared" si="17"/>
        <v>0.20000000000000018</v>
      </c>
      <c r="H91" s="3">
        <f t="shared" si="18"/>
        <v>0.90549818315791197</v>
      </c>
      <c r="I91" s="3">
        <f>SUM(M$4:M91)</f>
        <v>807.67871323561997</v>
      </c>
      <c r="J91" s="3">
        <f t="shared" si="19"/>
        <v>12.654030755127678</v>
      </c>
      <c r="K91" s="3">
        <v>6000</v>
      </c>
      <c r="L91" s="3">
        <v>3</v>
      </c>
      <c r="M91" s="3">
        <f>VLOOKUP(K91,VEHICLE!I$30:L$54,MATCH(L91,VEHICLE!I$30:L$30,0),0)</f>
        <v>12.654030755127732</v>
      </c>
      <c r="N91" s="3">
        <f t="shared" si="20"/>
        <v>0</v>
      </c>
      <c r="O91" s="3">
        <f>IF(L91=1,VEHICLE!C$68*'DUTY CYCLE'!N91,IF(L91=2,VEHICLE!C$69*'DUTY CYCLE'!N91,IF('DUTY CYCLE'!L91=3,VEHICLE!C$70*'DUTY CYCLE'!N91)))</f>
        <v>0</v>
      </c>
      <c r="P91" s="37">
        <f>VLOOKUP(D91,TRACK!B$3:C$5,2)</f>
        <v>0.1</v>
      </c>
      <c r="Q91" s="3">
        <f>P91*VEHICLE!C$47*9.81</f>
        <v>556.55073000000004</v>
      </c>
      <c r="R91" s="3">
        <f>0.5*VEHICLE!C$20*VEHICLE!C$28*1.2*((M91)^2)</f>
        <v>62.917877690115105</v>
      </c>
      <c r="S91" s="3">
        <f>VEHICLE!C$47*9.81*SIN(RADIANS(H91))</f>
        <v>87.95319673822307</v>
      </c>
      <c r="T91" s="3">
        <f t="shared" si="21"/>
        <v>707.42180442833819</v>
      </c>
      <c r="U91" s="3">
        <f t="shared" si="22"/>
        <v>8.9517372700841467</v>
      </c>
      <c r="V91" s="3">
        <f>((VEHICLE!C$12*1000)-U91*1000)/1000</f>
        <v>4.4710815218621631</v>
      </c>
      <c r="W91" s="3">
        <f t="shared" si="15"/>
        <v>8.9517372700841467</v>
      </c>
      <c r="X91" s="3">
        <f t="shared" si="23"/>
        <v>14.247132357938408</v>
      </c>
      <c r="Y91" s="3">
        <f t="shared" si="24"/>
        <v>15</v>
      </c>
      <c r="Z91" s="3">
        <f t="shared" si="25"/>
        <v>707.42180442833819</v>
      </c>
      <c r="AA91" s="3">
        <f>SUM(Z$4:Z91)</f>
        <v>22888.80986387765</v>
      </c>
      <c r="AB91" s="3">
        <f>INDEX(BSFC!D$5:AD$27,MATCH('DUTY CYCLE'!Y91,BSFC!C$5:C$27,0),MATCH('DUTY CYCLE'!K91,BSFC!D$28:AD$28,0))</f>
        <v>364.39564180899998</v>
      </c>
      <c r="AC91" s="3">
        <f t="shared" si="26"/>
        <v>0.90610390217718284</v>
      </c>
      <c r="AD91" s="3">
        <f t="shared" si="27"/>
        <v>2799.8610577274949</v>
      </c>
      <c r="AE91" s="3">
        <f>0.5*VEHICLE!C$47*('DUTY CYCLE'!M91^2)/1000</f>
        <v>45.421714690280233</v>
      </c>
      <c r="AF91" s="3">
        <f t="shared" si="16"/>
        <v>752.84351911861847</v>
      </c>
    </row>
    <row r="92" spans="2:32" ht="17" x14ac:dyDescent="0.2">
      <c r="B92" s="3">
        <v>88</v>
      </c>
      <c r="C92" s="94"/>
      <c r="D92" s="59" t="s">
        <v>115</v>
      </c>
      <c r="E92" s="3" t="str">
        <f t="shared" si="14"/>
        <v>UPHILL</v>
      </c>
      <c r="F92" s="60">
        <v>3.8</v>
      </c>
      <c r="G92" s="60">
        <f t="shared" si="17"/>
        <v>0.19999999999999973</v>
      </c>
      <c r="H92" s="3">
        <f t="shared" si="18"/>
        <v>0.90549818315790997</v>
      </c>
      <c r="I92" s="3">
        <f>SUM(M$4:M92)</f>
        <v>820.33274399074764</v>
      </c>
      <c r="J92" s="3">
        <f t="shared" si="19"/>
        <v>12.654030755127678</v>
      </c>
      <c r="K92" s="3">
        <v>6000</v>
      </c>
      <c r="L92" s="3">
        <v>3</v>
      </c>
      <c r="M92" s="3">
        <f>VLOOKUP(K92,VEHICLE!I$30:L$54,MATCH(L92,VEHICLE!I$30:L$30,0),0)</f>
        <v>12.654030755127732</v>
      </c>
      <c r="N92" s="3">
        <f t="shared" si="20"/>
        <v>0</v>
      </c>
      <c r="O92" s="3">
        <f>IF(L92=1,VEHICLE!C$68*'DUTY CYCLE'!N92,IF(L92=2,VEHICLE!C$69*'DUTY CYCLE'!N92,IF('DUTY CYCLE'!L92=3,VEHICLE!C$70*'DUTY CYCLE'!N92)))</f>
        <v>0</v>
      </c>
      <c r="P92" s="37">
        <f>VLOOKUP(D92,TRACK!B$3:C$5,2)</f>
        <v>0.1</v>
      </c>
      <c r="Q92" s="3">
        <f>P92*VEHICLE!C$47*9.81</f>
        <v>556.55073000000004</v>
      </c>
      <c r="R92" s="3">
        <f>0.5*VEHICLE!C$20*VEHICLE!C$28*1.2*((M92)^2)</f>
        <v>62.917877690115105</v>
      </c>
      <c r="S92" s="3">
        <f>VEHICLE!C$47*9.81*SIN(RADIANS(H92))</f>
        <v>87.953196738222886</v>
      </c>
      <c r="T92" s="3">
        <f t="shared" si="21"/>
        <v>707.42180442833808</v>
      </c>
      <c r="U92" s="3">
        <f t="shared" si="22"/>
        <v>8.9517372700841467</v>
      </c>
      <c r="V92" s="3">
        <f>((VEHICLE!C$12*1000)-U92*1000)/1000</f>
        <v>4.4710815218621631</v>
      </c>
      <c r="W92" s="3">
        <f t="shared" si="15"/>
        <v>8.9517372700841467</v>
      </c>
      <c r="X92" s="3">
        <f t="shared" si="23"/>
        <v>14.247132357938408</v>
      </c>
      <c r="Y92" s="3">
        <f t="shared" si="24"/>
        <v>15</v>
      </c>
      <c r="Z92" s="3">
        <f t="shared" si="25"/>
        <v>707.42180442833808</v>
      </c>
      <c r="AA92" s="3">
        <f>SUM(Z$4:Z92)</f>
        <v>23596.231668305987</v>
      </c>
      <c r="AB92" s="3">
        <f>INDEX(BSFC!D$5:AD$27,MATCH('DUTY CYCLE'!Y92,BSFC!C$5:C$27,0),MATCH('DUTY CYCLE'!K92,BSFC!D$28:AD$28,0))</f>
        <v>364.39564180899998</v>
      </c>
      <c r="AC92" s="3">
        <f t="shared" si="26"/>
        <v>0.90610390217718284</v>
      </c>
      <c r="AD92" s="3">
        <f t="shared" si="27"/>
        <v>2799.8610577274949</v>
      </c>
      <c r="AE92" s="3">
        <f>0.5*VEHICLE!C$47*('DUTY CYCLE'!M92^2)/1000</f>
        <v>45.421714690280233</v>
      </c>
      <c r="AF92" s="3">
        <f t="shared" si="16"/>
        <v>752.84351911861836</v>
      </c>
    </row>
    <row r="93" spans="2:32" ht="17" x14ac:dyDescent="0.2">
      <c r="B93" s="3">
        <v>89</v>
      </c>
      <c r="C93" s="94"/>
      <c r="D93" s="59" t="s">
        <v>115</v>
      </c>
      <c r="E93" s="3" t="str">
        <f t="shared" si="14"/>
        <v>UPHILL</v>
      </c>
      <c r="F93" s="60">
        <v>4</v>
      </c>
      <c r="G93" s="60">
        <f t="shared" si="17"/>
        <v>0.20000000000000018</v>
      </c>
      <c r="H93" s="3">
        <f t="shared" si="18"/>
        <v>0.90549818315791197</v>
      </c>
      <c r="I93" s="3">
        <f>SUM(M$4:M93)</f>
        <v>832.98677474587532</v>
      </c>
      <c r="J93" s="3">
        <f t="shared" si="19"/>
        <v>12.654030755127678</v>
      </c>
      <c r="K93" s="3">
        <v>6000</v>
      </c>
      <c r="L93" s="3">
        <v>3</v>
      </c>
      <c r="M93" s="3">
        <f>VLOOKUP(K93,VEHICLE!I$30:L$54,MATCH(L93,VEHICLE!I$30:L$30,0),0)</f>
        <v>12.654030755127732</v>
      </c>
      <c r="N93" s="3">
        <f t="shared" si="20"/>
        <v>0</v>
      </c>
      <c r="O93" s="3">
        <f>IF(L93=1,VEHICLE!C$68*'DUTY CYCLE'!N93,IF(L93=2,VEHICLE!C$69*'DUTY CYCLE'!N93,IF('DUTY CYCLE'!L93=3,VEHICLE!C$70*'DUTY CYCLE'!N93)))</f>
        <v>0</v>
      </c>
      <c r="P93" s="37">
        <f>VLOOKUP(D93,TRACK!B$3:C$5,2)</f>
        <v>0.1</v>
      </c>
      <c r="Q93" s="3">
        <f>P93*VEHICLE!C$47*9.81</f>
        <v>556.55073000000004</v>
      </c>
      <c r="R93" s="3">
        <f>0.5*VEHICLE!C$20*VEHICLE!C$28*1.2*((M93)^2)</f>
        <v>62.917877690115105</v>
      </c>
      <c r="S93" s="3">
        <f>VEHICLE!C$47*9.81*SIN(RADIANS(H93))</f>
        <v>87.95319673822307</v>
      </c>
      <c r="T93" s="3">
        <f t="shared" si="21"/>
        <v>707.42180442833819</v>
      </c>
      <c r="U93" s="3">
        <f t="shared" si="22"/>
        <v>8.9517372700841467</v>
      </c>
      <c r="V93" s="3">
        <f>((VEHICLE!C$12*1000)-U93*1000)/1000</f>
        <v>4.4710815218621631</v>
      </c>
      <c r="W93" s="3">
        <f t="shared" si="15"/>
        <v>8.9517372700841467</v>
      </c>
      <c r="X93" s="3">
        <f t="shared" si="23"/>
        <v>14.247132357938408</v>
      </c>
      <c r="Y93" s="3">
        <f t="shared" si="24"/>
        <v>15</v>
      </c>
      <c r="Z93" s="3">
        <f t="shared" si="25"/>
        <v>707.42180442833819</v>
      </c>
      <c r="AA93" s="3">
        <f>SUM(Z$4:Z93)</f>
        <v>24303.653472734324</v>
      </c>
      <c r="AB93" s="3">
        <f>INDEX(BSFC!D$5:AD$27,MATCH('DUTY CYCLE'!Y93,BSFC!C$5:C$27,0),MATCH('DUTY CYCLE'!K93,BSFC!D$28:AD$28,0))</f>
        <v>364.39564180899998</v>
      </c>
      <c r="AC93" s="3">
        <f t="shared" si="26"/>
        <v>0.90610390217718284</v>
      </c>
      <c r="AD93" s="3">
        <f t="shared" si="27"/>
        <v>2799.8610577274949</v>
      </c>
      <c r="AE93" s="3">
        <f>0.5*VEHICLE!C$47*('DUTY CYCLE'!M93^2)/1000</f>
        <v>45.421714690280233</v>
      </c>
      <c r="AF93" s="3">
        <f t="shared" si="16"/>
        <v>752.84351911861847</v>
      </c>
    </row>
    <row r="94" spans="2:32" ht="17" x14ac:dyDescent="0.2">
      <c r="B94" s="3">
        <v>90</v>
      </c>
      <c r="C94" s="94"/>
      <c r="D94" s="59" t="s">
        <v>115</v>
      </c>
      <c r="E94" s="3" t="str">
        <f t="shared" si="14"/>
        <v>UPHILL</v>
      </c>
      <c r="F94" s="60">
        <v>4.2</v>
      </c>
      <c r="G94" s="60">
        <f t="shared" si="17"/>
        <v>0.20000000000000018</v>
      </c>
      <c r="H94" s="3">
        <f t="shared" si="18"/>
        <v>0.90549818315791197</v>
      </c>
      <c r="I94" s="3">
        <f>SUM(M$4:M94)</f>
        <v>845.640805501003</v>
      </c>
      <c r="J94" s="3">
        <f t="shared" si="19"/>
        <v>12.654030755127678</v>
      </c>
      <c r="K94" s="3">
        <v>6000</v>
      </c>
      <c r="L94" s="3">
        <v>3</v>
      </c>
      <c r="M94" s="3">
        <f>VLOOKUP(K94,VEHICLE!I$30:L$54,MATCH(L94,VEHICLE!I$30:L$30,0),0)</f>
        <v>12.654030755127732</v>
      </c>
      <c r="N94" s="3">
        <f t="shared" si="20"/>
        <v>0</v>
      </c>
      <c r="O94" s="3">
        <f>IF(L94=1,VEHICLE!C$68*'DUTY CYCLE'!N94,IF(L94=2,VEHICLE!C$69*'DUTY CYCLE'!N94,IF('DUTY CYCLE'!L94=3,VEHICLE!C$70*'DUTY CYCLE'!N94)))</f>
        <v>0</v>
      </c>
      <c r="P94" s="37">
        <f>VLOOKUP(D94,TRACK!B$3:C$5,2)</f>
        <v>0.1</v>
      </c>
      <c r="Q94" s="3">
        <f>P94*VEHICLE!C$47*9.81</f>
        <v>556.55073000000004</v>
      </c>
      <c r="R94" s="3">
        <f>0.5*VEHICLE!C$20*VEHICLE!C$28*1.2*((M94)^2)</f>
        <v>62.917877690115105</v>
      </c>
      <c r="S94" s="3">
        <f>VEHICLE!C$47*9.81*SIN(RADIANS(H94))</f>
        <v>87.95319673822307</v>
      </c>
      <c r="T94" s="3">
        <f t="shared" si="21"/>
        <v>707.42180442833819</v>
      </c>
      <c r="U94" s="3">
        <f t="shared" si="22"/>
        <v>8.9517372700841467</v>
      </c>
      <c r="V94" s="3">
        <f>((VEHICLE!C$12*1000)-U94*1000)/1000</f>
        <v>4.4710815218621631</v>
      </c>
      <c r="W94" s="3">
        <f t="shared" si="15"/>
        <v>8.9517372700841467</v>
      </c>
      <c r="X94" s="3">
        <f t="shared" si="23"/>
        <v>14.247132357938408</v>
      </c>
      <c r="Y94" s="3">
        <f t="shared" si="24"/>
        <v>15</v>
      </c>
      <c r="Z94" s="3">
        <f t="shared" si="25"/>
        <v>707.42180442833819</v>
      </c>
      <c r="AA94" s="3">
        <f>SUM(Z$4:Z94)</f>
        <v>25011.075277162661</v>
      </c>
      <c r="AB94" s="3">
        <f>INDEX(BSFC!D$5:AD$27,MATCH('DUTY CYCLE'!Y94,BSFC!C$5:C$27,0),MATCH('DUTY CYCLE'!K94,BSFC!D$28:AD$28,0))</f>
        <v>364.39564180899998</v>
      </c>
      <c r="AC94" s="3">
        <f t="shared" si="26"/>
        <v>0.90610390217718284</v>
      </c>
      <c r="AD94" s="3">
        <f t="shared" si="27"/>
        <v>2799.8610577274949</v>
      </c>
      <c r="AE94" s="3">
        <f>0.5*VEHICLE!C$47*('DUTY CYCLE'!M94^2)/1000</f>
        <v>45.421714690280233</v>
      </c>
      <c r="AF94" s="3">
        <f t="shared" si="16"/>
        <v>752.84351911861847</v>
      </c>
    </row>
    <row r="95" spans="2:32" ht="17" x14ac:dyDescent="0.2">
      <c r="B95" s="3">
        <v>91</v>
      </c>
      <c r="C95" s="94"/>
      <c r="D95" s="59" t="s">
        <v>115</v>
      </c>
      <c r="E95" s="3" t="str">
        <f t="shared" si="14"/>
        <v>UPHILL</v>
      </c>
      <c r="F95" s="60">
        <v>4.4000000000000004</v>
      </c>
      <c r="G95" s="60">
        <f t="shared" si="17"/>
        <v>0.20000000000000018</v>
      </c>
      <c r="H95" s="3">
        <f t="shared" si="18"/>
        <v>0.90549818315791197</v>
      </c>
      <c r="I95" s="3">
        <f>SUM(M$4:M95)</f>
        <v>858.29483625613068</v>
      </c>
      <c r="J95" s="3">
        <f t="shared" si="19"/>
        <v>12.654030755127678</v>
      </c>
      <c r="K95" s="3">
        <v>6000</v>
      </c>
      <c r="L95" s="3">
        <v>3</v>
      </c>
      <c r="M95" s="3">
        <f>VLOOKUP(K95,VEHICLE!I$30:L$54,MATCH(L95,VEHICLE!I$30:L$30,0),0)</f>
        <v>12.654030755127732</v>
      </c>
      <c r="N95" s="3">
        <f t="shared" si="20"/>
        <v>0</v>
      </c>
      <c r="O95" s="3">
        <f>IF(L95=1,VEHICLE!C$68*'DUTY CYCLE'!N95,IF(L95=2,VEHICLE!C$69*'DUTY CYCLE'!N95,IF('DUTY CYCLE'!L95=3,VEHICLE!C$70*'DUTY CYCLE'!N95)))</f>
        <v>0</v>
      </c>
      <c r="P95" s="37">
        <f>VLOOKUP(D95,TRACK!B$3:C$5,2)</f>
        <v>0.1</v>
      </c>
      <c r="Q95" s="3">
        <f>P95*VEHICLE!C$47*9.81</f>
        <v>556.55073000000004</v>
      </c>
      <c r="R95" s="3">
        <f>0.5*VEHICLE!C$20*VEHICLE!C$28*1.2*((M95)^2)</f>
        <v>62.917877690115105</v>
      </c>
      <c r="S95" s="3">
        <f>VEHICLE!C$47*9.81*SIN(RADIANS(H95))</f>
        <v>87.95319673822307</v>
      </c>
      <c r="T95" s="3">
        <f t="shared" si="21"/>
        <v>707.42180442833819</v>
      </c>
      <c r="U95" s="3">
        <f t="shared" si="22"/>
        <v>8.9517372700841467</v>
      </c>
      <c r="V95" s="3">
        <f>((VEHICLE!C$12*1000)-U95*1000)/1000</f>
        <v>4.4710815218621631</v>
      </c>
      <c r="W95" s="3">
        <f t="shared" si="15"/>
        <v>8.9517372700841467</v>
      </c>
      <c r="X95" s="3">
        <f t="shared" si="23"/>
        <v>14.247132357938408</v>
      </c>
      <c r="Y95" s="3">
        <f t="shared" si="24"/>
        <v>15</v>
      </c>
      <c r="Z95" s="3">
        <f t="shared" si="25"/>
        <v>707.42180442833819</v>
      </c>
      <c r="AA95" s="3">
        <f>SUM(Z$4:Z95)</f>
        <v>25718.497081590998</v>
      </c>
      <c r="AB95" s="3">
        <f>INDEX(BSFC!D$5:AD$27,MATCH('DUTY CYCLE'!Y95,BSFC!C$5:C$27,0),MATCH('DUTY CYCLE'!K95,BSFC!D$28:AD$28,0))</f>
        <v>364.39564180899998</v>
      </c>
      <c r="AC95" s="3">
        <f t="shared" si="26"/>
        <v>0.90610390217718284</v>
      </c>
      <c r="AD95" s="3">
        <f t="shared" si="27"/>
        <v>2799.8610577274949</v>
      </c>
      <c r="AE95" s="3">
        <f>0.5*VEHICLE!C$47*('DUTY CYCLE'!M95^2)/1000</f>
        <v>45.421714690280233</v>
      </c>
      <c r="AF95" s="3">
        <f t="shared" si="16"/>
        <v>752.84351911861847</v>
      </c>
    </row>
    <row r="96" spans="2:32" ht="17" x14ac:dyDescent="0.2">
      <c r="B96" s="3">
        <v>92</v>
      </c>
      <c r="C96" s="94"/>
      <c r="D96" s="59" t="s">
        <v>115</v>
      </c>
      <c r="E96" s="3" t="str">
        <f t="shared" si="14"/>
        <v>UPHILL</v>
      </c>
      <c r="F96" s="60">
        <v>4.5999999999999996</v>
      </c>
      <c r="G96" s="60">
        <f t="shared" si="17"/>
        <v>0.19999999999999929</v>
      </c>
      <c r="H96" s="3">
        <f t="shared" si="18"/>
        <v>0.90549818315790798</v>
      </c>
      <c r="I96" s="3">
        <f>SUM(M$4:M96)</f>
        <v>870.94886701125836</v>
      </c>
      <c r="J96" s="3">
        <f t="shared" si="19"/>
        <v>12.654030755127678</v>
      </c>
      <c r="K96" s="3">
        <v>6000</v>
      </c>
      <c r="L96" s="3">
        <v>3</v>
      </c>
      <c r="M96" s="3">
        <f>VLOOKUP(K96,VEHICLE!I$30:L$54,MATCH(L96,VEHICLE!I$30:L$30,0),0)</f>
        <v>12.654030755127732</v>
      </c>
      <c r="N96" s="3">
        <f t="shared" si="20"/>
        <v>0</v>
      </c>
      <c r="O96" s="3">
        <f>IF(L96=1,VEHICLE!C$68*'DUTY CYCLE'!N96,IF(L96=2,VEHICLE!C$69*'DUTY CYCLE'!N96,IF('DUTY CYCLE'!L96=3,VEHICLE!C$70*'DUTY CYCLE'!N96)))</f>
        <v>0</v>
      </c>
      <c r="P96" s="37">
        <f>VLOOKUP(D96,TRACK!B$3:C$5,2)</f>
        <v>0.1</v>
      </c>
      <c r="Q96" s="3">
        <f>P96*VEHICLE!C$47*9.81</f>
        <v>556.55073000000004</v>
      </c>
      <c r="R96" s="3">
        <f>0.5*VEHICLE!C$20*VEHICLE!C$28*1.2*((M96)^2)</f>
        <v>62.917877690115105</v>
      </c>
      <c r="S96" s="3">
        <f>VEHICLE!C$47*9.81*SIN(RADIANS(H96))</f>
        <v>87.953196738222687</v>
      </c>
      <c r="T96" s="3">
        <f t="shared" si="21"/>
        <v>707.42180442833785</v>
      </c>
      <c r="U96" s="3">
        <f t="shared" si="22"/>
        <v>8.9517372700841431</v>
      </c>
      <c r="V96" s="3">
        <f>((VEHICLE!C$12*1000)-U96*1000)/1000</f>
        <v>4.4710815218621667</v>
      </c>
      <c r="W96" s="3">
        <f t="shared" si="15"/>
        <v>8.9517372700841431</v>
      </c>
      <c r="X96" s="3">
        <f t="shared" si="23"/>
        <v>14.247132357938401</v>
      </c>
      <c r="Y96" s="3">
        <f t="shared" si="24"/>
        <v>15</v>
      </c>
      <c r="Z96" s="3">
        <f t="shared" si="25"/>
        <v>707.42180442833785</v>
      </c>
      <c r="AA96" s="3">
        <f>SUM(Z$4:Z96)</f>
        <v>26425.918886019335</v>
      </c>
      <c r="AB96" s="3">
        <f>INDEX(BSFC!D$5:AD$27,MATCH('DUTY CYCLE'!Y96,BSFC!C$5:C$27,0),MATCH('DUTY CYCLE'!K96,BSFC!D$28:AD$28,0))</f>
        <v>364.39564180899998</v>
      </c>
      <c r="AC96" s="3">
        <f t="shared" si="26"/>
        <v>0.9061039021771824</v>
      </c>
      <c r="AD96" s="3">
        <f t="shared" si="27"/>
        <v>2799.8610577274935</v>
      </c>
      <c r="AE96" s="3">
        <f>0.5*VEHICLE!C$47*('DUTY CYCLE'!M96^2)/1000</f>
        <v>45.421714690280233</v>
      </c>
      <c r="AF96" s="3">
        <f t="shared" si="16"/>
        <v>752.84351911861813</v>
      </c>
    </row>
    <row r="97" spans="2:32" ht="17" x14ac:dyDescent="0.2">
      <c r="B97" s="3">
        <v>93</v>
      </c>
      <c r="C97" s="94" t="s">
        <v>100</v>
      </c>
      <c r="D97" s="59" t="s">
        <v>115</v>
      </c>
      <c r="E97" s="3" t="str">
        <f t="shared" si="14"/>
        <v>FLAT</v>
      </c>
      <c r="F97" s="60">
        <v>4.5999999999999996</v>
      </c>
      <c r="G97" s="60">
        <f t="shared" si="17"/>
        <v>0</v>
      </c>
      <c r="H97" s="3">
        <f t="shared" si="18"/>
        <v>0</v>
      </c>
      <c r="I97" s="3">
        <f>SUM(M$4:M97)</f>
        <v>881.42116832584679</v>
      </c>
      <c r="J97" s="3">
        <f t="shared" si="19"/>
        <v>10.472301314588435</v>
      </c>
      <c r="K97" s="3">
        <v>6500</v>
      </c>
      <c r="L97" s="3">
        <v>2</v>
      </c>
      <c r="M97" s="3">
        <f>VLOOKUP(K97,VEHICLE!I$30:L$54,MATCH(L97,VEHICLE!I$30:L$30,0),0)</f>
        <v>10.472301314588467</v>
      </c>
      <c r="N97" s="3">
        <f t="shared" si="20"/>
        <v>-2.1817294405392644</v>
      </c>
      <c r="O97" s="3">
        <f>IF(L97=1,VEHICLE!C$68*'DUTY CYCLE'!N97,IF(L97=2,VEHICLE!C$69*'DUTY CYCLE'!N97,IF('DUTY CYCLE'!L97=3,VEHICLE!C$70*'DUTY CYCLE'!N97)))</f>
        <v>-1282.381158080176</v>
      </c>
      <c r="P97" s="37">
        <f>VLOOKUP(D97,TRACK!B$3:C$5,2)</f>
        <v>0.1</v>
      </c>
      <c r="Q97" s="3">
        <f>P97*VEHICLE!C$47*9.81</f>
        <v>556.55073000000004</v>
      </c>
      <c r="R97" s="3">
        <f>0.5*VEHICLE!C$20*VEHICLE!C$28*1.2*((M97)^2)</f>
        <v>43.092387098104993</v>
      </c>
      <c r="S97" s="3">
        <f>VEHICLE!C$47*9.81*SIN(RADIANS(H97))</f>
        <v>0</v>
      </c>
      <c r="T97" s="3">
        <f t="shared" si="21"/>
        <v>-682.73804098207097</v>
      </c>
      <c r="U97" s="3">
        <f t="shared" si="22"/>
        <v>7.1498384840960965</v>
      </c>
      <c r="V97" s="3">
        <f>((VEHICLE!C$12*1000)-U97*1000)/1000</f>
        <v>6.2729803078502124</v>
      </c>
      <c r="W97" s="3">
        <f t="shared" si="15"/>
        <v>7.1498384840960965</v>
      </c>
      <c r="X97" s="3">
        <f t="shared" si="23"/>
        <v>10.503988957408222</v>
      </c>
      <c r="Y97" s="3">
        <f t="shared" si="24"/>
        <v>11</v>
      </c>
      <c r="Z97" s="3">
        <f t="shared" si="25"/>
        <v>-682.73804098207097</v>
      </c>
      <c r="AA97" s="3">
        <f>SUM(Z$4:Z97)</f>
        <v>25743.180845037263</v>
      </c>
      <c r="AB97" s="3">
        <f>INDEX(BSFC!D$5:AD$27,MATCH('DUTY CYCLE'!Y97,BSFC!C$5:C$27,0),MATCH('DUTY CYCLE'!K97,BSFC!D$28:AD$28,0))</f>
        <v>541.58297151999977</v>
      </c>
      <c r="AC97" s="3">
        <f t="shared" si="26"/>
        <v>1.075619658918004</v>
      </c>
      <c r="AD97" s="3">
        <f t="shared" si="27"/>
        <v>3323.6647460566323</v>
      </c>
      <c r="AE97" s="3">
        <f>0.5*VEHICLE!C$47*('DUTY CYCLE'!M97^2)/1000</f>
        <v>31.109283783117018</v>
      </c>
      <c r="AF97" s="3">
        <f t="shared" si="16"/>
        <v>-651.62875719895396</v>
      </c>
    </row>
    <row r="98" spans="2:32" ht="17" x14ac:dyDescent="0.2">
      <c r="B98" s="3">
        <v>94</v>
      </c>
      <c r="C98" s="94"/>
      <c r="D98" s="59" t="s">
        <v>115</v>
      </c>
      <c r="E98" s="3" t="str">
        <f t="shared" si="14"/>
        <v>FLAT</v>
      </c>
      <c r="F98" s="60">
        <v>4.5999999999999996</v>
      </c>
      <c r="G98" s="60">
        <f t="shared" si="17"/>
        <v>0</v>
      </c>
      <c r="H98" s="3">
        <f t="shared" si="18"/>
        <v>0</v>
      </c>
      <c r="I98" s="3">
        <f>SUM(M$4:M98)</f>
        <v>890.68512718105967</v>
      </c>
      <c r="J98" s="3">
        <f t="shared" si="19"/>
        <v>9.2639588552128771</v>
      </c>
      <c r="K98" s="3">
        <v>5750</v>
      </c>
      <c r="L98" s="3">
        <v>2</v>
      </c>
      <c r="M98" s="3">
        <f>VLOOKUP(K98,VEHICLE!I$30:L$54,MATCH(L98,VEHICLE!I$30:L$30,0),0)</f>
        <v>9.2639588552128771</v>
      </c>
      <c r="N98" s="3">
        <f t="shared" si="20"/>
        <v>-1.20834245937559</v>
      </c>
      <c r="O98" s="3">
        <f>IF(L98=1,VEHICLE!C$68*'DUTY CYCLE'!N98,IF(L98=2,VEHICLE!C$69*'DUTY CYCLE'!N98,IF('DUTY CYCLE'!L98=3,VEHICLE!C$70*'DUTY CYCLE'!N98)))</f>
        <v>-710.24187216748055</v>
      </c>
      <c r="P98" s="37">
        <f>VLOOKUP(D98,TRACK!B$3:C$5,2)</f>
        <v>0.1</v>
      </c>
      <c r="Q98" s="3">
        <f>P98*VEHICLE!C$47*9.81</f>
        <v>556.55073000000004</v>
      </c>
      <c r="R98" s="3">
        <f>0.5*VEHICLE!C$20*VEHICLE!C$28*1.2*((M98)^2)</f>
        <v>33.721705288309991</v>
      </c>
      <c r="S98" s="3">
        <f>VEHICLE!C$47*9.81*SIN(RADIANS(H98))</f>
        <v>0</v>
      </c>
      <c r="T98" s="3">
        <f t="shared" si="21"/>
        <v>-119.96943687917053</v>
      </c>
      <c r="U98" s="3">
        <f t="shared" si="22"/>
        <v>1.1113919271316941</v>
      </c>
      <c r="V98" s="3">
        <f>((VEHICLE!C$12*1000)-U98*1000)/1000</f>
        <v>12.311426864814615</v>
      </c>
      <c r="W98" s="3">
        <f t="shared" si="15"/>
        <v>1.1113919271316941</v>
      </c>
      <c r="X98" s="3">
        <f t="shared" si="23"/>
        <v>1.8457410669436867</v>
      </c>
      <c r="Y98" s="3">
        <f t="shared" si="24"/>
        <v>2</v>
      </c>
      <c r="Z98" s="3">
        <f t="shared" si="25"/>
        <v>-119.96943687917053</v>
      </c>
      <c r="AA98" s="3">
        <f>SUM(Z$4:Z98)</f>
        <v>25623.211408158091</v>
      </c>
      <c r="AB98" s="3">
        <f>INDEX(BSFC!D$5:AD$27,MATCH('DUTY CYCLE'!Y98,BSFC!C$5:C$27,0),MATCH('DUTY CYCLE'!K98,BSFC!D$28:AD$28,0))</f>
        <v>888.23565976000009</v>
      </c>
      <c r="AC98" s="3">
        <f t="shared" si="26"/>
        <v>0.27421609490215509</v>
      </c>
      <c r="AD98" s="3">
        <f t="shared" si="27"/>
        <v>847.32773324765924</v>
      </c>
      <c r="AE98" s="3">
        <f>0.5*VEHICLE!C$47*('DUTY CYCLE'!M98^2)/1000</f>
        <v>24.344395149806083</v>
      </c>
      <c r="AF98" s="3">
        <f t="shared" si="16"/>
        <v>-95.625041729364455</v>
      </c>
    </row>
    <row r="99" spans="2:32" ht="17" x14ac:dyDescent="0.2">
      <c r="B99" s="3">
        <v>95</v>
      </c>
      <c r="C99" s="94"/>
      <c r="D99" s="59" t="s">
        <v>115</v>
      </c>
      <c r="E99" s="3" t="str">
        <f t="shared" si="14"/>
        <v>FLAT</v>
      </c>
      <c r="F99" s="60">
        <v>4.5999999999999996</v>
      </c>
      <c r="G99" s="60">
        <f t="shared" si="17"/>
        <v>0</v>
      </c>
      <c r="H99" s="3">
        <f t="shared" si="18"/>
        <v>0</v>
      </c>
      <c r="I99" s="3">
        <f>SUM(M$4:M99)</f>
        <v>899.94908603627255</v>
      </c>
      <c r="J99" s="3">
        <f t="shared" si="19"/>
        <v>9.2639588552128771</v>
      </c>
      <c r="K99" s="3">
        <v>5750</v>
      </c>
      <c r="L99" s="3">
        <v>2</v>
      </c>
      <c r="M99" s="3">
        <f>VLOOKUP(K99,VEHICLE!I$30:L$54,MATCH(L99,VEHICLE!I$30:L$30,0),0)</f>
        <v>9.2639588552128771</v>
      </c>
      <c r="N99" s="3">
        <f t="shared" si="20"/>
        <v>0</v>
      </c>
      <c r="O99" s="3">
        <f>IF(L99=1,VEHICLE!C$68*'DUTY CYCLE'!N99,IF(L99=2,VEHICLE!C$69*'DUTY CYCLE'!N99,IF('DUTY CYCLE'!L99=3,VEHICLE!C$70*'DUTY CYCLE'!N99)))</f>
        <v>0</v>
      </c>
      <c r="P99" s="37">
        <f>VLOOKUP(D99,TRACK!B$3:C$5,2)</f>
        <v>0.1</v>
      </c>
      <c r="Q99" s="3">
        <f>P99*VEHICLE!C$47*9.81</f>
        <v>556.55073000000004</v>
      </c>
      <c r="R99" s="3">
        <f>0.5*VEHICLE!C$20*VEHICLE!C$28*1.2*((M99)^2)</f>
        <v>33.721705288309991</v>
      </c>
      <c r="S99" s="3">
        <f>VEHICLE!C$47*9.81*SIN(RADIANS(H99))</f>
        <v>0</v>
      </c>
      <c r="T99" s="3">
        <f t="shared" si="21"/>
        <v>590.27243528831002</v>
      </c>
      <c r="U99" s="3">
        <f t="shared" si="22"/>
        <v>5.4682595538772096</v>
      </c>
      <c r="V99" s="3">
        <f>((VEHICLE!C$12*1000)-U99*1000)/1000</f>
        <v>7.9545592380690993</v>
      </c>
      <c r="W99" s="3">
        <f t="shared" si="15"/>
        <v>5.4682595538772096</v>
      </c>
      <c r="X99" s="3">
        <f t="shared" si="23"/>
        <v>9.0813969193986797</v>
      </c>
      <c r="Y99" s="3">
        <f t="shared" si="24"/>
        <v>10</v>
      </c>
      <c r="Z99" s="3">
        <f t="shared" si="25"/>
        <v>590.27243528831002</v>
      </c>
      <c r="AA99" s="3">
        <f>SUM(Z$4:Z99)</f>
        <v>26213.4838434464</v>
      </c>
      <c r="AB99" s="3">
        <f>INDEX(BSFC!D$5:AD$27,MATCH('DUTY CYCLE'!Y99,BSFC!C$5:C$27,0),MATCH('DUTY CYCLE'!K99,BSFC!D$28:AD$28,0))</f>
        <v>416.79475528000017</v>
      </c>
      <c r="AC99" s="3">
        <f t="shared" si="26"/>
        <v>0.63309497293493744</v>
      </c>
      <c r="AD99" s="3">
        <f t="shared" si="27"/>
        <v>1956.2634663689566</v>
      </c>
      <c r="AE99" s="3">
        <f>0.5*VEHICLE!C$47*('DUTY CYCLE'!M99^2)/1000</f>
        <v>24.344395149806083</v>
      </c>
      <c r="AF99" s="3">
        <f t="shared" si="16"/>
        <v>614.61683043811615</v>
      </c>
    </row>
    <row r="100" spans="2:32" ht="17" x14ac:dyDescent="0.2">
      <c r="B100" s="3">
        <v>96</v>
      </c>
      <c r="C100" s="94"/>
      <c r="D100" s="59" t="s">
        <v>115</v>
      </c>
      <c r="E100" s="3" t="str">
        <f t="shared" si="14"/>
        <v>FLAT</v>
      </c>
      <c r="F100" s="60">
        <v>4.5999999999999996</v>
      </c>
      <c r="G100" s="60">
        <f t="shared" si="17"/>
        <v>0</v>
      </c>
      <c r="H100" s="3">
        <f t="shared" si="18"/>
        <v>0</v>
      </c>
      <c r="I100" s="3">
        <f>SUM(M$4:M100)</f>
        <v>908.81026407169361</v>
      </c>
      <c r="J100" s="3">
        <f t="shared" si="19"/>
        <v>8.8611780354210623</v>
      </c>
      <c r="K100" s="3">
        <v>5500</v>
      </c>
      <c r="L100" s="3">
        <v>2</v>
      </c>
      <c r="M100" s="3">
        <f>VLOOKUP(K100,VEHICLE!I$30:L$54,MATCH(L100,VEHICLE!I$30:L$30,0),0)</f>
        <v>8.8611780354210126</v>
      </c>
      <c r="N100" s="3">
        <f t="shared" si="20"/>
        <v>-0.40278081979186453</v>
      </c>
      <c r="O100" s="3">
        <f>IF(L100=1,VEHICLE!C$68*'DUTY CYCLE'!N100,IF(L100=2,VEHICLE!C$69*'DUTY CYCLE'!N100,IF('DUTY CYCLE'!L100=3,VEHICLE!C$70*'DUTY CYCLE'!N100)))</f>
        <v>-236.74729072249423</v>
      </c>
      <c r="P100" s="37">
        <f>VLOOKUP(D100,TRACK!B$3:C$5,2)</f>
        <v>0.1</v>
      </c>
      <c r="Q100" s="3">
        <f>P100*VEHICLE!C$47*9.81</f>
        <v>556.55073000000004</v>
      </c>
      <c r="R100" s="3">
        <f>0.5*VEHICLE!C$20*VEHICLE!C$28*1.2*((M100)^2)</f>
        <v>30.85312922408702</v>
      </c>
      <c r="S100" s="3">
        <f>VEHICLE!C$47*9.81*SIN(RADIANS(H100))</f>
        <v>0</v>
      </c>
      <c r="T100" s="3">
        <f t="shared" si="21"/>
        <v>350.65656850159291</v>
      </c>
      <c r="U100" s="3">
        <f t="shared" si="22"/>
        <v>3.1072302827824188</v>
      </c>
      <c r="V100" s="3">
        <f>((VEHICLE!C$12*1000)-U100*1000)/1000</f>
        <v>10.31558850916389</v>
      </c>
      <c r="W100" s="3">
        <f t="shared" si="15"/>
        <v>3.1072302827824188</v>
      </c>
      <c r="X100" s="3">
        <f t="shared" si="23"/>
        <v>5.3948842781416344</v>
      </c>
      <c r="Y100" s="3">
        <f t="shared" si="24"/>
        <v>6</v>
      </c>
      <c r="Z100" s="3">
        <f t="shared" si="25"/>
        <v>350.65656850159291</v>
      </c>
      <c r="AA100" s="3">
        <f>SUM(Z$4:Z100)</f>
        <v>26564.140411947992</v>
      </c>
      <c r="AB100" s="3">
        <f>INDEX(BSFC!D$5:AD$27,MATCH('DUTY CYCLE'!Y100,BSFC!C$5:C$27,0),MATCH('DUTY CYCLE'!K100,BSFC!D$28:AD$28,0))</f>
        <v>530.98202200000003</v>
      </c>
      <c r="AC100" s="3">
        <f t="shared" si="26"/>
        <v>0.45830094954762235</v>
      </c>
      <c r="AD100" s="3">
        <f t="shared" si="27"/>
        <v>1416.1499341021531</v>
      </c>
      <c r="AE100" s="3">
        <f>0.5*VEHICLE!C$47*('DUTY CYCLE'!M100^2)/1000</f>
        <v>22.27351087430273</v>
      </c>
      <c r="AF100" s="3">
        <f t="shared" si="16"/>
        <v>372.93007937589562</v>
      </c>
    </row>
    <row r="101" spans="2:32" ht="17" x14ac:dyDescent="0.2">
      <c r="B101" s="3">
        <v>97</v>
      </c>
      <c r="C101" s="94"/>
      <c r="D101" s="59" t="s">
        <v>115</v>
      </c>
      <c r="E101" s="3" t="str">
        <f t="shared" si="14"/>
        <v>FLAT</v>
      </c>
      <c r="F101" s="60">
        <v>4.5999999999999996</v>
      </c>
      <c r="G101" s="60">
        <f t="shared" si="17"/>
        <v>0</v>
      </c>
      <c r="H101" s="3">
        <f t="shared" si="18"/>
        <v>0</v>
      </c>
      <c r="I101" s="3">
        <f>SUM(M$4:M101)</f>
        <v>917.26866128732274</v>
      </c>
      <c r="J101" s="3">
        <f t="shared" si="19"/>
        <v>8.4583972156291338</v>
      </c>
      <c r="K101" s="3">
        <v>5250</v>
      </c>
      <c r="L101" s="3">
        <v>2</v>
      </c>
      <c r="M101" s="3">
        <f>VLOOKUP(K101,VEHICLE!I$30:L$54,MATCH(L101,VEHICLE!I$30:L$30,0),0)</f>
        <v>8.458397215629148</v>
      </c>
      <c r="N101" s="3">
        <f t="shared" si="20"/>
        <v>-0.40278081979186453</v>
      </c>
      <c r="O101" s="3">
        <f>IF(L101=1,VEHICLE!C$68*'DUTY CYCLE'!N101,IF(L101=2,VEHICLE!C$69*'DUTY CYCLE'!N101,IF('DUTY CYCLE'!L101=3,VEHICLE!C$70*'DUTY CYCLE'!N101)))</f>
        <v>-236.74729072249423</v>
      </c>
      <c r="P101" s="37">
        <f>VLOOKUP(D101,TRACK!B$3:C$5,2)</f>
        <v>0.1</v>
      </c>
      <c r="Q101" s="3">
        <f>P101*VEHICLE!C$47*9.81</f>
        <v>556.55073000000004</v>
      </c>
      <c r="R101" s="3">
        <f>0.5*VEHICLE!C$20*VEHICLE!C$28*1.2*((M101)^2)</f>
        <v>28.11204542938507</v>
      </c>
      <c r="S101" s="3">
        <f>VEHICLE!C$47*9.81*SIN(RADIANS(H101))</f>
        <v>0</v>
      </c>
      <c r="T101" s="3">
        <f t="shared" si="21"/>
        <v>347.91548470689088</v>
      </c>
      <c r="U101" s="3">
        <f t="shared" si="22"/>
        <v>2.9428073671190313</v>
      </c>
      <c r="V101" s="3">
        <f>((VEHICLE!C$12*1000)-U101*1000)/1000</f>
        <v>10.480011424827277</v>
      </c>
      <c r="W101" s="3">
        <f t="shared" si="15"/>
        <v>2.9428073671190313</v>
      </c>
      <c r="X101" s="3">
        <f t="shared" si="23"/>
        <v>5.3527124462198836</v>
      </c>
      <c r="Y101" s="3">
        <f t="shared" si="24"/>
        <v>6</v>
      </c>
      <c r="Z101" s="3">
        <f t="shared" si="25"/>
        <v>347.91548470689088</v>
      </c>
      <c r="AA101" s="3">
        <f>SUM(Z$4:Z101)</f>
        <v>26912.055896654882</v>
      </c>
      <c r="AB101" s="3">
        <f>INDEX(BSFC!D$5:AD$27,MATCH('DUTY CYCLE'!Y101,BSFC!C$5:C$27,0),MATCH('DUTY CYCLE'!K101,BSFC!D$28:AD$28,0))</f>
        <v>537.86207592000017</v>
      </c>
      <c r="AC101" s="3">
        <f t="shared" si="26"/>
        <v>0.4396734665309201</v>
      </c>
      <c r="AD101" s="3">
        <f t="shared" si="27"/>
        <v>1358.5910115805432</v>
      </c>
      <c r="AE101" s="3">
        <f>0.5*VEHICLE!C$47*('DUTY CYCLE'!M101^2)/1000</f>
        <v>20.294665899932859</v>
      </c>
      <c r="AF101" s="3">
        <f t="shared" si="16"/>
        <v>368.21015060682373</v>
      </c>
    </row>
    <row r="102" spans="2:32" ht="17" x14ac:dyDescent="0.2">
      <c r="B102" s="3">
        <v>98</v>
      </c>
      <c r="C102" s="94" t="s">
        <v>149</v>
      </c>
      <c r="D102" s="59" t="s">
        <v>115</v>
      </c>
      <c r="E102" s="3" t="str">
        <f t="shared" si="14"/>
        <v>UPHILL</v>
      </c>
      <c r="F102" s="60">
        <v>4.9000000000000004</v>
      </c>
      <c r="G102" s="60">
        <f t="shared" si="17"/>
        <v>0.30000000000000071</v>
      </c>
      <c r="H102" s="3">
        <f t="shared" si="18"/>
        <v>1.9390391512388288</v>
      </c>
      <c r="I102" s="3">
        <f>SUM(M$4:M102)</f>
        <v>926.12983932274381</v>
      </c>
      <c r="J102" s="3">
        <f t="shared" si="19"/>
        <v>8.8611780354210623</v>
      </c>
      <c r="K102" s="3">
        <v>5500</v>
      </c>
      <c r="L102" s="3">
        <v>2</v>
      </c>
      <c r="M102" s="3">
        <f>VLOOKUP(K102,VEHICLE!I$30:L$54,MATCH(L102,VEHICLE!I$30:L$30,0),0)</f>
        <v>8.8611780354210126</v>
      </c>
      <c r="N102" s="3">
        <f t="shared" si="20"/>
        <v>0.40278081979186453</v>
      </c>
      <c r="O102" s="3">
        <f>IF(L102=1,VEHICLE!C$68*'DUTY CYCLE'!N102,IF(L102=2,VEHICLE!C$69*'DUTY CYCLE'!N102,IF('DUTY CYCLE'!L102=3,VEHICLE!C$70*'DUTY CYCLE'!N102)))</f>
        <v>236.74729072249423</v>
      </c>
      <c r="P102" s="37">
        <f>VLOOKUP(D102,TRACK!B$3:C$5,2)</f>
        <v>0.1</v>
      </c>
      <c r="Q102" s="3">
        <f>P102*VEHICLE!C$47*9.81</f>
        <v>556.55073000000004</v>
      </c>
      <c r="R102" s="3">
        <f>0.5*VEHICLE!C$20*VEHICLE!C$28*1.2*((M102)^2)</f>
        <v>30.85312922408702</v>
      </c>
      <c r="S102" s="3">
        <f>VEHICLE!C$47*9.81*SIN(RADIANS(H102))</f>
        <v>188.31538304011997</v>
      </c>
      <c r="T102" s="3">
        <f t="shared" si="21"/>
        <v>1012.4665329867013</v>
      </c>
      <c r="U102" s="3">
        <f t="shared" si="22"/>
        <v>8.9716462037006224</v>
      </c>
      <c r="V102" s="3">
        <f>((VEHICLE!C$12*1000)-U102*1000)/1000</f>
        <v>4.4511725882456865</v>
      </c>
      <c r="W102" s="3">
        <f t="shared" si="15"/>
        <v>8.9716462037006224</v>
      </c>
      <c r="X102" s="3">
        <f t="shared" si="23"/>
        <v>15.576892810806454</v>
      </c>
      <c r="Y102" s="3">
        <f t="shared" si="24"/>
        <v>16</v>
      </c>
      <c r="Z102" s="3">
        <f t="shared" si="25"/>
        <v>1012.4665329867013</v>
      </c>
      <c r="AA102" s="3">
        <f>SUM(Z$4:Z102)</f>
        <v>27924.522429641584</v>
      </c>
      <c r="AB102" s="3">
        <f>INDEX(BSFC!D$5:AD$27,MATCH('DUTY CYCLE'!Y102,BSFC!C$5:C$27,0),MATCH('DUTY CYCLE'!K102,BSFC!D$28:AD$28,0))</f>
        <v>378.97823524000012</v>
      </c>
      <c r="AC102" s="3">
        <f t="shared" si="26"/>
        <v>0.94446073485447457</v>
      </c>
      <c r="AD102" s="3">
        <f t="shared" si="27"/>
        <v>2918.3836707003265</v>
      </c>
      <c r="AE102" s="3">
        <f>0.5*VEHICLE!C$47*('DUTY CYCLE'!M102^2)/1000</f>
        <v>22.27351087430273</v>
      </c>
      <c r="AF102" s="3">
        <f t="shared" si="16"/>
        <v>1034.7400438610041</v>
      </c>
    </row>
    <row r="103" spans="2:32" ht="17" x14ac:dyDescent="0.2">
      <c r="B103" s="3">
        <v>99</v>
      </c>
      <c r="C103" s="94"/>
      <c r="D103" s="59" t="s">
        <v>115</v>
      </c>
      <c r="E103" s="3" t="str">
        <f t="shared" si="14"/>
        <v>UPHILL</v>
      </c>
      <c r="F103" s="60">
        <v>5.25</v>
      </c>
      <c r="G103" s="60">
        <f t="shared" si="17"/>
        <v>0.34999999999999964</v>
      </c>
      <c r="H103" s="3">
        <f t="shared" si="18"/>
        <v>2.1636526999220536</v>
      </c>
      <c r="I103" s="3">
        <f>SUM(M$4:M103)</f>
        <v>935.39379817795668</v>
      </c>
      <c r="J103" s="3">
        <f t="shared" si="19"/>
        <v>9.2639588552128771</v>
      </c>
      <c r="K103" s="3">
        <v>5750</v>
      </c>
      <c r="L103" s="3">
        <v>2</v>
      </c>
      <c r="M103" s="3">
        <f>VLOOKUP(K103,VEHICLE!I$30:L$54,MATCH(L103,VEHICLE!I$30:L$30,0),0)</f>
        <v>9.2639588552128771</v>
      </c>
      <c r="N103" s="3">
        <f t="shared" si="20"/>
        <v>0.40278081979186453</v>
      </c>
      <c r="O103" s="3">
        <f>IF(L103=1,VEHICLE!C$68*'DUTY CYCLE'!N103,IF(L103=2,VEHICLE!C$69*'DUTY CYCLE'!N103,IF('DUTY CYCLE'!L103=3,VEHICLE!C$70*'DUTY CYCLE'!N103)))</f>
        <v>236.74729072249423</v>
      </c>
      <c r="P103" s="37">
        <f>VLOOKUP(D103,TRACK!B$3:C$5,2)</f>
        <v>0.1</v>
      </c>
      <c r="Q103" s="3">
        <f>P103*VEHICLE!C$47*9.81</f>
        <v>556.55073000000004</v>
      </c>
      <c r="R103" s="3">
        <f>0.5*VEHICLE!C$20*VEHICLE!C$28*1.2*((M103)^2)</f>
        <v>33.721705288309991</v>
      </c>
      <c r="S103" s="3">
        <f>VEHICLE!C$47*9.81*SIN(RADIANS(H103))</f>
        <v>210.11954447804638</v>
      </c>
      <c r="T103" s="3">
        <f t="shared" si="21"/>
        <v>1037.1392704888506</v>
      </c>
      <c r="U103" s="3">
        <f t="shared" si="22"/>
        <v>9.6080155289342102</v>
      </c>
      <c r="V103" s="3">
        <f>((VEHICLE!C$12*1000)-U103*1000)/1000</f>
        <v>3.8148032630120978</v>
      </c>
      <c r="W103" s="3">
        <f t="shared" si="15"/>
        <v>9.6080155289342102</v>
      </c>
      <c r="X103" s="3">
        <f t="shared" si="23"/>
        <v>15.95648519721987</v>
      </c>
      <c r="Y103" s="3">
        <f t="shared" si="24"/>
        <v>16</v>
      </c>
      <c r="Z103" s="3">
        <f t="shared" si="25"/>
        <v>1037.1392704888506</v>
      </c>
      <c r="AA103" s="3">
        <f>SUM(Z$4:Z103)</f>
        <v>28961.661700130433</v>
      </c>
      <c r="AB103" s="3">
        <f>INDEX(BSFC!D$5:AD$27,MATCH('DUTY CYCLE'!Y103,BSFC!C$5:C$27,0),MATCH('DUTY CYCLE'!K103,BSFC!D$28:AD$28,0))</f>
        <v>404.87861524000016</v>
      </c>
      <c r="AC103" s="3">
        <f t="shared" si="26"/>
        <v>1.0805777840442501</v>
      </c>
      <c r="AD103" s="3">
        <f t="shared" si="27"/>
        <v>3338.9853526967327</v>
      </c>
      <c r="AE103" s="3">
        <f>0.5*VEHICLE!C$47*('DUTY CYCLE'!M103^2)/1000</f>
        <v>24.344395149806083</v>
      </c>
      <c r="AF103" s="3">
        <f t="shared" si="16"/>
        <v>1061.4836656386567</v>
      </c>
    </row>
    <row r="104" spans="2:32" ht="17" x14ac:dyDescent="0.2">
      <c r="B104" s="3">
        <v>100</v>
      </c>
      <c r="C104" s="94"/>
      <c r="D104" s="59" t="s">
        <v>115</v>
      </c>
      <c r="E104" s="3" t="str">
        <f t="shared" si="14"/>
        <v>UPHILL</v>
      </c>
      <c r="F104" s="60">
        <v>5.6</v>
      </c>
      <c r="G104" s="60">
        <f t="shared" si="17"/>
        <v>0.34999999999999964</v>
      </c>
      <c r="H104" s="3">
        <f t="shared" si="18"/>
        <v>2.0735809112195724</v>
      </c>
      <c r="I104" s="3">
        <f>SUM(M$4:M104)</f>
        <v>945.06053785296137</v>
      </c>
      <c r="J104" s="3">
        <f t="shared" si="19"/>
        <v>9.6667396750046919</v>
      </c>
      <c r="K104" s="3">
        <v>6000</v>
      </c>
      <c r="L104" s="3">
        <v>2</v>
      </c>
      <c r="M104" s="3">
        <f>VLOOKUP(K104,VEHICLE!I$30:L$54,MATCH(L104,VEHICLE!I$30:L$30,0),0)</f>
        <v>9.6667396750047363</v>
      </c>
      <c r="N104" s="3">
        <f t="shared" si="20"/>
        <v>0.4027808197918592</v>
      </c>
      <c r="O104" s="3">
        <f>IF(L104=1,VEHICLE!C$68*'DUTY CYCLE'!N104,IF(L104=2,VEHICLE!C$69*'DUTY CYCLE'!N104,IF('DUTY CYCLE'!L104=3,VEHICLE!C$70*'DUTY CYCLE'!N104)))</f>
        <v>236.74729072249107</v>
      </c>
      <c r="P104" s="37">
        <f>VLOOKUP(D104,TRACK!B$3:C$5,2)</f>
        <v>0.1</v>
      </c>
      <c r="Q104" s="3">
        <f>P104*VEHICLE!C$47*9.81</f>
        <v>556.55073000000004</v>
      </c>
      <c r="R104" s="3">
        <f>0.5*VEHICLE!C$20*VEHICLE!C$28*1.2*((M104)^2)</f>
        <v>36.71777362205394</v>
      </c>
      <c r="S104" s="3">
        <f>VEHICLE!C$47*9.81*SIN(RADIANS(H104))</f>
        <v>201.37627434259772</v>
      </c>
      <c r="T104" s="3">
        <f t="shared" si="21"/>
        <v>1031.3920686871429</v>
      </c>
      <c r="U104" s="3">
        <f t="shared" si="22"/>
        <v>9.9701986308632158</v>
      </c>
      <c r="V104" s="3">
        <f>((VEHICLE!C$12*1000)-U104*1000)/1000</f>
        <v>3.452620161083094</v>
      </c>
      <c r="W104" s="3">
        <f t="shared" si="15"/>
        <v>9.9701986308632158</v>
      </c>
      <c r="X104" s="3">
        <f t="shared" si="23"/>
        <v>15.868063957099277</v>
      </c>
      <c r="Y104" s="3">
        <f t="shared" si="24"/>
        <v>16</v>
      </c>
      <c r="Z104" s="3">
        <f t="shared" si="25"/>
        <v>1031.3920686871429</v>
      </c>
      <c r="AA104" s="3">
        <f>SUM(Z$4:Z104)</f>
        <v>29993.053768817575</v>
      </c>
      <c r="AB104" s="3">
        <f>INDEX(BSFC!D$5:AD$27,MATCH('DUTY CYCLE'!Y104,BSFC!C$5:C$27,0),MATCH('DUTY CYCLE'!K104,BSFC!D$28:AD$28,0))</f>
        <v>399.84608056000008</v>
      </c>
      <c r="AC104" s="3">
        <f t="shared" si="26"/>
        <v>1.1073735680431489</v>
      </c>
      <c r="AD104" s="3">
        <f t="shared" si="27"/>
        <v>3421.7843252533303</v>
      </c>
      <c r="AE104" s="3">
        <f>0.5*VEHICLE!C$47*('DUTY CYCLE'!M104^2)/1000</f>
        <v>26.507318726442893</v>
      </c>
      <c r="AF104" s="3">
        <f t="shared" si="16"/>
        <v>1057.8993874135858</v>
      </c>
    </row>
    <row r="105" spans="2:32" ht="17" x14ac:dyDescent="0.2">
      <c r="B105" s="3">
        <v>101</v>
      </c>
      <c r="C105" s="94"/>
      <c r="D105" s="59" t="s">
        <v>115</v>
      </c>
      <c r="E105" s="3" t="str">
        <f t="shared" si="14"/>
        <v>UPHILL</v>
      </c>
      <c r="F105" s="60">
        <v>5.95</v>
      </c>
      <c r="G105" s="60">
        <f t="shared" si="17"/>
        <v>0.35000000000000053</v>
      </c>
      <c r="H105" s="3">
        <f t="shared" si="18"/>
        <v>1.9907057982339076</v>
      </c>
      <c r="I105" s="3">
        <f>SUM(M$4:M105)</f>
        <v>955.13005834775799</v>
      </c>
      <c r="J105" s="3">
        <f t="shared" si="19"/>
        <v>10.06952049479662</v>
      </c>
      <c r="K105" s="3">
        <v>6250</v>
      </c>
      <c r="L105" s="3">
        <v>2</v>
      </c>
      <c r="M105" s="3">
        <f>VLOOKUP(K105,VEHICLE!I$30:L$54,MATCH(L105,VEHICLE!I$30:L$30,0),0)</f>
        <v>10.069520494796603</v>
      </c>
      <c r="N105" s="3">
        <f t="shared" si="20"/>
        <v>0.40278081979186631</v>
      </c>
      <c r="O105" s="3">
        <f>IF(L105=1,VEHICLE!C$68*'DUTY CYCLE'!N105,IF(L105=2,VEHICLE!C$69*'DUTY CYCLE'!N105,IF('DUTY CYCLE'!L105=3,VEHICLE!C$70*'DUTY CYCLE'!N105)))</f>
        <v>236.74729072249525</v>
      </c>
      <c r="P105" s="37">
        <f>VLOOKUP(D105,TRACK!B$3:C$5,2)</f>
        <v>0.1</v>
      </c>
      <c r="Q105" s="3">
        <f>P105*VEHICLE!C$47*9.81</f>
        <v>556.55073000000004</v>
      </c>
      <c r="R105" s="3">
        <f>0.5*VEHICLE!C$20*VEHICLE!C$28*1.2*((M105)^2)</f>
        <v>39.84133422531896</v>
      </c>
      <c r="S105" s="3">
        <f>VEHICLE!C$47*9.81*SIN(RADIANS(H105))</f>
        <v>193.33114552660501</v>
      </c>
      <c r="T105" s="3">
        <f t="shared" si="21"/>
        <v>1026.4705004744194</v>
      </c>
      <c r="U105" s="3">
        <f t="shared" si="22"/>
        <v>10.336065741831291</v>
      </c>
      <c r="V105" s="3">
        <f>((VEHICLE!C$12*1000)-U105*1000)/1000</f>
        <v>3.0867530501150178</v>
      </c>
      <c r="W105" s="3">
        <f t="shared" si="15"/>
        <v>10.336065741831291</v>
      </c>
      <c r="X105" s="3">
        <f t="shared" si="23"/>
        <v>15.792345167378382</v>
      </c>
      <c r="Y105" s="3">
        <f t="shared" si="24"/>
        <v>16</v>
      </c>
      <c r="Z105" s="3">
        <f t="shared" si="25"/>
        <v>1026.4705004744194</v>
      </c>
      <c r="AA105" s="3">
        <f>SUM(Z$4:Z105)</f>
        <v>31019.524269291996</v>
      </c>
      <c r="AB105" s="3">
        <f>INDEX(BSFC!D$5:AD$27,MATCH('DUTY CYCLE'!Y105,BSFC!C$5:C$27,0),MATCH('DUTY CYCLE'!K105,BSFC!D$28:AD$28,0))</f>
        <v>430.09203056000007</v>
      </c>
      <c r="AC105" s="3">
        <f t="shared" si="26"/>
        <v>1.2348498619182982</v>
      </c>
      <c r="AD105" s="3">
        <f t="shared" si="27"/>
        <v>3815.6860733275412</v>
      </c>
      <c r="AE105" s="3">
        <f>0.5*VEHICLE!C$47*('DUTY CYCLE'!M105^2)/1000</f>
        <v>28.762281604213214</v>
      </c>
      <c r="AF105" s="3">
        <f t="shared" si="16"/>
        <v>1055.2327820786327</v>
      </c>
    </row>
    <row r="106" spans="2:32" ht="17" x14ac:dyDescent="0.2">
      <c r="B106" s="3">
        <v>102</v>
      </c>
      <c r="C106" s="94" t="s">
        <v>102</v>
      </c>
      <c r="D106" s="59" t="s">
        <v>115</v>
      </c>
      <c r="E106" s="3" t="str">
        <f t="shared" si="14"/>
        <v>UPHILL</v>
      </c>
      <c r="F106" s="60">
        <v>6.3</v>
      </c>
      <c r="G106" s="60">
        <f t="shared" si="17"/>
        <v>0.34999999999999964</v>
      </c>
      <c r="H106" s="3">
        <f t="shared" si="18"/>
        <v>1.9907057982339025</v>
      </c>
      <c r="I106" s="3">
        <f>SUM(M$4:M106)</f>
        <v>965.19957884255462</v>
      </c>
      <c r="J106" s="3">
        <f t="shared" si="19"/>
        <v>10.06952049479662</v>
      </c>
      <c r="K106" s="3">
        <v>6250</v>
      </c>
      <c r="L106" s="3">
        <v>2</v>
      </c>
      <c r="M106" s="3">
        <f>VLOOKUP(K106,VEHICLE!I$30:L$54,MATCH(L106,VEHICLE!I$30:L$30,0),0)</f>
        <v>10.069520494796603</v>
      </c>
      <c r="N106" s="3">
        <f t="shared" si="20"/>
        <v>0</v>
      </c>
      <c r="O106" s="3">
        <f>IF(L106=1,VEHICLE!C$68*'DUTY CYCLE'!N106,IF(L106=2,VEHICLE!C$69*'DUTY CYCLE'!N106,IF('DUTY CYCLE'!L106=3,VEHICLE!C$70*'DUTY CYCLE'!N106)))</f>
        <v>0</v>
      </c>
      <c r="P106" s="37">
        <f>VLOOKUP(D106,TRACK!B$3:C$5,2)</f>
        <v>0.1</v>
      </c>
      <c r="Q106" s="3">
        <f>P106*VEHICLE!C$47*9.81</f>
        <v>556.55073000000004</v>
      </c>
      <c r="R106" s="3">
        <f>0.5*VEHICLE!C$20*VEHICLE!C$28*1.2*((M106)^2)</f>
        <v>39.84133422531896</v>
      </c>
      <c r="S106" s="3">
        <f>VEHICLE!C$47*9.81*SIN(RADIANS(H106))</f>
        <v>193.3311455266045</v>
      </c>
      <c r="T106" s="3">
        <f t="shared" si="21"/>
        <v>789.72320975192349</v>
      </c>
      <c r="U106" s="3">
        <f t="shared" si="22"/>
        <v>7.9521340458135503</v>
      </c>
      <c r="V106" s="3">
        <f>((VEHICLE!C$12*1000)-U106*1000)/1000</f>
        <v>5.4706847461327586</v>
      </c>
      <c r="W106" s="3">
        <f t="shared" si="15"/>
        <v>7.9521340458135503</v>
      </c>
      <c r="X106" s="3">
        <f t="shared" si="23"/>
        <v>12.149965838597559</v>
      </c>
      <c r="Y106" s="3">
        <f t="shared" si="24"/>
        <v>13</v>
      </c>
      <c r="Z106" s="3">
        <f t="shared" si="25"/>
        <v>789.72320975192349</v>
      </c>
      <c r="AA106" s="3">
        <f>SUM(Z$4:Z106)</f>
        <v>31809.247479043919</v>
      </c>
      <c r="AB106" s="3">
        <f>INDEX(BSFC!D$5:AD$27,MATCH('DUTY CYCLE'!Y106,BSFC!C$5:C$27,0),MATCH('DUTY CYCLE'!K106,BSFC!D$28:AD$28,0))</f>
        <v>382.29665216000018</v>
      </c>
      <c r="AC106" s="3">
        <f t="shared" si="26"/>
        <v>0.84446506201168825</v>
      </c>
      <c r="AD106" s="3">
        <f t="shared" si="27"/>
        <v>2609.3970416161169</v>
      </c>
      <c r="AE106" s="3">
        <f>0.5*VEHICLE!C$47*('DUTY CYCLE'!M106^2)/1000</f>
        <v>28.762281604213214</v>
      </c>
      <c r="AF106" s="3">
        <f t="shared" si="16"/>
        <v>818.48549135613666</v>
      </c>
    </row>
    <row r="107" spans="2:32" ht="17" x14ac:dyDescent="0.2">
      <c r="B107" s="3">
        <v>103</v>
      </c>
      <c r="C107" s="94"/>
      <c r="D107" s="59" t="s">
        <v>115</v>
      </c>
      <c r="E107" s="3" t="str">
        <f t="shared" si="14"/>
        <v>UPHILL</v>
      </c>
      <c r="F107" s="60">
        <v>6.65</v>
      </c>
      <c r="G107" s="60">
        <f t="shared" si="17"/>
        <v>0.35000000000000053</v>
      </c>
      <c r="H107" s="3">
        <f t="shared" si="18"/>
        <v>2.0735809112195778</v>
      </c>
      <c r="I107" s="3">
        <f>SUM(M$4:M107)</f>
        <v>974.86631851755931</v>
      </c>
      <c r="J107" s="3">
        <f t="shared" si="19"/>
        <v>9.6667396750046919</v>
      </c>
      <c r="K107" s="3">
        <v>6000</v>
      </c>
      <c r="L107" s="3">
        <v>2</v>
      </c>
      <c r="M107" s="3">
        <f>VLOOKUP(K107,VEHICLE!I$30:L$54,MATCH(L107,VEHICLE!I$30:L$30,0),0)</f>
        <v>9.6667396750047363</v>
      </c>
      <c r="N107" s="3">
        <f t="shared" si="20"/>
        <v>-0.40278081979186631</v>
      </c>
      <c r="O107" s="3">
        <f>IF(L107=1,VEHICLE!C$68*'DUTY CYCLE'!N107,IF(L107=2,VEHICLE!C$69*'DUTY CYCLE'!N107,IF('DUTY CYCLE'!L107=3,VEHICLE!C$70*'DUTY CYCLE'!N107)))</f>
        <v>-236.74729072249525</v>
      </c>
      <c r="P107" s="37">
        <f>VLOOKUP(D107,TRACK!B$3:C$5,2)</f>
        <v>0.1</v>
      </c>
      <c r="Q107" s="3">
        <f>P107*VEHICLE!C$47*9.81</f>
        <v>556.55073000000004</v>
      </c>
      <c r="R107" s="3">
        <f>0.5*VEHICLE!C$20*VEHICLE!C$28*1.2*((M107)^2)</f>
        <v>36.71777362205394</v>
      </c>
      <c r="S107" s="3">
        <f>VEHICLE!C$47*9.81*SIN(RADIANS(H107))</f>
        <v>201.37627434259821</v>
      </c>
      <c r="T107" s="3">
        <f t="shared" si="21"/>
        <v>557.89748724215701</v>
      </c>
      <c r="U107" s="3">
        <f t="shared" si="22"/>
        <v>5.3930497745092083</v>
      </c>
      <c r="V107" s="3">
        <f>((VEHICLE!C$12*1000)-U107*1000)/1000</f>
        <v>8.0297690174371006</v>
      </c>
      <c r="W107" s="3">
        <f t="shared" si="15"/>
        <v>5.3930497745092083</v>
      </c>
      <c r="X107" s="3">
        <f t="shared" si="23"/>
        <v>8.5833052995377201</v>
      </c>
      <c r="Y107" s="3">
        <f t="shared" si="24"/>
        <v>9</v>
      </c>
      <c r="Z107" s="3">
        <f t="shared" si="25"/>
        <v>557.89748724215701</v>
      </c>
      <c r="AA107" s="3">
        <f>SUM(Z$4:Z107)</f>
        <v>32367.144966286076</v>
      </c>
      <c r="AB107" s="3">
        <f>INDEX(BSFC!D$5:AD$27,MATCH('DUTY CYCLE'!Y107,BSFC!C$5:C$27,0),MATCH('DUTY CYCLE'!K107,BSFC!D$28:AD$28,0))</f>
        <v>455.61202743999996</v>
      </c>
      <c r="AC107" s="3">
        <f t="shared" si="26"/>
        <v>0.68253842829138189</v>
      </c>
      <c r="AD107" s="3">
        <f t="shared" si="27"/>
        <v>2109.04374342037</v>
      </c>
      <c r="AE107" s="3">
        <f>0.5*VEHICLE!C$47*('DUTY CYCLE'!M107^2)/1000</f>
        <v>26.507318726442893</v>
      </c>
      <c r="AF107" s="3">
        <f t="shared" si="16"/>
        <v>584.40480596859993</v>
      </c>
    </row>
    <row r="108" spans="2:32" ht="17" x14ac:dyDescent="0.2">
      <c r="B108" s="3">
        <v>104</v>
      </c>
      <c r="C108" s="94"/>
      <c r="D108" s="59" t="s">
        <v>115</v>
      </c>
      <c r="E108" s="3" t="str">
        <f t="shared" si="14"/>
        <v>UPHILL</v>
      </c>
      <c r="F108" s="60">
        <v>7</v>
      </c>
      <c r="G108" s="60">
        <f t="shared" si="17"/>
        <v>0.34999999999999964</v>
      </c>
      <c r="H108" s="3">
        <f t="shared" si="18"/>
        <v>2.1636526999220536</v>
      </c>
      <c r="I108" s="3">
        <f>SUM(M$4:M108)</f>
        <v>984.13027737277218</v>
      </c>
      <c r="J108" s="3">
        <f t="shared" si="19"/>
        <v>9.2639588552128771</v>
      </c>
      <c r="K108" s="3">
        <v>5750</v>
      </c>
      <c r="L108" s="3">
        <v>2</v>
      </c>
      <c r="M108" s="3">
        <f>VLOOKUP(K108,VEHICLE!I$30:L$54,MATCH(L108,VEHICLE!I$30:L$30,0),0)</f>
        <v>9.2639588552128771</v>
      </c>
      <c r="N108" s="3">
        <f t="shared" si="20"/>
        <v>-0.4027808197918592</v>
      </c>
      <c r="O108" s="3">
        <f>IF(L108=1,VEHICLE!C$68*'DUTY CYCLE'!N108,IF(L108=2,VEHICLE!C$69*'DUTY CYCLE'!N108,IF('DUTY CYCLE'!L108=3,VEHICLE!C$70*'DUTY CYCLE'!N108)))</f>
        <v>-236.74729072249107</v>
      </c>
      <c r="P108" s="37">
        <f>VLOOKUP(D108,TRACK!B$3:C$5,2)</f>
        <v>0.1</v>
      </c>
      <c r="Q108" s="3">
        <f>P108*VEHICLE!C$47*9.81</f>
        <v>556.55073000000004</v>
      </c>
      <c r="R108" s="3">
        <f>0.5*VEHICLE!C$20*VEHICLE!C$28*1.2*((M108)^2)</f>
        <v>33.721705288309991</v>
      </c>
      <c r="S108" s="3">
        <f>VEHICLE!C$47*9.81*SIN(RADIANS(H108))</f>
        <v>210.11954447804638</v>
      </c>
      <c r="T108" s="3">
        <f t="shared" si="21"/>
        <v>563.64468904386536</v>
      </c>
      <c r="U108" s="3">
        <f t="shared" si="22"/>
        <v>5.2215812082616244</v>
      </c>
      <c r="V108" s="3">
        <f>((VEHICLE!C$12*1000)-U108*1000)/1000</f>
        <v>8.2012375836846836</v>
      </c>
      <c r="W108" s="3">
        <f t="shared" si="15"/>
        <v>5.2215812082616244</v>
      </c>
      <c r="X108" s="3">
        <f t="shared" si="23"/>
        <v>8.6717265396583194</v>
      </c>
      <c r="Y108" s="3">
        <f t="shared" si="24"/>
        <v>9</v>
      </c>
      <c r="Z108" s="3">
        <f t="shared" si="25"/>
        <v>563.64468904386536</v>
      </c>
      <c r="AA108" s="3">
        <f>SUM(Z$4:Z108)</f>
        <v>32930.789655329943</v>
      </c>
      <c r="AB108" s="3">
        <f>INDEX(BSFC!D$5:AD$27,MATCH('DUTY CYCLE'!Y108,BSFC!C$5:C$27,0),MATCH('DUTY CYCLE'!K108,BSFC!D$28:AD$28,0))</f>
        <v>462.00180136000012</v>
      </c>
      <c r="AC108" s="3">
        <f t="shared" si="26"/>
        <v>0.67010553449011012</v>
      </c>
      <c r="AD108" s="3">
        <f t="shared" si="27"/>
        <v>2070.6261015744403</v>
      </c>
      <c r="AE108" s="3">
        <f>0.5*VEHICLE!C$47*('DUTY CYCLE'!M108^2)/1000</f>
        <v>24.344395149806083</v>
      </c>
      <c r="AF108" s="3">
        <f t="shared" si="16"/>
        <v>587.98908419367149</v>
      </c>
    </row>
    <row r="109" spans="2:32" ht="17" x14ac:dyDescent="0.2">
      <c r="B109" s="3">
        <v>105</v>
      </c>
      <c r="C109" s="94" t="s">
        <v>101</v>
      </c>
      <c r="D109" s="59" t="s">
        <v>115</v>
      </c>
      <c r="E109" s="3" t="str">
        <f t="shared" si="14"/>
        <v>UPHILL</v>
      </c>
      <c r="F109" s="60">
        <v>7.35</v>
      </c>
      <c r="G109" s="60">
        <f t="shared" si="17"/>
        <v>0.34999999999999964</v>
      </c>
      <c r="H109" s="3">
        <f t="shared" si="18"/>
        <v>2.0735809112195724</v>
      </c>
      <c r="I109" s="3">
        <f>SUM(M$4:M109)</f>
        <v>993.79701704777688</v>
      </c>
      <c r="J109" s="3">
        <f t="shared" si="19"/>
        <v>9.6667396750046919</v>
      </c>
      <c r="K109" s="3">
        <v>6000</v>
      </c>
      <c r="L109" s="3">
        <v>2</v>
      </c>
      <c r="M109" s="3">
        <f>VLOOKUP(K109,VEHICLE!I$30:L$54,MATCH(L109,VEHICLE!I$30:L$30,0),0)</f>
        <v>9.6667396750047363</v>
      </c>
      <c r="N109" s="3">
        <f t="shared" si="20"/>
        <v>0.4027808197918592</v>
      </c>
      <c r="O109" s="3">
        <f>IF(L109=1,VEHICLE!C$68*'DUTY CYCLE'!N109,IF(L109=2,VEHICLE!C$69*'DUTY CYCLE'!N109,IF('DUTY CYCLE'!L109=3,VEHICLE!C$70*'DUTY CYCLE'!N109)))</f>
        <v>236.74729072249107</v>
      </c>
      <c r="P109" s="37">
        <f>VLOOKUP(D109,TRACK!B$3:C$5,2)</f>
        <v>0.1</v>
      </c>
      <c r="Q109" s="3">
        <f>P109*VEHICLE!C$47*9.81</f>
        <v>556.55073000000004</v>
      </c>
      <c r="R109" s="3">
        <f>0.5*VEHICLE!C$20*VEHICLE!C$28*1.2*((M109)^2)</f>
        <v>36.71777362205394</v>
      </c>
      <c r="S109" s="3">
        <f>VEHICLE!C$47*9.81*SIN(RADIANS(H109))</f>
        <v>201.37627434259772</v>
      </c>
      <c r="T109" s="3">
        <f t="shared" si="21"/>
        <v>1031.3920686871429</v>
      </c>
      <c r="U109" s="3">
        <f t="shared" si="22"/>
        <v>9.9701986308632158</v>
      </c>
      <c r="V109" s="3">
        <f>((VEHICLE!C$12*1000)-U109*1000)/1000</f>
        <v>3.452620161083094</v>
      </c>
      <c r="W109" s="3">
        <f t="shared" si="15"/>
        <v>9.9701986308632158</v>
      </c>
      <c r="X109" s="3">
        <f t="shared" si="23"/>
        <v>15.868063957099277</v>
      </c>
      <c r="Y109" s="3">
        <f t="shared" si="24"/>
        <v>16</v>
      </c>
      <c r="Z109" s="3">
        <f t="shared" si="25"/>
        <v>1031.3920686871429</v>
      </c>
      <c r="AA109" s="3">
        <f>SUM(Z$4:Z109)</f>
        <v>33962.181724017086</v>
      </c>
      <c r="AB109" s="3">
        <f>INDEX(BSFC!D$5:AD$27,MATCH('DUTY CYCLE'!Y109,BSFC!C$5:C$27,0),MATCH('DUTY CYCLE'!K109,BSFC!D$28:AD$28,0))</f>
        <v>399.84608056000008</v>
      </c>
      <c r="AC109" s="3">
        <f t="shared" si="26"/>
        <v>1.1073735680431489</v>
      </c>
      <c r="AD109" s="3">
        <f t="shared" si="27"/>
        <v>3421.7843252533303</v>
      </c>
      <c r="AE109" s="3">
        <f>0.5*VEHICLE!C$47*('DUTY CYCLE'!M109^2)/1000</f>
        <v>26.507318726442893</v>
      </c>
      <c r="AF109" s="3">
        <f t="shared" si="16"/>
        <v>1057.8993874135858</v>
      </c>
    </row>
    <row r="110" spans="2:32" ht="17" x14ac:dyDescent="0.2">
      <c r="B110" s="3">
        <v>106</v>
      </c>
      <c r="C110" s="94"/>
      <c r="D110" s="59" t="s">
        <v>115</v>
      </c>
      <c r="E110" s="3" t="str">
        <f t="shared" si="14"/>
        <v>UPHILL</v>
      </c>
      <c r="F110" s="60">
        <v>7.7</v>
      </c>
      <c r="G110" s="60">
        <f t="shared" si="17"/>
        <v>0.35000000000000053</v>
      </c>
      <c r="H110" s="3">
        <f t="shared" si="18"/>
        <v>1.9907057982339076</v>
      </c>
      <c r="I110" s="3">
        <f>SUM(M$4:M110)</f>
        <v>1003.8665375425735</v>
      </c>
      <c r="J110" s="3">
        <f t="shared" si="19"/>
        <v>10.06952049479662</v>
      </c>
      <c r="K110" s="3">
        <v>6250</v>
      </c>
      <c r="L110" s="3">
        <v>2</v>
      </c>
      <c r="M110" s="3">
        <f>VLOOKUP(K110,VEHICLE!I$30:L$54,MATCH(L110,VEHICLE!I$30:L$30,0),0)</f>
        <v>10.069520494796603</v>
      </c>
      <c r="N110" s="3">
        <f t="shared" si="20"/>
        <v>0.40278081979186631</v>
      </c>
      <c r="O110" s="3">
        <f>IF(L110=1,VEHICLE!C$68*'DUTY CYCLE'!N110,IF(L110=2,VEHICLE!C$69*'DUTY CYCLE'!N110,IF('DUTY CYCLE'!L110=3,VEHICLE!C$70*'DUTY CYCLE'!N110)))</f>
        <v>236.74729072249525</v>
      </c>
      <c r="P110" s="37">
        <f>VLOOKUP(D110,TRACK!B$3:C$5,2)</f>
        <v>0.1</v>
      </c>
      <c r="Q110" s="3">
        <f>P110*VEHICLE!C$47*9.81</f>
        <v>556.55073000000004</v>
      </c>
      <c r="R110" s="3">
        <f>0.5*VEHICLE!C$20*VEHICLE!C$28*1.2*((M110)^2)</f>
        <v>39.84133422531896</v>
      </c>
      <c r="S110" s="3">
        <f>VEHICLE!C$47*9.81*SIN(RADIANS(H110))</f>
        <v>193.33114552660501</v>
      </c>
      <c r="T110" s="3">
        <f t="shared" si="21"/>
        <v>1026.4705004744194</v>
      </c>
      <c r="U110" s="3">
        <f t="shared" si="22"/>
        <v>10.336065741831291</v>
      </c>
      <c r="V110" s="3">
        <f>((VEHICLE!C$12*1000)-U110*1000)/1000</f>
        <v>3.0867530501150178</v>
      </c>
      <c r="W110" s="3">
        <f t="shared" si="15"/>
        <v>10.336065741831291</v>
      </c>
      <c r="X110" s="3">
        <f t="shared" si="23"/>
        <v>15.792345167378382</v>
      </c>
      <c r="Y110" s="3">
        <f t="shared" si="24"/>
        <v>16</v>
      </c>
      <c r="Z110" s="3">
        <f t="shared" si="25"/>
        <v>1026.4705004744194</v>
      </c>
      <c r="AA110" s="3">
        <f>SUM(Z$4:Z110)</f>
        <v>34988.652224491503</v>
      </c>
      <c r="AB110" s="3">
        <f>INDEX(BSFC!D$5:AD$27,MATCH('DUTY CYCLE'!Y110,BSFC!C$5:C$27,0),MATCH('DUTY CYCLE'!K110,BSFC!D$28:AD$28,0))</f>
        <v>430.09203056000007</v>
      </c>
      <c r="AC110" s="3">
        <f t="shared" si="26"/>
        <v>1.2348498619182982</v>
      </c>
      <c r="AD110" s="3">
        <f t="shared" si="27"/>
        <v>3815.6860733275412</v>
      </c>
      <c r="AE110" s="3">
        <f>0.5*VEHICLE!C$47*('DUTY CYCLE'!M110^2)/1000</f>
        <v>28.762281604213214</v>
      </c>
      <c r="AF110" s="3">
        <f t="shared" si="16"/>
        <v>1055.2327820786327</v>
      </c>
    </row>
    <row r="111" spans="2:32" ht="17" x14ac:dyDescent="0.2">
      <c r="B111" s="3">
        <v>107</v>
      </c>
      <c r="C111" s="94" t="s">
        <v>104</v>
      </c>
      <c r="D111" s="59" t="s">
        <v>115</v>
      </c>
      <c r="E111" s="3" t="str">
        <f t="shared" si="14"/>
        <v>UPHILL</v>
      </c>
      <c r="F111" s="60">
        <v>8.0500000000000007</v>
      </c>
      <c r="G111" s="60">
        <f t="shared" si="17"/>
        <v>0.35000000000000053</v>
      </c>
      <c r="H111" s="3">
        <f t="shared" si="18"/>
        <v>2.0735809112195778</v>
      </c>
      <c r="I111" s="3">
        <f>SUM(M$4:M111)</f>
        <v>1013.5332772175782</v>
      </c>
      <c r="J111" s="3">
        <f t="shared" si="19"/>
        <v>9.6667396750046919</v>
      </c>
      <c r="K111" s="3">
        <v>6000</v>
      </c>
      <c r="L111" s="3">
        <v>2</v>
      </c>
      <c r="M111" s="3">
        <f>VLOOKUP(K111,VEHICLE!I$30:L$54,MATCH(L111,VEHICLE!I$30:L$30,0),0)</f>
        <v>9.6667396750047363</v>
      </c>
      <c r="N111" s="3">
        <f t="shared" si="20"/>
        <v>-0.40278081979186631</v>
      </c>
      <c r="O111" s="3">
        <f>IF(L111=1,VEHICLE!C$68*'DUTY CYCLE'!N111,IF(L111=2,VEHICLE!C$69*'DUTY CYCLE'!N111,IF('DUTY CYCLE'!L111=3,VEHICLE!C$70*'DUTY CYCLE'!N111)))</f>
        <v>-236.74729072249525</v>
      </c>
      <c r="P111" s="37">
        <f>VLOOKUP(D111,TRACK!B$3:C$5,2)</f>
        <v>0.1</v>
      </c>
      <c r="Q111" s="3">
        <f>P111*VEHICLE!C$47*9.81</f>
        <v>556.55073000000004</v>
      </c>
      <c r="R111" s="3">
        <f>0.5*VEHICLE!C$20*VEHICLE!C$28*1.2*((M111)^2)</f>
        <v>36.71777362205394</v>
      </c>
      <c r="S111" s="3">
        <f>VEHICLE!C$47*9.81*SIN(RADIANS(H111))</f>
        <v>201.37627434259821</v>
      </c>
      <c r="T111" s="3">
        <f t="shared" si="21"/>
        <v>557.89748724215701</v>
      </c>
      <c r="U111" s="3">
        <f t="shared" si="22"/>
        <v>5.3930497745092083</v>
      </c>
      <c r="V111" s="3">
        <f>((VEHICLE!C$12*1000)-U111*1000)/1000</f>
        <v>8.0297690174371006</v>
      </c>
      <c r="W111" s="3">
        <f t="shared" si="15"/>
        <v>5.3930497745092083</v>
      </c>
      <c r="X111" s="3">
        <f t="shared" si="23"/>
        <v>8.5833052995377201</v>
      </c>
      <c r="Y111" s="3">
        <f t="shared" si="24"/>
        <v>9</v>
      </c>
      <c r="Z111" s="3">
        <f t="shared" si="25"/>
        <v>557.89748724215701</v>
      </c>
      <c r="AA111" s="3">
        <f>SUM(Z$4:Z111)</f>
        <v>35546.549711733664</v>
      </c>
      <c r="AB111" s="3">
        <f>INDEX(BSFC!D$5:AD$27,MATCH('DUTY CYCLE'!Y111,BSFC!C$5:C$27,0),MATCH('DUTY CYCLE'!K111,BSFC!D$28:AD$28,0))</f>
        <v>455.61202743999996</v>
      </c>
      <c r="AC111" s="3">
        <f t="shared" si="26"/>
        <v>0.68253842829138189</v>
      </c>
      <c r="AD111" s="3">
        <f t="shared" si="27"/>
        <v>2109.04374342037</v>
      </c>
      <c r="AE111" s="3">
        <f>0.5*VEHICLE!C$47*('DUTY CYCLE'!M111^2)/1000</f>
        <v>26.507318726442893</v>
      </c>
      <c r="AF111" s="3">
        <f t="shared" si="16"/>
        <v>584.40480596859993</v>
      </c>
    </row>
    <row r="112" spans="2:32" ht="17" x14ac:dyDescent="0.2">
      <c r="B112" s="3">
        <v>108</v>
      </c>
      <c r="C112" s="94"/>
      <c r="D112" s="59" t="s">
        <v>115</v>
      </c>
      <c r="E112" s="3" t="str">
        <f t="shared" si="14"/>
        <v>UPHILL</v>
      </c>
      <c r="F112" s="60">
        <v>8.4</v>
      </c>
      <c r="G112" s="60">
        <f t="shared" si="17"/>
        <v>0.34999999999999964</v>
      </c>
      <c r="H112" s="3">
        <f t="shared" si="18"/>
        <v>2.1636526999220536</v>
      </c>
      <c r="I112" s="3">
        <f>SUM(M$4:M112)</f>
        <v>1022.7972360727911</v>
      </c>
      <c r="J112" s="3">
        <f t="shared" si="19"/>
        <v>9.2639588552128771</v>
      </c>
      <c r="K112" s="3">
        <v>5750</v>
      </c>
      <c r="L112" s="3">
        <v>2</v>
      </c>
      <c r="M112" s="3">
        <f>VLOOKUP(K112,VEHICLE!I$30:L$54,MATCH(L112,VEHICLE!I$30:L$30,0),0)</f>
        <v>9.2639588552128771</v>
      </c>
      <c r="N112" s="3">
        <f t="shared" si="20"/>
        <v>-0.4027808197918592</v>
      </c>
      <c r="O112" s="3">
        <f>IF(L112=1,VEHICLE!C$68*'DUTY CYCLE'!N112,IF(L112=2,VEHICLE!C$69*'DUTY CYCLE'!N112,IF('DUTY CYCLE'!L112=3,VEHICLE!C$70*'DUTY CYCLE'!N112)))</f>
        <v>-236.74729072249107</v>
      </c>
      <c r="P112" s="37">
        <f>VLOOKUP(D112,TRACK!B$3:C$5,2)</f>
        <v>0.1</v>
      </c>
      <c r="Q112" s="3">
        <f>P112*VEHICLE!C$47*9.81</f>
        <v>556.55073000000004</v>
      </c>
      <c r="R112" s="3">
        <f>0.5*VEHICLE!C$20*VEHICLE!C$28*1.2*((M112)^2)</f>
        <v>33.721705288309991</v>
      </c>
      <c r="S112" s="3">
        <f>VEHICLE!C$47*9.81*SIN(RADIANS(H112))</f>
        <v>210.11954447804638</v>
      </c>
      <c r="T112" s="3">
        <f t="shared" si="21"/>
        <v>563.64468904386536</v>
      </c>
      <c r="U112" s="3">
        <f t="shared" si="22"/>
        <v>5.2215812082616244</v>
      </c>
      <c r="V112" s="3">
        <f>((VEHICLE!C$12*1000)-U112*1000)/1000</f>
        <v>8.2012375836846836</v>
      </c>
      <c r="W112" s="3">
        <f t="shared" si="15"/>
        <v>5.2215812082616244</v>
      </c>
      <c r="X112" s="3">
        <f t="shared" si="23"/>
        <v>8.6717265396583194</v>
      </c>
      <c r="Y112" s="3">
        <f t="shared" si="24"/>
        <v>9</v>
      </c>
      <c r="Z112" s="3">
        <f t="shared" si="25"/>
        <v>563.64468904386536</v>
      </c>
      <c r="AA112" s="3">
        <f>SUM(Z$4:Z112)</f>
        <v>36110.194400777531</v>
      </c>
      <c r="AB112" s="3">
        <f>INDEX(BSFC!D$5:AD$27,MATCH('DUTY CYCLE'!Y112,BSFC!C$5:C$27,0),MATCH('DUTY CYCLE'!K112,BSFC!D$28:AD$28,0))</f>
        <v>462.00180136000012</v>
      </c>
      <c r="AC112" s="3">
        <f t="shared" si="26"/>
        <v>0.67010553449011012</v>
      </c>
      <c r="AD112" s="3">
        <f t="shared" si="27"/>
        <v>2070.6261015744403</v>
      </c>
      <c r="AE112" s="3">
        <f>0.5*VEHICLE!C$47*('DUTY CYCLE'!M112^2)/1000</f>
        <v>24.344395149806083</v>
      </c>
      <c r="AF112" s="3">
        <f t="shared" si="16"/>
        <v>587.98908419367149</v>
      </c>
    </row>
    <row r="113" spans="2:32" ht="17" x14ac:dyDescent="0.2">
      <c r="B113" s="3">
        <v>109</v>
      </c>
      <c r="C113" s="94" t="s">
        <v>103</v>
      </c>
      <c r="D113" s="59" t="s">
        <v>115</v>
      </c>
      <c r="E113" s="3" t="str">
        <f t="shared" si="14"/>
        <v>UPHILL</v>
      </c>
      <c r="F113" s="60">
        <v>8.75</v>
      </c>
      <c r="G113" s="60">
        <f t="shared" si="17"/>
        <v>0.34999999999999964</v>
      </c>
      <c r="H113" s="3">
        <f t="shared" si="18"/>
        <v>2.2619006166613094</v>
      </c>
      <c r="I113" s="3">
        <f>SUM(M$4:M113)</f>
        <v>1031.6584141082121</v>
      </c>
      <c r="J113" s="3">
        <f t="shared" si="19"/>
        <v>8.8611780354210623</v>
      </c>
      <c r="K113" s="3">
        <v>5500</v>
      </c>
      <c r="L113" s="3">
        <v>2</v>
      </c>
      <c r="M113" s="3">
        <f>VLOOKUP(K113,VEHICLE!I$30:L$54,MATCH(L113,VEHICLE!I$30:L$30,0),0)</f>
        <v>8.8611780354210126</v>
      </c>
      <c r="N113" s="3">
        <f t="shared" si="20"/>
        <v>-0.40278081979186453</v>
      </c>
      <c r="O113" s="3">
        <f>IF(L113=1,VEHICLE!C$68*'DUTY CYCLE'!N113,IF(L113=2,VEHICLE!C$69*'DUTY CYCLE'!N113,IF('DUTY CYCLE'!L113=3,VEHICLE!C$70*'DUTY CYCLE'!N113)))</f>
        <v>-236.74729072249423</v>
      </c>
      <c r="P113" s="37">
        <f>VLOOKUP(D113,TRACK!B$3:C$5,2)</f>
        <v>0.1</v>
      </c>
      <c r="Q113" s="3">
        <f>P113*VEHICLE!C$47*9.81</f>
        <v>556.55073000000004</v>
      </c>
      <c r="R113" s="3">
        <f>0.5*VEHICLE!C$20*VEHICLE!C$28*1.2*((M113)^2)</f>
        <v>30.85312922408702</v>
      </c>
      <c r="S113" s="3">
        <f>VEHICLE!C$47*9.81*SIN(RADIANS(H113))</f>
        <v>219.65587864167304</v>
      </c>
      <c r="T113" s="3">
        <f t="shared" si="21"/>
        <v>570.3124471432659</v>
      </c>
      <c r="U113" s="3">
        <f t="shared" si="22"/>
        <v>5.0536401299531155</v>
      </c>
      <c r="V113" s="3">
        <f>((VEHICLE!C$12*1000)-U113*1000)/1000</f>
        <v>8.3691786619931943</v>
      </c>
      <c r="W113" s="3">
        <f t="shared" si="15"/>
        <v>5.0536401299531155</v>
      </c>
      <c r="X113" s="3">
        <f t="shared" si="23"/>
        <v>8.7743106249775291</v>
      </c>
      <c r="Y113" s="3">
        <f t="shared" si="24"/>
        <v>9</v>
      </c>
      <c r="Z113" s="3">
        <f t="shared" si="25"/>
        <v>570.3124471432659</v>
      </c>
      <c r="AA113" s="3">
        <f>SUM(Z$4:Z113)</f>
        <v>36680.506847920798</v>
      </c>
      <c r="AB113" s="3">
        <f>INDEX(BSFC!D$5:AD$27,MATCH('DUTY CYCLE'!Y113,BSFC!C$5:C$27,0),MATCH('DUTY CYCLE'!K113,BSFC!D$28:AD$28,0))</f>
        <v>436.10142136000007</v>
      </c>
      <c r="AC113" s="3">
        <f t="shared" si="26"/>
        <v>0.61219434547624696</v>
      </c>
      <c r="AD113" s="3">
        <f t="shared" si="27"/>
        <v>1891.6805275216032</v>
      </c>
      <c r="AE113" s="3">
        <f>0.5*VEHICLE!C$47*('DUTY CYCLE'!M113^2)/1000</f>
        <v>22.27351087430273</v>
      </c>
      <c r="AF113" s="3">
        <f t="shared" si="16"/>
        <v>592.5859580175686</v>
      </c>
    </row>
    <row r="114" spans="2:32" ht="17" x14ac:dyDescent="0.2">
      <c r="B114" s="3">
        <v>110</v>
      </c>
      <c r="C114" s="94"/>
      <c r="D114" s="59" t="s">
        <v>115</v>
      </c>
      <c r="E114" s="3" t="str">
        <f t="shared" si="14"/>
        <v>UPHILL</v>
      </c>
      <c r="F114" s="60">
        <v>9</v>
      </c>
      <c r="G114" s="60">
        <f t="shared" si="17"/>
        <v>0.25</v>
      </c>
      <c r="H114" s="3">
        <f t="shared" si="18"/>
        <v>1.5458260806965765</v>
      </c>
      <c r="I114" s="3">
        <f>SUM(M$4:M114)</f>
        <v>1040.922372963425</v>
      </c>
      <c r="J114" s="3">
        <f t="shared" si="19"/>
        <v>9.2639588552128771</v>
      </c>
      <c r="K114" s="3">
        <v>5750</v>
      </c>
      <c r="L114" s="3">
        <v>2</v>
      </c>
      <c r="M114" s="3">
        <f>VLOOKUP(K114,VEHICLE!I$30:L$54,MATCH(L114,VEHICLE!I$30:L$30,0),0)</f>
        <v>9.2639588552128771</v>
      </c>
      <c r="N114" s="3">
        <f t="shared" si="20"/>
        <v>0.40278081979186453</v>
      </c>
      <c r="O114" s="3">
        <f>IF(L114=1,VEHICLE!C$68*'DUTY CYCLE'!N114,IF(L114=2,VEHICLE!C$69*'DUTY CYCLE'!N114,IF('DUTY CYCLE'!L114=3,VEHICLE!C$70*'DUTY CYCLE'!N114)))</f>
        <v>236.74729072249423</v>
      </c>
      <c r="P114" s="37">
        <f>VLOOKUP(D114,TRACK!B$3:C$5,2)</f>
        <v>0.1</v>
      </c>
      <c r="Q114" s="3">
        <f>P114*VEHICLE!C$47*9.81</f>
        <v>556.55073000000004</v>
      </c>
      <c r="R114" s="3">
        <f>0.5*VEHICLE!C$20*VEHICLE!C$28*1.2*((M114)^2)</f>
        <v>33.721705288309991</v>
      </c>
      <c r="S114" s="3">
        <f>VEHICLE!C$47*9.81*SIN(RADIANS(H114))</f>
        <v>150.13780618771412</v>
      </c>
      <c r="T114" s="3">
        <f t="shared" si="21"/>
        <v>977.15753219851831</v>
      </c>
      <c r="U114" s="3">
        <f t="shared" si="22"/>
        <v>9.0523471733484264</v>
      </c>
      <c r="V114" s="3">
        <f>((VEHICLE!C$12*1000)-U114*1000)/1000</f>
        <v>4.3704716185978834</v>
      </c>
      <c r="W114" s="3">
        <f t="shared" si="15"/>
        <v>9.0523471733484264</v>
      </c>
      <c r="X114" s="3">
        <f t="shared" si="23"/>
        <v>15.033660513624502</v>
      </c>
      <c r="Y114" s="3">
        <f t="shared" si="24"/>
        <v>16</v>
      </c>
      <c r="Z114" s="3">
        <f t="shared" si="25"/>
        <v>977.15753219851831</v>
      </c>
      <c r="AA114" s="3">
        <f>SUM(Z$4:Z114)</f>
        <v>37657.664380119313</v>
      </c>
      <c r="AB114" s="3">
        <f>INDEX(BSFC!D$5:AD$27,MATCH('DUTY CYCLE'!Y114,BSFC!C$5:C$27,0),MATCH('DUTY CYCLE'!K114,BSFC!D$28:AD$28,0))</f>
        <v>404.87861524000016</v>
      </c>
      <c r="AC114" s="3">
        <f t="shared" si="26"/>
        <v>1.018083830060289</v>
      </c>
      <c r="AD114" s="3">
        <f t="shared" si="27"/>
        <v>3145.8790348862931</v>
      </c>
      <c r="AE114" s="3">
        <f>0.5*VEHICLE!C$47*('DUTY CYCLE'!M114^2)/1000</f>
        <v>24.344395149806083</v>
      </c>
      <c r="AF114" s="3">
        <f t="shared" si="16"/>
        <v>1001.5019273483244</v>
      </c>
    </row>
    <row r="115" spans="2:32" ht="17" x14ac:dyDescent="0.2">
      <c r="B115" s="3">
        <v>111</v>
      </c>
      <c r="C115" s="94" t="s">
        <v>105</v>
      </c>
      <c r="D115" s="59" t="s">
        <v>115</v>
      </c>
      <c r="E115" s="3" t="str">
        <f t="shared" si="14"/>
        <v>DOWNHILL</v>
      </c>
      <c r="F115" s="60">
        <v>8.5</v>
      </c>
      <c r="G115" s="60">
        <f t="shared" si="17"/>
        <v>-0.5</v>
      </c>
      <c r="H115" s="3">
        <f t="shared" si="18"/>
        <v>-2.8573349383846844</v>
      </c>
      <c r="I115" s="3">
        <f>SUM(M$4:M115)</f>
        <v>1050.9401473112346</v>
      </c>
      <c r="J115" s="3">
        <f t="shared" si="19"/>
        <v>10.017774347809564</v>
      </c>
      <c r="K115" s="3">
        <v>4750</v>
      </c>
      <c r="L115" s="3">
        <v>3</v>
      </c>
      <c r="M115" s="3">
        <f>VLOOKUP(K115,VEHICLE!I$30:L$54,MATCH(L115,VEHICLE!I$30:L$30,0),0)</f>
        <v>10.017774347809453</v>
      </c>
      <c r="N115" s="3">
        <f t="shared" si="20"/>
        <v>0.75381549259657632</v>
      </c>
      <c r="O115" s="3">
        <f>IF(L115=1,VEHICLE!C$68*'DUTY CYCLE'!N115,IF(L115=2,VEHICLE!C$69*'DUTY CYCLE'!N115,IF('DUTY CYCLE'!L115=3,VEHICLE!C$70*'DUTY CYCLE'!N115)))</f>
        <v>441.13176725196286</v>
      </c>
      <c r="P115" s="37">
        <f>VLOOKUP(D115,TRACK!B$3:C$5,2)</f>
        <v>0.1</v>
      </c>
      <c r="Q115" s="3">
        <f>P115*VEHICLE!C$47*9.81</f>
        <v>556.55073000000004</v>
      </c>
      <c r="R115" s="3">
        <f>0.5*VEHICLE!C$20*VEHICLE!C$28*1.2*((M115)^2)</f>
        <v>39.432905982867275</v>
      </c>
      <c r="S115" s="3">
        <f>VEHICLE!C$47*9.81*SIN(RADIANS(H115))</f>
        <v>-277.43627541005742</v>
      </c>
      <c r="T115" s="3">
        <f t="shared" si="21"/>
        <v>759.67912782477276</v>
      </c>
      <c r="U115" s="3">
        <f t="shared" si="22"/>
        <v>7.6102940792892682</v>
      </c>
      <c r="V115" s="3">
        <f>((VEHICLE!C$12*1000)-U115*1000)/1000</f>
        <v>5.8125247126570407</v>
      </c>
      <c r="W115" s="3">
        <f t="shared" si="15"/>
        <v>7.6102940792892682</v>
      </c>
      <c r="X115" s="3">
        <f t="shared" si="23"/>
        <v>15.299569529707851</v>
      </c>
      <c r="Y115" s="3">
        <f t="shared" si="24"/>
        <v>16</v>
      </c>
      <c r="Z115" s="3">
        <f t="shared" si="25"/>
        <v>759.67912782477276</v>
      </c>
      <c r="AA115" s="3">
        <f>SUM(Z$4:Z115)</f>
        <v>38417.343507944082</v>
      </c>
      <c r="AB115" s="3">
        <f>INDEX(BSFC!D$5:AD$27,MATCH('DUTY CYCLE'!Y115,BSFC!C$5:C$27,0),MATCH('DUTY CYCLE'!K115,BSFC!D$28:AD$28,0))</f>
        <v>475.00733532000004</v>
      </c>
      <c r="AC115" s="3">
        <f t="shared" si="26"/>
        <v>1.0041515310013245</v>
      </c>
      <c r="AD115" s="3">
        <f t="shared" si="27"/>
        <v>3102.8282307940926</v>
      </c>
      <c r="AE115" s="3">
        <f>0.5*VEHICLE!C$47*('DUTY CYCLE'!M115^2)/1000</f>
        <v>28.467428824984658</v>
      </c>
      <c r="AF115" s="3">
        <f t="shared" si="16"/>
        <v>788.14655664975737</v>
      </c>
    </row>
    <row r="116" spans="2:32" ht="17" x14ac:dyDescent="0.2">
      <c r="B116" s="3">
        <v>112</v>
      </c>
      <c r="C116" s="94"/>
      <c r="D116" s="59" t="s">
        <v>115</v>
      </c>
      <c r="E116" s="3" t="str">
        <f t="shared" si="14"/>
        <v>DOWNHILL</v>
      </c>
      <c r="F116" s="60">
        <v>8</v>
      </c>
      <c r="G116" s="60">
        <f t="shared" si="17"/>
        <v>-0.5</v>
      </c>
      <c r="H116" s="3">
        <f t="shared" si="18"/>
        <v>-2.7146875185589709</v>
      </c>
      <c r="I116" s="3">
        <f>SUM(M$4:M116)</f>
        <v>1061.4851729405077</v>
      </c>
      <c r="J116" s="3">
        <f t="shared" si="19"/>
        <v>10.545025629273141</v>
      </c>
      <c r="K116" s="3">
        <v>5000</v>
      </c>
      <c r="L116" s="3">
        <v>3</v>
      </c>
      <c r="M116" s="3">
        <f>VLOOKUP(K116,VEHICLE!I$30:L$54,MATCH(L116,VEHICLE!I$30:L$30,0),0)</f>
        <v>10.545025629273109</v>
      </c>
      <c r="N116" s="3">
        <f t="shared" si="20"/>
        <v>0.52725128146365563</v>
      </c>
      <c r="O116" s="3">
        <f>IF(L116=1,VEHICLE!C$68*'DUTY CYCLE'!N116,IF(L116=2,VEHICLE!C$69*'DUTY CYCLE'!N116,IF('DUTY CYCLE'!L116=3,VEHICLE!C$70*'DUTY CYCLE'!N116)))</f>
        <v>308.5467091910773</v>
      </c>
      <c r="P116" s="37">
        <f>VLOOKUP(D116,TRACK!B$3:C$5,2)</f>
        <v>0.1</v>
      </c>
      <c r="Q116" s="3">
        <f>P116*VEHICLE!C$47*9.81</f>
        <v>556.55073000000004</v>
      </c>
      <c r="R116" s="3">
        <f>0.5*VEHICLE!C$20*VEHICLE!C$28*1.2*((M116)^2)</f>
        <v>43.692970618135483</v>
      </c>
      <c r="S116" s="3">
        <f>VEHICLE!C$47*9.81*SIN(RADIANS(H116))</f>
        <v>-263.59639593752775</v>
      </c>
      <c r="T116" s="3">
        <f t="shared" si="21"/>
        <v>645.19401387168512</v>
      </c>
      <c r="U116" s="3">
        <f t="shared" si="22"/>
        <v>6.8035874121305095</v>
      </c>
      <c r="V116" s="3">
        <f>((VEHICLE!C$12*1000)-U116*1000)/1000</f>
        <v>6.6192313798157993</v>
      </c>
      <c r="W116" s="3">
        <f t="shared" si="15"/>
        <v>6.8035874121305095</v>
      </c>
      <c r="X116" s="3">
        <f t="shared" si="23"/>
        <v>12.993894808780402</v>
      </c>
      <c r="Y116" s="3">
        <f t="shared" si="24"/>
        <v>13</v>
      </c>
      <c r="Z116" s="3">
        <f t="shared" si="25"/>
        <v>645.19401387168512</v>
      </c>
      <c r="AA116" s="3">
        <f>SUM(Z$4:Z116)</f>
        <v>39062.537521815764</v>
      </c>
      <c r="AB116" s="3">
        <f>INDEX(BSFC!D$5:AD$27,MATCH('DUTY CYCLE'!Y116,BSFC!C$5:C$27,0),MATCH('DUTY CYCLE'!K116,BSFC!D$28:AD$28,0))</f>
        <v>337.68872823999999</v>
      </c>
      <c r="AC116" s="3">
        <f t="shared" si="26"/>
        <v>0.63819299463111789</v>
      </c>
      <c r="AD116" s="3">
        <f t="shared" si="27"/>
        <v>1972.0163534101544</v>
      </c>
      <c r="AE116" s="3">
        <f>0.5*VEHICLE!C$47*('DUTY CYCLE'!M116^2)/1000</f>
        <v>31.542857423805714</v>
      </c>
      <c r="AF116" s="3">
        <f t="shared" si="16"/>
        <v>676.7368712954908</v>
      </c>
    </row>
    <row r="117" spans="2:32" ht="17" x14ac:dyDescent="0.2">
      <c r="B117" s="3">
        <v>113</v>
      </c>
      <c r="C117" s="94" t="s">
        <v>106</v>
      </c>
      <c r="D117" s="59" t="s">
        <v>115</v>
      </c>
      <c r="E117" s="3" t="str">
        <f t="shared" si="14"/>
        <v>DOWNHILL</v>
      </c>
      <c r="F117" s="60">
        <v>7.5</v>
      </c>
      <c r="G117" s="60">
        <f t="shared" si="17"/>
        <v>-0.5</v>
      </c>
      <c r="H117" s="3">
        <f t="shared" si="18"/>
        <v>-2.5855964920693655</v>
      </c>
      <c r="I117" s="3">
        <f>SUM(M$4:M117)</f>
        <v>1072.5574498512444</v>
      </c>
      <c r="J117" s="3">
        <f t="shared" si="19"/>
        <v>11.072276910736718</v>
      </c>
      <c r="K117" s="3">
        <v>5250</v>
      </c>
      <c r="L117" s="3">
        <v>3</v>
      </c>
      <c r="M117" s="3">
        <f>VLOOKUP(K117,VEHICLE!I$30:L$54,MATCH(L117,VEHICLE!I$30:L$30,0),0)</f>
        <v>11.072276910736765</v>
      </c>
      <c r="N117" s="3">
        <f t="shared" si="20"/>
        <v>0.52725128146365563</v>
      </c>
      <c r="O117" s="3">
        <f>IF(L117=1,VEHICLE!C$68*'DUTY CYCLE'!N117,IF(L117=2,VEHICLE!C$69*'DUTY CYCLE'!N117,IF('DUTY CYCLE'!L117=3,VEHICLE!C$70*'DUTY CYCLE'!N117)))</f>
        <v>308.5467091910773</v>
      </c>
      <c r="P117" s="37">
        <f>VLOOKUP(D117,TRACK!B$3:C$5,2)</f>
        <v>0.1</v>
      </c>
      <c r="Q117" s="3">
        <f>P117*VEHICLE!C$47*9.81</f>
        <v>556.55073000000004</v>
      </c>
      <c r="R117" s="3">
        <f>0.5*VEHICLE!C$20*VEHICLE!C$28*1.2*((M117)^2)</f>
        <v>48.171500106494371</v>
      </c>
      <c r="S117" s="3">
        <f>VEHICLE!C$47*9.81*SIN(RADIANS(H117))</f>
        <v>-251.07036860601531</v>
      </c>
      <c r="T117" s="3">
        <f t="shared" si="21"/>
        <v>662.19857069155637</v>
      </c>
      <c r="U117" s="3">
        <f t="shared" si="22"/>
        <v>7.3320459445910062</v>
      </c>
      <c r="V117" s="3">
        <f>((VEHICLE!C$12*1000)-U117*1000)/1000</f>
        <v>6.0907728473553027</v>
      </c>
      <c r="W117" s="3">
        <f t="shared" si="15"/>
        <v>7.3320459445910062</v>
      </c>
      <c r="X117" s="3">
        <f t="shared" si="23"/>
        <v>13.336358343526214</v>
      </c>
      <c r="Y117" s="3">
        <f t="shared" si="24"/>
        <v>14</v>
      </c>
      <c r="Z117" s="3">
        <f t="shared" si="25"/>
        <v>662.19857069155637</v>
      </c>
      <c r="AA117" s="3">
        <f>SUM(Z$4:Z117)</f>
        <v>39724.736092507323</v>
      </c>
      <c r="AB117" s="3">
        <f>INDEX(BSFC!D$5:AD$27,MATCH('DUTY CYCLE'!Y117,BSFC!C$5:C$27,0),MATCH('DUTY CYCLE'!K117,BSFC!D$28:AD$28,0))</f>
        <v>351.26854488000004</v>
      </c>
      <c r="AC117" s="3">
        <f t="shared" si="26"/>
        <v>0.71542141943049664</v>
      </c>
      <c r="AD117" s="3">
        <f t="shared" si="27"/>
        <v>2210.6521860402345</v>
      </c>
      <c r="AE117" s="3">
        <f>0.5*VEHICLE!C$47*('DUTY CYCLE'!M117^2)/1000</f>
        <v>34.776000309745804</v>
      </c>
      <c r="AF117" s="3">
        <f t="shared" si="16"/>
        <v>696.97457100130214</v>
      </c>
    </row>
    <row r="118" spans="2:32" ht="17" x14ac:dyDescent="0.2">
      <c r="B118" s="3">
        <v>114</v>
      </c>
      <c r="C118" s="94"/>
      <c r="D118" s="59" t="s">
        <v>115</v>
      </c>
      <c r="E118" s="3" t="str">
        <f t="shared" si="14"/>
        <v>DOWNHILL</v>
      </c>
      <c r="F118" s="60">
        <v>7</v>
      </c>
      <c r="G118" s="60">
        <f t="shared" si="17"/>
        <v>-0.5</v>
      </c>
      <c r="H118" s="3">
        <f t="shared" si="18"/>
        <v>-2.4682181797329839</v>
      </c>
      <c r="I118" s="3">
        <f>SUM(M$4:M118)</f>
        <v>1084.156978043445</v>
      </c>
      <c r="J118" s="3">
        <f t="shared" si="19"/>
        <v>11.599528192200523</v>
      </c>
      <c r="K118" s="3">
        <v>5500</v>
      </c>
      <c r="L118" s="3">
        <v>3</v>
      </c>
      <c r="M118" s="3">
        <f>VLOOKUP(K118,VEHICLE!I$30:L$54,MATCH(L118,VEHICLE!I$30:L$30,0),0)</f>
        <v>11.59952819220042</v>
      </c>
      <c r="N118" s="3">
        <f t="shared" si="20"/>
        <v>0.52725128146365563</v>
      </c>
      <c r="O118" s="3">
        <f>IF(L118=1,VEHICLE!C$68*'DUTY CYCLE'!N118,IF(L118=2,VEHICLE!C$69*'DUTY CYCLE'!N118,IF('DUTY CYCLE'!L118=3,VEHICLE!C$70*'DUTY CYCLE'!N118)))</f>
        <v>308.5467091910773</v>
      </c>
      <c r="P118" s="37">
        <f>VLOOKUP(D118,TRACK!B$3:C$5,2)</f>
        <v>0.1</v>
      </c>
      <c r="Q118" s="3">
        <f>P118*VEHICLE!C$47*9.81</f>
        <v>556.55073000000004</v>
      </c>
      <c r="R118" s="3">
        <f>0.5*VEHICLE!C$20*VEHICLE!C$28*1.2*((M118)^2)</f>
        <v>52.868494447943938</v>
      </c>
      <c r="S118" s="3">
        <f>VEHICLE!C$47*9.81*SIN(RADIANS(H118))</f>
        <v>-239.67974745562753</v>
      </c>
      <c r="T118" s="3">
        <f t="shared" si="21"/>
        <v>678.28618618339374</v>
      </c>
      <c r="U118" s="3">
        <f t="shared" si="22"/>
        <v>7.8677997390143792</v>
      </c>
      <c r="V118" s="3">
        <f>((VEHICLE!C$12*1000)-U118*1000)/1000</f>
        <v>5.5550190529319297</v>
      </c>
      <c r="W118" s="3">
        <f t="shared" si="15"/>
        <v>7.8677997390143792</v>
      </c>
      <c r="X118" s="3">
        <f t="shared" si="23"/>
        <v>13.660355124231957</v>
      </c>
      <c r="Y118" s="3">
        <f t="shared" si="24"/>
        <v>14</v>
      </c>
      <c r="Z118" s="3">
        <f t="shared" si="25"/>
        <v>678.28618618339374</v>
      </c>
      <c r="AA118" s="3">
        <f>SUM(Z$4:Z118)</f>
        <v>40403.022278690718</v>
      </c>
      <c r="AB118" s="3">
        <f>INDEX(BSFC!D$5:AD$27,MATCH('DUTY CYCLE'!Y118,BSFC!C$5:C$27,0),MATCH('DUTY CYCLE'!K118,BSFC!D$28:AD$28,0))</f>
        <v>331.65473692000006</v>
      </c>
      <c r="AC118" s="3">
        <f t="shared" si="26"/>
        <v>0.7248314034950164</v>
      </c>
      <c r="AD118" s="3">
        <f t="shared" si="27"/>
        <v>2239.7290367996006</v>
      </c>
      <c r="AE118" s="3">
        <f>0.5*VEHICLE!C$47*('DUTY CYCLE'!M118^2)/1000</f>
        <v>38.166857482804915</v>
      </c>
      <c r="AF118" s="3">
        <f t="shared" si="16"/>
        <v>716.45304366619871</v>
      </c>
    </row>
    <row r="119" spans="2:32" ht="17" x14ac:dyDescent="0.2">
      <c r="B119" s="3">
        <v>115</v>
      </c>
      <c r="C119" s="94"/>
      <c r="D119" s="59" t="s">
        <v>115</v>
      </c>
      <c r="E119" s="3" t="str">
        <f t="shared" si="14"/>
        <v>DOWNHILL</v>
      </c>
      <c r="F119" s="60">
        <v>6.5</v>
      </c>
      <c r="G119" s="60">
        <f t="shared" si="17"/>
        <v>-0.5</v>
      </c>
      <c r="H119" s="3">
        <f t="shared" si="18"/>
        <v>-2.3610285441550793</v>
      </c>
      <c r="I119" s="3">
        <f>SUM(M$4:M119)</f>
        <v>1096.2837575171091</v>
      </c>
      <c r="J119" s="3">
        <f t="shared" si="19"/>
        <v>12.126779473664101</v>
      </c>
      <c r="K119" s="3">
        <v>5750</v>
      </c>
      <c r="L119" s="3">
        <v>3</v>
      </c>
      <c r="M119" s="3">
        <f>VLOOKUP(K119,VEHICLE!I$30:L$54,MATCH(L119,VEHICLE!I$30:L$30,0),0)</f>
        <v>12.126779473664074</v>
      </c>
      <c r="N119" s="3">
        <f t="shared" si="20"/>
        <v>0.52725128146365385</v>
      </c>
      <c r="O119" s="3">
        <f>IF(L119=1,VEHICLE!C$68*'DUTY CYCLE'!N119,IF(L119=2,VEHICLE!C$69*'DUTY CYCLE'!N119,IF('DUTY CYCLE'!L119=3,VEHICLE!C$70*'DUTY CYCLE'!N119)))</f>
        <v>308.54670919107622</v>
      </c>
      <c r="P119" s="37">
        <f>VLOOKUP(D119,TRACK!B$3:C$5,2)</f>
        <v>0.1</v>
      </c>
      <c r="Q119" s="3">
        <f>P119*VEHICLE!C$47*9.81</f>
        <v>556.55073000000004</v>
      </c>
      <c r="R119" s="3">
        <f>0.5*VEHICLE!C$20*VEHICLE!C$28*1.2*((M119)^2)</f>
        <v>57.783953642484164</v>
      </c>
      <c r="S119" s="3">
        <f>VEHICLE!C$47*9.81*SIN(RADIANS(H119))</f>
        <v>-229.27697549766097</v>
      </c>
      <c r="T119" s="3">
        <f t="shared" si="21"/>
        <v>693.60441733589937</v>
      </c>
      <c r="U119" s="3">
        <f t="shared" si="22"/>
        <v>8.4111878109917146</v>
      </c>
      <c r="V119" s="3">
        <f>((VEHICLE!C$12*1000)-U119*1000)/1000</f>
        <v>5.0116309809545942</v>
      </c>
      <c r="W119" s="3">
        <f t="shared" si="15"/>
        <v>8.4111878109917146</v>
      </c>
      <c r="X119" s="3">
        <f t="shared" si="23"/>
        <v>13.96885687715092</v>
      </c>
      <c r="Y119" s="3">
        <f t="shared" si="24"/>
        <v>14</v>
      </c>
      <c r="Z119" s="3">
        <f t="shared" si="25"/>
        <v>693.60441733589937</v>
      </c>
      <c r="AA119" s="3">
        <f>SUM(Z$4:Z119)</f>
        <v>41096.626696026615</v>
      </c>
      <c r="AB119" s="3">
        <f>INDEX(BSFC!D$5:AD$27,MATCH('DUTY CYCLE'!Y119,BSFC!C$5:C$27,0),MATCH('DUTY CYCLE'!K119,BSFC!D$28:AD$28,0))</f>
        <v>357.55511692000005</v>
      </c>
      <c r="AC119" s="3">
        <f t="shared" si="26"/>
        <v>0.83540645588756157</v>
      </c>
      <c r="AD119" s="3">
        <f t="shared" si="27"/>
        <v>2581.4059486925653</v>
      </c>
      <c r="AE119" s="3">
        <f>0.5*VEHICLE!C$47*('DUTY CYCLE'!M119^2)/1000</f>
        <v>41.715428942983053</v>
      </c>
      <c r="AF119" s="3">
        <f t="shared" si="16"/>
        <v>735.31984627888244</v>
      </c>
    </row>
    <row r="120" spans="2:32" ht="17" x14ac:dyDescent="0.2">
      <c r="B120" s="3">
        <v>116</v>
      </c>
      <c r="C120" s="94"/>
      <c r="D120" s="59" t="s">
        <v>115</v>
      </c>
      <c r="E120" s="3" t="str">
        <f t="shared" si="14"/>
        <v>DOWNHILL</v>
      </c>
      <c r="F120" s="60">
        <v>6</v>
      </c>
      <c r="G120" s="60">
        <f t="shared" si="17"/>
        <v>-0.5</v>
      </c>
      <c r="H120" s="3">
        <f t="shared" si="18"/>
        <v>-2.2627568311091149</v>
      </c>
      <c r="I120" s="3">
        <f>SUM(M$4:M120)</f>
        <v>1108.9377882722367</v>
      </c>
      <c r="J120" s="3">
        <f t="shared" si="19"/>
        <v>12.654030755127678</v>
      </c>
      <c r="K120" s="3">
        <v>6000</v>
      </c>
      <c r="L120" s="3">
        <v>3</v>
      </c>
      <c r="M120" s="3">
        <f>VLOOKUP(K120,VEHICLE!I$30:L$54,MATCH(L120,VEHICLE!I$30:L$30,0),0)</f>
        <v>12.654030755127732</v>
      </c>
      <c r="N120" s="3">
        <f t="shared" si="20"/>
        <v>0.52725128146365741</v>
      </c>
      <c r="O120" s="3">
        <f>IF(L120=1,VEHICLE!C$68*'DUTY CYCLE'!N120,IF(L120=2,VEHICLE!C$69*'DUTY CYCLE'!N120,IF('DUTY CYCLE'!L120=3,VEHICLE!C$70*'DUTY CYCLE'!N120)))</f>
        <v>308.54670919107832</v>
      </c>
      <c r="P120" s="37">
        <f>VLOOKUP(D120,TRACK!B$3:C$5,2)</f>
        <v>0.1</v>
      </c>
      <c r="Q120" s="3">
        <f>P120*VEHICLE!C$47*9.81</f>
        <v>556.55073000000004</v>
      </c>
      <c r="R120" s="3">
        <f>0.5*VEHICLE!C$20*VEHICLE!C$28*1.2*((M120)^2)</f>
        <v>62.917877690115105</v>
      </c>
      <c r="S120" s="3">
        <f>VEHICLE!C$47*9.81*SIN(RADIANS(H120))</f>
        <v>-219.73898342853568</v>
      </c>
      <c r="T120" s="3">
        <f t="shared" si="21"/>
        <v>708.27633345265781</v>
      </c>
      <c r="U120" s="3">
        <f t="shared" si="22"/>
        <v>8.9625505066390367</v>
      </c>
      <c r="V120" s="3">
        <f>((VEHICLE!C$12*1000)-U120*1000)/1000</f>
        <v>4.460268285307273</v>
      </c>
      <c r="W120" s="3">
        <f t="shared" si="15"/>
        <v>8.9625505066390367</v>
      </c>
      <c r="X120" s="3">
        <f t="shared" si="23"/>
        <v>14.264342158423736</v>
      </c>
      <c r="Y120" s="3">
        <f t="shared" si="24"/>
        <v>15</v>
      </c>
      <c r="Z120" s="3">
        <f t="shared" si="25"/>
        <v>708.27633345265781</v>
      </c>
      <c r="AA120" s="3">
        <f>SUM(Z$4:Z120)</f>
        <v>41804.903029479276</v>
      </c>
      <c r="AB120" s="3">
        <f>INDEX(BSFC!D$5:AD$27,MATCH('DUTY CYCLE'!Y120,BSFC!C$5:C$27,0),MATCH('DUTY CYCLE'!K120,BSFC!D$28:AD$28,0))</f>
        <v>364.39564180899998</v>
      </c>
      <c r="AC120" s="3">
        <f t="shared" si="26"/>
        <v>0.90719842892008606</v>
      </c>
      <c r="AD120" s="3">
        <f t="shared" si="27"/>
        <v>2803.2431453630661</v>
      </c>
      <c r="AE120" s="3">
        <f>0.5*VEHICLE!C$47*('DUTY CYCLE'!M120^2)/1000</f>
        <v>45.421714690280233</v>
      </c>
      <c r="AF120" s="3">
        <f t="shared" si="16"/>
        <v>753.69804814293809</v>
      </c>
    </row>
    <row r="121" spans="2:32" ht="17" x14ac:dyDescent="0.2">
      <c r="B121" s="3">
        <v>117</v>
      </c>
      <c r="C121" s="94"/>
      <c r="D121" s="59" t="s">
        <v>115</v>
      </c>
      <c r="E121" s="3" t="str">
        <f t="shared" si="14"/>
        <v>DOWNHILL</v>
      </c>
      <c r="F121" s="60">
        <v>5.5</v>
      </c>
      <c r="G121" s="60">
        <f t="shared" si="17"/>
        <v>-0.5</v>
      </c>
      <c r="H121" s="3">
        <f t="shared" si="18"/>
        <v>-2.1723350757050195</v>
      </c>
      <c r="I121" s="3">
        <f>SUM(M$4:M121)</f>
        <v>1122.1190703088282</v>
      </c>
      <c r="J121" s="3">
        <f t="shared" si="19"/>
        <v>13.181282036591483</v>
      </c>
      <c r="K121" s="3">
        <v>6250</v>
      </c>
      <c r="L121" s="3">
        <v>3</v>
      </c>
      <c r="M121" s="3">
        <f>VLOOKUP(K121,VEHICLE!I$30:L$54,MATCH(L121,VEHICLE!I$30:L$30,0),0)</f>
        <v>13.181282036591385</v>
      </c>
      <c r="N121" s="3">
        <f t="shared" si="20"/>
        <v>0.52725128146365385</v>
      </c>
      <c r="O121" s="3">
        <f>IF(L121=1,VEHICLE!C$68*'DUTY CYCLE'!N121,IF(L121=2,VEHICLE!C$69*'DUTY CYCLE'!N121,IF('DUTY CYCLE'!L121=3,VEHICLE!C$70*'DUTY CYCLE'!N121)))</f>
        <v>308.54670919107622</v>
      </c>
      <c r="P121" s="37">
        <f>VLOOKUP(D121,TRACK!B$3:C$5,2)</f>
        <v>0.1</v>
      </c>
      <c r="Q121" s="3">
        <f>P121*VEHICLE!C$47*9.81</f>
        <v>556.55073000000004</v>
      </c>
      <c r="R121" s="3">
        <f>0.5*VEHICLE!C$20*VEHICLE!C$28*1.2*((M121)^2)</f>
        <v>68.270266590836684</v>
      </c>
      <c r="S121" s="3">
        <f>VEHICLE!C$47*9.81*SIN(RADIANS(H121))</f>
        <v>-210.96231575395836</v>
      </c>
      <c r="T121" s="3">
        <f t="shared" si="21"/>
        <v>722.40539002795458</v>
      </c>
      <c r="U121" s="3">
        <f t="shared" si="22"/>
        <v>9.5222291907122703</v>
      </c>
      <c r="V121" s="3">
        <f>((VEHICLE!C$12*1000)-U121*1000)/1000</f>
        <v>3.9005896012340382</v>
      </c>
      <c r="W121" s="3">
        <f t="shared" si="15"/>
        <v>9.5222291907122703</v>
      </c>
      <c r="X121" s="3">
        <f t="shared" si="23"/>
        <v>14.548894511575643</v>
      </c>
      <c r="Y121" s="3">
        <f t="shared" si="24"/>
        <v>15</v>
      </c>
      <c r="Z121" s="3">
        <f t="shared" si="25"/>
        <v>722.40539002795458</v>
      </c>
      <c r="AA121" s="3">
        <f>SUM(Z$4:Z121)</f>
        <v>42527.30841950723</v>
      </c>
      <c r="AB121" s="3">
        <f>INDEX(BSFC!D$5:AD$27,MATCH('DUTY CYCLE'!Y121,BSFC!C$5:C$27,0),MATCH('DUTY CYCLE'!K121,BSFC!D$28:AD$28,0))</f>
        <v>394.64159180900003</v>
      </c>
      <c r="AC121" s="3">
        <f t="shared" si="26"/>
        <v>1.0438521348313379</v>
      </c>
      <c r="AD121" s="3">
        <f t="shared" si="27"/>
        <v>3225.5030966288341</v>
      </c>
      <c r="AE121" s="3">
        <f>0.5*VEHICLE!C$47*('DUTY CYCLE'!M121^2)/1000</f>
        <v>49.285714724696419</v>
      </c>
      <c r="AF121" s="3">
        <f t="shared" si="16"/>
        <v>771.69110475265097</v>
      </c>
    </row>
    <row r="122" spans="2:32" ht="17" x14ac:dyDescent="0.2">
      <c r="B122" s="3">
        <v>118</v>
      </c>
      <c r="C122" s="94"/>
      <c r="D122" s="59" t="s">
        <v>115</v>
      </c>
      <c r="E122" s="3" t="str">
        <f t="shared" si="14"/>
        <v>DOWNHILL</v>
      </c>
      <c r="F122" s="60">
        <v>5</v>
      </c>
      <c r="G122" s="60">
        <f t="shared" si="17"/>
        <v>-0.5</v>
      </c>
      <c r="H122" s="3">
        <f t="shared" si="18"/>
        <v>-2.1723350757050195</v>
      </c>
      <c r="I122" s="3">
        <f>SUM(M$4:M122)</f>
        <v>1135.3003523454197</v>
      </c>
      <c r="J122" s="3">
        <f t="shared" si="19"/>
        <v>13.181282036591483</v>
      </c>
      <c r="K122" s="3">
        <v>6250</v>
      </c>
      <c r="L122" s="3">
        <v>3</v>
      </c>
      <c r="M122" s="3">
        <f>VLOOKUP(K122,VEHICLE!I$30:L$54,MATCH(L122,VEHICLE!I$30:L$30,0),0)</f>
        <v>13.181282036591385</v>
      </c>
      <c r="N122" s="3">
        <f t="shared" si="20"/>
        <v>0</v>
      </c>
      <c r="O122" s="3">
        <f>IF(L122=1,VEHICLE!C$68*'DUTY CYCLE'!N122,IF(L122=2,VEHICLE!C$69*'DUTY CYCLE'!N122,IF('DUTY CYCLE'!L122=3,VEHICLE!C$70*'DUTY CYCLE'!N122)))</f>
        <v>0</v>
      </c>
      <c r="P122" s="37">
        <f>VLOOKUP(D122,TRACK!B$3:C$5,2)</f>
        <v>0.1</v>
      </c>
      <c r="Q122" s="3">
        <f>P122*VEHICLE!C$47*9.81</f>
        <v>556.55073000000004</v>
      </c>
      <c r="R122" s="3">
        <f>0.5*VEHICLE!C$20*VEHICLE!C$28*1.2*((M122)^2)</f>
        <v>68.270266590836684</v>
      </c>
      <c r="S122" s="3">
        <f>VEHICLE!C$47*9.81*SIN(RADIANS(H122))</f>
        <v>-210.96231575395836</v>
      </c>
      <c r="T122" s="3">
        <f t="shared" si="21"/>
        <v>413.85868083687842</v>
      </c>
      <c r="U122" s="3">
        <f t="shared" si="22"/>
        <v>5.4551879954025528</v>
      </c>
      <c r="V122" s="3">
        <f>((VEHICLE!C$12*1000)-U122*1000)/1000</f>
        <v>7.9676307965437561</v>
      </c>
      <c r="W122" s="3">
        <f t="shared" si="15"/>
        <v>5.4551879954025528</v>
      </c>
      <c r="X122" s="3">
        <f t="shared" si="23"/>
        <v>8.3349132956532852</v>
      </c>
      <c r="Y122" s="3">
        <f t="shared" si="24"/>
        <v>9</v>
      </c>
      <c r="Z122" s="3">
        <f t="shared" si="25"/>
        <v>413.85868083687842</v>
      </c>
      <c r="AA122" s="3">
        <f>SUM(Z$4:Z122)</f>
        <v>42941.167100344108</v>
      </c>
      <c r="AB122" s="3">
        <f>INDEX(BSFC!D$5:AD$27,MATCH('DUTY CYCLE'!Y122,BSFC!C$5:C$27,0),MATCH('DUTY CYCLE'!K122,BSFC!D$28:AD$28,0))</f>
        <v>485.85797744000001</v>
      </c>
      <c r="AC122" s="3">
        <f t="shared" si="26"/>
        <v>0.73623516833368119</v>
      </c>
      <c r="AD122" s="3">
        <f t="shared" si="27"/>
        <v>2274.966670151075</v>
      </c>
      <c r="AE122" s="3">
        <f>0.5*VEHICLE!C$47*('DUTY CYCLE'!M122^2)/1000</f>
        <v>49.285714724696419</v>
      </c>
      <c r="AF122" s="3">
        <f t="shared" si="16"/>
        <v>463.14439556157481</v>
      </c>
    </row>
    <row r="123" spans="2:32" ht="17" x14ac:dyDescent="0.2">
      <c r="B123" s="3">
        <v>119</v>
      </c>
      <c r="C123" s="94" t="s">
        <v>107</v>
      </c>
      <c r="D123" s="59" t="s">
        <v>115</v>
      </c>
      <c r="E123" s="3" t="str">
        <f t="shared" si="14"/>
        <v>DOWNHILL</v>
      </c>
      <c r="F123" s="60">
        <v>4.5</v>
      </c>
      <c r="G123" s="60">
        <f t="shared" si="17"/>
        <v>-0.5</v>
      </c>
      <c r="H123" s="3">
        <f t="shared" si="18"/>
        <v>-2.1723350757050195</v>
      </c>
      <c r="I123" s="3">
        <f>SUM(M$4:M123)</f>
        <v>1148.4816343820112</v>
      </c>
      <c r="J123" s="3">
        <f t="shared" si="19"/>
        <v>13.181282036591483</v>
      </c>
      <c r="K123" s="3">
        <v>6250</v>
      </c>
      <c r="L123" s="3">
        <v>3</v>
      </c>
      <c r="M123" s="3">
        <f>VLOOKUP(K123,VEHICLE!I$30:L$54,MATCH(L123,VEHICLE!I$30:L$30,0),0)</f>
        <v>13.181282036591385</v>
      </c>
      <c r="N123" s="3">
        <f t="shared" si="20"/>
        <v>0</v>
      </c>
      <c r="O123" s="3">
        <f>IF(L123=1,VEHICLE!C$68*'DUTY CYCLE'!N123,IF(L123=2,VEHICLE!C$69*'DUTY CYCLE'!N123,IF('DUTY CYCLE'!L123=3,VEHICLE!C$70*'DUTY CYCLE'!N123)))</f>
        <v>0</v>
      </c>
      <c r="P123" s="37">
        <f>VLOOKUP(D123,TRACK!B$3:C$5,2)</f>
        <v>0.1</v>
      </c>
      <c r="Q123" s="3">
        <f>P123*VEHICLE!C$47*9.81</f>
        <v>556.55073000000004</v>
      </c>
      <c r="R123" s="3">
        <f>0.5*VEHICLE!C$20*VEHICLE!C$28*1.2*((M123)^2)</f>
        <v>68.270266590836684</v>
      </c>
      <c r="S123" s="3">
        <f>VEHICLE!C$47*9.81*SIN(RADIANS(H123))</f>
        <v>-210.96231575395836</v>
      </c>
      <c r="T123" s="3">
        <f t="shared" si="21"/>
        <v>413.85868083687842</v>
      </c>
      <c r="U123" s="3">
        <f t="shared" si="22"/>
        <v>5.4551879954025528</v>
      </c>
      <c r="V123" s="3">
        <f>((VEHICLE!C$12*1000)-U123*1000)/1000</f>
        <v>7.9676307965437561</v>
      </c>
      <c r="W123" s="3">
        <f t="shared" si="15"/>
        <v>5.4551879954025528</v>
      </c>
      <c r="X123" s="3">
        <f t="shared" si="23"/>
        <v>8.3349132956532852</v>
      </c>
      <c r="Y123" s="3">
        <f t="shared" si="24"/>
        <v>9</v>
      </c>
      <c r="Z123" s="3">
        <f t="shared" si="25"/>
        <v>413.85868083687842</v>
      </c>
      <c r="AA123" s="3">
        <f>SUM(Z$4:Z123)</f>
        <v>43355.025781180986</v>
      </c>
      <c r="AB123" s="3">
        <f>INDEX(BSFC!D$5:AD$27,MATCH('DUTY CYCLE'!Y123,BSFC!C$5:C$27,0),MATCH('DUTY CYCLE'!K123,BSFC!D$28:AD$28,0))</f>
        <v>485.85797744000001</v>
      </c>
      <c r="AC123" s="3">
        <f t="shared" si="26"/>
        <v>0.73623516833368119</v>
      </c>
      <c r="AD123" s="3">
        <f t="shared" si="27"/>
        <v>2274.966670151075</v>
      </c>
      <c r="AE123" s="3">
        <f>0.5*VEHICLE!C$47*('DUTY CYCLE'!M123^2)/1000</f>
        <v>49.285714724696419</v>
      </c>
      <c r="AF123" s="3">
        <f t="shared" si="16"/>
        <v>463.14439556157481</v>
      </c>
    </row>
    <row r="124" spans="2:32" ht="17" x14ac:dyDescent="0.2">
      <c r="B124" s="3">
        <v>120</v>
      </c>
      <c r="C124" s="94"/>
      <c r="D124" s="59" t="s">
        <v>115</v>
      </c>
      <c r="E124" s="3" t="str">
        <f t="shared" si="14"/>
        <v>DOWNHILL</v>
      </c>
      <c r="F124" s="60">
        <v>4</v>
      </c>
      <c r="G124" s="60">
        <f t="shared" si="17"/>
        <v>-0.5</v>
      </c>
      <c r="H124" s="3">
        <f t="shared" si="18"/>
        <v>-2.2627568311091149</v>
      </c>
      <c r="I124" s="3">
        <f>SUM(M$4:M124)</f>
        <v>1161.1356651371389</v>
      </c>
      <c r="J124" s="3">
        <f t="shared" si="19"/>
        <v>12.654030755127678</v>
      </c>
      <c r="K124" s="3">
        <v>6000</v>
      </c>
      <c r="L124" s="3">
        <v>3</v>
      </c>
      <c r="M124" s="3">
        <f>VLOOKUP(K124,VEHICLE!I$30:L$54,MATCH(L124,VEHICLE!I$30:L$30,0),0)</f>
        <v>12.654030755127732</v>
      </c>
      <c r="N124" s="3">
        <f t="shared" si="20"/>
        <v>-0.52725128146365385</v>
      </c>
      <c r="O124" s="3">
        <f>IF(L124=1,VEHICLE!C$68*'DUTY CYCLE'!N124,IF(L124=2,VEHICLE!C$69*'DUTY CYCLE'!N124,IF('DUTY CYCLE'!L124=3,VEHICLE!C$70*'DUTY CYCLE'!N124)))</f>
        <v>-308.54670919107622</v>
      </c>
      <c r="P124" s="37">
        <f>VLOOKUP(D124,TRACK!B$3:C$5,2)</f>
        <v>0.1</v>
      </c>
      <c r="Q124" s="3">
        <f>P124*VEHICLE!C$47*9.81</f>
        <v>556.55073000000004</v>
      </c>
      <c r="R124" s="3">
        <f>0.5*VEHICLE!C$20*VEHICLE!C$28*1.2*((M124)^2)</f>
        <v>62.917877690115105</v>
      </c>
      <c r="S124" s="3">
        <f>VEHICLE!C$47*9.81*SIN(RADIANS(H124))</f>
        <v>-219.73898342853568</v>
      </c>
      <c r="T124" s="3">
        <f t="shared" si="21"/>
        <v>91.18291507050327</v>
      </c>
      <c r="U124" s="3">
        <f t="shared" si="22"/>
        <v>1.1538314116443482</v>
      </c>
      <c r="V124" s="3">
        <f>((VEHICLE!C$12*1000)-U124*1000)/1000</f>
        <v>12.26898738030196</v>
      </c>
      <c r="W124" s="3">
        <f t="shared" si="15"/>
        <v>1.1538314116443482</v>
      </c>
      <c r="X124" s="3">
        <f t="shared" si="23"/>
        <v>1.836379726578975</v>
      </c>
      <c r="Y124" s="3">
        <f t="shared" si="24"/>
        <v>2</v>
      </c>
      <c r="Z124" s="3">
        <f t="shared" si="25"/>
        <v>91.18291507050327</v>
      </c>
      <c r="AA124" s="3">
        <f>SUM(Z$4:Z124)</f>
        <v>43446.208696251488</v>
      </c>
      <c r="AB124" s="3">
        <f>INDEX(BSFC!D$5:AD$27,MATCH('DUTY CYCLE'!Y124,BSFC!C$5:C$27,0),MATCH('DUTY CYCLE'!K124,BSFC!D$28:AD$28,0))</f>
        <v>881.65329232000022</v>
      </c>
      <c r="AC124" s="3">
        <f t="shared" si="26"/>
        <v>0.28257757301624253</v>
      </c>
      <c r="AD124" s="3">
        <f t="shared" si="27"/>
        <v>873.16470062018948</v>
      </c>
      <c r="AE124" s="3">
        <f>0.5*VEHICLE!C$47*('DUTY CYCLE'!M124^2)/1000</f>
        <v>45.421714690280233</v>
      </c>
      <c r="AF124" s="3">
        <f t="shared" si="16"/>
        <v>136.6046297607835</v>
      </c>
    </row>
    <row r="125" spans="2:32" ht="17" x14ac:dyDescent="0.2">
      <c r="B125" s="3">
        <v>121</v>
      </c>
      <c r="C125" s="94"/>
      <c r="D125" s="59" t="s">
        <v>115</v>
      </c>
      <c r="E125" s="3" t="str">
        <f t="shared" si="14"/>
        <v>DOWNHILL</v>
      </c>
      <c r="F125" s="60">
        <v>3.5</v>
      </c>
      <c r="G125" s="60">
        <f t="shared" si="17"/>
        <v>-0.5</v>
      </c>
      <c r="H125" s="3">
        <f t="shared" si="18"/>
        <v>-2.3610285441550793</v>
      </c>
      <c r="I125" s="3">
        <f>SUM(M$4:M125)</f>
        <v>1173.262444610803</v>
      </c>
      <c r="J125" s="3">
        <f t="shared" si="19"/>
        <v>12.126779473664101</v>
      </c>
      <c r="K125" s="3">
        <v>5750</v>
      </c>
      <c r="L125" s="3">
        <v>3</v>
      </c>
      <c r="M125" s="3">
        <f>VLOOKUP(K125,VEHICLE!I$30:L$54,MATCH(L125,VEHICLE!I$30:L$30,0),0)</f>
        <v>12.126779473664074</v>
      </c>
      <c r="N125" s="3">
        <f t="shared" si="20"/>
        <v>-0.52725128146365741</v>
      </c>
      <c r="O125" s="3">
        <f>IF(L125=1,VEHICLE!C$68*'DUTY CYCLE'!N125,IF(L125=2,VEHICLE!C$69*'DUTY CYCLE'!N125,IF('DUTY CYCLE'!L125=3,VEHICLE!C$70*'DUTY CYCLE'!N125)))</f>
        <v>-308.54670919107832</v>
      </c>
      <c r="P125" s="37">
        <f>VLOOKUP(D125,TRACK!B$3:C$5,2)</f>
        <v>0.1</v>
      </c>
      <c r="Q125" s="3">
        <f>P125*VEHICLE!C$47*9.81</f>
        <v>556.55073000000004</v>
      </c>
      <c r="R125" s="3">
        <f>0.5*VEHICLE!C$20*VEHICLE!C$28*1.2*((M125)^2)</f>
        <v>57.783953642484164</v>
      </c>
      <c r="S125" s="3">
        <f>VEHICLE!C$47*9.81*SIN(RADIANS(H125))</f>
        <v>-229.27697549766097</v>
      </c>
      <c r="T125" s="3">
        <f t="shared" si="21"/>
        <v>76.510998953744888</v>
      </c>
      <c r="U125" s="3">
        <f t="shared" si="22"/>
        <v>0.92783201162180695</v>
      </c>
      <c r="V125" s="3">
        <f>((VEHICLE!C$12*1000)-U125*1000)/1000</f>
        <v>12.494986780324501</v>
      </c>
      <c r="W125" s="3">
        <f t="shared" si="15"/>
        <v>0.92783201162180695</v>
      </c>
      <c r="X125" s="3">
        <f t="shared" si="23"/>
        <v>1.5408944453061646</v>
      </c>
      <c r="Y125" s="3">
        <f t="shared" si="24"/>
        <v>2</v>
      </c>
      <c r="Z125" s="3">
        <f t="shared" si="25"/>
        <v>76.510998953744888</v>
      </c>
      <c r="AA125" s="3">
        <f>SUM(Z$4:Z125)</f>
        <v>43522.719695205233</v>
      </c>
      <c r="AB125" s="3">
        <f>INDEX(BSFC!D$5:AD$27,MATCH('DUTY CYCLE'!Y125,BSFC!C$5:C$27,0),MATCH('DUTY CYCLE'!K125,BSFC!D$28:AD$28,0))</f>
        <v>888.23565976000009</v>
      </c>
      <c r="AC125" s="3">
        <f t="shared" si="26"/>
        <v>0.22892596638592883</v>
      </c>
      <c r="AD125" s="3">
        <f t="shared" si="27"/>
        <v>707.38123613252003</v>
      </c>
      <c r="AE125" s="3">
        <f>0.5*VEHICLE!C$47*('DUTY CYCLE'!M125^2)/1000</f>
        <v>41.715428942983053</v>
      </c>
      <c r="AF125" s="3">
        <f t="shared" si="16"/>
        <v>118.22642789672794</v>
      </c>
    </row>
    <row r="126" spans="2:32" ht="17" x14ac:dyDescent="0.2">
      <c r="B126" s="3">
        <v>122</v>
      </c>
      <c r="C126" s="94" t="s">
        <v>108</v>
      </c>
      <c r="D126" s="59" t="s">
        <v>115</v>
      </c>
      <c r="E126" s="3" t="str">
        <f t="shared" si="14"/>
        <v>DOWNHILL</v>
      </c>
      <c r="F126" s="60">
        <v>3</v>
      </c>
      <c r="G126" s="60">
        <f t="shared" si="17"/>
        <v>-0.5</v>
      </c>
      <c r="H126" s="3">
        <f t="shared" si="18"/>
        <v>-2.4682181797329839</v>
      </c>
      <c r="I126" s="3">
        <f>SUM(M$4:M126)</f>
        <v>1184.8619728030035</v>
      </c>
      <c r="J126" s="3">
        <f t="shared" si="19"/>
        <v>11.599528192200523</v>
      </c>
      <c r="K126" s="3">
        <v>5500</v>
      </c>
      <c r="L126" s="3">
        <v>3</v>
      </c>
      <c r="M126" s="3">
        <f>VLOOKUP(K126,VEHICLE!I$30:L$54,MATCH(L126,VEHICLE!I$30:L$30,0),0)</f>
        <v>11.59952819220042</v>
      </c>
      <c r="N126" s="3">
        <f t="shared" si="20"/>
        <v>-0.52725128146365385</v>
      </c>
      <c r="O126" s="3">
        <f>IF(L126=1,VEHICLE!C$68*'DUTY CYCLE'!N126,IF(L126=2,VEHICLE!C$69*'DUTY CYCLE'!N126,IF('DUTY CYCLE'!L126=3,VEHICLE!C$70*'DUTY CYCLE'!N126)))</f>
        <v>-308.54670919107622</v>
      </c>
      <c r="P126" s="37">
        <f>VLOOKUP(D126,TRACK!B$3:C$5,2)</f>
        <v>0.1</v>
      </c>
      <c r="Q126" s="3">
        <f>P126*VEHICLE!C$47*9.81</f>
        <v>556.55073000000004</v>
      </c>
      <c r="R126" s="3">
        <f>0.5*VEHICLE!C$20*VEHICLE!C$28*1.2*((M126)^2)</f>
        <v>52.868494447943938</v>
      </c>
      <c r="S126" s="3">
        <f>VEHICLE!C$47*9.81*SIN(RADIANS(H126))</f>
        <v>-239.67974745562753</v>
      </c>
      <c r="T126" s="3">
        <f t="shared" si="21"/>
        <v>61.192767801240223</v>
      </c>
      <c r="U126" s="3">
        <f t="shared" si="22"/>
        <v>0.70980723526926015</v>
      </c>
      <c r="V126" s="3">
        <f>((VEHICLE!C$12*1000)-U126*1000)/1000</f>
        <v>12.713011556677049</v>
      </c>
      <c r="W126" s="3">
        <f t="shared" si="15"/>
        <v>0.70980723526926015</v>
      </c>
      <c r="X126" s="3">
        <f t="shared" si="23"/>
        <v>1.2323926923872146</v>
      </c>
      <c r="Y126" s="3">
        <f t="shared" si="24"/>
        <v>2</v>
      </c>
      <c r="Z126" s="3">
        <f t="shared" si="25"/>
        <v>61.192767801240223</v>
      </c>
      <c r="AA126" s="3">
        <f>SUM(Z$4:Z126)</f>
        <v>43583.912463006476</v>
      </c>
      <c r="AB126" s="3">
        <f>INDEX(BSFC!D$5:AD$27,MATCH('DUTY CYCLE'!Y126,BSFC!C$5:C$27,0),MATCH('DUTY CYCLE'!K126,BSFC!D$28:AD$28,0))</f>
        <v>862.33527976000005</v>
      </c>
      <c r="AC126" s="3">
        <f t="shared" si="26"/>
        <v>0.17002550577821934</v>
      </c>
      <c r="AD126" s="3">
        <f t="shared" si="27"/>
        <v>525.3788128546978</v>
      </c>
      <c r="AE126" s="3">
        <f>0.5*VEHICLE!C$47*('DUTY CYCLE'!M126^2)/1000</f>
        <v>38.166857482804915</v>
      </c>
      <c r="AF126" s="3">
        <f t="shared" si="16"/>
        <v>99.359625284045137</v>
      </c>
    </row>
    <row r="127" spans="2:32" ht="17" x14ac:dyDescent="0.2">
      <c r="B127" s="3">
        <v>123</v>
      </c>
      <c r="C127" s="94"/>
      <c r="D127" s="59" t="s">
        <v>115</v>
      </c>
      <c r="E127" s="3" t="str">
        <f t="shared" si="14"/>
        <v>DOWNHILL</v>
      </c>
      <c r="F127" s="60">
        <v>2.5</v>
      </c>
      <c r="G127" s="60">
        <f t="shared" si="17"/>
        <v>-0.5</v>
      </c>
      <c r="H127" s="3">
        <f t="shared" si="18"/>
        <v>-2.8426755579907277</v>
      </c>
      <c r="I127" s="3">
        <f>SUM(M$4:M127)</f>
        <v>1194.9314932978</v>
      </c>
      <c r="J127" s="3">
        <f t="shared" si="19"/>
        <v>10.069520494796507</v>
      </c>
      <c r="K127" s="3">
        <v>6250</v>
      </c>
      <c r="L127" s="3">
        <v>2</v>
      </c>
      <c r="M127" s="3">
        <f>VLOOKUP(K127,VEHICLE!I$30:L$54,MATCH(L127,VEHICLE!I$30:L$30,0),0)</f>
        <v>10.069520494796603</v>
      </c>
      <c r="N127" s="3">
        <f t="shared" si="20"/>
        <v>-1.5300076974038177</v>
      </c>
      <c r="O127" s="3">
        <f>IF(L127=1,VEHICLE!C$68*'DUTY CYCLE'!N127,IF(L127=2,VEHICLE!C$69*'DUTY CYCLE'!N127,IF('DUTY CYCLE'!L127=3,VEHICLE!C$70*'DUTY CYCLE'!N127)))</f>
        <v>-899.31088906391835</v>
      </c>
      <c r="P127" s="37">
        <f>VLOOKUP(D127,TRACK!B$3:C$5,2)</f>
        <v>0.1</v>
      </c>
      <c r="Q127" s="3">
        <f>P127*VEHICLE!C$47*9.81</f>
        <v>556.55073000000004</v>
      </c>
      <c r="R127" s="3">
        <f>0.5*VEHICLE!C$20*VEHICLE!C$28*1.2*((M127)^2)</f>
        <v>39.84133422531896</v>
      </c>
      <c r="S127" s="3">
        <f>VEHICLE!C$47*9.81*SIN(RADIANS(H127))</f>
        <v>-276.01407684463038</v>
      </c>
      <c r="T127" s="3">
        <f t="shared" si="21"/>
        <v>-578.93290168322972</v>
      </c>
      <c r="U127" s="3">
        <f t="shared" si="22"/>
        <v>5.8295767186113476</v>
      </c>
      <c r="V127" s="3">
        <f>((VEHICLE!C$12*1000)-U127*1000)/1000</f>
        <v>7.5932420733349613</v>
      </c>
      <c r="W127" s="3">
        <f t="shared" si="15"/>
        <v>5.8295767186113476</v>
      </c>
      <c r="X127" s="3">
        <f t="shared" si="23"/>
        <v>8.9069371286441008</v>
      </c>
      <c r="Y127" s="3">
        <f t="shared" si="24"/>
        <v>9</v>
      </c>
      <c r="Z127" s="3">
        <f t="shared" si="25"/>
        <v>-578.93290168322972</v>
      </c>
      <c r="AA127" s="3">
        <f>SUM(Z$4:Z127)</f>
        <v>43004.979561323249</v>
      </c>
      <c r="AB127" s="3">
        <f>INDEX(BSFC!D$5:AD$27,MATCH('DUTY CYCLE'!Y127,BSFC!C$5:C$27,0),MATCH('DUTY CYCLE'!K127,BSFC!D$28:AD$28,0))</f>
        <v>485.85797744000001</v>
      </c>
      <c r="AC127" s="3">
        <f t="shared" si="26"/>
        <v>0.78676287606550599</v>
      </c>
      <c r="AD127" s="3">
        <f t="shared" si="27"/>
        <v>2431.0972870424134</v>
      </c>
      <c r="AE127" s="3">
        <f>0.5*VEHICLE!C$47*('DUTY CYCLE'!M127^2)/1000</f>
        <v>28.762281604213214</v>
      </c>
      <c r="AF127" s="3">
        <f t="shared" si="16"/>
        <v>-550.17062007901654</v>
      </c>
    </row>
    <row r="128" spans="2:32" ht="17" x14ac:dyDescent="0.2">
      <c r="B128" s="3">
        <v>124</v>
      </c>
      <c r="C128" s="94"/>
      <c r="D128" s="59" t="s">
        <v>115</v>
      </c>
      <c r="E128" s="3" t="str">
        <f t="shared" si="14"/>
        <v>DOWNHILL</v>
      </c>
      <c r="F128" s="60">
        <v>2</v>
      </c>
      <c r="G128" s="60">
        <f t="shared" si="17"/>
        <v>-0.5</v>
      </c>
      <c r="H128" s="3">
        <f t="shared" si="18"/>
        <v>-2.7146875185589709</v>
      </c>
      <c r="I128" s="3">
        <f>SUM(M$4:M128)</f>
        <v>1205.4765189270731</v>
      </c>
      <c r="J128" s="3">
        <f t="shared" si="19"/>
        <v>10.545025629273141</v>
      </c>
      <c r="K128" s="3">
        <v>5000</v>
      </c>
      <c r="L128" s="3">
        <v>3</v>
      </c>
      <c r="M128" s="3">
        <f>VLOOKUP(K128,VEHICLE!I$30:L$54,MATCH(L128,VEHICLE!I$30:L$30,0),0)</f>
        <v>10.545025629273109</v>
      </c>
      <c r="N128" s="3">
        <f t="shared" si="20"/>
        <v>0.47550513447650644</v>
      </c>
      <c r="O128" s="3">
        <f>IF(L128=1,VEHICLE!C$68*'DUTY CYCLE'!N128,IF(L128=2,VEHICLE!C$69*'DUTY CYCLE'!N128,IF('DUTY CYCLE'!L128=3,VEHICLE!C$70*'DUTY CYCLE'!N128)))</f>
        <v>278.26493667099811</v>
      </c>
      <c r="P128" s="37">
        <f>VLOOKUP(D128,TRACK!B$3:C$5,2)</f>
        <v>0.1</v>
      </c>
      <c r="Q128" s="3">
        <f>P128*VEHICLE!C$47*9.81</f>
        <v>556.55073000000004</v>
      </c>
      <c r="R128" s="3">
        <f>0.5*VEHICLE!C$20*VEHICLE!C$28*1.2*((M128)^2)</f>
        <v>43.692970618135483</v>
      </c>
      <c r="S128" s="3">
        <f>VEHICLE!C$47*9.81*SIN(RADIANS(H128))</f>
        <v>-263.59639593752775</v>
      </c>
      <c r="T128" s="3">
        <f t="shared" si="21"/>
        <v>614.91224135160587</v>
      </c>
      <c r="U128" s="3">
        <f t="shared" si="22"/>
        <v>6.484265344806456</v>
      </c>
      <c r="V128" s="3">
        <f>((VEHICLE!C$12*1000)-U128*1000)/1000</f>
        <v>6.9385534471398529</v>
      </c>
      <c r="W128" s="3">
        <f t="shared" si="15"/>
        <v>6.484265344806456</v>
      </c>
      <c r="X128" s="3">
        <f t="shared" si="23"/>
        <v>12.384034583345047</v>
      </c>
      <c r="Y128" s="3">
        <f t="shared" si="24"/>
        <v>13</v>
      </c>
      <c r="Z128" s="3">
        <f t="shared" si="25"/>
        <v>614.91224135160587</v>
      </c>
      <c r="AA128" s="3">
        <f>SUM(Z$4:Z128)</f>
        <v>43619.891802674858</v>
      </c>
      <c r="AB128" s="3">
        <f>INDEX(BSFC!D$5:AD$27,MATCH('DUTY CYCLE'!Y128,BSFC!C$5:C$27,0),MATCH('DUTY CYCLE'!K128,BSFC!D$28:AD$28,0))</f>
        <v>337.68872823999999</v>
      </c>
      <c r="AC128" s="3">
        <f t="shared" si="26"/>
        <v>0.60823981051622145</v>
      </c>
      <c r="AD128" s="3">
        <f t="shared" si="27"/>
        <v>1879.4610144951243</v>
      </c>
      <c r="AE128" s="3">
        <f>0.5*VEHICLE!C$47*('DUTY CYCLE'!M128^2)/1000</f>
        <v>31.542857423805714</v>
      </c>
      <c r="AF128" s="3">
        <f t="shared" si="16"/>
        <v>646.45509877541156</v>
      </c>
    </row>
    <row r="129" spans="2:32" ht="17" x14ac:dyDescent="0.2">
      <c r="B129" s="3">
        <v>125</v>
      </c>
      <c r="C129" s="94"/>
      <c r="D129" s="59" t="s">
        <v>115</v>
      </c>
      <c r="E129" s="3" t="str">
        <f t="shared" si="14"/>
        <v>DOWNHILL</v>
      </c>
      <c r="F129" s="60">
        <v>1.5</v>
      </c>
      <c r="G129" s="60">
        <f t="shared" si="17"/>
        <v>-0.5</v>
      </c>
      <c r="H129" s="3">
        <f t="shared" si="18"/>
        <v>-2.5855964920693655</v>
      </c>
      <c r="I129" s="3">
        <f>SUM(M$4:M129)</f>
        <v>1216.5487958378098</v>
      </c>
      <c r="J129" s="3">
        <f t="shared" si="19"/>
        <v>11.072276910736718</v>
      </c>
      <c r="K129" s="3">
        <v>5250</v>
      </c>
      <c r="L129" s="3">
        <v>3</v>
      </c>
      <c r="M129" s="3">
        <f>VLOOKUP(K129,VEHICLE!I$30:L$54,MATCH(L129,VEHICLE!I$30:L$30,0),0)</f>
        <v>11.072276910736765</v>
      </c>
      <c r="N129" s="3">
        <f t="shared" si="20"/>
        <v>0.52725128146365563</v>
      </c>
      <c r="O129" s="3">
        <f>IF(L129=1,VEHICLE!C$68*'DUTY CYCLE'!N129,IF(L129=2,VEHICLE!C$69*'DUTY CYCLE'!N129,IF('DUTY CYCLE'!L129=3,VEHICLE!C$70*'DUTY CYCLE'!N129)))</f>
        <v>308.5467091910773</v>
      </c>
      <c r="P129" s="37">
        <f>VLOOKUP(D129,TRACK!B$3:C$5,2)</f>
        <v>0.1</v>
      </c>
      <c r="Q129" s="3">
        <f>P129*VEHICLE!C$47*9.81</f>
        <v>556.55073000000004</v>
      </c>
      <c r="R129" s="3">
        <f>0.5*VEHICLE!C$20*VEHICLE!C$28*1.2*((M129)^2)</f>
        <v>48.171500106494371</v>
      </c>
      <c r="S129" s="3">
        <f>VEHICLE!C$47*9.81*SIN(RADIANS(H129))</f>
        <v>-251.07036860601531</v>
      </c>
      <c r="T129" s="3">
        <f t="shared" si="21"/>
        <v>662.19857069155637</v>
      </c>
      <c r="U129" s="3">
        <f t="shared" si="22"/>
        <v>7.3320459445910062</v>
      </c>
      <c r="V129" s="3">
        <f>((VEHICLE!C$12*1000)-U129*1000)/1000</f>
        <v>6.0907728473553027</v>
      </c>
      <c r="W129" s="3">
        <f t="shared" si="15"/>
        <v>7.3320459445910062</v>
      </c>
      <c r="X129" s="3">
        <f t="shared" si="23"/>
        <v>13.336358343526214</v>
      </c>
      <c r="Y129" s="3">
        <f t="shared" si="24"/>
        <v>14</v>
      </c>
      <c r="Z129" s="3">
        <f t="shared" si="25"/>
        <v>662.19857069155637</v>
      </c>
      <c r="AA129" s="3">
        <f>SUM(Z$4:Z129)</f>
        <v>44282.090373366416</v>
      </c>
      <c r="AB129" s="3">
        <f>INDEX(BSFC!D$5:AD$27,MATCH('DUTY CYCLE'!Y129,BSFC!C$5:C$27,0),MATCH('DUTY CYCLE'!K129,BSFC!D$28:AD$28,0))</f>
        <v>351.26854488000004</v>
      </c>
      <c r="AC129" s="3">
        <f t="shared" si="26"/>
        <v>0.71542141943049664</v>
      </c>
      <c r="AD129" s="3">
        <f t="shared" si="27"/>
        <v>2210.6521860402345</v>
      </c>
      <c r="AE129" s="3">
        <f>0.5*VEHICLE!C$47*('DUTY CYCLE'!M129^2)/1000</f>
        <v>34.776000309745804</v>
      </c>
      <c r="AF129" s="3">
        <f t="shared" si="16"/>
        <v>696.97457100130214</v>
      </c>
    </row>
    <row r="130" spans="2:32" ht="17" x14ac:dyDescent="0.2">
      <c r="B130" s="3">
        <v>126</v>
      </c>
      <c r="C130" s="94" t="s">
        <v>109</v>
      </c>
      <c r="D130" s="59" t="s">
        <v>115</v>
      </c>
      <c r="E130" s="3" t="str">
        <f t="shared" si="14"/>
        <v>DOWNHILL</v>
      </c>
      <c r="F130" s="60">
        <v>1</v>
      </c>
      <c r="G130" s="60">
        <f t="shared" si="17"/>
        <v>-0.5</v>
      </c>
      <c r="H130" s="3">
        <f t="shared" si="18"/>
        <v>-2.4682181797329839</v>
      </c>
      <c r="I130" s="3">
        <f>SUM(M$4:M130)</f>
        <v>1228.1483240300104</v>
      </c>
      <c r="J130" s="3">
        <f t="shared" si="19"/>
        <v>11.599528192200523</v>
      </c>
      <c r="K130" s="3">
        <v>5500</v>
      </c>
      <c r="L130" s="3">
        <v>3</v>
      </c>
      <c r="M130" s="3">
        <f>VLOOKUP(K130,VEHICLE!I$30:L$54,MATCH(L130,VEHICLE!I$30:L$30,0),0)</f>
        <v>11.59952819220042</v>
      </c>
      <c r="N130" s="3">
        <f t="shared" si="20"/>
        <v>0.52725128146365563</v>
      </c>
      <c r="O130" s="3">
        <f>IF(L130=1,VEHICLE!C$68*'DUTY CYCLE'!N130,IF(L130=2,VEHICLE!C$69*'DUTY CYCLE'!N130,IF('DUTY CYCLE'!L130=3,VEHICLE!C$70*'DUTY CYCLE'!N130)))</f>
        <v>308.5467091910773</v>
      </c>
      <c r="P130" s="37">
        <f>VLOOKUP(D130,TRACK!B$3:C$5,2)</f>
        <v>0.1</v>
      </c>
      <c r="Q130" s="3">
        <f>P130*VEHICLE!C$47*9.81</f>
        <v>556.55073000000004</v>
      </c>
      <c r="R130" s="3">
        <f>0.5*VEHICLE!C$20*VEHICLE!C$28*1.2*((M130)^2)</f>
        <v>52.868494447943938</v>
      </c>
      <c r="S130" s="3">
        <f>VEHICLE!C$47*9.81*SIN(RADIANS(H130))</f>
        <v>-239.67974745562753</v>
      </c>
      <c r="T130" s="3">
        <f t="shared" si="21"/>
        <v>678.28618618339374</v>
      </c>
      <c r="U130" s="3">
        <f t="shared" si="22"/>
        <v>7.8677997390143792</v>
      </c>
      <c r="V130" s="3">
        <f>((VEHICLE!C$12*1000)-U130*1000)/1000</f>
        <v>5.5550190529319297</v>
      </c>
      <c r="W130" s="3">
        <f t="shared" si="15"/>
        <v>7.8677997390143792</v>
      </c>
      <c r="X130" s="3">
        <f t="shared" si="23"/>
        <v>13.660355124231957</v>
      </c>
      <c r="Y130" s="3">
        <f t="shared" si="24"/>
        <v>14</v>
      </c>
      <c r="Z130" s="3">
        <f t="shared" si="25"/>
        <v>678.28618618339374</v>
      </c>
      <c r="AA130" s="3">
        <f>SUM(Z$4:Z130)</f>
        <v>44960.376559549812</v>
      </c>
      <c r="AB130" s="3">
        <f>INDEX(BSFC!D$5:AD$27,MATCH('DUTY CYCLE'!Y130,BSFC!C$5:C$27,0),MATCH('DUTY CYCLE'!K130,BSFC!D$28:AD$28,0))</f>
        <v>331.65473692000006</v>
      </c>
      <c r="AC130" s="3">
        <f t="shared" si="26"/>
        <v>0.7248314034950164</v>
      </c>
      <c r="AD130" s="3">
        <f t="shared" si="27"/>
        <v>2239.7290367996006</v>
      </c>
      <c r="AE130" s="3">
        <f>0.5*VEHICLE!C$47*('DUTY CYCLE'!M130^2)/1000</f>
        <v>38.166857482804915</v>
      </c>
      <c r="AF130" s="3">
        <f t="shared" si="16"/>
        <v>716.45304366619871</v>
      </c>
    </row>
    <row r="131" spans="2:32" ht="17" x14ac:dyDescent="0.2">
      <c r="B131" s="3">
        <v>127</v>
      </c>
      <c r="C131" s="94"/>
      <c r="D131" s="59" t="s">
        <v>115</v>
      </c>
      <c r="E131" s="3" t="str">
        <f t="shared" si="14"/>
        <v>DOWNHILL</v>
      </c>
      <c r="F131" s="60">
        <v>0.5</v>
      </c>
      <c r="G131" s="60">
        <f t="shared" si="17"/>
        <v>-0.5</v>
      </c>
      <c r="H131" s="3">
        <f t="shared" si="18"/>
        <v>-2.3610285441550793</v>
      </c>
      <c r="I131" s="3">
        <f>SUM(M$4:M131)</f>
        <v>1240.2751035036745</v>
      </c>
      <c r="J131" s="3">
        <f t="shared" si="19"/>
        <v>12.126779473664101</v>
      </c>
      <c r="K131" s="3">
        <v>5750</v>
      </c>
      <c r="L131" s="3">
        <v>3</v>
      </c>
      <c r="M131" s="3">
        <f>VLOOKUP(K131,VEHICLE!I$30:L$54,MATCH(L131,VEHICLE!I$30:L$30,0),0)</f>
        <v>12.126779473664074</v>
      </c>
      <c r="N131" s="3">
        <f t="shared" si="20"/>
        <v>0.52725128146365385</v>
      </c>
      <c r="O131" s="3">
        <f>IF(L131=1,VEHICLE!C$68*'DUTY CYCLE'!N131,IF(L131=2,VEHICLE!C$69*'DUTY CYCLE'!N131,IF('DUTY CYCLE'!L131=3,VEHICLE!C$70*'DUTY CYCLE'!N131)))</f>
        <v>308.54670919107622</v>
      </c>
      <c r="P131" s="37">
        <f>VLOOKUP(D131,TRACK!B$3:C$5,2)</f>
        <v>0.1</v>
      </c>
      <c r="Q131" s="3">
        <f>P131*VEHICLE!C$47*9.81</f>
        <v>556.55073000000004</v>
      </c>
      <c r="R131" s="3">
        <f>0.5*VEHICLE!C$20*VEHICLE!C$28*1.2*((M131)^2)</f>
        <v>57.783953642484164</v>
      </c>
      <c r="S131" s="3">
        <f>VEHICLE!C$47*9.81*SIN(RADIANS(H131))</f>
        <v>-229.27697549766097</v>
      </c>
      <c r="T131" s="3">
        <f t="shared" si="21"/>
        <v>693.60441733589937</v>
      </c>
      <c r="U131" s="3">
        <f t="shared" si="22"/>
        <v>8.4111878109917146</v>
      </c>
      <c r="V131" s="3">
        <f>((VEHICLE!C$12*1000)-U131*1000)/1000</f>
        <v>5.0116309809545942</v>
      </c>
      <c r="W131" s="3">
        <f t="shared" si="15"/>
        <v>8.4111878109917146</v>
      </c>
      <c r="X131" s="3">
        <f t="shared" si="23"/>
        <v>13.96885687715092</v>
      </c>
      <c r="Y131" s="3">
        <f t="shared" si="24"/>
        <v>14</v>
      </c>
      <c r="Z131" s="3">
        <f t="shared" si="25"/>
        <v>693.60441733589937</v>
      </c>
      <c r="AA131" s="3">
        <f>SUM(Z$4:Z131)</f>
        <v>45653.980976885709</v>
      </c>
      <c r="AB131" s="3">
        <f>INDEX(BSFC!D$5:AD$27,MATCH('DUTY CYCLE'!Y131,BSFC!C$5:C$27,0),MATCH('DUTY CYCLE'!K131,BSFC!D$28:AD$28,0))</f>
        <v>357.55511692000005</v>
      </c>
      <c r="AC131" s="3">
        <f t="shared" si="26"/>
        <v>0.83540645588756157</v>
      </c>
      <c r="AD131" s="3">
        <f t="shared" si="27"/>
        <v>2581.4059486925653</v>
      </c>
      <c r="AE131" s="3">
        <f>0.5*VEHICLE!C$47*('DUTY CYCLE'!M131^2)/1000</f>
        <v>41.715428942983053</v>
      </c>
      <c r="AF131" s="3">
        <f t="shared" si="16"/>
        <v>735.31984627888244</v>
      </c>
    </row>
    <row r="132" spans="2:32" ht="17" x14ac:dyDescent="0.2">
      <c r="B132" s="3">
        <v>128</v>
      </c>
      <c r="C132" s="94" t="s">
        <v>110</v>
      </c>
      <c r="D132" s="59" t="s">
        <v>113</v>
      </c>
      <c r="E132" s="3" t="str">
        <f t="shared" si="14"/>
        <v>DOWNHILL</v>
      </c>
      <c r="F132" s="60">
        <v>0</v>
      </c>
      <c r="G132" s="60">
        <f t="shared" si="17"/>
        <v>-0.5</v>
      </c>
      <c r="H132" s="3">
        <f t="shared" si="18"/>
        <v>-2.2627568311091149</v>
      </c>
      <c r="I132" s="3">
        <f>SUM(M$4:M132)</f>
        <v>1252.9291342588022</v>
      </c>
      <c r="J132" s="3">
        <f t="shared" si="19"/>
        <v>12.654030755127678</v>
      </c>
      <c r="K132" s="3">
        <v>6000</v>
      </c>
      <c r="L132" s="3">
        <v>3</v>
      </c>
      <c r="M132" s="3">
        <f>VLOOKUP(K132,VEHICLE!I$30:L$54,MATCH(L132,VEHICLE!I$30:L$30,0),0)</f>
        <v>12.654030755127732</v>
      </c>
      <c r="N132" s="3">
        <f t="shared" si="20"/>
        <v>0.52725128146365741</v>
      </c>
      <c r="O132" s="3">
        <f>IF(L132=1,VEHICLE!C$68*'DUTY CYCLE'!N132,IF(L132=2,VEHICLE!C$69*'DUTY CYCLE'!N132,IF('DUTY CYCLE'!L132=3,VEHICLE!C$70*'DUTY CYCLE'!N132)))</f>
        <v>308.54670919107832</v>
      </c>
      <c r="P132" s="37">
        <v>1.2999999999999999E-2</v>
      </c>
      <c r="Q132" s="3">
        <f>P132*VEHICLE!C$47*9.81</f>
        <v>72.351594900000009</v>
      </c>
      <c r="R132" s="3">
        <f>0.5*VEHICLE!C$20*VEHICLE!C$28*1.2*((M132)^2)</f>
        <v>62.917877690115105</v>
      </c>
      <c r="S132" s="3">
        <f>VEHICLE!C$47*9.81*SIN(RADIANS(H132))</f>
        <v>-219.73898342853568</v>
      </c>
      <c r="T132" s="3">
        <f t="shared" si="21"/>
        <v>224.07719835265777</v>
      </c>
      <c r="U132" s="3">
        <f t="shared" si="22"/>
        <v>2.8354797594773884</v>
      </c>
      <c r="V132" s="3">
        <f>((VEHICLE!C$12*1000)-U132*1000)/1000</f>
        <v>10.58733903246892</v>
      </c>
      <c r="W132" s="3">
        <f t="shared" si="15"/>
        <v>2.8354797594773884</v>
      </c>
      <c r="X132" s="3">
        <f t="shared" si="23"/>
        <v>4.5128061975784481</v>
      </c>
      <c r="Y132" s="3">
        <f t="shared" si="24"/>
        <v>5</v>
      </c>
      <c r="Z132" s="3">
        <f t="shared" si="25"/>
        <v>224.07719835265777</v>
      </c>
      <c r="AA132" s="3">
        <f>SUM(Z$4:Z132)</f>
        <v>45878.058175238366</v>
      </c>
      <c r="AB132" s="3">
        <f>INDEX(BSFC!D$5:AD$27,MATCH('DUTY CYCLE'!Y132,BSFC!C$5:C$27,0),MATCH('DUTY CYCLE'!K132,BSFC!D$28:AD$28,0))</f>
        <v>680.37645208000004</v>
      </c>
      <c r="AC132" s="3">
        <f t="shared" si="26"/>
        <v>0.53588712741607702</v>
      </c>
      <c r="AD132" s="3">
        <f t="shared" si="27"/>
        <v>1655.8912237156781</v>
      </c>
      <c r="AE132" s="3">
        <f>0.5*VEHICLE!C$47*('DUTY CYCLE'!M132^2)/1000</f>
        <v>45.421714690280233</v>
      </c>
      <c r="AF132" s="3">
        <f t="shared" si="16"/>
        <v>269.498913042938</v>
      </c>
    </row>
    <row r="133" spans="2:32" ht="17" x14ac:dyDescent="0.2">
      <c r="B133" s="3">
        <v>129</v>
      </c>
      <c r="C133" s="94"/>
      <c r="D133" s="59" t="s">
        <v>113</v>
      </c>
      <c r="E133" s="3" t="str">
        <f t="shared" ref="E133:E139" si="28">IF(H133&gt;0,"UPHILL",IF(H133&lt;0,"DOWNHILL",IF(H133=0,"FLAT",0)))</f>
        <v>FLAT</v>
      </c>
      <c r="F133" s="60">
        <v>0</v>
      </c>
      <c r="G133" s="60">
        <f t="shared" si="17"/>
        <v>0</v>
      </c>
      <c r="H133" s="3">
        <f t="shared" si="18"/>
        <v>0</v>
      </c>
      <c r="I133" s="3">
        <f>SUM(M$4:M133)</f>
        <v>1265.5831650139298</v>
      </c>
      <c r="J133" s="3">
        <f t="shared" si="19"/>
        <v>12.654030755127678</v>
      </c>
      <c r="K133" s="3">
        <v>6000</v>
      </c>
      <c r="L133" s="3">
        <v>3</v>
      </c>
      <c r="M133" s="3">
        <f>VLOOKUP(K133,VEHICLE!I$30:L$54,MATCH(L133,VEHICLE!I$30:L$30,0),0)</f>
        <v>12.654030755127732</v>
      </c>
      <c r="N133" s="3">
        <f t="shared" si="20"/>
        <v>0</v>
      </c>
      <c r="O133" s="3">
        <f>IF(L133=1,VEHICLE!C$68*'DUTY CYCLE'!N133,IF(L133=2,VEHICLE!C$69*'DUTY CYCLE'!N133,IF('DUTY CYCLE'!L133=3,VEHICLE!C$70*'DUTY CYCLE'!N133)))</f>
        <v>0</v>
      </c>
      <c r="P133" s="37">
        <v>1.2999999999999999E-2</v>
      </c>
      <c r="Q133" s="3">
        <f>P133*VEHICLE!C$47*9.81</f>
        <v>72.351594900000009</v>
      </c>
      <c r="R133" s="3">
        <f>0.5*VEHICLE!C$20*VEHICLE!C$28*1.2*((M133)^2)</f>
        <v>62.917877690115105</v>
      </c>
      <c r="S133" s="3">
        <f>VEHICLE!C$47*9.81*SIN(RADIANS(H133))</f>
        <v>0</v>
      </c>
      <c r="T133" s="3">
        <f t="shared" si="21"/>
        <v>135.26947259011513</v>
      </c>
      <c r="U133" s="3">
        <f t="shared" si="22"/>
        <v>1.7117040663852245</v>
      </c>
      <c r="V133" s="3">
        <f>((VEHICLE!C$12*1000)-U133*1000)/1000</f>
        <v>11.711114725561085</v>
      </c>
      <c r="W133" s="3">
        <f t="shared" ref="W133:W139" si="29">U133</f>
        <v>1.7117040663852245</v>
      </c>
      <c r="X133" s="3">
        <f t="shared" si="23"/>
        <v>2.7242616327570621</v>
      </c>
      <c r="Y133" s="3">
        <f t="shared" si="24"/>
        <v>3</v>
      </c>
      <c r="Z133" s="3">
        <f t="shared" si="25"/>
        <v>135.26947259011513</v>
      </c>
      <c r="AA133" s="3">
        <f>SUM(Z$4:Z133)</f>
        <v>46013.327647828482</v>
      </c>
      <c r="AB133" s="3">
        <f>INDEX(BSFC!D$5:AD$27,MATCH('DUTY CYCLE'!Y133,BSFC!C$5:C$27,0),MATCH('DUTY CYCLE'!K133,BSFC!D$28:AD$28,0))</f>
        <v>829.40645992000009</v>
      </c>
      <c r="AC133" s="3">
        <f t="shared" si="26"/>
        <v>0.39436066948089943</v>
      </c>
      <c r="AD133" s="3">
        <f t="shared" si="27"/>
        <v>1218.5744686959792</v>
      </c>
      <c r="AE133" s="3">
        <f>0.5*VEHICLE!C$47*('DUTY CYCLE'!M133^2)/1000</f>
        <v>45.421714690280233</v>
      </c>
      <c r="AF133" s="3">
        <f t="shared" ref="AF133:AF139" si="30">Z133+AE133</f>
        <v>180.69118728039535</v>
      </c>
    </row>
    <row r="134" spans="2:32" ht="17" x14ac:dyDescent="0.2">
      <c r="B134" s="3">
        <v>130</v>
      </c>
      <c r="C134" s="94"/>
      <c r="D134" s="59" t="s">
        <v>113</v>
      </c>
      <c r="E134" s="3" t="str">
        <f t="shared" si="28"/>
        <v>UPHILL</v>
      </c>
      <c r="F134" s="60">
        <v>0.2</v>
      </c>
      <c r="G134" s="60">
        <f t="shared" ref="G134:G139" si="31">F134-F133</f>
        <v>0.2</v>
      </c>
      <c r="H134" s="3">
        <f t="shared" ref="H134:H139" si="32">DEGREES(ATAN(G134/J134))</f>
        <v>0.86928392953897093</v>
      </c>
      <c r="I134" s="3">
        <f>SUM(M$4:M134)</f>
        <v>1278.7644470505213</v>
      </c>
      <c r="J134" s="3">
        <f t="shared" ref="J134:J139" si="33">I134-I133</f>
        <v>13.181282036591483</v>
      </c>
      <c r="K134" s="3">
        <v>6250</v>
      </c>
      <c r="L134" s="3">
        <v>3</v>
      </c>
      <c r="M134" s="3">
        <f>VLOOKUP(K134,VEHICLE!I$30:L$54,MATCH(L134,VEHICLE!I$30:L$30,0),0)</f>
        <v>13.181282036591385</v>
      </c>
      <c r="N134" s="3">
        <f t="shared" ref="N134:N139" si="34">M134-M133</f>
        <v>0.52725128146365385</v>
      </c>
      <c r="O134" s="3">
        <f>IF(L134=1,VEHICLE!C$68*'DUTY CYCLE'!N134,IF(L134=2,VEHICLE!C$69*'DUTY CYCLE'!N134,IF('DUTY CYCLE'!L134=3,VEHICLE!C$70*'DUTY CYCLE'!N134)))</f>
        <v>308.54670919107622</v>
      </c>
      <c r="P134" s="37">
        <v>1.2999999999999999E-2</v>
      </c>
      <c r="Q134" s="3">
        <f>P134*VEHICLE!C$47*9.81</f>
        <v>72.351594900000009</v>
      </c>
      <c r="R134" s="3">
        <f>0.5*VEHICLE!C$20*VEHICLE!C$28*1.2*((M134)^2)</f>
        <v>68.270266590836684</v>
      </c>
      <c r="S134" s="3">
        <f>VEHICLE!C$47*9.81*SIN(RADIANS(H134))</f>
        <v>84.435895494673815</v>
      </c>
      <c r="T134" s="3">
        <f t="shared" ref="T134:T139" si="35">SUM(Q134:S134)+O134</f>
        <v>533.6044661765867</v>
      </c>
      <c r="U134" s="3">
        <f t="shared" ref="U134:U139" si="36">ABS(((+T134)*(+M134))/1000)</f>
        <v>7.0335909646583774</v>
      </c>
      <c r="V134" s="3">
        <f>((VEHICLE!C$12*1000)-U134*1000)/1000</f>
        <v>6.3892278272879315</v>
      </c>
      <c r="W134" s="3">
        <f t="shared" si="29"/>
        <v>7.0335909646583774</v>
      </c>
      <c r="X134" s="3">
        <f t="shared" ref="X134:X139" si="37">ABS((W134*1000)/((2*PI()*K134)/60))</f>
        <v>10.746535389233985</v>
      </c>
      <c r="Y134" s="3">
        <f t="shared" ref="Y134:Y139" si="38">ROUNDUP(X134,0)</f>
        <v>11</v>
      </c>
      <c r="Z134" s="3">
        <f t="shared" ref="Z134:Z139" si="39">T134</f>
        <v>533.6044661765867</v>
      </c>
      <c r="AA134" s="3">
        <f>SUM(Z$4:Z134)</f>
        <v>46546.932114005067</v>
      </c>
      <c r="AB134" s="3">
        <f>INDEX(BSFC!D$5:AD$27,MATCH('DUTY CYCLE'!Y134,BSFC!C$5:C$27,0),MATCH('DUTY CYCLE'!K134,BSFC!D$28:AD$28,0))</f>
        <v>371.67545696000019</v>
      </c>
      <c r="AC134" s="3">
        <f t="shared" ref="AC134:AC139" si="40">U134*AB134/3600</f>
        <v>0.7261703155164253</v>
      </c>
      <c r="AD134" s="3">
        <f t="shared" ref="AD134:AD140" si="41">AC134*(3.09*1000)</f>
        <v>2243.866274945754</v>
      </c>
      <c r="AE134" s="3">
        <f>0.5*VEHICLE!C$47*('DUTY CYCLE'!M134^2)/1000</f>
        <v>49.285714724696419</v>
      </c>
      <c r="AF134" s="3">
        <f t="shared" si="30"/>
        <v>582.89018090128309</v>
      </c>
    </row>
    <row r="135" spans="2:32" ht="17" x14ac:dyDescent="0.2">
      <c r="B135" s="3">
        <v>131</v>
      </c>
      <c r="C135" s="94"/>
      <c r="D135" s="59" t="s">
        <v>113</v>
      </c>
      <c r="E135" s="3" t="str">
        <f t="shared" si="28"/>
        <v>UPHILL</v>
      </c>
      <c r="F135" s="60">
        <v>0.6</v>
      </c>
      <c r="G135" s="60">
        <f t="shared" si="31"/>
        <v>0.39999999999999997</v>
      </c>
      <c r="H135" s="3">
        <f t="shared" si="32"/>
        <v>1.6713539160046316</v>
      </c>
      <c r="I135" s="3">
        <f>SUM(M$4:M135)</f>
        <v>1292.4729803685764</v>
      </c>
      <c r="J135" s="3">
        <f t="shared" si="33"/>
        <v>13.708533318055061</v>
      </c>
      <c r="K135" s="3">
        <v>6500</v>
      </c>
      <c r="L135" s="3">
        <v>3</v>
      </c>
      <c r="M135" s="3">
        <f>VLOOKUP(K135,VEHICLE!I$30:L$54,MATCH(L135,VEHICLE!I$30:L$30,0),0)</f>
        <v>13.708533318055041</v>
      </c>
      <c r="N135" s="3">
        <f t="shared" si="34"/>
        <v>0.52725128146365563</v>
      </c>
      <c r="O135" s="3">
        <f>IF(L135=1,VEHICLE!C$68*'DUTY CYCLE'!N135,IF(L135=2,VEHICLE!C$69*'DUTY CYCLE'!N135,IF('DUTY CYCLE'!L135=3,VEHICLE!C$70*'DUTY CYCLE'!N135)))</f>
        <v>308.5467091910773</v>
      </c>
      <c r="P135" s="37">
        <v>1.2999999999999999E-2</v>
      </c>
      <c r="Q135" s="3">
        <f>P135*VEHICLE!C$47*9.81</f>
        <v>72.351594900000009</v>
      </c>
      <c r="R135" s="3">
        <f>0.5*VEHICLE!C$20*VEHICLE!C$28*1.2*((M135)^2)</f>
        <v>73.841120344648957</v>
      </c>
      <c r="S135" s="3">
        <f>VEHICLE!C$47*9.81*SIN(RADIANS(H135))</f>
        <v>162.32632397812546</v>
      </c>
      <c r="T135" s="3">
        <f t="shared" si="35"/>
        <v>617.06574841385168</v>
      </c>
      <c r="U135" s="3">
        <f t="shared" si="36"/>
        <v>8.459066371561855</v>
      </c>
      <c r="V135" s="3">
        <f>((VEHICLE!C$12*1000)-U135*1000)/1000</f>
        <v>4.963752420384453</v>
      </c>
      <c r="W135" s="3">
        <f t="shared" si="29"/>
        <v>8.459066371561855</v>
      </c>
      <c r="X135" s="3">
        <f t="shared" si="37"/>
        <v>12.427405172090701</v>
      </c>
      <c r="Y135" s="3">
        <f t="shared" si="38"/>
        <v>13</v>
      </c>
      <c r="Z135" s="3">
        <f t="shared" si="39"/>
        <v>617.06574841385168</v>
      </c>
      <c r="AA135" s="3">
        <f>SUM(Z$4:Z135)</f>
        <v>47163.997862418917</v>
      </c>
      <c r="AB135" s="3">
        <f>INDEX(BSFC!D$5:AD$27,MATCH('DUTY CYCLE'!Y135,BSFC!C$5:C$27,0),MATCH('DUTY CYCLE'!K135,BSFC!D$28:AD$28,0))</f>
        <v>489.82566927999994</v>
      </c>
      <c r="AC135" s="3">
        <f t="shared" si="40"/>
        <v>1.1509632908150629</v>
      </c>
      <c r="AD135" s="3">
        <f t="shared" si="41"/>
        <v>3556.4765686185442</v>
      </c>
      <c r="AE135" s="3">
        <f>0.5*VEHICLE!C$47*('DUTY CYCLE'!M135^2)/1000</f>
        <v>53.307429046231654</v>
      </c>
      <c r="AF135" s="3">
        <f t="shared" si="30"/>
        <v>670.3731774600833</v>
      </c>
    </row>
    <row r="136" spans="2:32" ht="17" x14ac:dyDescent="0.2">
      <c r="B136" s="3">
        <v>132</v>
      </c>
      <c r="C136" s="94"/>
      <c r="D136" s="59" t="s">
        <v>113</v>
      </c>
      <c r="E136" s="3" t="str">
        <f t="shared" si="28"/>
        <v>UPHILL</v>
      </c>
      <c r="F136" s="60">
        <v>1</v>
      </c>
      <c r="G136" s="60">
        <f t="shared" si="31"/>
        <v>0.4</v>
      </c>
      <c r="H136" s="3">
        <f t="shared" si="32"/>
        <v>1.6713539160046318</v>
      </c>
      <c r="I136" s="3">
        <f>SUM(M$4:M136)</f>
        <v>1306.1815136866314</v>
      </c>
      <c r="J136" s="3">
        <f t="shared" si="33"/>
        <v>13.708533318055061</v>
      </c>
      <c r="K136" s="3">
        <v>6500</v>
      </c>
      <c r="L136" s="3">
        <v>3</v>
      </c>
      <c r="M136" s="3">
        <f>VLOOKUP(K136,VEHICLE!I$30:L$54,MATCH(L136,VEHICLE!I$30:L$30,0),0)</f>
        <v>13.708533318055041</v>
      </c>
      <c r="N136" s="3">
        <f t="shared" si="34"/>
        <v>0</v>
      </c>
      <c r="O136" s="3">
        <f>IF(L136=1,VEHICLE!C$68*'DUTY CYCLE'!N136,IF(L136=2,VEHICLE!C$69*'DUTY CYCLE'!N136,IF('DUTY CYCLE'!L136=3,VEHICLE!C$70*'DUTY CYCLE'!N136)))</f>
        <v>0</v>
      </c>
      <c r="P136" s="37">
        <v>1.2999999999999999E-2</v>
      </c>
      <c r="Q136" s="3">
        <f>P136*VEHICLE!C$47*9.81</f>
        <v>72.351594900000009</v>
      </c>
      <c r="R136" s="3">
        <f>0.5*VEHICLE!C$20*VEHICLE!C$28*1.2*((M136)^2)</f>
        <v>73.841120344648957</v>
      </c>
      <c r="S136" s="3">
        <f>VEHICLE!C$47*9.81*SIN(RADIANS(H136))</f>
        <v>162.32632397812549</v>
      </c>
      <c r="T136" s="3">
        <f t="shared" si="35"/>
        <v>308.5190392227745</v>
      </c>
      <c r="U136" s="3">
        <f t="shared" si="36"/>
        <v>4.2293435284397347</v>
      </c>
      <c r="V136" s="3">
        <f>((VEHICLE!C$12*1000)-U136*1000)/1000</f>
        <v>9.1934752635065742</v>
      </c>
      <c r="W136" s="3">
        <f t="shared" si="29"/>
        <v>4.2293435284397347</v>
      </c>
      <c r="X136" s="3">
        <f t="shared" si="37"/>
        <v>6.2134239561683238</v>
      </c>
      <c r="Y136" s="3">
        <f t="shared" si="38"/>
        <v>7</v>
      </c>
      <c r="Z136" s="3">
        <f t="shared" si="39"/>
        <v>308.5190392227745</v>
      </c>
      <c r="AA136" s="3">
        <f>SUM(Z$4:Z136)</f>
        <v>47472.516901641691</v>
      </c>
      <c r="AB136" s="3">
        <f>INDEX(BSFC!D$5:AD$27,MATCH('DUTY CYCLE'!Y136,BSFC!C$5:C$27,0),MATCH('DUTY CYCLE'!K136,BSFC!D$28:AD$28,0))</f>
        <v>647.37287896000009</v>
      </c>
      <c r="AC136" s="3">
        <f t="shared" si="40"/>
        <v>0.76054508225468787</v>
      </c>
      <c r="AD136" s="3">
        <f t="shared" si="41"/>
        <v>2350.0843041669855</v>
      </c>
      <c r="AE136" s="3">
        <f>0.5*VEHICLE!C$47*('DUTY CYCLE'!M136^2)/1000</f>
        <v>53.307429046231654</v>
      </c>
      <c r="AF136" s="3">
        <f t="shared" si="30"/>
        <v>361.82646826900617</v>
      </c>
    </row>
    <row r="137" spans="2:32" ht="17" x14ac:dyDescent="0.2">
      <c r="B137" s="3">
        <v>133</v>
      </c>
      <c r="C137" s="94"/>
      <c r="D137" s="59" t="s">
        <v>113</v>
      </c>
      <c r="E137" s="3" t="str">
        <f t="shared" si="28"/>
        <v>UPHILL</v>
      </c>
      <c r="F137" s="60">
        <v>1.4</v>
      </c>
      <c r="G137" s="60">
        <f t="shared" si="31"/>
        <v>0.39999999999999991</v>
      </c>
      <c r="H137" s="3">
        <f t="shared" si="32"/>
        <v>1.6713539160046311</v>
      </c>
      <c r="I137" s="3">
        <f>SUM(M$4:M137)</f>
        <v>1319.8900470046865</v>
      </c>
      <c r="J137" s="3">
        <f t="shared" si="33"/>
        <v>13.708533318055061</v>
      </c>
      <c r="K137" s="3">
        <v>6500</v>
      </c>
      <c r="L137" s="3">
        <v>3</v>
      </c>
      <c r="M137" s="3">
        <f>VLOOKUP(K137,VEHICLE!I$30:L$54,MATCH(L137,VEHICLE!I$30:L$30,0),0)</f>
        <v>13.708533318055041</v>
      </c>
      <c r="N137" s="3">
        <f t="shared" si="34"/>
        <v>0</v>
      </c>
      <c r="O137" s="3">
        <f>IF(L137=1,VEHICLE!C$68*'DUTY CYCLE'!N137,IF(L137=2,VEHICLE!C$69*'DUTY CYCLE'!N137,IF('DUTY CYCLE'!L137=3,VEHICLE!C$70*'DUTY CYCLE'!N137)))</f>
        <v>0</v>
      </c>
      <c r="P137" s="37">
        <v>1.2999999999999999E-2</v>
      </c>
      <c r="Q137" s="3">
        <f>P137*VEHICLE!C$47*9.81</f>
        <v>72.351594900000009</v>
      </c>
      <c r="R137" s="3">
        <f>0.5*VEHICLE!C$20*VEHICLE!C$28*1.2*((M137)^2)</f>
        <v>73.841120344648957</v>
      </c>
      <c r="S137" s="3">
        <f>VEHICLE!C$47*9.81*SIN(RADIANS(H137))</f>
        <v>162.32632397812543</v>
      </c>
      <c r="T137" s="3">
        <f t="shared" si="35"/>
        <v>308.51903922277438</v>
      </c>
      <c r="U137" s="3">
        <f t="shared" si="36"/>
        <v>4.2293435284397329</v>
      </c>
      <c r="V137" s="3">
        <f>((VEHICLE!C$12*1000)-U137*1000)/1000</f>
        <v>9.193475263506576</v>
      </c>
      <c r="W137" s="3">
        <f t="shared" si="29"/>
        <v>4.2293435284397329</v>
      </c>
      <c r="X137" s="3">
        <f t="shared" si="37"/>
        <v>6.2134239561683211</v>
      </c>
      <c r="Y137" s="3">
        <f t="shared" si="38"/>
        <v>7</v>
      </c>
      <c r="Z137" s="3">
        <f t="shared" si="39"/>
        <v>308.51903922277438</v>
      </c>
      <c r="AA137" s="3">
        <f>SUM(Z$4:Z137)</f>
        <v>47781.035940864465</v>
      </c>
      <c r="AB137" s="3">
        <f>INDEX(BSFC!D$5:AD$27,MATCH('DUTY CYCLE'!Y137,BSFC!C$5:C$27,0),MATCH('DUTY CYCLE'!K137,BSFC!D$28:AD$28,0))</f>
        <v>647.37287896000009</v>
      </c>
      <c r="AC137" s="3">
        <f t="shared" si="40"/>
        <v>0.76054508225468742</v>
      </c>
      <c r="AD137" s="3">
        <f t="shared" si="41"/>
        <v>2350.0843041669841</v>
      </c>
      <c r="AE137" s="3">
        <f>0.5*VEHICLE!C$47*('DUTY CYCLE'!M137^2)/1000</f>
        <v>53.307429046231654</v>
      </c>
      <c r="AF137" s="3">
        <f t="shared" si="30"/>
        <v>361.82646826900606</v>
      </c>
    </row>
    <row r="138" spans="2:32" ht="17" x14ac:dyDescent="0.2">
      <c r="B138" s="3">
        <v>134</v>
      </c>
      <c r="C138" s="94"/>
      <c r="D138" s="59" t="s">
        <v>113</v>
      </c>
      <c r="E138" s="3" t="str">
        <f t="shared" si="28"/>
        <v>UPHILL</v>
      </c>
      <c r="F138" s="60">
        <v>1.8</v>
      </c>
      <c r="G138" s="60">
        <f t="shared" si="31"/>
        <v>0.40000000000000013</v>
      </c>
      <c r="H138" s="3">
        <f t="shared" si="32"/>
        <v>1.6713539160046322</v>
      </c>
      <c r="I138" s="3">
        <f>SUM(M$4:M138)</f>
        <v>1333.5985803227416</v>
      </c>
      <c r="J138" s="3">
        <f t="shared" si="33"/>
        <v>13.708533318055061</v>
      </c>
      <c r="K138" s="3">
        <v>6500</v>
      </c>
      <c r="L138" s="3">
        <v>3</v>
      </c>
      <c r="M138" s="3">
        <f>VLOOKUP(K138,VEHICLE!I$30:L$54,MATCH(L138,VEHICLE!I$30:L$30,0),0)</f>
        <v>13.708533318055041</v>
      </c>
      <c r="N138" s="3">
        <f t="shared" si="34"/>
        <v>0</v>
      </c>
      <c r="O138" s="3">
        <f>IF(L138=1,VEHICLE!C$68*'DUTY CYCLE'!N138,IF(L138=2,VEHICLE!C$69*'DUTY CYCLE'!N138,IF('DUTY CYCLE'!L138=3,VEHICLE!C$70*'DUTY CYCLE'!N138)))</f>
        <v>0</v>
      </c>
      <c r="P138" s="37">
        <v>1.2999999999999999E-2</v>
      </c>
      <c r="Q138" s="3">
        <f>P138*VEHICLE!C$47*9.81</f>
        <v>72.351594900000009</v>
      </c>
      <c r="R138" s="3">
        <f>0.5*VEHICLE!C$20*VEHICLE!C$28*1.2*((M138)^2)</f>
        <v>73.841120344648957</v>
      </c>
      <c r="S138" s="3">
        <f>VEHICLE!C$47*9.81*SIN(RADIANS(H138))</f>
        <v>162.32632397812554</v>
      </c>
      <c r="T138" s="3">
        <f t="shared" si="35"/>
        <v>308.5190392227745</v>
      </c>
      <c r="U138" s="3">
        <f t="shared" si="36"/>
        <v>4.2293435284397347</v>
      </c>
      <c r="V138" s="3">
        <f>((VEHICLE!C$12*1000)-U138*1000)/1000</f>
        <v>9.1934752635065742</v>
      </c>
      <c r="W138" s="3">
        <f t="shared" si="29"/>
        <v>4.2293435284397347</v>
      </c>
      <c r="X138" s="3">
        <f t="shared" si="37"/>
        <v>6.2134239561683238</v>
      </c>
      <c r="Y138" s="3">
        <f t="shared" si="38"/>
        <v>7</v>
      </c>
      <c r="Z138" s="3">
        <f t="shared" si="39"/>
        <v>308.5190392227745</v>
      </c>
      <c r="AA138" s="3">
        <f>SUM(Z$4:Z138)</f>
        <v>48089.55498008724</v>
      </c>
      <c r="AB138" s="3">
        <f>INDEX(BSFC!D$5:AD$27,MATCH('DUTY CYCLE'!Y138,BSFC!C$5:C$27,0),MATCH('DUTY CYCLE'!K138,BSFC!D$28:AD$28,0))</f>
        <v>647.37287896000009</v>
      </c>
      <c r="AC138" s="3">
        <f t="shared" si="40"/>
        <v>0.76054508225468787</v>
      </c>
      <c r="AD138" s="3">
        <f t="shared" si="41"/>
        <v>2350.0843041669855</v>
      </c>
      <c r="AE138" s="3">
        <f>0.5*VEHICLE!C$47*('DUTY CYCLE'!M138^2)/1000</f>
        <v>53.307429046231654</v>
      </c>
      <c r="AF138" s="3">
        <f t="shared" si="30"/>
        <v>361.82646826900617</v>
      </c>
    </row>
    <row r="139" spans="2:32" ht="17" x14ac:dyDescent="0.2">
      <c r="B139" s="3">
        <v>135</v>
      </c>
      <c r="C139" s="3" t="s">
        <v>116</v>
      </c>
      <c r="D139" s="59" t="s">
        <v>113</v>
      </c>
      <c r="E139" s="3" t="str">
        <f t="shared" si="28"/>
        <v>UPHILL</v>
      </c>
      <c r="F139" s="60">
        <v>2.2000000000000002</v>
      </c>
      <c r="G139" s="60">
        <f t="shared" si="31"/>
        <v>0.40000000000000013</v>
      </c>
      <c r="H139" s="3">
        <f t="shared" si="32"/>
        <v>1.6713539160046322</v>
      </c>
      <c r="I139" s="3">
        <f>SUM(M$4:M139)</f>
        <v>1347.3071136407966</v>
      </c>
      <c r="J139" s="3">
        <f t="shared" si="33"/>
        <v>13.708533318055061</v>
      </c>
      <c r="K139" s="3">
        <v>6500</v>
      </c>
      <c r="L139" s="3">
        <v>3</v>
      </c>
      <c r="M139" s="3">
        <f>VLOOKUP(K139,VEHICLE!I$30:L$54,MATCH(L139,VEHICLE!I$30:L$30,0),0)</f>
        <v>13.708533318055041</v>
      </c>
      <c r="N139" s="3">
        <f t="shared" si="34"/>
        <v>0</v>
      </c>
      <c r="O139" s="3">
        <f>IF(L139=1,VEHICLE!C$68*'DUTY CYCLE'!N139,IF(L139=2,VEHICLE!C$69*'DUTY CYCLE'!N139,IF('DUTY CYCLE'!L139=3,VEHICLE!C$70*'DUTY CYCLE'!N139)))</f>
        <v>0</v>
      </c>
      <c r="P139" s="37">
        <v>1.2999999999999999E-2</v>
      </c>
      <c r="Q139" s="3">
        <f>P139*VEHICLE!C$47*9.81</f>
        <v>72.351594900000009</v>
      </c>
      <c r="R139" s="3">
        <f>0.5*VEHICLE!C$20*VEHICLE!C$28*1.2*((M139)^2)</f>
        <v>73.841120344648957</v>
      </c>
      <c r="S139" s="3">
        <f>VEHICLE!C$47*9.81*SIN(RADIANS(H139))</f>
        <v>162.32632397812554</v>
      </c>
      <c r="T139" s="3">
        <f t="shared" si="35"/>
        <v>308.5190392227745</v>
      </c>
      <c r="U139" s="3">
        <f t="shared" si="36"/>
        <v>4.2293435284397347</v>
      </c>
      <c r="V139" s="3">
        <f>((VEHICLE!C$12*1000)-U139*1000)/1000</f>
        <v>9.1934752635065742</v>
      </c>
      <c r="W139" s="3">
        <f t="shared" si="29"/>
        <v>4.2293435284397347</v>
      </c>
      <c r="X139" s="3">
        <f t="shared" si="37"/>
        <v>6.2134239561683238</v>
      </c>
      <c r="Y139" s="3">
        <f t="shared" si="38"/>
        <v>7</v>
      </c>
      <c r="Z139" s="3">
        <f t="shared" si="39"/>
        <v>308.5190392227745</v>
      </c>
      <c r="AA139" s="3">
        <f>SUM(Z$4:Z139)</f>
        <v>48398.074019310014</v>
      </c>
      <c r="AB139" s="3">
        <f>INDEX(BSFC!D$5:AD$27,MATCH('DUTY CYCLE'!Y139,BSFC!C$5:C$27,0),MATCH('DUTY CYCLE'!K139,BSFC!D$28:AD$28,0))</f>
        <v>647.37287896000009</v>
      </c>
      <c r="AC139" s="3">
        <f t="shared" si="40"/>
        <v>0.76054508225468787</v>
      </c>
      <c r="AD139" s="3">
        <f t="shared" si="41"/>
        <v>2350.0843041669855</v>
      </c>
      <c r="AE139" s="3">
        <f>0.5*VEHICLE!C$47*('DUTY CYCLE'!M139^2)/1000</f>
        <v>53.307429046231654</v>
      </c>
      <c r="AF139" s="3">
        <f t="shared" si="30"/>
        <v>361.82646826900617</v>
      </c>
    </row>
    <row r="140" spans="2:32" ht="17" thickBot="1" x14ac:dyDescent="0.25">
      <c r="B140" s="9"/>
      <c r="C140" s="9"/>
      <c r="D140" s="41"/>
      <c r="E140" s="9"/>
      <c r="F140" s="39"/>
      <c r="G140" s="39"/>
      <c r="H140" s="9"/>
      <c r="I140" s="9"/>
      <c r="J140" s="9"/>
      <c r="K140" s="9"/>
      <c r="L140" s="9"/>
      <c r="M140" s="9"/>
      <c r="N140" s="9"/>
      <c r="O140" s="9"/>
      <c r="P140" s="40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C140" s="57">
        <f>SUM(AC4:AC139)</f>
        <v>81.817131763998447</v>
      </c>
      <c r="AD140" s="58">
        <f t="shared" si="41"/>
        <v>252814.9371507552</v>
      </c>
    </row>
    <row r="141" spans="2:32" x14ac:dyDescent="0.2">
      <c r="B141" s="9"/>
      <c r="C141" s="9"/>
      <c r="D141" s="41"/>
      <c r="E141" s="9"/>
      <c r="F141" s="39"/>
      <c r="G141" s="39"/>
      <c r="H141" s="9"/>
      <c r="I141" s="9"/>
      <c r="J141" s="9"/>
      <c r="K141" s="9"/>
      <c r="L141" s="9"/>
      <c r="M141" s="9"/>
      <c r="N141" s="9"/>
      <c r="O141" s="9"/>
      <c r="P141" s="40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2:32" x14ac:dyDescent="0.2">
      <c r="B142" s="9"/>
      <c r="C142" s="9"/>
      <c r="D142" s="41"/>
      <c r="E142" s="9"/>
      <c r="F142" s="39"/>
      <c r="G142" s="39"/>
      <c r="H142" s="9"/>
      <c r="I142" s="9"/>
      <c r="J142" s="9"/>
      <c r="K142" s="9"/>
      <c r="L142" s="9"/>
      <c r="M142" s="9"/>
      <c r="N142" s="9"/>
      <c r="O142" s="9"/>
      <c r="P142" s="40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2:32" x14ac:dyDescent="0.2">
      <c r="B143" s="9"/>
      <c r="C143" s="9"/>
      <c r="D143" s="41"/>
      <c r="E143" s="9"/>
      <c r="F143" s="39"/>
      <c r="G143" s="39"/>
      <c r="H143" s="9"/>
      <c r="I143" s="9"/>
      <c r="J143" s="9"/>
      <c r="K143" s="9"/>
      <c r="L143" s="9"/>
      <c r="M143" s="9"/>
      <c r="N143" s="9"/>
      <c r="O143" s="9"/>
      <c r="P143" s="40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2:32" x14ac:dyDescent="0.2">
      <c r="B144" s="9"/>
      <c r="C144" s="9"/>
      <c r="D144" s="41"/>
      <c r="E144" s="9"/>
      <c r="F144" s="9"/>
      <c r="G144" s="39"/>
      <c r="H144" s="9"/>
      <c r="I144" s="9"/>
      <c r="J144" s="9"/>
      <c r="K144" s="9"/>
      <c r="L144" s="9"/>
      <c r="M144" s="9"/>
      <c r="N144" s="9"/>
      <c r="O144" s="9"/>
      <c r="P144" s="40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2:27" x14ac:dyDescent="0.2">
      <c r="B145" s="9"/>
      <c r="C145" s="9"/>
      <c r="D145" s="41"/>
      <c r="E145" s="9"/>
      <c r="F145" s="9"/>
      <c r="G145" s="39"/>
      <c r="H145" s="9"/>
      <c r="I145" s="9"/>
      <c r="J145" s="9"/>
      <c r="K145" s="9"/>
      <c r="L145" s="9"/>
      <c r="M145" s="9"/>
      <c r="N145" s="9"/>
      <c r="O145" s="9"/>
      <c r="P145" s="40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 x14ac:dyDescent="0.2">
      <c r="B146" s="9"/>
      <c r="C146" s="9"/>
      <c r="D146" s="41"/>
      <c r="E146" s="9"/>
      <c r="F146" s="9"/>
      <c r="G146" s="39"/>
      <c r="H146" s="9"/>
      <c r="I146" s="9"/>
      <c r="J146" s="9"/>
      <c r="K146" s="9"/>
      <c r="L146" s="9"/>
      <c r="M146" s="9"/>
      <c r="N146" s="9"/>
      <c r="O146" s="9"/>
      <c r="P146" s="40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 x14ac:dyDescent="0.2">
      <c r="B147" s="9"/>
      <c r="C147" s="9"/>
      <c r="D147" s="41"/>
      <c r="E147" s="9"/>
      <c r="F147" s="9"/>
      <c r="G147" s="39"/>
      <c r="H147" s="9"/>
      <c r="I147" s="9"/>
      <c r="J147" s="9"/>
      <c r="K147" s="9"/>
      <c r="L147" s="9"/>
      <c r="M147" s="9"/>
      <c r="N147" s="9"/>
      <c r="O147" s="9"/>
      <c r="P147" s="40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 x14ac:dyDescent="0.2">
      <c r="B148" s="9"/>
      <c r="C148" s="9"/>
      <c r="D148" s="41"/>
      <c r="E148" s="9"/>
      <c r="F148" s="9"/>
      <c r="G148" s="39"/>
      <c r="H148" s="9"/>
      <c r="I148" s="9"/>
      <c r="J148" s="9"/>
      <c r="K148" s="9"/>
      <c r="L148" s="9"/>
      <c r="M148" s="9"/>
      <c r="N148" s="9"/>
      <c r="O148" s="9"/>
      <c r="P148" s="40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 x14ac:dyDescent="0.2">
      <c r="B149" s="9"/>
      <c r="C149" s="9"/>
      <c r="D149" s="41"/>
      <c r="E149" s="9"/>
      <c r="F149" s="9"/>
      <c r="G149" s="39"/>
      <c r="H149" s="9"/>
      <c r="I149" s="9"/>
      <c r="J149" s="9"/>
      <c r="K149" s="9"/>
      <c r="L149" s="9"/>
      <c r="M149" s="9"/>
      <c r="N149" s="9"/>
      <c r="O149" s="9"/>
      <c r="P149" s="40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 x14ac:dyDescent="0.2">
      <c r="B150" s="9"/>
      <c r="C150" s="9"/>
      <c r="D150" s="41"/>
      <c r="E150" s="9"/>
      <c r="F150" s="9"/>
      <c r="G150" s="39"/>
      <c r="H150" s="9"/>
      <c r="I150" s="9"/>
      <c r="J150" s="9"/>
      <c r="K150" s="9"/>
      <c r="L150" s="9"/>
      <c r="M150" s="9"/>
      <c r="N150" s="9"/>
      <c r="O150" s="9"/>
      <c r="P150" s="40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 x14ac:dyDescent="0.2">
      <c r="B151" s="9"/>
      <c r="C151" s="9"/>
      <c r="D151" s="41"/>
      <c r="E151" s="9"/>
      <c r="F151" s="9"/>
      <c r="G151" s="39"/>
      <c r="H151" s="9"/>
      <c r="I151" s="9"/>
      <c r="J151" s="9"/>
      <c r="K151" s="9"/>
      <c r="L151" s="9"/>
      <c r="M151" s="9"/>
      <c r="N151" s="9"/>
      <c r="O151" s="9"/>
      <c r="P151" s="40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 x14ac:dyDescent="0.2">
      <c r="B152" s="9"/>
      <c r="C152" s="9"/>
      <c r="D152" s="41"/>
      <c r="E152" s="9"/>
      <c r="F152" s="9"/>
      <c r="G152" s="39"/>
      <c r="H152" s="9"/>
      <c r="I152" s="9"/>
      <c r="J152" s="9"/>
      <c r="K152" s="9"/>
      <c r="L152" s="9"/>
      <c r="M152" s="9"/>
      <c r="N152" s="9"/>
      <c r="O152" s="9"/>
      <c r="P152" s="40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 x14ac:dyDescent="0.2">
      <c r="B153" s="9"/>
      <c r="C153" s="9"/>
      <c r="D153" s="41"/>
      <c r="E153" s="9"/>
      <c r="F153" s="9"/>
      <c r="G153" s="39"/>
      <c r="H153" s="9"/>
      <c r="I153" s="9"/>
      <c r="J153" s="9"/>
      <c r="K153" s="9"/>
      <c r="L153" s="9"/>
      <c r="M153" s="9"/>
      <c r="N153" s="9"/>
      <c r="O153" s="9"/>
      <c r="P153" s="40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 x14ac:dyDescent="0.2">
      <c r="B154" s="9"/>
      <c r="C154" s="9"/>
      <c r="D154" s="9"/>
      <c r="E154" s="9"/>
      <c r="F154" s="9"/>
      <c r="G154" s="39"/>
      <c r="H154" s="9"/>
      <c r="I154" s="9"/>
      <c r="J154" s="9"/>
      <c r="K154" s="9"/>
      <c r="L154" s="9"/>
      <c r="M154" s="9"/>
      <c r="N154" s="9"/>
      <c r="O154" s="9"/>
      <c r="P154" s="40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 x14ac:dyDescent="0.2">
      <c r="B155" s="9"/>
      <c r="C155" s="9"/>
      <c r="D155" s="9"/>
      <c r="E155" s="9"/>
      <c r="F155" s="9"/>
      <c r="G155" s="39"/>
      <c r="H155" s="9"/>
      <c r="I155" s="9"/>
      <c r="J155" s="9"/>
      <c r="K155" s="9"/>
      <c r="L155" s="9"/>
      <c r="M155" s="9"/>
      <c r="N155" s="9"/>
      <c r="O155" s="9"/>
      <c r="P155" s="40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 x14ac:dyDescent="0.2">
      <c r="B156" s="9"/>
      <c r="C156" s="9"/>
      <c r="D156" s="9"/>
      <c r="E156" s="9"/>
      <c r="F156" s="9"/>
      <c r="G156" s="39"/>
      <c r="H156" s="9"/>
      <c r="I156" s="9"/>
      <c r="J156" s="9"/>
      <c r="K156" s="9"/>
      <c r="L156" s="9"/>
      <c r="M156" s="9"/>
      <c r="N156" s="9"/>
      <c r="O156" s="9"/>
      <c r="P156" s="40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 x14ac:dyDescent="0.2">
      <c r="B157" s="9"/>
      <c r="C157" s="9"/>
      <c r="D157" s="9"/>
      <c r="E157" s="9"/>
      <c r="F157" s="9"/>
      <c r="G157" s="39"/>
      <c r="H157" s="9"/>
      <c r="I157" s="9"/>
      <c r="J157" s="9"/>
      <c r="K157" s="9"/>
      <c r="L157" s="9"/>
      <c r="M157" s="9"/>
      <c r="N157" s="9"/>
      <c r="O157" s="9"/>
      <c r="P157" s="40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 x14ac:dyDescent="0.2">
      <c r="B158" s="9"/>
      <c r="C158" s="9"/>
      <c r="D158" s="9"/>
      <c r="E158" s="9"/>
      <c r="F158" s="9"/>
      <c r="G158" s="39"/>
      <c r="H158" s="9"/>
      <c r="I158" s="9"/>
      <c r="J158" s="9"/>
      <c r="K158" s="9"/>
      <c r="L158" s="9"/>
      <c r="M158" s="9"/>
      <c r="N158" s="9"/>
      <c r="O158" s="9"/>
      <c r="P158" s="40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 x14ac:dyDescent="0.2">
      <c r="B159" s="9"/>
      <c r="C159" s="9"/>
      <c r="D159" s="9"/>
      <c r="E159" s="9"/>
      <c r="F159" s="9"/>
      <c r="G159" s="39"/>
      <c r="H159" s="9"/>
      <c r="I159" s="9"/>
      <c r="J159" s="9"/>
      <c r="K159" s="9"/>
      <c r="L159" s="9"/>
      <c r="M159" s="9"/>
      <c r="N159" s="9"/>
      <c r="O159" s="9"/>
      <c r="P159" s="40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 x14ac:dyDescent="0.2">
      <c r="B160" s="9"/>
      <c r="C160" s="9"/>
      <c r="D160" s="9"/>
      <c r="E160" s="9"/>
      <c r="F160" s="9"/>
      <c r="G160" s="39"/>
      <c r="H160" s="9"/>
      <c r="I160" s="9"/>
      <c r="J160" s="9"/>
      <c r="K160" s="9"/>
      <c r="L160" s="9"/>
      <c r="M160" s="9"/>
      <c r="N160" s="9"/>
      <c r="O160" s="9"/>
      <c r="P160" s="40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 x14ac:dyDescent="0.2">
      <c r="B161" s="9"/>
      <c r="C161" s="9"/>
      <c r="D161" s="9"/>
      <c r="E161" s="9"/>
      <c r="F161" s="9"/>
      <c r="G161" s="39"/>
      <c r="H161" s="9"/>
      <c r="I161" s="9"/>
      <c r="J161" s="9"/>
      <c r="K161" s="9"/>
      <c r="L161" s="9"/>
      <c r="M161" s="9"/>
      <c r="N161" s="9"/>
      <c r="O161" s="9"/>
      <c r="P161" s="40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 x14ac:dyDescent="0.2">
      <c r="B162" s="9"/>
      <c r="C162" s="9"/>
      <c r="D162" s="9"/>
      <c r="E162" s="9"/>
      <c r="F162" s="9"/>
      <c r="G162" s="39"/>
      <c r="H162" s="9"/>
      <c r="I162" s="9"/>
      <c r="J162" s="9"/>
      <c r="K162" s="9"/>
      <c r="L162" s="9"/>
      <c r="M162" s="9"/>
      <c r="N162" s="9"/>
      <c r="O162" s="9"/>
      <c r="P162" s="40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 x14ac:dyDescent="0.2">
      <c r="B163" s="9"/>
      <c r="C163" s="9"/>
      <c r="D163" s="9"/>
      <c r="E163" s="9"/>
      <c r="F163" s="9"/>
      <c r="G163" s="39"/>
      <c r="H163" s="9"/>
      <c r="I163" s="9"/>
      <c r="J163" s="9"/>
      <c r="K163" s="9"/>
      <c r="L163" s="9"/>
      <c r="M163" s="9"/>
      <c r="N163" s="9"/>
      <c r="O163" s="9"/>
      <c r="P163" s="40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</sheetData>
  <mergeCells count="26">
    <mergeCell ref="C40:C53"/>
    <mergeCell ref="C34:C39"/>
    <mergeCell ref="C29:C33"/>
    <mergeCell ref="C25:C27"/>
    <mergeCell ref="C20:C24"/>
    <mergeCell ref="C83:C86"/>
    <mergeCell ref="C78:C81"/>
    <mergeCell ref="C76:C77"/>
    <mergeCell ref="C72:C75"/>
    <mergeCell ref="C64:C71"/>
    <mergeCell ref="C4:C19"/>
    <mergeCell ref="C132:C138"/>
    <mergeCell ref="C130:C131"/>
    <mergeCell ref="C126:C129"/>
    <mergeCell ref="C123:C125"/>
    <mergeCell ref="C117:C122"/>
    <mergeCell ref="C115:C116"/>
    <mergeCell ref="C113:C114"/>
    <mergeCell ref="C111:C112"/>
    <mergeCell ref="C54:C63"/>
    <mergeCell ref="C109:C110"/>
    <mergeCell ref="C106:C108"/>
    <mergeCell ref="C102:C105"/>
    <mergeCell ref="C97:C101"/>
    <mergeCell ref="C90:C96"/>
    <mergeCell ref="C87:C89"/>
  </mergeCells>
  <conditionalFormatting sqref="Y4:Y163">
    <cfRule type="cellIs" dxfId="1" priority="2" operator="greaterThan">
      <formula>$AK$5</formula>
    </cfRule>
  </conditionalFormatting>
  <conditionalFormatting sqref="AB4:AB139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0997B-8026-CA45-98FA-420626171B6D}">
  <dimension ref="A1"/>
  <sheetViews>
    <sheetView zoomScaleNormal="100" workbookViewId="0">
      <selection activeCell="X8" sqref="X8"/>
    </sheetView>
  </sheetViews>
  <sheetFormatPr baseColWidth="10" defaultRowHeight="16" x14ac:dyDescent="0.2"/>
  <cols>
    <col min="1" max="16384" width="10.832031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VEHICLE</vt:lpstr>
      <vt:lpstr>TRACK</vt:lpstr>
      <vt:lpstr>BSFC</vt:lpstr>
      <vt:lpstr>DUTY CYCLE</vt:lpstr>
      <vt:lpstr>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Wesley Patrick</dc:creator>
  <cp:lastModifiedBy>Wes John Patrick (1701708)</cp:lastModifiedBy>
  <dcterms:created xsi:type="dcterms:W3CDTF">2021-11-11T15:07:32Z</dcterms:created>
  <dcterms:modified xsi:type="dcterms:W3CDTF">2021-11-28T21:11:01Z</dcterms:modified>
</cp:coreProperties>
</file>