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purm\OneDrive - University of Wales Trinity Saint David\Subjects\Motorcycle Tech\Yamaha\"/>
    </mc:Choice>
  </mc:AlternateContent>
  <xr:revisionPtr revIDLastSave="0" documentId="13_ncr:1_{F6E62855-A1F8-490C-BB1A-CF005F5FA211}" xr6:coauthVersionLast="47" xr6:coauthVersionMax="47" xr10:uidLastSave="{00000000-0000-0000-0000-000000000000}"/>
  <bookViews>
    <workbookView xWindow="-120" yWindow="-120" windowWidth="29040" windowHeight="15720" activeTab="3" xr2:uid="{A19AFAC2-0491-475D-A182-983F253DCE2B}"/>
  </bookViews>
  <sheets>
    <sheet name="yamaha r6 gearbox wheelspeed" sheetId="1" r:id="rId1"/>
    <sheet name="Yamaha r6 shift point data" sheetId="3" r:id="rId2"/>
    <sheet name="Geometry" sheetId="4" r:id="rId3"/>
    <sheet name="CoG" sheetId="5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T24" i="5" l="1"/>
  <c r="S24" i="5"/>
  <c r="Q24" i="5"/>
  <c r="M24" i="5"/>
  <c r="M18" i="5"/>
  <c r="M17" i="5"/>
  <c r="T23" i="5" s="1"/>
  <c r="S12" i="5"/>
  <c r="M7" i="5" s="1"/>
  <c r="M8" i="5" s="1"/>
  <c r="R12" i="5"/>
  <c r="M6" i="5" s="1"/>
  <c r="S11" i="5"/>
  <c r="R11" i="5"/>
  <c r="M11" i="5"/>
  <c r="S8" i="5"/>
  <c r="R8" i="5"/>
  <c r="R24" i="5" l="1"/>
  <c r="R13" i="5"/>
  <c r="S13" i="5"/>
  <c r="S23" i="5"/>
  <c r="Q23" i="5"/>
  <c r="R23" i="5"/>
  <c r="J24" i="5" l="1"/>
  <c r="I24" i="5"/>
  <c r="G24" i="5"/>
  <c r="C24" i="5"/>
  <c r="C18" i="5"/>
  <c r="C17" i="5"/>
  <c r="J23" i="5" s="1"/>
  <c r="I12" i="5"/>
  <c r="C7" i="5" s="1"/>
  <c r="H12" i="5"/>
  <c r="C6" i="5" s="1"/>
  <c r="I11" i="5"/>
  <c r="H11" i="5"/>
  <c r="C11" i="5"/>
  <c r="I8" i="5"/>
  <c r="H8" i="5"/>
  <c r="C8" i="5" l="1"/>
  <c r="H24" i="5" s="1"/>
  <c r="H13" i="5"/>
  <c r="I13" i="5"/>
  <c r="G23" i="5"/>
  <c r="H23" i="5"/>
  <c r="I23" i="5"/>
  <c r="B2" i="1" l="1"/>
  <c r="J7" i="1" l="1"/>
  <c r="C2" i="3"/>
  <c r="R8" i="1"/>
  <c r="R9" i="1" s="1"/>
  <c r="R7" i="1"/>
  <c r="R5" i="1"/>
  <c r="R6" i="1" s="1"/>
  <c r="I11" i="4"/>
  <c r="I12" i="4" s="1"/>
  <c r="H11" i="4"/>
  <c r="H12" i="4" s="1"/>
  <c r="I10" i="4"/>
  <c r="H10" i="4"/>
  <c r="I7" i="4"/>
  <c r="H7" i="4"/>
  <c r="M8" i="1"/>
  <c r="N8" i="1" s="1"/>
  <c r="M9" i="1"/>
  <c r="N9" i="1" s="1"/>
  <c r="M10" i="1"/>
  <c r="N10" i="1" s="1"/>
  <c r="M11" i="1"/>
  <c r="N11" i="1" s="1"/>
  <c r="M7" i="1"/>
  <c r="N7" i="1" s="1"/>
  <c r="G7" i="3"/>
  <c r="G8" i="3"/>
  <c r="G9" i="3"/>
  <c r="G10" i="3"/>
  <c r="G11" i="3"/>
  <c r="G12" i="3"/>
  <c r="G13" i="3"/>
  <c r="G14" i="3"/>
  <c r="G15" i="3"/>
  <c r="G16" i="3"/>
  <c r="G17" i="3"/>
  <c r="G18" i="3"/>
  <c r="G19" i="3"/>
  <c r="G20" i="3"/>
  <c r="G21" i="3"/>
  <c r="G6" i="3"/>
  <c r="F7" i="3"/>
  <c r="F8" i="3"/>
  <c r="F9" i="3"/>
  <c r="F10" i="3"/>
  <c r="F11" i="3"/>
  <c r="F12" i="3"/>
  <c r="F13" i="3"/>
  <c r="F14" i="3"/>
  <c r="F15" i="3"/>
  <c r="F16" i="3"/>
  <c r="F17" i="3"/>
  <c r="F18" i="3"/>
  <c r="F19" i="3"/>
  <c r="F20" i="3"/>
  <c r="F21" i="3"/>
  <c r="F6" i="3"/>
  <c r="C7" i="3"/>
  <c r="J14" i="1"/>
  <c r="J13" i="1"/>
  <c r="J11" i="1"/>
  <c r="J10" i="1"/>
  <c r="J9" i="1"/>
  <c r="J8" i="1"/>
  <c r="J6" i="1"/>
  <c r="R10" i="1" l="1"/>
  <c r="N6" i="3" s="1"/>
  <c r="U6" i="3" s="1"/>
  <c r="I6" i="3"/>
  <c r="P6" i="3" s="1"/>
  <c r="I7" i="3"/>
  <c r="P7" i="3" s="1"/>
  <c r="K8" i="1"/>
  <c r="K9" i="1"/>
  <c r="K10" i="1"/>
  <c r="C8" i="3"/>
  <c r="K6" i="3" l="1"/>
  <c r="R6" i="3" s="1"/>
  <c r="K7" i="3"/>
  <c r="R7" i="3" s="1"/>
  <c r="J6" i="3"/>
  <c r="Q6" i="3" s="1"/>
  <c r="M6" i="3"/>
  <c r="T6" i="3" s="1"/>
  <c r="N7" i="3"/>
  <c r="U7" i="3" s="1"/>
  <c r="N21" i="3"/>
  <c r="K11" i="1"/>
  <c r="K7" i="1"/>
  <c r="J7" i="3"/>
  <c r="Q7" i="3" s="1"/>
  <c r="L6" i="3"/>
  <c r="S6" i="3" s="1"/>
  <c r="L7" i="3"/>
  <c r="S7" i="3" s="1"/>
  <c r="K6" i="1"/>
  <c r="M7" i="3"/>
  <c r="T7" i="3" s="1"/>
  <c r="R11" i="1"/>
  <c r="I10" i="3"/>
  <c r="N8" i="3"/>
  <c r="U8" i="3" s="1"/>
  <c r="M8" i="3"/>
  <c r="T8" i="3" s="1"/>
  <c r="L8" i="3"/>
  <c r="S8" i="3" s="1"/>
  <c r="J8" i="3"/>
  <c r="Q8" i="3" s="1"/>
  <c r="K8" i="3"/>
  <c r="R8" i="3" s="1"/>
  <c r="I8" i="3"/>
  <c r="P8" i="3" s="1"/>
  <c r="C9" i="3"/>
  <c r="N9" i="3" l="1"/>
  <c r="U9" i="3" s="1"/>
  <c r="M9" i="3"/>
  <c r="T9" i="3" s="1"/>
  <c r="L9" i="3"/>
  <c r="S9" i="3" s="1"/>
  <c r="J9" i="3"/>
  <c r="Q9" i="3" s="1"/>
  <c r="K9" i="3"/>
  <c r="R9" i="3" s="1"/>
  <c r="I9" i="3"/>
  <c r="P9" i="3" s="1"/>
  <c r="C10" i="3"/>
  <c r="N10" i="3" l="1"/>
  <c r="M10" i="3"/>
  <c r="T10" i="3" s="1"/>
  <c r="L10" i="3"/>
  <c r="S10" i="3" s="1"/>
  <c r="J10" i="3"/>
  <c r="Q10" i="3" s="1"/>
  <c r="K10" i="3"/>
  <c r="R10" i="3" s="1"/>
  <c r="P10" i="3"/>
  <c r="C11" i="3"/>
  <c r="U10" i="3"/>
  <c r="N11" i="3" l="1"/>
  <c r="M11" i="3"/>
  <c r="T11" i="3" s="1"/>
  <c r="L11" i="3"/>
  <c r="S11" i="3" s="1"/>
  <c r="J11" i="3"/>
  <c r="Q11" i="3" s="1"/>
  <c r="K11" i="3"/>
  <c r="R11" i="3" s="1"/>
  <c r="I11" i="3"/>
  <c r="P11" i="3" s="1"/>
  <c r="C12" i="3"/>
  <c r="U11" i="3"/>
  <c r="N12" i="3" l="1"/>
  <c r="M12" i="3"/>
  <c r="T12" i="3" s="1"/>
  <c r="L12" i="3"/>
  <c r="S12" i="3" s="1"/>
  <c r="J12" i="3"/>
  <c r="Q12" i="3" s="1"/>
  <c r="K12" i="3"/>
  <c r="R12" i="3" s="1"/>
  <c r="I12" i="3"/>
  <c r="P12" i="3" s="1"/>
  <c r="C13" i="3"/>
  <c r="U12" i="3"/>
  <c r="N13" i="3" l="1"/>
  <c r="M13" i="3"/>
  <c r="T13" i="3" s="1"/>
  <c r="L13" i="3"/>
  <c r="S13" i="3" s="1"/>
  <c r="J13" i="3"/>
  <c r="Q13" i="3" s="1"/>
  <c r="K13" i="3"/>
  <c r="R13" i="3" s="1"/>
  <c r="I13" i="3"/>
  <c r="P13" i="3" s="1"/>
  <c r="C14" i="3"/>
  <c r="U13" i="3"/>
  <c r="N14" i="3" l="1"/>
  <c r="M14" i="3"/>
  <c r="T14" i="3" s="1"/>
  <c r="L14" i="3"/>
  <c r="S14" i="3" s="1"/>
  <c r="J14" i="3"/>
  <c r="Q14" i="3" s="1"/>
  <c r="K14" i="3"/>
  <c r="R14" i="3" s="1"/>
  <c r="I14" i="3"/>
  <c r="P14" i="3" s="1"/>
  <c r="C15" i="3"/>
  <c r="U14" i="3"/>
  <c r="N15" i="3" l="1"/>
  <c r="U15" i="3" s="1"/>
  <c r="M15" i="3"/>
  <c r="T15" i="3" s="1"/>
  <c r="L15" i="3"/>
  <c r="S15" i="3" s="1"/>
  <c r="J15" i="3"/>
  <c r="Q15" i="3" s="1"/>
  <c r="K15" i="3"/>
  <c r="R15" i="3" s="1"/>
  <c r="I15" i="3"/>
  <c r="P15" i="3" s="1"/>
  <c r="C16" i="3"/>
  <c r="N16" i="3" l="1"/>
  <c r="U16" i="3" s="1"/>
  <c r="M16" i="3"/>
  <c r="T16" i="3" s="1"/>
  <c r="L16" i="3"/>
  <c r="S16" i="3" s="1"/>
  <c r="J16" i="3"/>
  <c r="Q16" i="3" s="1"/>
  <c r="K16" i="3"/>
  <c r="R16" i="3" s="1"/>
  <c r="I16" i="3"/>
  <c r="P16" i="3" s="1"/>
  <c r="C17" i="3"/>
  <c r="N17" i="3" l="1"/>
  <c r="M17" i="3"/>
  <c r="T17" i="3" s="1"/>
  <c r="L17" i="3"/>
  <c r="S17" i="3" s="1"/>
  <c r="J17" i="3"/>
  <c r="Q17" i="3" s="1"/>
  <c r="K17" i="3"/>
  <c r="R17" i="3" s="1"/>
  <c r="I17" i="3"/>
  <c r="P17" i="3" s="1"/>
  <c r="C18" i="3"/>
  <c r="U17" i="3"/>
  <c r="N18" i="3" l="1"/>
  <c r="M18" i="3"/>
  <c r="T18" i="3" s="1"/>
  <c r="L18" i="3"/>
  <c r="S18" i="3" s="1"/>
  <c r="J18" i="3"/>
  <c r="Q18" i="3" s="1"/>
  <c r="K18" i="3"/>
  <c r="R18" i="3" s="1"/>
  <c r="I18" i="3"/>
  <c r="P18" i="3" s="1"/>
  <c r="C19" i="3"/>
  <c r="U18" i="3"/>
  <c r="N19" i="3" l="1"/>
  <c r="U19" i="3" s="1"/>
  <c r="M19" i="3"/>
  <c r="T19" i="3" s="1"/>
  <c r="L19" i="3"/>
  <c r="S19" i="3" s="1"/>
  <c r="J19" i="3"/>
  <c r="Q19" i="3" s="1"/>
  <c r="K19" i="3"/>
  <c r="R19" i="3" s="1"/>
  <c r="I19" i="3"/>
  <c r="P19" i="3" s="1"/>
  <c r="C20" i="3"/>
  <c r="N20" i="3" l="1"/>
  <c r="U20" i="3" s="1"/>
  <c r="M20" i="3"/>
  <c r="T20" i="3" s="1"/>
  <c r="L20" i="3"/>
  <c r="S20" i="3" s="1"/>
  <c r="J20" i="3"/>
  <c r="Q20" i="3" s="1"/>
  <c r="K20" i="3"/>
  <c r="R20" i="3" s="1"/>
  <c r="I20" i="3"/>
  <c r="P20" i="3" s="1"/>
  <c r="C21" i="3"/>
  <c r="U21" i="3" l="1"/>
  <c r="M21" i="3"/>
  <c r="T21" i="3" s="1"/>
  <c r="L21" i="3"/>
  <c r="S21" i="3" s="1"/>
  <c r="J21" i="3"/>
  <c r="Q21" i="3" s="1"/>
  <c r="K21" i="3"/>
  <c r="R21" i="3" s="1"/>
  <c r="I21" i="3"/>
  <c r="P21" i="3" s="1"/>
</calcChain>
</file>

<file path=xl/sharedStrings.xml><?xml version="1.0" encoding="utf-8"?>
<sst xmlns="http://schemas.openxmlformats.org/spreadsheetml/2006/main" count="141" uniqueCount="79">
  <si>
    <t>final</t>
  </si>
  <si>
    <t>gearbox wheelspeed calculator</t>
  </si>
  <si>
    <t>tyre diamter size calculator</t>
  </si>
  <si>
    <t xml:space="preserve">gear </t>
  </si>
  <si>
    <t>ratio</t>
  </si>
  <si>
    <t>aspect ratio</t>
  </si>
  <si>
    <t>tyre width (mm)</t>
  </si>
  <si>
    <t>tyre width (in)</t>
  </si>
  <si>
    <t>rim size (in)</t>
  </si>
  <si>
    <t>input teeth</t>
  </si>
  <si>
    <t>output teeth</t>
  </si>
  <si>
    <t>primary</t>
  </si>
  <si>
    <t>chain length</t>
  </si>
  <si>
    <t>chain size</t>
  </si>
  <si>
    <t>front sprocket</t>
  </si>
  <si>
    <t>rear sprocket</t>
  </si>
  <si>
    <t>number of links</t>
  </si>
  <si>
    <t>distance from front sprocket and pivot</t>
  </si>
  <si>
    <t>swing arm length</t>
  </si>
  <si>
    <t>RPM</t>
  </si>
  <si>
    <t>power (HP)</t>
  </si>
  <si>
    <t>torque (Lb.Ft)</t>
  </si>
  <si>
    <t>Power (KW)</t>
  </si>
  <si>
    <t>Torque (NM)</t>
  </si>
  <si>
    <t>Power and Torque</t>
  </si>
  <si>
    <t>gear 1</t>
  </si>
  <si>
    <t>gear 2</t>
  </si>
  <si>
    <t>gear 3</t>
  </si>
  <si>
    <t>gear 4</t>
  </si>
  <si>
    <t>gear 5</t>
  </si>
  <si>
    <t>gear 6</t>
  </si>
  <si>
    <t>Wheel Speed (KM/H)</t>
  </si>
  <si>
    <t>Max Speed Km/h</t>
  </si>
  <si>
    <t>Driving Force (N)</t>
  </si>
  <si>
    <t>rake (caster angle)</t>
  </si>
  <si>
    <t>geometry</t>
  </si>
  <si>
    <t>trail (mm)</t>
  </si>
  <si>
    <t>wheelbase (mm)</t>
  </si>
  <si>
    <t>rear tyre width (mm)</t>
  </si>
  <si>
    <t>rear tyre width (in)</t>
  </si>
  <si>
    <t>rear rim size (in)</t>
  </si>
  <si>
    <t>rear tyre diamter (m)</t>
  </si>
  <si>
    <t>rear tyre diameter (in)</t>
  </si>
  <si>
    <t>rear aspect ratio</t>
  </si>
  <si>
    <t xml:space="preserve">front </t>
  </si>
  <si>
    <t>rim radius (in)</t>
  </si>
  <si>
    <t>rear rim radius (in)</t>
  </si>
  <si>
    <t>rear</t>
  </si>
  <si>
    <t>overall tyre diamter (m)</t>
  </si>
  <si>
    <t>overall tyre diamter (in)</t>
  </si>
  <si>
    <t>dropped revs</t>
  </si>
  <si>
    <t>actual revs drop</t>
  </si>
  <si>
    <t>Yamaha R6 2008</t>
  </si>
  <si>
    <t>max rpm</t>
  </si>
  <si>
    <t>Max Speed m/s</t>
  </si>
  <si>
    <t>bike image</t>
  </si>
  <si>
    <t>CoG Calculator</t>
  </si>
  <si>
    <t>Honda CBR 600 F3</t>
  </si>
  <si>
    <t>wheelbase (m)</t>
  </si>
  <si>
    <t>wheel Radius F (m)</t>
  </si>
  <si>
    <t>wheel Radius R (m)</t>
  </si>
  <si>
    <t>Average Wheel Radius (m)</t>
  </si>
  <si>
    <t>Rider Weight (Kg)</t>
  </si>
  <si>
    <t>Stool height (m)</t>
  </si>
  <si>
    <r>
      <t>θ (</t>
    </r>
    <r>
      <rPr>
        <vertAlign val="superscript"/>
        <sz val="11"/>
        <color theme="1"/>
        <rFont val="Calibri"/>
        <family val="2"/>
      </rPr>
      <t>o</t>
    </r>
    <r>
      <rPr>
        <sz val="11"/>
        <color theme="1"/>
        <rFont val="Calibri"/>
        <family val="2"/>
      </rPr>
      <t>)</t>
    </r>
  </si>
  <si>
    <t>no rider</t>
  </si>
  <si>
    <t>front</t>
  </si>
  <si>
    <t>level weight (Kg)</t>
  </si>
  <si>
    <t>Lifted Weight (Kg)</t>
  </si>
  <si>
    <t>total level weight (Kg)</t>
  </si>
  <si>
    <t>total lifted weight (Kg)</t>
  </si>
  <si>
    <t>with rider</t>
  </si>
  <si>
    <t>X CoG</t>
  </si>
  <si>
    <t>Y CoG</t>
  </si>
  <si>
    <t>weight on front %</t>
  </si>
  <si>
    <t>weight on rear %</t>
  </si>
  <si>
    <t>total level weight with rider (Kg)</t>
  </si>
  <si>
    <t>total lifted weight with rider (Kg)</t>
  </si>
  <si>
    <t>Ducati Panigale 1299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</si>
</sst>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u/>
      <sz val="12"/>
      <color theme="1"/>
      <name val="Calibri"/>
      <family val="2"/>
      <scheme val="minor"/>
    </font>
    <font>
      <b/>
      <u/>
      <sz val="26"/>
      <color theme="0"/>
      <name val="Calibri"/>
      <family val="2"/>
      <scheme val="minor"/>
    </font>
    <font>
      <sz val="20"/>
      <name val="Calibri"/>
      <family val="2"/>
      <scheme val="minor"/>
    </font>
    <font>
      <sz val="11"/>
      <color theme="1"/>
      <name val="Calibri"/>
      <family val="2"/>
    </font>
    <font>
      <vertAlign val="superscript"/>
      <sz val="11"/>
      <color theme="1"/>
      <name val="Calibri"/>
      <family val="2"/>
    </font>
  </fonts>
  <fills count="11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59999389629810485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0" xfId="0" applyAlignment="1">
      <alignment wrapText="1"/>
    </xf>
    <xf numFmtId="0" fontId="0" fillId="2" borderId="0" xfId="0" applyFill="1"/>
    <xf numFmtId="0" fontId="0" fillId="3" borderId="0" xfId="0" applyFill="1"/>
    <xf numFmtId="0" fontId="0" fillId="2" borderId="0" xfId="0" applyFill="1" applyAlignment="1">
      <alignment wrapText="1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/>
    <xf numFmtId="0" fontId="0" fillId="2" borderId="0" xfId="0" applyFill="1" applyAlignment="1">
      <alignment horizontal="center" wrapText="1"/>
    </xf>
    <xf numFmtId="0" fontId="1" fillId="0" borderId="0" xfId="0" applyFont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0" xfId="0" applyAlignment="1">
      <alignment horizontal="center"/>
    </xf>
    <xf numFmtId="0" fontId="3" fillId="5" borderId="0" xfId="0" applyFont="1" applyFill="1" applyAlignment="1">
      <alignment horizontal="center" wrapText="1"/>
    </xf>
    <xf numFmtId="0" fontId="0" fillId="0" borderId="0" xfId="0" applyAlignment="1">
      <alignment horizontal="center"/>
    </xf>
    <xf numFmtId="0" fontId="2" fillId="4" borderId="0" xfId="0" applyFont="1" applyFill="1" applyAlignment="1">
      <alignment horizontal="center"/>
    </xf>
    <xf numFmtId="0" fontId="1" fillId="4" borderId="0" xfId="0" applyFont="1" applyFill="1" applyAlignment="1">
      <alignment horizontal="center"/>
    </xf>
    <xf numFmtId="0" fontId="0" fillId="4" borderId="0" xfId="0" applyFill="1" applyAlignment="1">
      <alignment horizontal="center"/>
    </xf>
    <xf numFmtId="0" fontId="0" fillId="2" borderId="0" xfId="0" applyFill="1" applyAlignment="1">
      <alignment horizontal="center"/>
    </xf>
    <xf numFmtId="0" fontId="0" fillId="3" borderId="0" xfId="0" applyFill="1" applyAlignment="1">
      <alignment horizontal="center"/>
    </xf>
    <xf numFmtId="0" fontId="0" fillId="2" borderId="0" xfId="0" applyFill="1" applyAlignment="1">
      <alignment horizontal="center" wrapText="1"/>
    </xf>
    <xf numFmtId="0" fontId="4" fillId="6" borderId="0" xfId="0" applyFont="1" applyFill="1" applyAlignment="1">
      <alignment horizontal="center"/>
    </xf>
    <xf numFmtId="0" fontId="0" fillId="7" borderId="0" xfId="0" applyFill="1" applyAlignment="1">
      <alignment horizontal="center"/>
    </xf>
    <xf numFmtId="0" fontId="0" fillId="6" borderId="0" xfId="0" applyFill="1"/>
    <xf numFmtId="0" fontId="0" fillId="7" borderId="9" xfId="0" applyFill="1" applyBorder="1" applyAlignment="1">
      <alignment horizontal="center"/>
    </xf>
    <xf numFmtId="0" fontId="1" fillId="6" borderId="0" xfId="0" applyFont="1" applyFill="1" applyAlignment="1">
      <alignment horizontal="center"/>
    </xf>
    <xf numFmtId="0" fontId="0" fillId="7" borderId="0" xfId="0" applyFill="1"/>
    <xf numFmtId="0" fontId="0" fillId="7" borderId="9" xfId="0" applyFill="1" applyBorder="1"/>
    <xf numFmtId="0" fontId="0" fillId="8" borderId="9" xfId="0" applyFill="1" applyBorder="1"/>
    <xf numFmtId="0" fontId="5" fillId="6" borderId="0" xfId="0" applyFont="1" applyFill="1"/>
    <xf numFmtId="0" fontId="5" fillId="0" borderId="0" xfId="0" applyFont="1"/>
    <xf numFmtId="0" fontId="0" fillId="6" borderId="9" xfId="0" applyFill="1" applyBorder="1" applyAlignment="1">
      <alignment horizontal="center"/>
    </xf>
    <xf numFmtId="0" fontId="0" fillId="9" borderId="9" xfId="0" applyFill="1" applyBorder="1"/>
    <xf numFmtId="0" fontId="0" fillId="10" borderId="9" xfId="0" applyFill="1" applyBorder="1"/>
    <xf numFmtId="0" fontId="0" fillId="8" borderId="9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24849</xdr:colOff>
      <xdr:row>4</xdr:row>
      <xdr:rowOff>215348</xdr:rowOff>
    </xdr:from>
    <xdr:to>
      <xdr:col>4</xdr:col>
      <xdr:colOff>596736</xdr:colOff>
      <xdr:row>12</xdr:row>
      <xdr:rowOff>82826</xdr:rowOff>
    </xdr:to>
    <xdr:pic>
      <xdr:nvPicPr>
        <xdr:cNvPr id="2" name="Picture 1" descr="2008 Yamaha YZF-R6">
          <a:extLst>
            <a:ext uri="{FF2B5EF4-FFF2-40B4-BE49-F238E27FC236}">
              <a16:creationId xmlns:a16="http://schemas.microsoft.com/office/drawing/2014/main" id="{61616953-27E5-9672-DEE6-113E872B325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7762" y="1258957"/>
          <a:ext cx="2410626" cy="159854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A29566-440C-41E3-96CC-B952CA4B2C4F}">
  <dimension ref="B2:R18"/>
  <sheetViews>
    <sheetView showGridLines="0" zoomScaleNormal="100" workbookViewId="0">
      <selection activeCell="J20" sqref="J20"/>
    </sheetView>
  </sheetViews>
  <sheetFormatPr defaultRowHeight="15" x14ac:dyDescent="0.25"/>
  <cols>
    <col min="5" max="5" width="9.140625" customWidth="1"/>
    <col min="6" max="6" width="3.28515625" customWidth="1"/>
    <col min="7" max="7" width="11" bestFit="1" customWidth="1"/>
    <col min="8" max="8" width="10.42578125" customWidth="1"/>
    <col min="10" max="11" width="16.140625" bestFit="1" customWidth="1"/>
    <col min="12" max="12" width="14.7109375" bestFit="1" customWidth="1"/>
    <col min="15" max="15" width="8.140625" bestFit="1" customWidth="1"/>
    <col min="16" max="16" width="14.140625" customWidth="1"/>
    <col min="17" max="17" width="21.28515625" customWidth="1"/>
    <col min="18" max="18" width="12" bestFit="1" customWidth="1"/>
    <col min="19" max="21" width="14.140625" customWidth="1"/>
  </cols>
  <sheetData>
    <row r="2" spans="2:18" ht="36" customHeight="1" x14ac:dyDescent="0.5">
      <c r="B2" s="19" t="str">
        <f>Geometry!B2</f>
        <v>Yamaha R6 2008</v>
      </c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</row>
    <row r="3" spans="2:18" ht="15.75" thickBot="1" x14ac:dyDescent="0.3"/>
    <row r="4" spans="2:18" ht="15.75" x14ac:dyDescent="0.25">
      <c r="B4" s="10"/>
      <c r="C4" s="11"/>
      <c r="D4" s="11"/>
      <c r="E4" s="12"/>
      <c r="F4" s="9"/>
      <c r="G4" s="21" t="s">
        <v>1</v>
      </c>
      <c r="H4" s="21"/>
      <c r="I4" s="21"/>
      <c r="J4" s="21"/>
      <c r="K4" s="21"/>
      <c r="L4" s="21"/>
      <c r="M4" s="21"/>
      <c r="N4" s="21"/>
      <c r="O4" s="21"/>
      <c r="Q4" s="21" t="s">
        <v>2</v>
      </c>
      <c r="R4" s="22"/>
    </row>
    <row r="5" spans="2:18" ht="31.5" customHeight="1" x14ac:dyDescent="0.25">
      <c r="B5" s="13"/>
      <c r="E5" s="14"/>
      <c r="F5" s="9"/>
      <c r="G5" s="2" t="s">
        <v>3</v>
      </c>
      <c r="H5" s="4" t="s">
        <v>9</v>
      </c>
      <c r="I5" s="4" t="s">
        <v>10</v>
      </c>
      <c r="J5" s="4" t="s">
        <v>4</v>
      </c>
      <c r="K5" s="2" t="s">
        <v>32</v>
      </c>
      <c r="L5" s="2" t="s">
        <v>54</v>
      </c>
      <c r="M5" s="4" t="s">
        <v>50</v>
      </c>
      <c r="N5" s="4" t="s">
        <v>51</v>
      </c>
      <c r="O5" s="2" t="s">
        <v>53</v>
      </c>
      <c r="Q5" s="2" t="s">
        <v>38</v>
      </c>
      <c r="R5" s="3">
        <f>Geometry!I6</f>
        <v>180</v>
      </c>
    </row>
    <row r="6" spans="2:18" x14ac:dyDescent="0.25">
      <c r="B6" s="13"/>
      <c r="E6" s="14"/>
      <c r="F6" s="9"/>
      <c r="G6" s="3">
        <v>1</v>
      </c>
      <c r="H6" s="3">
        <v>12</v>
      </c>
      <c r="I6" s="3">
        <v>31</v>
      </c>
      <c r="J6" s="3">
        <f t="shared" ref="J6:J11" si="0">I6/H6</f>
        <v>2.5833333333333335</v>
      </c>
      <c r="K6" s="3">
        <f t="shared" ref="K6:K11" si="1">((O6*60*(H6/I6)*$R$10*($H$13/$I$13))*PI()/1000)*($H$14/$I$14)</f>
        <v>124.1298668689558</v>
      </c>
      <c r="L6" s="3"/>
      <c r="M6" s="3"/>
      <c r="N6" s="3"/>
      <c r="O6" s="3">
        <v>15750</v>
      </c>
      <c r="Q6" s="2" t="s">
        <v>39</v>
      </c>
      <c r="R6" s="3">
        <f>R5/25.4</f>
        <v>7.0866141732283472</v>
      </c>
    </row>
    <row r="7" spans="2:18" x14ac:dyDescent="0.25">
      <c r="B7" s="13"/>
      <c r="E7" s="14"/>
      <c r="F7" s="9"/>
      <c r="G7" s="3">
        <v>2</v>
      </c>
      <c r="H7" s="3">
        <v>16</v>
      </c>
      <c r="I7" s="3">
        <v>32</v>
      </c>
      <c r="J7" s="3">
        <f t="shared" si="0"/>
        <v>2</v>
      </c>
      <c r="K7" s="3">
        <f t="shared" si="1"/>
        <v>160.33441137240123</v>
      </c>
      <c r="L7" s="3"/>
      <c r="M7" s="3">
        <f>O7*(H6/I6)*(I7/H7)</f>
        <v>12193.548387096775</v>
      </c>
      <c r="N7" s="3">
        <f>O6-M7</f>
        <v>3556.4516129032254</v>
      </c>
      <c r="O7" s="3">
        <v>15750</v>
      </c>
      <c r="Q7" s="2" t="s">
        <v>43</v>
      </c>
      <c r="R7" s="3">
        <f>Geometry!I8</f>
        <v>55</v>
      </c>
    </row>
    <row r="8" spans="2:18" x14ac:dyDescent="0.25">
      <c r="B8" s="13"/>
      <c r="E8" s="14"/>
      <c r="F8" s="9"/>
      <c r="G8" s="3">
        <v>3</v>
      </c>
      <c r="H8" s="3">
        <v>18</v>
      </c>
      <c r="I8" s="3">
        <v>30</v>
      </c>
      <c r="J8" s="3">
        <f t="shared" si="0"/>
        <v>1.6666666666666667</v>
      </c>
      <c r="K8" s="3">
        <f t="shared" si="1"/>
        <v>192.4012936468815</v>
      </c>
      <c r="L8" s="3"/>
      <c r="M8" s="3">
        <f>O8*(H7/I7)*(I8/H8)</f>
        <v>13125</v>
      </c>
      <c r="N8" s="3">
        <f t="shared" ref="N8:N10" si="2">O7-M8</f>
        <v>2625</v>
      </c>
      <c r="O8" s="3">
        <v>15750</v>
      </c>
      <c r="Q8" s="2" t="s">
        <v>40</v>
      </c>
      <c r="R8" s="3">
        <f>Geometry!I9</f>
        <v>17</v>
      </c>
    </row>
    <row r="9" spans="2:18" x14ac:dyDescent="0.25">
      <c r="B9" s="13"/>
      <c r="C9" s="20" t="s">
        <v>55</v>
      </c>
      <c r="D9" s="20"/>
      <c r="E9" s="14"/>
      <c r="F9" s="9"/>
      <c r="G9" s="3">
        <v>4</v>
      </c>
      <c r="H9" s="3">
        <v>18</v>
      </c>
      <c r="I9" s="3">
        <v>26</v>
      </c>
      <c r="J9" s="3">
        <f t="shared" si="0"/>
        <v>1.4444444444444444</v>
      </c>
      <c r="K9" s="3">
        <f t="shared" si="1"/>
        <v>222.00149266947864</v>
      </c>
      <c r="L9" s="3"/>
      <c r="M9" s="3">
        <f>O9*(H8/I8)*(I9/H9)</f>
        <v>13650</v>
      </c>
      <c r="N9" s="3">
        <f t="shared" si="2"/>
        <v>2100</v>
      </c>
      <c r="O9" s="3">
        <v>15750</v>
      </c>
      <c r="Q9" s="2" t="s">
        <v>46</v>
      </c>
      <c r="R9" s="3">
        <f>R8/2</f>
        <v>8.5</v>
      </c>
    </row>
    <row r="10" spans="2:18" x14ac:dyDescent="0.25">
      <c r="B10" s="13"/>
      <c r="E10" s="14"/>
      <c r="F10" s="9"/>
      <c r="G10" s="3">
        <v>5</v>
      </c>
      <c r="H10" s="3">
        <v>21</v>
      </c>
      <c r="I10" s="3">
        <v>27</v>
      </c>
      <c r="J10" s="3">
        <f t="shared" si="0"/>
        <v>1.2857142857142858</v>
      </c>
      <c r="K10" s="3">
        <f t="shared" si="1"/>
        <v>249.40908435706862</v>
      </c>
      <c r="L10" s="3"/>
      <c r="M10" s="3">
        <f>O10*(H9/I9)*(I10/H10)</f>
        <v>14019.230769230771</v>
      </c>
      <c r="N10" s="3">
        <f t="shared" si="2"/>
        <v>1730.7692307692287</v>
      </c>
      <c r="O10" s="3">
        <v>15750</v>
      </c>
      <c r="Q10" s="2" t="s">
        <v>41</v>
      </c>
      <c r="R10" s="3">
        <f>(((((R5/25.4)*(R7/100)+(R8/2))*2*PI())*25.4)/PI())/1000</f>
        <v>0.62979999999999992</v>
      </c>
    </row>
    <row r="11" spans="2:18" x14ac:dyDescent="0.25">
      <c r="B11" s="13"/>
      <c r="E11" s="14"/>
      <c r="F11" s="9"/>
      <c r="G11" s="3">
        <v>6</v>
      </c>
      <c r="H11" s="3">
        <v>20</v>
      </c>
      <c r="I11" s="3">
        <v>23</v>
      </c>
      <c r="J11" s="3">
        <f t="shared" si="0"/>
        <v>1.1499999999999999</v>
      </c>
      <c r="K11" s="3">
        <f t="shared" si="1"/>
        <v>278.84245456069777</v>
      </c>
      <c r="L11" s="3"/>
      <c r="M11" s="3">
        <f>O11*(H10/I10)*(I11/H11)</f>
        <v>14087.499999999998</v>
      </c>
      <c r="N11" s="3">
        <f>O10-M11</f>
        <v>1662.5000000000018</v>
      </c>
      <c r="O11" s="3">
        <v>15750</v>
      </c>
      <c r="Q11" s="4" t="s">
        <v>42</v>
      </c>
      <c r="R11" s="3">
        <f>R10*39.3701</f>
        <v>24.795288979999999</v>
      </c>
    </row>
    <row r="12" spans="2:18" x14ac:dyDescent="0.25">
      <c r="B12" s="13"/>
      <c r="E12" s="14"/>
      <c r="F12" s="9"/>
      <c r="G12" s="3"/>
      <c r="H12" s="3"/>
      <c r="I12" s="3"/>
      <c r="J12" s="3"/>
    </row>
    <row r="13" spans="2:18" x14ac:dyDescent="0.25">
      <c r="B13" s="13"/>
      <c r="E13" s="14"/>
      <c r="F13" s="9"/>
      <c r="G13" s="3" t="s">
        <v>11</v>
      </c>
      <c r="H13" s="3">
        <v>41</v>
      </c>
      <c r="I13" s="3">
        <v>85</v>
      </c>
      <c r="J13" s="3">
        <f>I13/H13</f>
        <v>2.0731707317073171</v>
      </c>
    </row>
    <row r="14" spans="2:18" ht="15.75" thickBot="1" x14ac:dyDescent="0.3">
      <c r="B14" s="15"/>
      <c r="C14" s="16"/>
      <c r="D14" s="16"/>
      <c r="E14" s="17"/>
      <c r="F14" s="9"/>
      <c r="G14" s="3" t="s">
        <v>0</v>
      </c>
      <c r="H14" s="3">
        <v>16</v>
      </c>
      <c r="I14" s="3">
        <v>45</v>
      </c>
      <c r="J14" s="3">
        <f>I14/H14</f>
        <v>2.8125</v>
      </c>
    </row>
    <row r="18" ht="15" customHeight="1" x14ac:dyDescent="0.25"/>
  </sheetData>
  <mergeCells count="4">
    <mergeCell ref="B2:R2"/>
    <mergeCell ref="C9:D9"/>
    <mergeCell ref="G4:O4"/>
    <mergeCell ref="Q4:R4"/>
  </mergeCells>
  <pageMargins left="0.7" right="0.7" top="0.75" bottom="0.75" header="0.3" footer="0.3"/>
  <pageSetup orientation="portrait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F797B8-1910-4B0B-8BD9-6F21D36464EE}">
  <dimension ref="C2:U21"/>
  <sheetViews>
    <sheetView showGridLines="0" zoomScale="55" zoomScaleNormal="55" workbookViewId="0">
      <selection activeCell="N63" sqref="N63"/>
    </sheetView>
  </sheetViews>
  <sheetFormatPr defaultRowHeight="15" x14ac:dyDescent="0.25"/>
  <cols>
    <col min="1" max="2" width="3.5703125" customWidth="1"/>
    <col min="4" max="4" width="11" bestFit="1" customWidth="1"/>
    <col min="5" max="5" width="13.28515625" bestFit="1" customWidth="1"/>
    <col min="6" max="6" width="11.5703125" bestFit="1" customWidth="1"/>
    <col min="7" max="7" width="12.28515625" bestFit="1" customWidth="1"/>
  </cols>
  <sheetData>
    <row r="2" spans="3:21" ht="33.75" customHeight="1" x14ac:dyDescent="0.5">
      <c r="C2" s="19" t="str">
        <f>Geometry!B2</f>
        <v>Yamaha R6 2008</v>
      </c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  <c r="U2" s="19"/>
    </row>
    <row r="4" spans="3:21" ht="15.75" x14ac:dyDescent="0.25">
      <c r="C4" s="21" t="s">
        <v>24</v>
      </c>
      <c r="D4" s="23"/>
      <c r="E4" s="23"/>
      <c r="F4" s="23"/>
      <c r="G4" s="23"/>
      <c r="I4" s="21" t="s">
        <v>31</v>
      </c>
      <c r="J4" s="23"/>
      <c r="K4" s="23"/>
      <c r="L4" s="23"/>
      <c r="M4" s="23"/>
      <c r="N4" s="23"/>
      <c r="P4" s="21" t="s">
        <v>33</v>
      </c>
      <c r="Q4" s="23"/>
      <c r="R4" s="23"/>
      <c r="S4" s="23"/>
      <c r="T4" s="23"/>
      <c r="U4" s="23"/>
    </row>
    <row r="5" spans="3:21" x14ac:dyDescent="0.25">
      <c r="C5" s="2" t="s">
        <v>19</v>
      </c>
      <c r="D5" s="2" t="s">
        <v>20</v>
      </c>
      <c r="E5" s="2" t="s">
        <v>21</v>
      </c>
      <c r="F5" s="2" t="s">
        <v>22</v>
      </c>
      <c r="G5" s="2" t="s">
        <v>23</v>
      </c>
      <c r="I5" s="2" t="s">
        <v>25</v>
      </c>
      <c r="J5" s="2" t="s">
        <v>26</v>
      </c>
      <c r="K5" s="2" t="s">
        <v>27</v>
      </c>
      <c r="L5" s="2" t="s">
        <v>28</v>
      </c>
      <c r="M5" s="2" t="s">
        <v>29</v>
      </c>
      <c r="N5" s="2" t="s">
        <v>30</v>
      </c>
      <c r="P5" s="2" t="s">
        <v>25</v>
      </c>
      <c r="Q5" s="2" t="s">
        <v>26</v>
      </c>
      <c r="R5" s="2" t="s">
        <v>27</v>
      </c>
      <c r="S5" s="2" t="s">
        <v>28</v>
      </c>
      <c r="T5" s="2" t="s">
        <v>29</v>
      </c>
      <c r="U5" s="2" t="s">
        <v>30</v>
      </c>
    </row>
    <row r="6" spans="3:21" x14ac:dyDescent="0.25">
      <c r="C6" s="3">
        <v>1000</v>
      </c>
      <c r="D6" s="3">
        <v>0</v>
      </c>
      <c r="E6" s="3">
        <v>0</v>
      </c>
      <c r="F6" s="3">
        <f>D6*0.7457</f>
        <v>0</v>
      </c>
      <c r="G6" s="3">
        <f>E6*1.356</f>
        <v>0</v>
      </c>
      <c r="I6" s="3">
        <f>($C6*60*('yamaha r6 gearbox wheelspeed'!$H$6/'yamaha r6 gearbox wheelspeed'!$I$6)*'yamaha r6 gearbox wheelspeed'!$R$10*PI()*('yamaha r6 gearbox wheelspeed'!$H$13/'yamaha r6 gearbox wheelspeed'!$I$13)/1000)*('yamaha r6 gearbox wheelspeed'!$H$14/'yamaha r6 gearbox wheelspeed'!$I$14)</f>
        <v>7.8812613885051306</v>
      </c>
      <c r="J6" s="3">
        <f>($C6*60*('yamaha r6 gearbox wheelspeed'!$H$7/'yamaha r6 gearbox wheelspeed'!$I$7)*'yamaha r6 gearbox wheelspeed'!$R$10*PI()*('yamaha r6 gearbox wheelspeed'!$H$13/'yamaha r6 gearbox wheelspeed'!$I$13)/1000)*('yamaha r6 gearbox wheelspeed'!$H$14/'yamaha r6 gearbox wheelspeed'!$I$14)</f>
        <v>10.179962626819126</v>
      </c>
      <c r="K6" s="3">
        <f>($C6*60*('yamaha r6 gearbox wheelspeed'!$H$8/'yamaha r6 gearbox wheelspeed'!$I$8)*'yamaha r6 gearbox wheelspeed'!$R$10*PI()*('yamaha r6 gearbox wheelspeed'!$H$13/'yamaha r6 gearbox wheelspeed'!$I$13)/1000)*('yamaha r6 gearbox wheelspeed'!$H$14/'yamaha r6 gearbox wheelspeed'!$I$14)</f>
        <v>12.215955152182953</v>
      </c>
      <c r="L6" s="3">
        <f>($C6*60*('yamaha r6 gearbox wheelspeed'!$H$9/'yamaha r6 gearbox wheelspeed'!$I$9)*'yamaha r6 gearbox wheelspeed'!$R$10*PI()*('yamaha r6 gearbox wheelspeed'!$H$13/'yamaha r6 gearbox wheelspeed'!$I$13)/1000)*('yamaha r6 gearbox wheelspeed'!$H$14/'yamaha r6 gearbox wheelspeed'!$I$14)</f>
        <v>14.095332867903409</v>
      </c>
      <c r="M6" s="3">
        <f>($C6*60*('yamaha r6 gearbox wheelspeed'!$H$10/'yamaha r6 gearbox wheelspeed'!$I$10)*'yamaha r6 gearbox wheelspeed'!$R$10*PI()*('yamaha r6 gearbox wheelspeed'!$H$13/'yamaha r6 gearbox wheelspeed'!$I$13)/1000)*('yamaha r6 gearbox wheelspeed'!$H$14/'yamaha r6 gearbox wheelspeed'!$I$14)</f>
        <v>15.83549741949642</v>
      </c>
      <c r="N6" s="3">
        <f>($C6*60*('yamaha r6 gearbox wheelspeed'!$H$11/'yamaha r6 gearbox wheelspeed'!$I$11)*'yamaha r6 gearbox wheelspeed'!$R$10*PI()*('yamaha r6 gearbox wheelspeed'!$H$13/'yamaha r6 gearbox wheelspeed'!$I$13)/1000)*('yamaha r6 gearbox wheelspeed'!$H$14/'yamaha r6 gearbox wheelspeed'!$I$14)</f>
        <v>17.704282829250651</v>
      </c>
      <c r="P6" s="3">
        <f>($F6*1000)/(I6*(1000/3600))</f>
        <v>0</v>
      </c>
      <c r="Q6" s="3">
        <f>($F6*1000)/(J6*(1000/3600))</f>
        <v>0</v>
      </c>
      <c r="R6" s="3">
        <f>($F6*1000)/(K6*(1000/3600))</f>
        <v>0</v>
      </c>
      <c r="S6" s="3">
        <f t="shared" ref="S6:T21" si="0">($F6*1000)/(L6*(1000/3600))</f>
        <v>0</v>
      </c>
      <c r="T6" s="3">
        <f t="shared" si="0"/>
        <v>0</v>
      </c>
      <c r="U6" s="3">
        <f>($F6*1000)/(N6*(1000/3600))</f>
        <v>0</v>
      </c>
    </row>
    <row r="7" spans="3:21" x14ac:dyDescent="0.25">
      <c r="C7" s="3">
        <f>C6+1000</f>
        <v>2000</v>
      </c>
      <c r="D7" s="3">
        <v>0</v>
      </c>
      <c r="E7" s="3">
        <v>0</v>
      </c>
      <c r="F7" s="3">
        <f t="shared" ref="F7:F21" si="1">D7*0.7457</f>
        <v>0</v>
      </c>
      <c r="G7" s="3">
        <f t="shared" ref="G7:G21" si="2">E7*1.356</f>
        <v>0</v>
      </c>
      <c r="I7" s="3">
        <f>(C7*60*('yamaha r6 gearbox wheelspeed'!$H$6/'yamaha r6 gearbox wheelspeed'!$I$6)*'yamaha r6 gearbox wheelspeed'!$R$10*PI()*('yamaha r6 gearbox wheelspeed'!$H$13/'yamaha r6 gearbox wheelspeed'!$I$13)/1000)*('yamaha r6 gearbox wheelspeed'!$H$14/'yamaha r6 gearbox wheelspeed'!$I$14)</f>
        <v>15.762522777010261</v>
      </c>
      <c r="J7" s="3">
        <f>($C7*60*('yamaha r6 gearbox wheelspeed'!$H$7/'yamaha r6 gearbox wheelspeed'!$I$7)*'yamaha r6 gearbox wheelspeed'!$R$10*PI()*('yamaha r6 gearbox wheelspeed'!$H$13/'yamaha r6 gearbox wheelspeed'!$I$13)/1000)*('yamaha r6 gearbox wheelspeed'!$H$14/'yamaha r6 gearbox wheelspeed'!$I$14)</f>
        <v>20.359925253638252</v>
      </c>
      <c r="K7" s="3">
        <f>($C7*60*('yamaha r6 gearbox wheelspeed'!$H$8/'yamaha r6 gearbox wheelspeed'!$I$8)*'yamaha r6 gearbox wheelspeed'!$R$10*PI()*('yamaha r6 gearbox wheelspeed'!$H$13/'yamaha r6 gearbox wheelspeed'!$I$13)/1000)*('yamaha r6 gearbox wheelspeed'!$H$14/'yamaha r6 gearbox wheelspeed'!$I$14)</f>
        <v>24.431910304365907</v>
      </c>
      <c r="L7" s="3">
        <f>($C7*60*('yamaha r6 gearbox wheelspeed'!$H$9/'yamaha r6 gearbox wheelspeed'!$I$9)*'yamaha r6 gearbox wheelspeed'!$R$10*PI()*('yamaha r6 gearbox wheelspeed'!$H$13/'yamaha r6 gearbox wheelspeed'!$I$13)/1000)*('yamaha r6 gearbox wheelspeed'!$H$14/'yamaha r6 gearbox wheelspeed'!$I$14)</f>
        <v>28.190665735806817</v>
      </c>
      <c r="M7" s="3">
        <f>($C7*60*('yamaha r6 gearbox wheelspeed'!$H$10/'yamaha r6 gearbox wheelspeed'!$I$10)*'yamaha r6 gearbox wheelspeed'!$R$10*PI()*('yamaha r6 gearbox wheelspeed'!$H$13/'yamaha r6 gearbox wheelspeed'!$I$13)/1000)*('yamaha r6 gearbox wheelspeed'!$H$14/'yamaha r6 gearbox wheelspeed'!$I$14)</f>
        <v>31.67099483899284</v>
      </c>
      <c r="N7" s="3">
        <f>($C7*60*('yamaha r6 gearbox wheelspeed'!$H$11/'yamaha r6 gearbox wheelspeed'!$I$11)*'yamaha r6 gearbox wheelspeed'!$R$10*PI()*('yamaha r6 gearbox wheelspeed'!$H$13/'yamaha r6 gearbox wheelspeed'!$I$13)/1000)*('yamaha r6 gearbox wheelspeed'!$H$14/'yamaha r6 gearbox wheelspeed'!$I$14)</f>
        <v>35.408565658501303</v>
      </c>
      <c r="P7" s="3">
        <f t="shared" ref="P7:P21" si="3">($F7*1000)/(I7*(1000/3600))</f>
        <v>0</v>
      </c>
      <c r="Q7" s="3">
        <f t="shared" ref="Q7:Q21" si="4">($F7*1000)/(J7*(1000/3600))</f>
        <v>0</v>
      </c>
      <c r="R7" s="3">
        <f t="shared" ref="R7:R21" si="5">($F7*1000)/(K7*(1000/3600))</f>
        <v>0</v>
      </c>
      <c r="S7" s="3">
        <f t="shared" si="0"/>
        <v>0</v>
      </c>
      <c r="T7" s="3">
        <f t="shared" si="0"/>
        <v>0</v>
      </c>
      <c r="U7" s="3">
        <f t="shared" ref="U7:U21" si="6">($F7*1000)/(N7*(1000/3600))</f>
        <v>0</v>
      </c>
    </row>
    <row r="8" spans="3:21" x14ac:dyDescent="0.25">
      <c r="C8" s="3">
        <f t="shared" ref="C8:C21" si="7">C7+1000</f>
        <v>3000</v>
      </c>
      <c r="D8" s="3">
        <v>10</v>
      </c>
      <c r="E8" s="3">
        <v>10</v>
      </c>
      <c r="F8" s="3">
        <f t="shared" si="1"/>
        <v>7.4570000000000007</v>
      </c>
      <c r="G8" s="3">
        <f t="shared" si="2"/>
        <v>13.56</v>
      </c>
      <c r="I8" s="3">
        <f>(C8*60*('yamaha r6 gearbox wheelspeed'!$H$6/'yamaha r6 gearbox wheelspeed'!$I$6)*'yamaha r6 gearbox wheelspeed'!$R$10*PI()*('yamaha r6 gearbox wheelspeed'!$H$13/'yamaha r6 gearbox wheelspeed'!$I$13)/1000)*('yamaha r6 gearbox wheelspeed'!$H$14/'yamaha r6 gearbox wheelspeed'!$I$14)</f>
        <v>23.643784165515395</v>
      </c>
      <c r="J8" s="3">
        <f>($C8*60*('yamaha r6 gearbox wheelspeed'!$H$7/'yamaha r6 gearbox wheelspeed'!$I$7)*'yamaha r6 gearbox wheelspeed'!$R$10*PI()*('yamaha r6 gearbox wheelspeed'!$H$13/'yamaha r6 gearbox wheelspeed'!$I$13)/1000)*('yamaha r6 gearbox wheelspeed'!$H$14/'yamaha r6 gearbox wheelspeed'!$I$14)</f>
        <v>30.539887880457382</v>
      </c>
      <c r="K8" s="3">
        <f>($C8*60*('yamaha r6 gearbox wheelspeed'!$H$8/'yamaha r6 gearbox wheelspeed'!$I$8)*'yamaha r6 gearbox wheelspeed'!$R$10*PI()*('yamaha r6 gearbox wheelspeed'!$H$13/'yamaha r6 gearbox wheelspeed'!$I$13)/1000)*('yamaha r6 gearbox wheelspeed'!$H$14/'yamaha r6 gearbox wheelspeed'!$I$14)</f>
        <v>36.647865456548857</v>
      </c>
      <c r="L8" s="3">
        <f>($C8*60*('yamaha r6 gearbox wheelspeed'!$H$9/'yamaha r6 gearbox wheelspeed'!$I$9)*'yamaha r6 gearbox wheelspeed'!$R$10*PI()*('yamaha r6 gearbox wheelspeed'!$H$13/'yamaha r6 gearbox wheelspeed'!$I$13)/1000)*('yamaha r6 gearbox wheelspeed'!$H$14/'yamaha r6 gearbox wheelspeed'!$I$14)</f>
        <v>42.285998603710219</v>
      </c>
      <c r="M8" s="3">
        <f>($C8*60*('yamaha r6 gearbox wheelspeed'!$H$10/'yamaha r6 gearbox wheelspeed'!$I$10)*'yamaha r6 gearbox wheelspeed'!$R$10*PI()*('yamaha r6 gearbox wheelspeed'!$H$13/'yamaha r6 gearbox wheelspeed'!$I$13)/1000)*('yamaha r6 gearbox wheelspeed'!$H$14/'yamaha r6 gearbox wheelspeed'!$I$14)</f>
        <v>47.50649225848926</v>
      </c>
      <c r="N8" s="3">
        <f>($C8*60*('yamaha r6 gearbox wheelspeed'!$H$11/'yamaha r6 gearbox wheelspeed'!$I$11)*'yamaha r6 gearbox wheelspeed'!$R$10*PI()*('yamaha r6 gearbox wheelspeed'!$H$13/'yamaha r6 gearbox wheelspeed'!$I$13)/1000)*('yamaha r6 gearbox wheelspeed'!$H$14/'yamaha r6 gearbox wheelspeed'!$I$14)</f>
        <v>53.112848487751968</v>
      </c>
      <c r="P8" s="3">
        <f t="shared" si="3"/>
        <v>1135.4020072283477</v>
      </c>
      <c r="Q8" s="3">
        <f>($F8*1000)/(J8*(1000/3600))</f>
        <v>879.0209088219467</v>
      </c>
      <c r="R8" s="3">
        <f t="shared" si="5"/>
        <v>732.51742401828892</v>
      </c>
      <c r="S8" s="3">
        <f t="shared" si="0"/>
        <v>634.84843414918373</v>
      </c>
      <c r="T8" s="3">
        <f t="shared" si="0"/>
        <v>565.08486995696569</v>
      </c>
      <c r="U8" s="3">
        <f t="shared" si="6"/>
        <v>505.43702257261936</v>
      </c>
    </row>
    <row r="9" spans="3:21" x14ac:dyDescent="0.25">
      <c r="C9" s="3">
        <f t="shared" si="7"/>
        <v>4000</v>
      </c>
      <c r="D9" s="3">
        <v>20</v>
      </c>
      <c r="E9" s="3">
        <v>20</v>
      </c>
      <c r="F9" s="3">
        <f t="shared" si="1"/>
        <v>14.914000000000001</v>
      </c>
      <c r="G9" s="3">
        <f t="shared" si="2"/>
        <v>27.12</v>
      </c>
      <c r="I9" s="3">
        <f>(C9*60*('yamaha r6 gearbox wheelspeed'!$H$6/'yamaha r6 gearbox wheelspeed'!$I$6)*'yamaha r6 gearbox wheelspeed'!$R$10*PI()*('yamaha r6 gearbox wheelspeed'!$H$13/'yamaha r6 gearbox wheelspeed'!$I$13)/1000)*('yamaha r6 gearbox wheelspeed'!$H$14/'yamaha r6 gearbox wheelspeed'!$I$14)</f>
        <v>31.525045554020522</v>
      </c>
      <c r="J9" s="3">
        <f>($C9*60*('yamaha r6 gearbox wheelspeed'!$H$7/'yamaha r6 gearbox wheelspeed'!$I$7)*'yamaha r6 gearbox wheelspeed'!$R$10*PI()*('yamaha r6 gearbox wheelspeed'!$H$13/'yamaha r6 gearbox wheelspeed'!$I$13)/1000)*('yamaha r6 gearbox wheelspeed'!$H$14/'yamaha r6 gearbox wheelspeed'!$I$14)</f>
        <v>40.719850507276504</v>
      </c>
      <c r="K9" s="3">
        <f>($C9*60*('yamaha r6 gearbox wheelspeed'!$H$8/'yamaha r6 gearbox wheelspeed'!$I$8)*'yamaha r6 gearbox wheelspeed'!$R$10*PI()*('yamaha r6 gearbox wheelspeed'!$H$13/'yamaha r6 gearbox wheelspeed'!$I$13)/1000)*('yamaha r6 gearbox wheelspeed'!$H$14/'yamaha r6 gearbox wheelspeed'!$I$14)</f>
        <v>48.863820608731814</v>
      </c>
      <c r="L9" s="3">
        <f>($C9*60*('yamaha r6 gearbox wheelspeed'!$H$9/'yamaha r6 gearbox wheelspeed'!$I$9)*'yamaha r6 gearbox wheelspeed'!$R$10*PI()*('yamaha r6 gearbox wheelspeed'!$H$13/'yamaha r6 gearbox wheelspeed'!$I$13)/1000)*('yamaha r6 gearbox wheelspeed'!$H$14/'yamaha r6 gearbox wheelspeed'!$I$14)</f>
        <v>56.381331471613635</v>
      </c>
      <c r="M9" s="3">
        <f>($C9*60*('yamaha r6 gearbox wheelspeed'!$H$10/'yamaha r6 gearbox wheelspeed'!$I$10)*'yamaha r6 gearbox wheelspeed'!$R$10*PI()*('yamaha r6 gearbox wheelspeed'!$H$13/'yamaha r6 gearbox wheelspeed'!$I$13)/1000)*('yamaha r6 gearbox wheelspeed'!$H$14/'yamaha r6 gearbox wheelspeed'!$I$14)</f>
        <v>63.34198967798568</v>
      </c>
      <c r="N9" s="3">
        <f>($C9*60*('yamaha r6 gearbox wheelspeed'!$H$11/'yamaha r6 gearbox wheelspeed'!$I$11)*'yamaha r6 gearbox wheelspeed'!$R$10*PI()*('yamaha r6 gearbox wheelspeed'!$H$13/'yamaha r6 gearbox wheelspeed'!$I$13)/1000)*('yamaha r6 gearbox wheelspeed'!$H$14/'yamaha r6 gearbox wheelspeed'!$I$14)</f>
        <v>70.817131317002605</v>
      </c>
      <c r="P9" s="3">
        <f t="shared" si="3"/>
        <v>1703.1030108425216</v>
      </c>
      <c r="Q9" s="3">
        <f t="shared" si="4"/>
        <v>1318.5313632329201</v>
      </c>
      <c r="R9" s="3">
        <f t="shared" si="5"/>
        <v>1098.7761360274333</v>
      </c>
      <c r="S9" s="3">
        <f t="shared" si="0"/>
        <v>952.27265122377548</v>
      </c>
      <c r="T9" s="3">
        <f t="shared" si="0"/>
        <v>847.62730493544848</v>
      </c>
      <c r="U9" s="3">
        <f t="shared" si="6"/>
        <v>758.15553385892918</v>
      </c>
    </row>
    <row r="10" spans="3:21" x14ac:dyDescent="0.25">
      <c r="C10" s="3">
        <f t="shared" si="7"/>
        <v>5000</v>
      </c>
      <c r="D10" s="3">
        <v>26</v>
      </c>
      <c r="E10" s="3">
        <v>26</v>
      </c>
      <c r="F10" s="3">
        <f t="shared" si="1"/>
        <v>19.388200000000001</v>
      </c>
      <c r="G10" s="3">
        <f t="shared" si="2"/>
        <v>35.256</v>
      </c>
      <c r="I10" s="3">
        <f>(C10*60*('yamaha r6 gearbox wheelspeed'!$H$6/'yamaha r6 gearbox wheelspeed'!$I$6)*'yamaha r6 gearbox wheelspeed'!$R$10*PI()*('yamaha r6 gearbox wheelspeed'!$H$13/'yamaha r6 gearbox wheelspeed'!$I$13)/1000)*('yamaha r6 gearbox wheelspeed'!$H$14/'yamaha r6 gearbox wheelspeed'!$I$14)</f>
        <v>39.406306942525646</v>
      </c>
      <c r="J10" s="3">
        <f>($C10*60*('yamaha r6 gearbox wheelspeed'!$H$7/'yamaha r6 gearbox wheelspeed'!$I$7)*'yamaha r6 gearbox wheelspeed'!$R$10*PI()*('yamaha r6 gearbox wheelspeed'!$H$13/'yamaha r6 gearbox wheelspeed'!$I$13)/1000)*('yamaha r6 gearbox wheelspeed'!$H$14/'yamaha r6 gearbox wheelspeed'!$I$14)</f>
        <v>50.899813134095631</v>
      </c>
      <c r="K10" s="3">
        <f>($C10*60*('yamaha r6 gearbox wheelspeed'!$H$8/'yamaha r6 gearbox wheelspeed'!$I$8)*'yamaha r6 gearbox wheelspeed'!$R$10*PI()*('yamaha r6 gearbox wheelspeed'!$H$13/'yamaha r6 gearbox wheelspeed'!$I$13)/1000)*('yamaha r6 gearbox wheelspeed'!$H$14/'yamaha r6 gearbox wheelspeed'!$I$14)</f>
        <v>61.079775760914764</v>
      </c>
      <c r="L10" s="3">
        <f>($C10*60*('yamaha r6 gearbox wheelspeed'!$H$9/'yamaha r6 gearbox wheelspeed'!$I$9)*'yamaha r6 gearbox wheelspeed'!$R$10*PI()*('yamaha r6 gearbox wheelspeed'!$H$13/'yamaha r6 gearbox wheelspeed'!$I$13)/1000)*('yamaha r6 gearbox wheelspeed'!$H$14/'yamaha r6 gearbox wheelspeed'!$I$14)</f>
        <v>70.476664339517029</v>
      </c>
      <c r="M10" s="3">
        <f>($C10*60*('yamaha r6 gearbox wheelspeed'!$H$10/'yamaha r6 gearbox wheelspeed'!$I$10)*'yamaha r6 gearbox wheelspeed'!$R$10*PI()*('yamaha r6 gearbox wheelspeed'!$H$13/'yamaha r6 gearbox wheelspeed'!$I$13)/1000)*('yamaha r6 gearbox wheelspeed'!$H$14/'yamaha r6 gearbox wheelspeed'!$I$14)</f>
        <v>79.1774870974821</v>
      </c>
      <c r="N10" s="3">
        <f>($C10*60*('yamaha r6 gearbox wheelspeed'!$H$11/'yamaha r6 gearbox wheelspeed'!$I$11)*'yamaha r6 gearbox wheelspeed'!$R$10*PI()*('yamaha r6 gearbox wheelspeed'!$H$13/'yamaha r6 gearbox wheelspeed'!$I$13)/1000)*('yamaha r6 gearbox wheelspeed'!$H$14/'yamaha r6 gearbox wheelspeed'!$I$14)</f>
        <v>88.521414146253278</v>
      </c>
      <c r="P10" s="3">
        <f t="shared" si="3"/>
        <v>1771.227131276223</v>
      </c>
      <c r="Q10" s="3">
        <f t="shared" si="4"/>
        <v>1371.2726177622369</v>
      </c>
      <c r="R10" s="3">
        <f t="shared" si="5"/>
        <v>1142.7271814685307</v>
      </c>
      <c r="S10" s="3">
        <f t="shared" si="0"/>
        <v>990.36355727272655</v>
      </c>
      <c r="T10" s="3">
        <f t="shared" si="0"/>
        <v>881.53239713286644</v>
      </c>
      <c r="U10" s="3">
        <f t="shared" si="6"/>
        <v>788.48175521328608</v>
      </c>
    </row>
    <row r="11" spans="3:21" x14ac:dyDescent="0.25">
      <c r="C11" s="3">
        <f t="shared" si="7"/>
        <v>6000</v>
      </c>
      <c r="D11" s="3">
        <v>38</v>
      </c>
      <c r="E11" s="3">
        <v>32</v>
      </c>
      <c r="F11" s="3">
        <f t="shared" si="1"/>
        <v>28.336600000000001</v>
      </c>
      <c r="G11" s="3">
        <f t="shared" si="2"/>
        <v>43.392000000000003</v>
      </c>
      <c r="I11" s="3">
        <f>(C11*60*('yamaha r6 gearbox wheelspeed'!$H$6/'yamaha r6 gearbox wheelspeed'!$I$6)*'yamaha r6 gearbox wheelspeed'!$R$10*PI()*('yamaha r6 gearbox wheelspeed'!$H$13/'yamaha r6 gearbox wheelspeed'!$I$13)/1000)*('yamaha r6 gearbox wheelspeed'!$H$14/'yamaha r6 gearbox wheelspeed'!$I$14)</f>
        <v>47.287568331030791</v>
      </c>
      <c r="J11" s="3">
        <f>($C11*60*('yamaha r6 gearbox wheelspeed'!$H$7/'yamaha r6 gearbox wheelspeed'!$I$7)*'yamaha r6 gearbox wheelspeed'!$R$10*PI()*('yamaha r6 gearbox wheelspeed'!$H$13/'yamaha r6 gearbox wheelspeed'!$I$13)/1000)*('yamaha r6 gearbox wheelspeed'!$H$14/'yamaha r6 gearbox wheelspeed'!$I$14)</f>
        <v>61.079775760914764</v>
      </c>
      <c r="K11" s="3">
        <f>($C11*60*('yamaha r6 gearbox wheelspeed'!$H$8/'yamaha r6 gearbox wheelspeed'!$I$8)*'yamaha r6 gearbox wheelspeed'!$R$10*PI()*('yamaha r6 gearbox wheelspeed'!$H$13/'yamaha r6 gearbox wheelspeed'!$I$13)/1000)*('yamaha r6 gearbox wheelspeed'!$H$14/'yamaha r6 gearbox wheelspeed'!$I$14)</f>
        <v>73.295730913097714</v>
      </c>
      <c r="L11" s="3">
        <f>($C11*60*('yamaha r6 gearbox wheelspeed'!$H$9/'yamaha r6 gearbox wheelspeed'!$I$9)*'yamaha r6 gearbox wheelspeed'!$R$10*PI()*('yamaha r6 gearbox wheelspeed'!$H$13/'yamaha r6 gearbox wheelspeed'!$I$13)/1000)*('yamaha r6 gearbox wheelspeed'!$H$14/'yamaha r6 gearbox wheelspeed'!$I$14)</f>
        <v>84.571997207420438</v>
      </c>
      <c r="M11" s="3">
        <f>($C11*60*('yamaha r6 gearbox wheelspeed'!$H$10/'yamaha r6 gearbox wheelspeed'!$I$10)*'yamaha r6 gearbox wheelspeed'!$R$10*PI()*('yamaha r6 gearbox wheelspeed'!$H$13/'yamaha r6 gearbox wheelspeed'!$I$13)/1000)*('yamaha r6 gearbox wheelspeed'!$H$14/'yamaha r6 gearbox wheelspeed'!$I$14)</f>
        <v>95.01298451697852</v>
      </c>
      <c r="N11" s="3">
        <f>($C11*60*('yamaha r6 gearbox wheelspeed'!$H$11/'yamaha r6 gearbox wheelspeed'!$I$11)*'yamaha r6 gearbox wheelspeed'!$R$10*PI()*('yamaha r6 gearbox wheelspeed'!$H$13/'yamaha r6 gearbox wheelspeed'!$I$13)/1000)*('yamaha r6 gearbox wheelspeed'!$H$14/'yamaha r6 gearbox wheelspeed'!$I$14)</f>
        <v>106.22569697550394</v>
      </c>
      <c r="P11" s="3">
        <f t="shared" si="3"/>
        <v>2157.2638137338604</v>
      </c>
      <c r="Q11" s="3">
        <f t="shared" si="4"/>
        <v>1670.1397267616987</v>
      </c>
      <c r="R11" s="3">
        <f t="shared" si="5"/>
        <v>1391.7831056347488</v>
      </c>
      <c r="S11" s="3">
        <f t="shared" si="0"/>
        <v>1206.212024883449</v>
      </c>
      <c r="T11" s="3">
        <f t="shared" si="0"/>
        <v>1073.6612529182348</v>
      </c>
      <c r="U11" s="3">
        <f t="shared" si="6"/>
        <v>960.33034288797671</v>
      </c>
    </row>
    <row r="12" spans="3:21" x14ac:dyDescent="0.25">
      <c r="C12" s="3">
        <f t="shared" si="7"/>
        <v>7000</v>
      </c>
      <c r="D12" s="3">
        <v>45</v>
      </c>
      <c r="E12" s="3">
        <v>33</v>
      </c>
      <c r="F12" s="3">
        <f t="shared" si="1"/>
        <v>33.5565</v>
      </c>
      <c r="G12" s="3">
        <f t="shared" si="2"/>
        <v>44.748000000000005</v>
      </c>
      <c r="I12" s="3">
        <f>(C12*60*('yamaha r6 gearbox wheelspeed'!$H$6/'yamaha r6 gearbox wheelspeed'!$I$6)*'yamaha r6 gearbox wheelspeed'!$R$10*PI()*('yamaha r6 gearbox wheelspeed'!$H$13/'yamaha r6 gearbox wheelspeed'!$I$13)/1000)*('yamaha r6 gearbox wheelspeed'!$H$14/'yamaha r6 gearbox wheelspeed'!$I$14)</f>
        <v>55.168829719535907</v>
      </c>
      <c r="J12" s="3">
        <f>($C12*60*('yamaha r6 gearbox wheelspeed'!$H$7/'yamaha r6 gearbox wheelspeed'!$I$7)*'yamaha r6 gearbox wheelspeed'!$R$10*PI()*('yamaha r6 gearbox wheelspeed'!$H$13/'yamaha r6 gearbox wheelspeed'!$I$13)/1000)*('yamaha r6 gearbox wheelspeed'!$H$14/'yamaha r6 gearbox wheelspeed'!$I$14)</f>
        <v>71.259738387733876</v>
      </c>
      <c r="K12" s="3">
        <f>($C12*60*('yamaha r6 gearbox wheelspeed'!$H$8/'yamaha r6 gearbox wheelspeed'!$I$8)*'yamaha r6 gearbox wheelspeed'!$R$10*PI()*('yamaha r6 gearbox wheelspeed'!$H$13/'yamaha r6 gearbox wheelspeed'!$I$13)/1000)*('yamaha r6 gearbox wheelspeed'!$H$14/'yamaha r6 gearbox wheelspeed'!$I$14)</f>
        <v>85.511686065280671</v>
      </c>
      <c r="L12" s="3">
        <f>($C12*60*('yamaha r6 gearbox wheelspeed'!$H$9/'yamaha r6 gearbox wheelspeed'!$I$9)*'yamaha r6 gearbox wheelspeed'!$R$10*PI()*('yamaha r6 gearbox wheelspeed'!$H$13/'yamaha r6 gearbox wheelspeed'!$I$13)/1000)*('yamaha r6 gearbox wheelspeed'!$H$14/'yamaha r6 gearbox wheelspeed'!$I$14)</f>
        <v>98.667330075323832</v>
      </c>
      <c r="M12" s="3">
        <f>($C12*60*('yamaha r6 gearbox wheelspeed'!$H$10/'yamaha r6 gearbox wheelspeed'!$I$10)*'yamaha r6 gearbox wheelspeed'!$R$10*PI()*('yamaha r6 gearbox wheelspeed'!$H$13/'yamaha r6 gearbox wheelspeed'!$I$13)/1000)*('yamaha r6 gearbox wheelspeed'!$H$14/'yamaha r6 gearbox wheelspeed'!$I$14)</f>
        <v>110.84848193647494</v>
      </c>
      <c r="N12" s="3">
        <f>($C12*60*('yamaha r6 gearbox wheelspeed'!$H$11/'yamaha r6 gearbox wheelspeed'!$I$11)*'yamaha r6 gearbox wheelspeed'!$R$10*PI()*('yamaha r6 gearbox wheelspeed'!$H$13/'yamaha r6 gearbox wheelspeed'!$I$13)/1000)*('yamaha r6 gearbox wheelspeed'!$H$14/'yamaha r6 gearbox wheelspeed'!$I$14)</f>
        <v>123.92997980475459</v>
      </c>
      <c r="P12" s="3">
        <f t="shared" si="3"/>
        <v>2189.7038710832421</v>
      </c>
      <c r="Q12" s="3">
        <f t="shared" si="4"/>
        <v>1695.2546098708974</v>
      </c>
      <c r="R12" s="3">
        <f t="shared" si="5"/>
        <v>1412.7121748924139</v>
      </c>
      <c r="S12" s="3">
        <f t="shared" si="0"/>
        <v>1224.3505515734259</v>
      </c>
      <c r="T12" s="3">
        <f t="shared" si="0"/>
        <v>1089.8065349170051</v>
      </c>
      <c r="U12" s="3">
        <f t="shared" si="6"/>
        <v>974.77140067576568</v>
      </c>
    </row>
    <row r="13" spans="3:21" x14ac:dyDescent="0.25">
      <c r="C13" s="3">
        <f t="shared" si="7"/>
        <v>8000</v>
      </c>
      <c r="D13" s="3">
        <v>57</v>
      </c>
      <c r="E13" s="3">
        <v>36</v>
      </c>
      <c r="F13" s="3">
        <f t="shared" si="1"/>
        <v>42.504899999999999</v>
      </c>
      <c r="G13" s="3">
        <f t="shared" si="2"/>
        <v>48.816000000000003</v>
      </c>
      <c r="I13" s="3">
        <f>(C13*60*('yamaha r6 gearbox wheelspeed'!$H$6/'yamaha r6 gearbox wheelspeed'!$I$6)*'yamaha r6 gearbox wheelspeed'!$R$10*PI()*('yamaha r6 gearbox wheelspeed'!$H$13/'yamaha r6 gearbox wheelspeed'!$I$13)/1000)*('yamaha r6 gearbox wheelspeed'!$H$14/'yamaha r6 gearbox wheelspeed'!$I$14)</f>
        <v>63.050091108041045</v>
      </c>
      <c r="J13" s="3">
        <f>($C13*60*('yamaha r6 gearbox wheelspeed'!$H$7/'yamaha r6 gearbox wheelspeed'!$I$7)*'yamaha r6 gearbox wheelspeed'!$R$10*PI()*('yamaha r6 gearbox wheelspeed'!$H$13/'yamaha r6 gearbox wheelspeed'!$I$13)/1000)*('yamaha r6 gearbox wheelspeed'!$H$14/'yamaha r6 gearbox wheelspeed'!$I$14)</f>
        <v>81.439701014553009</v>
      </c>
      <c r="K13" s="3">
        <f>($C13*60*('yamaha r6 gearbox wheelspeed'!$H$8/'yamaha r6 gearbox wheelspeed'!$I$8)*'yamaha r6 gearbox wheelspeed'!$R$10*PI()*('yamaha r6 gearbox wheelspeed'!$H$13/'yamaha r6 gearbox wheelspeed'!$I$13)/1000)*('yamaha r6 gearbox wheelspeed'!$H$14/'yamaha r6 gearbox wheelspeed'!$I$14)</f>
        <v>97.727641217463628</v>
      </c>
      <c r="L13" s="3">
        <f>($C13*60*('yamaha r6 gearbox wheelspeed'!$H$9/'yamaha r6 gearbox wheelspeed'!$I$9)*'yamaha r6 gearbox wheelspeed'!$R$10*PI()*('yamaha r6 gearbox wheelspeed'!$H$13/'yamaha r6 gearbox wheelspeed'!$I$13)/1000)*('yamaha r6 gearbox wheelspeed'!$H$14/'yamaha r6 gearbox wheelspeed'!$I$14)</f>
        <v>112.76266294322727</v>
      </c>
      <c r="M13" s="3">
        <f>($C13*60*('yamaha r6 gearbox wheelspeed'!$H$10/'yamaha r6 gearbox wheelspeed'!$I$10)*'yamaha r6 gearbox wheelspeed'!$R$10*PI()*('yamaha r6 gearbox wheelspeed'!$H$13/'yamaha r6 gearbox wheelspeed'!$I$13)/1000)*('yamaha r6 gearbox wheelspeed'!$H$14/'yamaha r6 gearbox wheelspeed'!$I$14)</f>
        <v>126.68397935597136</v>
      </c>
      <c r="N13" s="3">
        <f>($C13*60*('yamaha r6 gearbox wheelspeed'!$H$11/'yamaha r6 gearbox wheelspeed'!$I$11)*'yamaha r6 gearbox wheelspeed'!$R$10*PI()*('yamaha r6 gearbox wheelspeed'!$H$13/'yamaha r6 gearbox wheelspeed'!$I$13)/1000)*('yamaha r6 gearbox wheelspeed'!$H$14/'yamaha r6 gearbox wheelspeed'!$I$14)</f>
        <v>141.63426263400521</v>
      </c>
      <c r="P13" s="3">
        <f t="shared" si="3"/>
        <v>2426.9217904505931</v>
      </c>
      <c r="Q13" s="3">
        <f t="shared" si="4"/>
        <v>1878.9071926069109</v>
      </c>
      <c r="R13" s="3">
        <f t="shared" si="5"/>
        <v>1565.7559938390923</v>
      </c>
      <c r="S13" s="3">
        <f t="shared" si="0"/>
        <v>1356.9885279938799</v>
      </c>
      <c r="T13" s="3">
        <f t="shared" si="0"/>
        <v>1207.8689095330139</v>
      </c>
      <c r="U13" s="3">
        <f t="shared" si="6"/>
        <v>1080.3716357489741</v>
      </c>
    </row>
    <row r="14" spans="3:21" x14ac:dyDescent="0.25">
      <c r="C14" s="3">
        <f t="shared" si="7"/>
        <v>9000</v>
      </c>
      <c r="D14" s="3">
        <v>67</v>
      </c>
      <c r="E14" s="3">
        <v>40</v>
      </c>
      <c r="F14" s="3">
        <f t="shared" si="1"/>
        <v>49.9619</v>
      </c>
      <c r="G14" s="3">
        <f t="shared" si="2"/>
        <v>54.24</v>
      </c>
      <c r="I14" s="3">
        <f>(C14*60*('yamaha r6 gearbox wheelspeed'!$H$6/'yamaha r6 gearbox wheelspeed'!$I$6)*'yamaha r6 gearbox wheelspeed'!$R$10*PI()*('yamaha r6 gearbox wheelspeed'!$H$13/'yamaha r6 gearbox wheelspeed'!$I$13)/1000)*('yamaha r6 gearbox wheelspeed'!$H$14/'yamaha r6 gearbox wheelspeed'!$I$14)</f>
        <v>70.931352496546168</v>
      </c>
      <c r="J14" s="3">
        <f>($C14*60*('yamaha r6 gearbox wheelspeed'!$H$7/'yamaha r6 gearbox wheelspeed'!$I$7)*'yamaha r6 gearbox wheelspeed'!$R$10*PI()*('yamaha r6 gearbox wheelspeed'!$H$13/'yamaha r6 gearbox wheelspeed'!$I$13)/1000)*('yamaha r6 gearbox wheelspeed'!$H$14/'yamaha r6 gearbox wheelspeed'!$I$14)</f>
        <v>91.619663641372142</v>
      </c>
      <c r="K14" s="3">
        <f>($C14*60*('yamaha r6 gearbox wheelspeed'!$H$8/'yamaha r6 gearbox wheelspeed'!$I$8)*'yamaha r6 gearbox wheelspeed'!$R$10*PI()*('yamaha r6 gearbox wheelspeed'!$H$13/'yamaha r6 gearbox wheelspeed'!$I$13)/1000)*('yamaha r6 gearbox wheelspeed'!$H$14/'yamaha r6 gearbox wheelspeed'!$I$14)</f>
        <v>109.94359636964656</v>
      </c>
      <c r="L14" s="3">
        <f>($C14*60*('yamaha r6 gearbox wheelspeed'!$H$9/'yamaha r6 gearbox wheelspeed'!$I$9)*'yamaha r6 gearbox wheelspeed'!$R$10*PI()*('yamaha r6 gearbox wheelspeed'!$H$13/'yamaha r6 gearbox wheelspeed'!$I$13)/1000)*('yamaha r6 gearbox wheelspeed'!$H$14/'yamaha r6 gearbox wheelspeed'!$I$14)</f>
        <v>126.85799581113064</v>
      </c>
      <c r="M14" s="3">
        <f>($C14*60*('yamaha r6 gearbox wheelspeed'!$H$10/'yamaha r6 gearbox wheelspeed'!$I$10)*'yamaha r6 gearbox wheelspeed'!$R$10*PI()*('yamaha r6 gearbox wheelspeed'!$H$13/'yamaha r6 gearbox wheelspeed'!$I$13)/1000)*('yamaha r6 gearbox wheelspeed'!$H$14/'yamaha r6 gearbox wheelspeed'!$I$14)</f>
        <v>142.51947677546775</v>
      </c>
      <c r="N14" s="3">
        <f>($C14*60*('yamaha r6 gearbox wheelspeed'!$H$11/'yamaha r6 gearbox wheelspeed'!$I$11)*'yamaha r6 gearbox wheelspeed'!$R$10*PI()*('yamaha r6 gearbox wheelspeed'!$H$13/'yamaha r6 gearbox wheelspeed'!$I$13)/1000)*('yamaha r6 gearbox wheelspeed'!$H$14/'yamaha r6 gearbox wheelspeed'!$I$14)</f>
        <v>159.33854546325588</v>
      </c>
      <c r="P14" s="3">
        <f>($F14*1000)/(I14*(1000/3600))</f>
        <v>2535.7311494766432</v>
      </c>
      <c r="Q14" s="3">
        <f t="shared" si="4"/>
        <v>1963.1466963690141</v>
      </c>
      <c r="R14" s="3">
        <f t="shared" si="5"/>
        <v>1635.955580307512</v>
      </c>
      <c r="S14" s="3">
        <f t="shared" si="0"/>
        <v>1417.8281695998437</v>
      </c>
      <c r="T14" s="3">
        <f t="shared" si="0"/>
        <v>1262.0228762372235</v>
      </c>
      <c r="U14" s="3">
        <f t="shared" si="6"/>
        <v>1128.8093504121832</v>
      </c>
    </row>
    <row r="15" spans="3:21" x14ac:dyDescent="0.25">
      <c r="C15" s="3">
        <f t="shared" si="7"/>
        <v>10000</v>
      </c>
      <c r="D15" s="3">
        <v>82</v>
      </c>
      <c r="E15" s="3">
        <v>44</v>
      </c>
      <c r="F15" s="3">
        <f t="shared" si="1"/>
        <v>61.147400000000005</v>
      </c>
      <c r="G15" s="3">
        <f t="shared" si="2"/>
        <v>59.664000000000001</v>
      </c>
      <c r="I15" s="3">
        <f>(C15*60*('yamaha r6 gearbox wheelspeed'!$H$6/'yamaha r6 gearbox wheelspeed'!$I$6)*'yamaha r6 gearbox wheelspeed'!$R$10*PI()*('yamaha r6 gearbox wheelspeed'!$H$13/'yamaha r6 gearbox wheelspeed'!$I$13)/1000)*('yamaha r6 gearbox wheelspeed'!$H$14/'yamaha r6 gearbox wheelspeed'!$I$14)</f>
        <v>78.812613885051292</v>
      </c>
      <c r="J15" s="3">
        <f>($C15*60*('yamaha r6 gearbox wheelspeed'!$H$7/'yamaha r6 gearbox wheelspeed'!$I$7)*'yamaha r6 gearbox wheelspeed'!$R$10*PI()*('yamaha r6 gearbox wheelspeed'!$H$13/'yamaha r6 gearbox wheelspeed'!$I$13)/1000)*('yamaha r6 gearbox wheelspeed'!$H$14/'yamaha r6 gearbox wheelspeed'!$I$14)</f>
        <v>101.79962626819126</v>
      </c>
      <c r="K15" s="3">
        <f>($C15*60*('yamaha r6 gearbox wheelspeed'!$H$8/'yamaha r6 gearbox wheelspeed'!$I$8)*'yamaha r6 gearbox wheelspeed'!$R$10*PI()*('yamaha r6 gearbox wheelspeed'!$H$13/'yamaha r6 gearbox wheelspeed'!$I$13)/1000)*('yamaha r6 gearbox wheelspeed'!$H$14/'yamaha r6 gearbox wheelspeed'!$I$14)</f>
        <v>122.15955152182953</v>
      </c>
      <c r="L15" s="3">
        <f>($C15*60*('yamaha r6 gearbox wheelspeed'!$H$9/'yamaha r6 gearbox wheelspeed'!$I$9)*'yamaha r6 gearbox wheelspeed'!$R$10*PI()*('yamaha r6 gearbox wheelspeed'!$H$13/'yamaha r6 gearbox wheelspeed'!$I$13)/1000)*('yamaha r6 gearbox wheelspeed'!$H$14/'yamaha r6 gearbox wheelspeed'!$I$14)</f>
        <v>140.95332867903406</v>
      </c>
      <c r="M15" s="3">
        <f>($C15*60*('yamaha r6 gearbox wheelspeed'!$H$10/'yamaha r6 gearbox wheelspeed'!$I$10)*'yamaha r6 gearbox wheelspeed'!$R$10*PI()*('yamaha r6 gearbox wheelspeed'!$H$13/'yamaha r6 gearbox wheelspeed'!$I$13)/1000)*('yamaha r6 gearbox wheelspeed'!$H$14/'yamaha r6 gearbox wheelspeed'!$I$14)</f>
        <v>158.3549741949642</v>
      </c>
      <c r="N15" s="3">
        <f>($C15*60*('yamaha r6 gearbox wheelspeed'!$H$11/'yamaha r6 gearbox wheelspeed'!$I$11)*'yamaha r6 gearbox wheelspeed'!$R$10*PI()*('yamaha r6 gearbox wheelspeed'!$H$13/'yamaha r6 gearbox wheelspeed'!$I$13)/1000)*('yamaha r6 gearbox wheelspeed'!$H$14/'yamaha r6 gearbox wheelspeed'!$I$14)</f>
        <v>177.04282829250656</v>
      </c>
      <c r="P15" s="3">
        <f t="shared" si="3"/>
        <v>2793.0889377817361</v>
      </c>
      <c r="Q15" s="3">
        <f t="shared" si="4"/>
        <v>2162.3914357019889</v>
      </c>
      <c r="R15" s="3">
        <f t="shared" si="5"/>
        <v>1801.9928630849906</v>
      </c>
      <c r="S15" s="3">
        <f t="shared" si="0"/>
        <v>1561.7271480069919</v>
      </c>
      <c r="T15" s="3">
        <f t="shared" si="0"/>
        <v>1390.1087800941355</v>
      </c>
      <c r="U15" s="3">
        <f t="shared" si="6"/>
        <v>1243.3750755286435</v>
      </c>
    </row>
    <row r="16" spans="3:21" x14ac:dyDescent="0.25">
      <c r="C16" s="3">
        <f t="shared" si="7"/>
        <v>11000</v>
      </c>
      <c r="D16" s="3">
        <v>75</v>
      </c>
      <c r="E16" s="3">
        <v>46</v>
      </c>
      <c r="F16" s="3">
        <f t="shared" si="1"/>
        <v>55.927500000000002</v>
      </c>
      <c r="G16" s="3">
        <f t="shared" si="2"/>
        <v>62.376000000000005</v>
      </c>
      <c r="I16" s="3">
        <f>(C16*60*('yamaha r6 gearbox wheelspeed'!$H$6/'yamaha r6 gearbox wheelspeed'!$I$6)*'yamaha r6 gearbox wheelspeed'!$R$10*PI()*('yamaha r6 gearbox wheelspeed'!$H$13/'yamaha r6 gearbox wheelspeed'!$I$13)/1000)*('yamaha r6 gearbox wheelspeed'!$H$14/'yamaha r6 gearbox wheelspeed'!$I$14)</f>
        <v>86.693875273556429</v>
      </c>
      <c r="J16" s="3">
        <f>($C16*60*('yamaha r6 gearbox wheelspeed'!$H$7/'yamaha r6 gearbox wheelspeed'!$I$7)*'yamaha r6 gearbox wheelspeed'!$R$10*PI()*('yamaha r6 gearbox wheelspeed'!$H$13/'yamaha r6 gearbox wheelspeed'!$I$13)/1000)*('yamaha r6 gearbox wheelspeed'!$H$14/'yamaha r6 gearbox wheelspeed'!$I$14)</f>
        <v>111.97958889501038</v>
      </c>
      <c r="K16" s="3">
        <f>($C16*60*('yamaha r6 gearbox wheelspeed'!$H$8/'yamaha r6 gearbox wheelspeed'!$I$8)*'yamaha r6 gearbox wheelspeed'!$R$10*PI()*('yamaha r6 gearbox wheelspeed'!$H$13/'yamaha r6 gearbox wheelspeed'!$I$13)/1000)*('yamaha r6 gearbox wheelspeed'!$H$14/'yamaha r6 gearbox wheelspeed'!$I$14)</f>
        <v>134.37550667401248</v>
      </c>
      <c r="L16" s="3">
        <f>($C16*60*('yamaha r6 gearbox wheelspeed'!$H$9/'yamaha r6 gearbox wheelspeed'!$I$9)*'yamaha r6 gearbox wheelspeed'!$R$10*PI()*('yamaha r6 gearbox wheelspeed'!$H$13/'yamaha r6 gearbox wheelspeed'!$I$13)/1000)*('yamaha r6 gearbox wheelspeed'!$H$14/'yamaha r6 gearbox wheelspeed'!$I$14)</f>
        <v>155.04866154693747</v>
      </c>
      <c r="M16" s="3">
        <f>($C16*60*('yamaha r6 gearbox wheelspeed'!$H$10/'yamaha r6 gearbox wheelspeed'!$I$10)*'yamaha r6 gearbox wheelspeed'!$R$10*PI()*('yamaha r6 gearbox wheelspeed'!$H$13/'yamaha r6 gearbox wheelspeed'!$I$13)/1000)*('yamaha r6 gearbox wheelspeed'!$H$14/'yamaha r6 gearbox wheelspeed'!$I$14)</f>
        <v>174.19047161446059</v>
      </c>
      <c r="N16" s="3">
        <f>($C16*60*('yamaha r6 gearbox wheelspeed'!$H$11/'yamaha r6 gearbox wheelspeed'!$I$11)*'yamaha r6 gearbox wheelspeed'!$R$10*PI()*('yamaha r6 gearbox wheelspeed'!$H$13/'yamaha r6 gearbox wheelspeed'!$I$13)/1000)*('yamaha r6 gearbox wheelspeed'!$H$14/'yamaha r6 gearbox wheelspeed'!$I$14)</f>
        <v>194.74711112175714</v>
      </c>
      <c r="P16" s="3">
        <f t="shared" si="3"/>
        <v>2322.4131966034388</v>
      </c>
      <c r="Q16" s="3">
        <f t="shared" si="4"/>
        <v>1797.9973134994366</v>
      </c>
      <c r="R16" s="3">
        <f t="shared" si="5"/>
        <v>1498.3310945828634</v>
      </c>
      <c r="S16" s="3">
        <f t="shared" si="0"/>
        <v>1298.5536153051485</v>
      </c>
      <c r="T16" s="3">
        <f t="shared" si="0"/>
        <v>1155.8554158210663</v>
      </c>
      <c r="U16" s="3">
        <f t="shared" si="6"/>
        <v>1033.8484552621762</v>
      </c>
    </row>
    <row r="17" spans="3:21" x14ac:dyDescent="0.25">
      <c r="C17" s="3">
        <f t="shared" si="7"/>
        <v>12000</v>
      </c>
      <c r="D17" s="3">
        <v>101</v>
      </c>
      <c r="E17" s="3">
        <v>45</v>
      </c>
      <c r="F17" s="3">
        <f t="shared" si="1"/>
        <v>75.315700000000007</v>
      </c>
      <c r="G17" s="3">
        <f t="shared" si="2"/>
        <v>61.02</v>
      </c>
      <c r="I17" s="3">
        <f>(C17*60*('yamaha r6 gearbox wheelspeed'!$H$6/'yamaha r6 gearbox wheelspeed'!$I$6)*'yamaha r6 gearbox wheelspeed'!$R$10*PI()*('yamaha r6 gearbox wheelspeed'!$H$13/'yamaha r6 gearbox wheelspeed'!$I$13)/1000)*('yamaha r6 gearbox wheelspeed'!$H$14/'yamaha r6 gearbox wheelspeed'!$I$14)</f>
        <v>94.575136662061581</v>
      </c>
      <c r="J17" s="3">
        <f>($C17*60*('yamaha r6 gearbox wheelspeed'!$H$7/'yamaha r6 gearbox wheelspeed'!$I$7)*'yamaha r6 gearbox wheelspeed'!$R$10*PI()*('yamaha r6 gearbox wheelspeed'!$H$13/'yamaha r6 gearbox wheelspeed'!$I$13)/1000)*('yamaha r6 gearbox wheelspeed'!$H$14/'yamaha r6 gearbox wheelspeed'!$I$14)</f>
        <v>122.15955152182953</v>
      </c>
      <c r="K17" s="3">
        <f>($C17*60*('yamaha r6 gearbox wheelspeed'!$H$8/'yamaha r6 gearbox wheelspeed'!$I$8)*'yamaha r6 gearbox wheelspeed'!$R$10*PI()*('yamaha r6 gearbox wheelspeed'!$H$13/'yamaha r6 gearbox wheelspeed'!$I$13)/1000)*('yamaha r6 gearbox wheelspeed'!$H$14/'yamaha r6 gearbox wheelspeed'!$I$14)</f>
        <v>146.59146182619543</v>
      </c>
      <c r="L17" s="3">
        <f>($C17*60*('yamaha r6 gearbox wheelspeed'!$H$9/'yamaha r6 gearbox wheelspeed'!$I$9)*'yamaha r6 gearbox wheelspeed'!$R$10*PI()*('yamaha r6 gearbox wheelspeed'!$H$13/'yamaha r6 gearbox wheelspeed'!$I$13)/1000)*('yamaha r6 gearbox wheelspeed'!$H$14/'yamaha r6 gearbox wheelspeed'!$I$14)</f>
        <v>169.14399441484088</v>
      </c>
      <c r="M17" s="3">
        <f>($C17*60*('yamaha r6 gearbox wheelspeed'!$H$10/'yamaha r6 gearbox wheelspeed'!$I$10)*'yamaha r6 gearbox wheelspeed'!$R$10*PI()*('yamaha r6 gearbox wheelspeed'!$H$13/'yamaha r6 gearbox wheelspeed'!$I$13)/1000)*('yamaha r6 gearbox wheelspeed'!$H$14/'yamaha r6 gearbox wheelspeed'!$I$14)</f>
        <v>190.02596903395704</v>
      </c>
      <c r="N17" s="3">
        <f>($C17*60*('yamaha r6 gearbox wheelspeed'!$H$11/'yamaha r6 gearbox wheelspeed'!$I$11)*'yamaha r6 gearbox wheelspeed'!$R$10*PI()*('yamaha r6 gearbox wheelspeed'!$H$13/'yamaha r6 gearbox wheelspeed'!$I$13)/1000)*('yamaha r6 gearbox wheelspeed'!$H$14/'yamaha r6 gearbox wheelspeed'!$I$14)</f>
        <v>212.45139395100787</v>
      </c>
      <c r="P17" s="3">
        <f t="shared" si="3"/>
        <v>2866.8900682515782</v>
      </c>
      <c r="Q17" s="3">
        <f t="shared" si="4"/>
        <v>2219.5277947754157</v>
      </c>
      <c r="R17" s="3">
        <f t="shared" si="5"/>
        <v>1849.6064956461794</v>
      </c>
      <c r="S17" s="3">
        <f t="shared" si="0"/>
        <v>1602.9922962266889</v>
      </c>
      <c r="T17" s="3">
        <f t="shared" si="0"/>
        <v>1426.8392966413385</v>
      </c>
      <c r="U17" s="3">
        <f t="shared" si="6"/>
        <v>1276.2284819958638</v>
      </c>
    </row>
    <row r="18" spans="3:21" x14ac:dyDescent="0.25">
      <c r="C18" s="3">
        <f t="shared" si="7"/>
        <v>13000</v>
      </c>
      <c r="D18" s="3">
        <v>110</v>
      </c>
      <c r="E18" s="3">
        <v>45</v>
      </c>
      <c r="F18" s="3">
        <f t="shared" si="1"/>
        <v>82.027000000000001</v>
      </c>
      <c r="G18" s="3">
        <f t="shared" si="2"/>
        <v>61.02</v>
      </c>
      <c r="I18" s="3">
        <f>(C18*60*('yamaha r6 gearbox wheelspeed'!$H$6/'yamaha r6 gearbox wheelspeed'!$I$6)*'yamaha r6 gearbox wheelspeed'!$R$10*PI()*('yamaha r6 gearbox wheelspeed'!$H$13/'yamaha r6 gearbox wheelspeed'!$I$13)/1000)*('yamaha r6 gearbox wheelspeed'!$H$14/'yamaha r6 gearbox wheelspeed'!$I$14)</f>
        <v>102.45639805056669</v>
      </c>
      <c r="J18" s="3">
        <f>($C18*60*('yamaha r6 gearbox wheelspeed'!$H$7/'yamaha r6 gearbox wheelspeed'!$I$7)*'yamaha r6 gearbox wheelspeed'!$R$10*PI()*('yamaha r6 gearbox wheelspeed'!$H$13/'yamaha r6 gearbox wheelspeed'!$I$13)/1000)*('yamaha r6 gearbox wheelspeed'!$H$14/'yamaha r6 gearbox wheelspeed'!$I$14)</f>
        <v>132.33951414864865</v>
      </c>
      <c r="K18" s="3">
        <f>($C18*60*('yamaha r6 gearbox wheelspeed'!$H$8/'yamaha r6 gearbox wheelspeed'!$I$8)*'yamaha r6 gearbox wheelspeed'!$R$10*PI()*('yamaha r6 gearbox wheelspeed'!$H$13/'yamaha r6 gearbox wheelspeed'!$I$13)/1000)*('yamaha r6 gearbox wheelspeed'!$H$14/'yamaha r6 gearbox wheelspeed'!$I$14)</f>
        <v>158.80741697837837</v>
      </c>
      <c r="L18" s="3">
        <f>($C18*60*('yamaha r6 gearbox wheelspeed'!$H$9/'yamaha r6 gearbox wheelspeed'!$I$9)*'yamaha r6 gearbox wheelspeed'!$R$10*PI()*('yamaha r6 gearbox wheelspeed'!$H$13/'yamaha r6 gearbox wheelspeed'!$I$13)/1000)*('yamaha r6 gearbox wheelspeed'!$H$14/'yamaha r6 gearbox wheelspeed'!$I$14)</f>
        <v>183.23932728274428</v>
      </c>
      <c r="M18" s="3">
        <f>($C18*60*('yamaha r6 gearbox wheelspeed'!$H$10/'yamaha r6 gearbox wheelspeed'!$I$10)*'yamaha r6 gearbox wheelspeed'!$R$10*PI()*('yamaha r6 gearbox wheelspeed'!$H$13/'yamaha r6 gearbox wheelspeed'!$I$13)/1000)*('yamaha r6 gearbox wheelspeed'!$H$14/'yamaha r6 gearbox wheelspeed'!$I$14)</f>
        <v>205.86146645345343</v>
      </c>
      <c r="N18" s="3">
        <f>($C18*60*('yamaha r6 gearbox wheelspeed'!$H$11/'yamaha r6 gearbox wheelspeed'!$I$11)*'yamaha r6 gearbox wheelspeed'!$R$10*PI()*('yamaha r6 gearbox wheelspeed'!$H$13/'yamaha r6 gearbox wheelspeed'!$I$13)/1000)*('yamaha r6 gearbox wheelspeed'!$H$14/'yamaha r6 gearbox wheelspeed'!$I$14)</f>
        <v>230.15567678025855</v>
      </c>
      <c r="P18" s="3">
        <f t="shared" si="3"/>
        <v>2882.1743260411904</v>
      </c>
      <c r="Q18" s="3">
        <f t="shared" si="4"/>
        <v>2231.3607685480183</v>
      </c>
      <c r="R18" s="3">
        <f t="shared" si="5"/>
        <v>1859.4673071233487</v>
      </c>
      <c r="S18" s="3">
        <f t="shared" si="0"/>
        <v>1611.5383328402354</v>
      </c>
      <c r="T18" s="3">
        <f t="shared" si="0"/>
        <v>1434.4462083522976</v>
      </c>
      <c r="U18" s="3">
        <f t="shared" si="6"/>
        <v>1283.0324419151104</v>
      </c>
    </row>
    <row r="19" spans="3:21" x14ac:dyDescent="0.25">
      <c r="C19" s="3">
        <f t="shared" si="7"/>
        <v>14000</v>
      </c>
      <c r="D19" s="3">
        <v>111</v>
      </c>
      <c r="E19" s="3">
        <v>42</v>
      </c>
      <c r="F19" s="3">
        <f t="shared" si="1"/>
        <v>82.7727</v>
      </c>
      <c r="G19" s="3">
        <f t="shared" si="2"/>
        <v>56.952000000000005</v>
      </c>
      <c r="I19" s="3">
        <f>(C19*60*('yamaha r6 gearbox wheelspeed'!$H$6/'yamaha r6 gearbox wheelspeed'!$I$6)*'yamaha r6 gearbox wheelspeed'!$R$10*PI()*('yamaha r6 gearbox wheelspeed'!$H$13/'yamaha r6 gearbox wheelspeed'!$I$13)/1000)*('yamaha r6 gearbox wheelspeed'!$H$14/'yamaha r6 gearbox wheelspeed'!$I$14)</f>
        <v>110.33765943907181</v>
      </c>
      <c r="J19" s="3">
        <f>($C19*60*('yamaha r6 gearbox wheelspeed'!$H$7/'yamaha r6 gearbox wheelspeed'!$I$7)*'yamaha r6 gearbox wheelspeed'!$R$10*PI()*('yamaha r6 gearbox wheelspeed'!$H$13/'yamaha r6 gearbox wheelspeed'!$I$13)/1000)*('yamaha r6 gearbox wheelspeed'!$H$14/'yamaha r6 gearbox wheelspeed'!$I$14)</f>
        <v>142.51947677546775</v>
      </c>
      <c r="K19" s="3">
        <f>($C19*60*('yamaha r6 gearbox wheelspeed'!$H$8/'yamaha r6 gearbox wheelspeed'!$I$8)*'yamaha r6 gearbox wheelspeed'!$R$10*PI()*('yamaha r6 gearbox wheelspeed'!$H$13/'yamaha r6 gearbox wheelspeed'!$I$13)/1000)*('yamaha r6 gearbox wheelspeed'!$H$14/'yamaha r6 gearbox wheelspeed'!$I$14)</f>
        <v>171.02337213056134</v>
      </c>
      <c r="L19" s="3">
        <f>($C19*60*('yamaha r6 gearbox wheelspeed'!$H$9/'yamaha r6 gearbox wheelspeed'!$I$9)*'yamaha r6 gearbox wheelspeed'!$R$10*PI()*('yamaha r6 gearbox wheelspeed'!$H$13/'yamaha r6 gearbox wheelspeed'!$I$13)/1000)*('yamaha r6 gearbox wheelspeed'!$H$14/'yamaha r6 gearbox wheelspeed'!$I$14)</f>
        <v>197.33466015064766</v>
      </c>
      <c r="M19" s="3">
        <f>($C19*60*('yamaha r6 gearbox wheelspeed'!$H$10/'yamaha r6 gearbox wheelspeed'!$I$10)*'yamaha r6 gearbox wheelspeed'!$R$10*PI()*('yamaha r6 gearbox wheelspeed'!$H$13/'yamaha r6 gearbox wheelspeed'!$I$13)/1000)*('yamaha r6 gearbox wheelspeed'!$H$14/'yamaha r6 gearbox wheelspeed'!$I$14)</f>
        <v>221.69696387294988</v>
      </c>
      <c r="N19" s="3">
        <f>($C19*60*('yamaha r6 gearbox wheelspeed'!$H$11/'yamaha r6 gearbox wheelspeed'!$I$11)*'yamaha r6 gearbox wheelspeed'!$R$10*PI()*('yamaha r6 gearbox wheelspeed'!$H$13/'yamaha r6 gearbox wheelspeed'!$I$13)/1000)*('yamaha r6 gearbox wheelspeed'!$H$14/'yamaha r6 gearbox wheelspeed'!$I$14)</f>
        <v>247.85995960950919</v>
      </c>
      <c r="P19" s="3">
        <f t="shared" si="3"/>
        <v>2700.6347743359988</v>
      </c>
      <c r="Q19" s="3">
        <f t="shared" si="4"/>
        <v>2090.8140188407733</v>
      </c>
      <c r="R19" s="3">
        <f t="shared" si="5"/>
        <v>1742.3450157006439</v>
      </c>
      <c r="S19" s="3">
        <f t="shared" si="0"/>
        <v>1510.0323469405585</v>
      </c>
      <c r="T19" s="3">
        <f t="shared" si="0"/>
        <v>1344.0947263976398</v>
      </c>
      <c r="U19" s="3">
        <f t="shared" si="6"/>
        <v>1202.2180608334443</v>
      </c>
    </row>
    <row r="20" spans="3:21" x14ac:dyDescent="0.25">
      <c r="C20" s="3">
        <f t="shared" si="7"/>
        <v>15000</v>
      </c>
      <c r="D20" s="3">
        <v>112</v>
      </c>
      <c r="E20" s="3">
        <v>40</v>
      </c>
      <c r="F20" s="3">
        <f t="shared" si="1"/>
        <v>83.5184</v>
      </c>
      <c r="G20" s="3">
        <f t="shared" si="2"/>
        <v>54.24</v>
      </c>
      <c r="I20" s="3">
        <f>(C20*60*('yamaha r6 gearbox wheelspeed'!$H$6/'yamaha r6 gearbox wheelspeed'!$I$6)*'yamaha r6 gearbox wheelspeed'!$R$10*PI()*('yamaha r6 gearbox wheelspeed'!$H$13/'yamaha r6 gearbox wheelspeed'!$I$13)/1000)*('yamaha r6 gearbox wheelspeed'!$H$14/'yamaha r6 gearbox wheelspeed'!$I$14)</f>
        <v>118.21892082757694</v>
      </c>
      <c r="J20" s="3">
        <f>($C20*60*('yamaha r6 gearbox wheelspeed'!$H$7/'yamaha r6 gearbox wheelspeed'!$I$7)*'yamaha r6 gearbox wheelspeed'!$R$10*PI()*('yamaha r6 gearbox wheelspeed'!$H$13/'yamaha r6 gearbox wheelspeed'!$I$13)/1000)*('yamaha r6 gearbox wheelspeed'!$H$14/'yamaha r6 gearbox wheelspeed'!$I$14)</f>
        <v>152.69943940228688</v>
      </c>
      <c r="K20" s="3">
        <f>($C20*60*('yamaha r6 gearbox wheelspeed'!$H$8/'yamaha r6 gearbox wheelspeed'!$I$8)*'yamaha r6 gearbox wheelspeed'!$R$10*PI()*('yamaha r6 gearbox wheelspeed'!$H$13/'yamaha r6 gearbox wheelspeed'!$I$13)/1000)*('yamaha r6 gearbox wheelspeed'!$H$14/'yamaha r6 gearbox wheelspeed'!$I$14)</f>
        <v>183.23932728274428</v>
      </c>
      <c r="L20" s="3">
        <f>($C20*60*('yamaha r6 gearbox wheelspeed'!$H$9/'yamaha r6 gearbox wheelspeed'!$I$9)*'yamaha r6 gearbox wheelspeed'!$R$10*PI()*('yamaha r6 gearbox wheelspeed'!$H$13/'yamaha r6 gearbox wheelspeed'!$I$13)/1000)*('yamaha r6 gearbox wheelspeed'!$H$14/'yamaha r6 gearbox wheelspeed'!$I$14)</f>
        <v>211.4299930185511</v>
      </c>
      <c r="M20" s="3">
        <f>($C20*60*('yamaha r6 gearbox wheelspeed'!$H$10/'yamaha r6 gearbox wheelspeed'!$I$10)*'yamaha r6 gearbox wheelspeed'!$R$10*PI()*('yamaha r6 gearbox wheelspeed'!$H$13/'yamaha r6 gearbox wheelspeed'!$I$13)/1000)*('yamaha r6 gearbox wheelspeed'!$H$14/'yamaha r6 gearbox wheelspeed'!$I$14)</f>
        <v>237.5324612924463</v>
      </c>
      <c r="N20" s="3">
        <f>($C20*60*('yamaha r6 gearbox wheelspeed'!$H$11/'yamaha r6 gearbox wheelspeed'!$I$11)*'yamaha r6 gearbox wheelspeed'!$R$10*PI()*('yamaha r6 gearbox wheelspeed'!$H$13/'yamaha r6 gearbox wheelspeed'!$I$13)/1000)*('yamaha r6 gearbox wheelspeed'!$H$14/'yamaha r6 gearbox wheelspeed'!$I$14)</f>
        <v>265.56424243875983</v>
      </c>
      <c r="P20" s="3">
        <f t="shared" si="3"/>
        <v>2543.300496191499</v>
      </c>
      <c r="Q20" s="3">
        <f t="shared" si="4"/>
        <v>1969.0068357611603</v>
      </c>
      <c r="R20" s="3">
        <f t="shared" si="5"/>
        <v>1640.8390298009667</v>
      </c>
      <c r="S20" s="3">
        <f t="shared" si="0"/>
        <v>1422.0604924941713</v>
      </c>
      <c r="T20" s="3">
        <f t="shared" si="0"/>
        <v>1265.790108703603</v>
      </c>
      <c r="U20" s="3">
        <f t="shared" si="6"/>
        <v>1132.1789305626671</v>
      </c>
    </row>
    <row r="21" spans="3:21" x14ac:dyDescent="0.25">
      <c r="C21" s="3">
        <f t="shared" si="7"/>
        <v>16000</v>
      </c>
      <c r="D21" s="3">
        <v>110</v>
      </c>
      <c r="E21" s="3">
        <v>35</v>
      </c>
      <c r="F21" s="3">
        <f t="shared" si="1"/>
        <v>82.027000000000001</v>
      </c>
      <c r="G21" s="3">
        <f t="shared" si="2"/>
        <v>47.46</v>
      </c>
      <c r="I21" s="3">
        <f>(C21*60*('yamaha r6 gearbox wheelspeed'!$H$6/'yamaha r6 gearbox wheelspeed'!$I$6)*'yamaha r6 gearbox wheelspeed'!$R$10*PI()*('yamaha r6 gearbox wheelspeed'!$H$13/'yamaha r6 gearbox wheelspeed'!$I$13)/1000)*('yamaha r6 gearbox wheelspeed'!$H$14/'yamaha r6 gearbox wheelspeed'!$I$14)</f>
        <v>126.10018221608209</v>
      </c>
      <c r="J21" s="3">
        <f>($C21*60*('yamaha r6 gearbox wheelspeed'!$H$7/'yamaha r6 gearbox wheelspeed'!$I$7)*'yamaha r6 gearbox wheelspeed'!$R$10*PI()*('yamaha r6 gearbox wheelspeed'!$H$13/'yamaha r6 gearbox wheelspeed'!$I$13)/1000)*('yamaha r6 gearbox wheelspeed'!$H$14/'yamaha r6 gearbox wheelspeed'!$I$14)</f>
        <v>162.87940202910602</v>
      </c>
      <c r="K21" s="3">
        <f>($C21*60*('yamaha r6 gearbox wheelspeed'!$H$8/'yamaha r6 gearbox wheelspeed'!$I$8)*'yamaha r6 gearbox wheelspeed'!$R$10*PI()*('yamaha r6 gearbox wheelspeed'!$H$13/'yamaha r6 gearbox wheelspeed'!$I$13)/1000)*('yamaha r6 gearbox wheelspeed'!$H$14/'yamaha r6 gearbox wheelspeed'!$I$14)</f>
        <v>195.45528243492726</v>
      </c>
      <c r="L21" s="3">
        <f>($C21*60*('yamaha r6 gearbox wheelspeed'!$H$9/'yamaha r6 gearbox wheelspeed'!$I$9)*'yamaha r6 gearbox wheelspeed'!$R$10*PI()*('yamaha r6 gearbox wheelspeed'!$H$13/'yamaha r6 gearbox wheelspeed'!$I$13)/1000)*('yamaha r6 gearbox wheelspeed'!$H$14/'yamaha r6 gearbox wheelspeed'!$I$14)</f>
        <v>225.52532588645454</v>
      </c>
      <c r="M21" s="3">
        <f>($C21*60*('yamaha r6 gearbox wheelspeed'!$H$10/'yamaha r6 gearbox wheelspeed'!$I$10)*'yamaha r6 gearbox wheelspeed'!$R$10*PI()*('yamaha r6 gearbox wheelspeed'!$H$13/'yamaha r6 gearbox wheelspeed'!$I$13)/1000)*('yamaha r6 gearbox wheelspeed'!$H$14/'yamaha r6 gearbox wheelspeed'!$I$14)</f>
        <v>253.36795871194272</v>
      </c>
      <c r="N21" s="3">
        <f>($C21*60*('yamaha r6 gearbox wheelspeed'!$H$11/'yamaha r6 gearbox wheelspeed'!$I$11)*'yamaha r6 gearbox wheelspeed'!$R$10*PI()*('yamaha r6 gearbox wheelspeed'!$H$13/'yamaha r6 gearbox wheelspeed'!$I$13)/1000)*('yamaha r6 gearbox wheelspeed'!$H$14/'yamaha r6 gearbox wheelspeed'!$I$14)</f>
        <v>283.26852526801042</v>
      </c>
      <c r="P21" s="3">
        <f t="shared" si="3"/>
        <v>2341.7666399084669</v>
      </c>
      <c r="Q21" s="3">
        <f t="shared" si="4"/>
        <v>1812.9806244452648</v>
      </c>
      <c r="R21" s="3">
        <f t="shared" si="5"/>
        <v>1510.8171870377207</v>
      </c>
      <c r="S21" s="3">
        <f t="shared" si="0"/>
        <v>1309.3748954326911</v>
      </c>
      <c r="T21" s="3">
        <f t="shared" si="0"/>
        <v>1165.4875442862415</v>
      </c>
      <c r="U21" s="3">
        <f t="shared" si="6"/>
        <v>1042.4638590560276</v>
      </c>
    </row>
  </sheetData>
  <mergeCells count="4">
    <mergeCell ref="C2:U2"/>
    <mergeCell ref="I4:N4"/>
    <mergeCell ref="P4:U4"/>
    <mergeCell ref="C4:G4"/>
  </mergeCells>
  <pageMargins left="0.7" right="0.7" top="0.75" bottom="0.75" header="0.3" footer="0.3"/>
  <pageSetup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1CC201-E29A-41C7-934D-15FDA9B1D028}">
  <dimension ref="B2:I25"/>
  <sheetViews>
    <sheetView workbookViewId="0">
      <selection activeCell="C9" sqref="C9"/>
    </sheetView>
  </sheetViews>
  <sheetFormatPr defaultRowHeight="15" x14ac:dyDescent="0.25"/>
  <cols>
    <col min="2" max="2" width="22" bestFit="1" customWidth="1"/>
    <col min="3" max="3" width="12" bestFit="1" customWidth="1"/>
    <col min="6" max="6" width="9.140625" customWidth="1"/>
    <col min="7" max="7" width="15.85546875" customWidth="1"/>
  </cols>
  <sheetData>
    <row r="2" spans="2:9" ht="33.75" x14ac:dyDescent="0.5">
      <c r="B2" s="19" t="s">
        <v>52</v>
      </c>
      <c r="C2" s="19"/>
      <c r="D2" s="19"/>
      <c r="E2" s="19"/>
      <c r="F2" s="19"/>
      <c r="G2" s="19"/>
      <c r="H2" s="19"/>
      <c r="I2" s="19"/>
    </row>
    <row r="4" spans="2:9" x14ac:dyDescent="0.25">
      <c r="B4" s="22" t="s">
        <v>35</v>
      </c>
      <c r="C4" s="23"/>
      <c r="D4" s="23"/>
      <c r="F4" s="22" t="s">
        <v>2</v>
      </c>
      <c r="G4" s="22"/>
      <c r="H4" s="22"/>
      <c r="I4" s="22"/>
    </row>
    <row r="5" spans="2:9" x14ac:dyDescent="0.25">
      <c r="B5" s="2" t="s">
        <v>37</v>
      </c>
      <c r="C5" s="25">
        <v>1375</v>
      </c>
      <c r="D5" s="25"/>
      <c r="F5" s="2"/>
      <c r="G5" s="2"/>
      <c r="H5" s="2" t="s">
        <v>44</v>
      </c>
      <c r="I5" s="2" t="s">
        <v>47</v>
      </c>
    </row>
    <row r="6" spans="2:9" x14ac:dyDescent="0.25">
      <c r="B6" s="2" t="s">
        <v>34</v>
      </c>
      <c r="C6" s="25">
        <v>24</v>
      </c>
      <c r="D6" s="25"/>
      <c r="F6" s="24" t="s">
        <v>6</v>
      </c>
      <c r="G6" s="24"/>
      <c r="H6" s="3">
        <v>120</v>
      </c>
      <c r="I6" s="3">
        <v>180</v>
      </c>
    </row>
    <row r="7" spans="2:9" x14ac:dyDescent="0.25">
      <c r="B7" s="2" t="s">
        <v>36</v>
      </c>
      <c r="C7" s="25">
        <v>97</v>
      </c>
      <c r="D7" s="25"/>
      <c r="F7" s="24" t="s">
        <v>7</v>
      </c>
      <c r="G7" s="24"/>
      <c r="H7" s="3">
        <f>SUM(H6/25.4)</f>
        <v>4.7244094488188981</v>
      </c>
      <c r="I7" s="3">
        <f>SUM(I6/25.4)</f>
        <v>7.0866141732283472</v>
      </c>
    </row>
    <row r="8" spans="2:9" x14ac:dyDescent="0.25">
      <c r="F8" s="24" t="s">
        <v>5</v>
      </c>
      <c r="G8" s="24"/>
      <c r="H8" s="3">
        <v>70</v>
      </c>
      <c r="I8" s="3">
        <v>55</v>
      </c>
    </row>
    <row r="9" spans="2:9" ht="15.75" x14ac:dyDescent="0.25">
      <c r="B9" s="7"/>
      <c r="C9" s="7"/>
      <c r="F9" s="24" t="s">
        <v>8</v>
      </c>
      <c r="G9" s="24"/>
      <c r="H9" s="3">
        <v>17</v>
      </c>
      <c r="I9" s="3">
        <v>17</v>
      </c>
    </row>
    <row r="10" spans="2:9" ht="15.75" x14ac:dyDescent="0.25">
      <c r="B10" s="5"/>
      <c r="C10" s="6"/>
      <c r="F10" s="24" t="s">
        <v>45</v>
      </c>
      <c r="G10" s="24"/>
      <c r="H10" s="3">
        <f>H9/2</f>
        <v>8.5</v>
      </c>
      <c r="I10" s="3">
        <f>I9/2</f>
        <v>8.5</v>
      </c>
    </row>
    <row r="11" spans="2:9" ht="15.75" x14ac:dyDescent="0.25">
      <c r="B11" s="5"/>
      <c r="C11" s="6"/>
      <c r="F11" s="24" t="s">
        <v>48</v>
      </c>
      <c r="G11" s="24"/>
      <c r="H11" s="3">
        <f>(((((H6/25.4)*(H8/100)+(H9/2))*2*PI())*25.4)/PI())/1000</f>
        <v>0.59980000000000011</v>
      </c>
      <c r="I11" s="3">
        <f>(((((I6/25.4)*(I8/100)+(I9/2))*2*PI())*25.4)/PI())/1000</f>
        <v>0.62979999999999992</v>
      </c>
    </row>
    <row r="12" spans="2:9" x14ac:dyDescent="0.25">
      <c r="C12" s="6"/>
      <c r="F12" s="24" t="s">
        <v>49</v>
      </c>
      <c r="G12" s="24"/>
      <c r="H12" s="3">
        <f>(H11*1000)/25.4</f>
        <v>23.614173228346459</v>
      </c>
      <c r="I12" s="3">
        <f>(I11*1000)/25.4</f>
        <v>24.795275590551181</v>
      </c>
    </row>
    <row r="14" spans="2:9" ht="15.75" x14ac:dyDescent="0.25">
      <c r="B14" s="21" t="s">
        <v>12</v>
      </c>
      <c r="C14" s="21"/>
      <c r="D14" s="21"/>
      <c r="E14" s="21"/>
      <c r="F14" s="21"/>
      <c r="G14" s="21"/>
      <c r="H14" s="21"/>
    </row>
    <row r="15" spans="2:9" x14ac:dyDescent="0.25">
      <c r="B15" s="26" t="s">
        <v>13</v>
      </c>
      <c r="C15" s="26" t="s">
        <v>14</v>
      </c>
      <c r="D15" s="26" t="s">
        <v>15</v>
      </c>
      <c r="E15" s="26" t="s">
        <v>16</v>
      </c>
      <c r="F15" s="8"/>
      <c r="G15" s="26" t="s">
        <v>17</v>
      </c>
      <c r="H15" s="26" t="s">
        <v>18</v>
      </c>
    </row>
    <row r="16" spans="2:9" x14ac:dyDescent="0.25">
      <c r="B16" s="26"/>
      <c r="C16" s="26"/>
      <c r="D16" s="26"/>
      <c r="E16" s="26"/>
      <c r="F16" s="8"/>
      <c r="G16" s="26"/>
      <c r="H16" s="26"/>
    </row>
    <row r="17" spans="2:8" x14ac:dyDescent="0.25">
      <c r="B17" s="3"/>
      <c r="C17" s="3"/>
      <c r="D17" s="3"/>
      <c r="E17" s="3"/>
      <c r="F17" s="3"/>
      <c r="G17" s="3"/>
      <c r="H17" s="3"/>
    </row>
    <row r="18" spans="2:8" x14ac:dyDescent="0.25">
      <c r="B18" s="3"/>
      <c r="C18" s="3"/>
      <c r="D18" s="3"/>
      <c r="E18" s="3"/>
      <c r="F18" s="3"/>
      <c r="G18" s="3"/>
      <c r="H18" s="3"/>
    </row>
    <row r="19" spans="2:8" x14ac:dyDescent="0.25">
      <c r="B19" s="3"/>
      <c r="C19" s="3"/>
      <c r="D19" s="3"/>
      <c r="E19" s="3"/>
      <c r="F19" s="3"/>
      <c r="G19" s="3"/>
      <c r="H19" s="3"/>
    </row>
    <row r="20" spans="2:8" x14ac:dyDescent="0.25">
      <c r="B20" s="3"/>
      <c r="C20" s="3"/>
      <c r="D20" s="3"/>
      <c r="E20" s="3"/>
      <c r="F20" s="3"/>
      <c r="G20" s="3"/>
      <c r="H20" s="3"/>
    </row>
    <row r="21" spans="2:8" x14ac:dyDescent="0.25">
      <c r="B21" s="3"/>
      <c r="C21" s="3"/>
      <c r="D21" s="3"/>
      <c r="E21" s="3"/>
      <c r="F21" s="3"/>
      <c r="G21" s="3"/>
      <c r="H21" s="3"/>
    </row>
    <row r="22" spans="2:8" x14ac:dyDescent="0.25">
      <c r="B22" s="3"/>
      <c r="C22" s="3"/>
      <c r="D22" s="3"/>
      <c r="E22" s="3"/>
      <c r="F22" s="3"/>
      <c r="G22" s="3"/>
      <c r="H22" s="3"/>
    </row>
    <row r="23" spans="2:8" x14ac:dyDescent="0.25">
      <c r="B23" s="3"/>
      <c r="C23" s="3"/>
      <c r="D23" s="3"/>
      <c r="E23" s="3"/>
      <c r="F23" s="3"/>
      <c r="G23" s="3"/>
      <c r="H23" s="3"/>
    </row>
    <row r="24" spans="2:8" x14ac:dyDescent="0.25">
      <c r="B24" s="3"/>
      <c r="C24" s="3"/>
      <c r="D24" s="3"/>
      <c r="E24" s="3"/>
      <c r="F24" s="3"/>
      <c r="G24" s="3"/>
      <c r="H24" s="3"/>
    </row>
    <row r="25" spans="2:8" x14ac:dyDescent="0.25">
      <c r="B25" s="1"/>
    </row>
  </sheetData>
  <mergeCells count="20">
    <mergeCell ref="B14:H14"/>
    <mergeCell ref="B15:B16"/>
    <mergeCell ref="C15:C16"/>
    <mergeCell ref="D15:D16"/>
    <mergeCell ref="E15:E16"/>
    <mergeCell ref="G15:G16"/>
    <mergeCell ref="H15:H16"/>
    <mergeCell ref="B2:I2"/>
    <mergeCell ref="F10:G10"/>
    <mergeCell ref="F11:G11"/>
    <mergeCell ref="F12:G12"/>
    <mergeCell ref="F4:I4"/>
    <mergeCell ref="F6:G6"/>
    <mergeCell ref="F7:G7"/>
    <mergeCell ref="F8:G8"/>
    <mergeCell ref="F9:G9"/>
    <mergeCell ref="B4:D4"/>
    <mergeCell ref="C5:D5"/>
    <mergeCell ref="C6:D6"/>
    <mergeCell ref="C7:D7"/>
  </mergeCells>
  <pageMargins left="0.7" right="0.7" top="0.75" bottom="0.75" header="0.3" footer="0.3"/>
  <pageSetup paperSize="9" orientation="portrait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5C448E-3970-4516-9239-EA5448DD8FEC}">
  <dimension ref="B2:T24"/>
  <sheetViews>
    <sheetView tabSelected="1" workbookViewId="0">
      <selection activeCell="J30" sqref="J30"/>
    </sheetView>
  </sheetViews>
  <sheetFormatPr defaultRowHeight="15" x14ac:dyDescent="0.25"/>
  <cols>
    <col min="2" max="2" width="30.85546875" bestFit="1" customWidth="1"/>
    <col min="6" max="6" width="9.7109375" bestFit="1" customWidth="1"/>
    <col min="7" max="8" width="12" bestFit="1" customWidth="1"/>
    <col min="9" max="9" width="16.85546875" bestFit="1" customWidth="1"/>
    <col min="10" max="10" width="16" bestFit="1" customWidth="1"/>
    <col min="12" max="12" width="30.85546875" bestFit="1" customWidth="1"/>
    <col min="13" max="13" width="6" bestFit="1" customWidth="1"/>
    <col min="14" max="14" width="7" bestFit="1" customWidth="1"/>
    <col min="16" max="16" width="9.7109375" bestFit="1" customWidth="1"/>
    <col min="17" max="18" width="12" bestFit="1" customWidth="1"/>
    <col min="19" max="19" width="16.85546875" bestFit="1" customWidth="1"/>
    <col min="20" max="20" width="16" bestFit="1" customWidth="1"/>
  </cols>
  <sheetData>
    <row r="2" spans="2:20" ht="26.25" x14ac:dyDescent="0.4">
      <c r="B2" s="27" t="s">
        <v>56</v>
      </c>
      <c r="C2" s="27"/>
      <c r="D2" s="27"/>
      <c r="E2" s="27"/>
      <c r="F2" s="27"/>
      <c r="G2" s="27"/>
      <c r="H2" s="27"/>
      <c r="I2" s="27"/>
      <c r="J2" s="27"/>
      <c r="L2" s="27" t="s">
        <v>56</v>
      </c>
      <c r="M2" s="27"/>
      <c r="N2" s="27"/>
      <c r="O2" s="27"/>
      <c r="P2" s="27"/>
      <c r="Q2" s="27"/>
      <c r="R2" s="27"/>
      <c r="S2" s="27"/>
      <c r="T2" s="27"/>
    </row>
    <row r="3" spans="2:20" x14ac:dyDescent="0.25">
      <c r="B3" s="28" t="s">
        <v>57</v>
      </c>
      <c r="C3" s="28"/>
      <c r="D3" s="28"/>
      <c r="E3" s="28"/>
      <c r="F3" s="28"/>
      <c r="G3" s="28"/>
      <c r="H3" s="28"/>
      <c r="I3" s="28"/>
      <c r="J3" s="28"/>
      <c r="L3" s="28" t="s">
        <v>78</v>
      </c>
      <c r="M3" s="28"/>
      <c r="N3" s="28"/>
      <c r="O3" s="28"/>
      <c r="P3" s="28"/>
      <c r="Q3" s="28"/>
      <c r="R3" s="28"/>
      <c r="S3" s="28"/>
      <c r="T3" s="28"/>
    </row>
    <row r="5" spans="2:20" x14ac:dyDescent="0.25">
      <c r="B5" s="29" t="s">
        <v>58</v>
      </c>
      <c r="C5" s="30">
        <v>1.405</v>
      </c>
      <c r="D5" s="30"/>
      <c r="F5" s="31" t="s">
        <v>2</v>
      </c>
      <c r="G5" s="31"/>
      <c r="H5" s="31"/>
      <c r="I5" s="31"/>
      <c r="L5" s="29" t="s">
        <v>58</v>
      </c>
      <c r="M5" s="30">
        <v>1.4370000000000001</v>
      </c>
      <c r="N5" s="30"/>
      <c r="P5" s="31" t="s">
        <v>2</v>
      </c>
      <c r="Q5" s="31"/>
      <c r="R5" s="31"/>
      <c r="S5" s="31"/>
    </row>
    <row r="6" spans="2:20" x14ac:dyDescent="0.25">
      <c r="B6" s="29" t="s">
        <v>59</v>
      </c>
      <c r="C6" s="30">
        <f>H12/2</f>
        <v>0.28789999999999999</v>
      </c>
      <c r="D6" s="30"/>
      <c r="F6" s="32"/>
      <c r="G6" s="32"/>
      <c r="H6" s="33" t="s">
        <v>44</v>
      </c>
      <c r="I6" s="33" t="s">
        <v>47</v>
      </c>
      <c r="L6" s="29" t="s">
        <v>59</v>
      </c>
      <c r="M6" s="30">
        <f>R12/2</f>
        <v>0.29990000000000006</v>
      </c>
      <c r="N6" s="30"/>
      <c r="P6" s="32"/>
      <c r="Q6" s="32"/>
      <c r="R6" s="33" t="s">
        <v>44</v>
      </c>
      <c r="S6" s="33" t="s">
        <v>47</v>
      </c>
    </row>
    <row r="7" spans="2:20" x14ac:dyDescent="0.25">
      <c r="B7" s="29" t="s">
        <v>60</v>
      </c>
      <c r="C7" s="30">
        <f>I12/2</f>
        <v>0.31189999999999996</v>
      </c>
      <c r="D7" s="30"/>
      <c r="F7" s="28" t="s">
        <v>6</v>
      </c>
      <c r="G7" s="28"/>
      <c r="H7" s="34">
        <v>120</v>
      </c>
      <c r="I7" s="34">
        <v>160</v>
      </c>
      <c r="L7" s="29" t="s">
        <v>60</v>
      </c>
      <c r="M7" s="30">
        <f>S12/2</f>
        <v>0.32589999999999997</v>
      </c>
      <c r="N7" s="30"/>
      <c r="P7" s="28" t="s">
        <v>6</v>
      </c>
      <c r="Q7" s="28"/>
      <c r="R7" s="34">
        <v>120</v>
      </c>
      <c r="S7" s="34">
        <v>200</v>
      </c>
    </row>
    <row r="8" spans="2:20" x14ac:dyDescent="0.25">
      <c r="B8" s="29" t="s">
        <v>61</v>
      </c>
      <c r="C8" s="30">
        <f>AVERAGE(C7,C6)</f>
        <v>0.29989999999999994</v>
      </c>
      <c r="D8" s="30"/>
      <c r="F8" s="28" t="s">
        <v>7</v>
      </c>
      <c r="G8" s="28"/>
      <c r="H8" s="34">
        <f>SUM(H7/25.4)</f>
        <v>4.7244094488188981</v>
      </c>
      <c r="I8" s="34">
        <f>SUM(I7/25.4)</f>
        <v>6.2992125984251972</v>
      </c>
      <c r="L8" s="29" t="s">
        <v>61</v>
      </c>
      <c r="M8" s="30">
        <f>AVERAGE(M7,M6)</f>
        <v>0.31290000000000001</v>
      </c>
      <c r="N8" s="30"/>
      <c r="P8" s="28" t="s">
        <v>7</v>
      </c>
      <c r="Q8" s="28"/>
      <c r="R8" s="34">
        <f>SUM(R7/25.4)</f>
        <v>4.7244094488188981</v>
      </c>
      <c r="S8" s="34">
        <f>SUM(S7/25.4)</f>
        <v>7.8740157480314963</v>
      </c>
    </row>
    <row r="9" spans="2:20" x14ac:dyDescent="0.25">
      <c r="B9" s="29" t="s">
        <v>62</v>
      </c>
      <c r="C9" s="30">
        <v>75.5</v>
      </c>
      <c r="D9" s="30"/>
      <c r="F9" s="28" t="s">
        <v>5</v>
      </c>
      <c r="G9" s="28"/>
      <c r="H9" s="34">
        <v>60</v>
      </c>
      <c r="I9" s="34">
        <v>60</v>
      </c>
      <c r="L9" s="29" t="s">
        <v>62</v>
      </c>
      <c r="M9" s="30">
        <v>72.849999999999994</v>
      </c>
      <c r="N9" s="30"/>
      <c r="P9" s="28" t="s">
        <v>5</v>
      </c>
      <c r="Q9" s="28"/>
      <c r="R9" s="34">
        <v>70</v>
      </c>
      <c r="S9" s="34">
        <v>55</v>
      </c>
    </row>
    <row r="10" spans="2:20" x14ac:dyDescent="0.25">
      <c r="B10" s="29" t="s">
        <v>63</v>
      </c>
      <c r="C10" s="30">
        <v>0.34499999999999997</v>
      </c>
      <c r="D10" s="30"/>
      <c r="F10" s="28" t="s">
        <v>8</v>
      </c>
      <c r="G10" s="28"/>
      <c r="H10" s="34">
        <v>17</v>
      </c>
      <c r="I10" s="34">
        <v>17</v>
      </c>
      <c r="L10" s="29" t="s">
        <v>63</v>
      </c>
      <c r="M10" s="30">
        <v>0.34499999999999997</v>
      </c>
      <c r="N10" s="30"/>
      <c r="P10" s="28" t="s">
        <v>8</v>
      </c>
      <c r="Q10" s="28"/>
      <c r="R10" s="34">
        <v>17</v>
      </c>
      <c r="S10" s="34">
        <v>17</v>
      </c>
    </row>
    <row r="11" spans="2:20" ht="17.25" x14ac:dyDescent="0.25">
      <c r="B11" s="35" t="s">
        <v>64</v>
      </c>
      <c r="C11" s="30">
        <f>DEGREES(IMSIN(C10/C5))</f>
        <v>13.92811222939755</v>
      </c>
      <c r="D11" s="30"/>
      <c r="F11" s="28" t="s">
        <v>45</v>
      </c>
      <c r="G11" s="28"/>
      <c r="H11" s="34">
        <f>H10/2</f>
        <v>8.5</v>
      </c>
      <c r="I11" s="34">
        <f>I10/2</f>
        <v>8.5</v>
      </c>
      <c r="L11" s="35" t="s">
        <v>64</v>
      </c>
      <c r="M11" s="30">
        <f>DEGREES(IMSIN(M10/M5))</f>
        <v>13.624004705409336</v>
      </c>
      <c r="N11" s="30"/>
      <c r="P11" s="28" t="s">
        <v>45</v>
      </c>
      <c r="Q11" s="28"/>
      <c r="R11" s="34">
        <f>R10/2</f>
        <v>8.5</v>
      </c>
      <c r="S11" s="34">
        <f>S10/2</f>
        <v>8.5</v>
      </c>
    </row>
    <row r="12" spans="2:20" x14ac:dyDescent="0.25">
      <c r="B12" s="36"/>
      <c r="C12" s="18"/>
      <c r="D12" s="18"/>
      <c r="F12" s="28" t="s">
        <v>48</v>
      </c>
      <c r="G12" s="28"/>
      <c r="H12" s="34">
        <f>(((((H7/25.4)*(H9/100)+(H10/2))*2*PI())*25.4)/PI())/1000</f>
        <v>0.57579999999999998</v>
      </c>
      <c r="I12" s="34">
        <f>(((((I7/25.4)*(I9/100)+(I10/2))*2*PI())*25.4)/PI())/1000</f>
        <v>0.62379999999999991</v>
      </c>
      <c r="L12" s="36"/>
      <c r="M12" s="18"/>
      <c r="N12" s="18"/>
      <c r="P12" s="28" t="s">
        <v>48</v>
      </c>
      <c r="Q12" s="28"/>
      <c r="R12" s="34">
        <f>(((((R7/25.4)*(R9/100)+(R10/2))*2*PI())*25.4)/PI())/1000</f>
        <v>0.59980000000000011</v>
      </c>
      <c r="S12" s="34">
        <f>(((((S7/25.4)*(S9/100)+(S10/2))*2*PI())*25.4)/PI())/1000</f>
        <v>0.65179999999999993</v>
      </c>
    </row>
    <row r="13" spans="2:20" x14ac:dyDescent="0.25">
      <c r="C13" s="37" t="s">
        <v>65</v>
      </c>
      <c r="D13" s="37"/>
      <c r="F13" s="28" t="s">
        <v>49</v>
      </c>
      <c r="G13" s="28"/>
      <c r="H13" s="34">
        <f>(H12*1000)/25.4</f>
        <v>22.669291338582678</v>
      </c>
      <c r="I13" s="34">
        <f>(I12*1000)/25.4</f>
        <v>24.559055118110237</v>
      </c>
      <c r="M13" s="37" t="s">
        <v>65</v>
      </c>
      <c r="N13" s="37"/>
      <c r="P13" s="28" t="s">
        <v>49</v>
      </c>
      <c r="Q13" s="28"/>
      <c r="R13" s="34">
        <f>(R12*1000)/25.4</f>
        <v>23.614173228346459</v>
      </c>
      <c r="S13" s="34">
        <f>(S12*1000)/25.4</f>
        <v>25.661417322834644</v>
      </c>
    </row>
    <row r="14" spans="2:20" x14ac:dyDescent="0.25">
      <c r="C14" s="33" t="s">
        <v>66</v>
      </c>
      <c r="D14" s="33" t="s">
        <v>47</v>
      </c>
      <c r="M14" s="33" t="s">
        <v>66</v>
      </c>
      <c r="N14" s="33" t="s">
        <v>47</v>
      </c>
    </row>
    <row r="15" spans="2:20" x14ac:dyDescent="0.25">
      <c r="B15" s="29" t="s">
        <v>67</v>
      </c>
      <c r="C15" s="38">
        <v>94</v>
      </c>
      <c r="D15" s="39">
        <v>82</v>
      </c>
      <c r="L15" s="29" t="s">
        <v>67</v>
      </c>
      <c r="M15" s="38">
        <v>102.2</v>
      </c>
      <c r="N15" s="39">
        <v>88.3</v>
      </c>
    </row>
    <row r="16" spans="2:20" x14ac:dyDescent="0.25">
      <c r="B16" s="29" t="s">
        <v>68</v>
      </c>
      <c r="C16" s="38">
        <v>98.5</v>
      </c>
      <c r="D16" s="39">
        <v>80</v>
      </c>
      <c r="L16" s="29" t="s">
        <v>68</v>
      </c>
      <c r="M16" s="38">
        <v>106.1</v>
      </c>
      <c r="N16" s="39">
        <v>81</v>
      </c>
    </row>
    <row r="17" spans="2:20" x14ac:dyDescent="0.25">
      <c r="B17" s="29" t="s">
        <v>69</v>
      </c>
      <c r="C17" s="40">
        <f>SUM(C15,D15)</f>
        <v>176</v>
      </c>
      <c r="D17" s="40"/>
      <c r="L17" s="29" t="s">
        <v>69</v>
      </c>
      <c r="M17" s="40">
        <f>SUM(M15,N15)</f>
        <v>190.5</v>
      </c>
      <c r="N17" s="40"/>
    </row>
    <row r="18" spans="2:20" x14ac:dyDescent="0.25">
      <c r="B18" s="29" t="s">
        <v>70</v>
      </c>
      <c r="C18" s="40">
        <f>SUM(C16,D16)</f>
        <v>178.5</v>
      </c>
      <c r="D18" s="40"/>
      <c r="L18" s="29" t="s">
        <v>70</v>
      </c>
      <c r="M18" s="40">
        <f>SUM(M16,N16)</f>
        <v>187.1</v>
      </c>
      <c r="N18" s="40"/>
    </row>
    <row r="19" spans="2:20" x14ac:dyDescent="0.25">
      <c r="C19" s="37" t="s">
        <v>71</v>
      </c>
      <c r="D19" s="37"/>
      <c r="M19" s="37" t="s">
        <v>71</v>
      </c>
      <c r="N19" s="37"/>
    </row>
    <row r="20" spans="2:20" x14ac:dyDescent="0.25">
      <c r="C20" s="33" t="s">
        <v>66</v>
      </c>
      <c r="D20" s="33" t="s">
        <v>47</v>
      </c>
      <c r="M20" s="33" t="s">
        <v>66</v>
      </c>
      <c r="N20" s="33" t="s">
        <v>47</v>
      </c>
    </row>
    <row r="21" spans="2:20" x14ac:dyDescent="0.25">
      <c r="B21" s="29" t="s">
        <v>67</v>
      </c>
      <c r="C21" s="38">
        <v>169.5</v>
      </c>
      <c r="D21" s="39">
        <v>137</v>
      </c>
      <c r="L21" s="29" t="s">
        <v>67</v>
      </c>
      <c r="M21" s="38">
        <v>129.1</v>
      </c>
      <c r="N21" s="39">
        <v>130.75</v>
      </c>
    </row>
    <row r="22" spans="2:20" x14ac:dyDescent="0.25">
      <c r="B22" s="29" t="s">
        <v>68</v>
      </c>
      <c r="C22" s="38">
        <v>126.5</v>
      </c>
      <c r="D22" s="39">
        <v>126.5</v>
      </c>
      <c r="G22" s="29" t="s">
        <v>72</v>
      </c>
      <c r="H22" s="29" t="s">
        <v>73</v>
      </c>
      <c r="I22" s="29" t="s">
        <v>74</v>
      </c>
      <c r="J22" s="29" t="s">
        <v>75</v>
      </c>
      <c r="L22" s="29" t="s">
        <v>68</v>
      </c>
      <c r="M22" s="38">
        <v>144.1</v>
      </c>
      <c r="N22" s="39">
        <v>115</v>
      </c>
      <c r="Q22" s="29" t="s">
        <v>72</v>
      </c>
      <c r="R22" s="29" t="s">
        <v>73</v>
      </c>
      <c r="S22" s="29" t="s">
        <v>74</v>
      </c>
      <c r="T22" s="29" t="s">
        <v>75</v>
      </c>
    </row>
    <row r="23" spans="2:20" x14ac:dyDescent="0.25">
      <c r="B23" s="29" t="s">
        <v>76</v>
      </c>
      <c r="C23" s="40">
        <v>251</v>
      </c>
      <c r="D23" s="40"/>
      <c r="F23" s="29" t="s">
        <v>65</v>
      </c>
      <c r="G23" s="34">
        <f>(D15*C5)/C17</f>
        <v>0.65460227272727278</v>
      </c>
      <c r="H23" s="34">
        <f>(C5*(D15-D16)/C17*TAN(C11))+C8</f>
        <v>0.37515607897714293</v>
      </c>
      <c r="I23" s="34">
        <f>(C15/C17)*100</f>
        <v>53.409090909090907</v>
      </c>
      <c r="J23" s="34">
        <f>(D15/C17)*100</f>
        <v>46.590909090909086</v>
      </c>
      <c r="L23" s="29" t="s">
        <v>76</v>
      </c>
      <c r="M23" s="40">
        <v>251</v>
      </c>
      <c r="N23" s="40"/>
      <c r="P23" s="29" t="s">
        <v>65</v>
      </c>
      <c r="Q23" s="34">
        <f>(N15*M5)/M17</f>
        <v>0.66607401574803149</v>
      </c>
      <c r="R23" s="34">
        <f>(M5*(N15-N16)/M17*TAN(M11))+M8</f>
        <v>0.41061856127644525</v>
      </c>
      <c r="S23" s="34">
        <f>(M15/M17)*100</f>
        <v>53.648293963254588</v>
      </c>
      <c r="T23" s="34">
        <f>(N15/M17)*100</f>
        <v>46.351706036745405</v>
      </c>
    </row>
    <row r="24" spans="2:20" x14ac:dyDescent="0.25">
      <c r="B24" s="29" t="s">
        <v>77</v>
      </c>
      <c r="C24" s="40">
        <f>SUM(C22:D22)</f>
        <v>253</v>
      </c>
      <c r="D24" s="40"/>
      <c r="F24" s="29" t="s">
        <v>71</v>
      </c>
      <c r="G24" s="34">
        <f>(D21*C5)/C23</f>
        <v>0.76687250996015943</v>
      </c>
      <c r="H24" s="34">
        <f>(C5*(D21-D22)/C23*TAN(C11))+C8</f>
        <v>0.57693831464095657</v>
      </c>
      <c r="I24" s="34">
        <f>(C21/C23)*100</f>
        <v>67.529880478087648</v>
      </c>
      <c r="J24" s="34">
        <f>(D21/C23)*100</f>
        <v>54.581673306772906</v>
      </c>
      <c r="L24" s="29" t="s">
        <v>77</v>
      </c>
      <c r="M24" s="40">
        <f>SUM(M22:N22)</f>
        <v>259.10000000000002</v>
      </c>
      <c r="N24" s="40"/>
      <c r="P24" s="29" t="s">
        <v>71</v>
      </c>
      <c r="Q24" s="34">
        <f>(N21*M5)/M23</f>
        <v>0.74855677290836653</v>
      </c>
      <c r="R24" s="34">
        <f>(M5*(N21-N22)/M23*TAN(M11))+M8</f>
        <v>0.47291327745992173</v>
      </c>
      <c r="S24" s="34">
        <f>(M21/M23)*100</f>
        <v>51.434262948207163</v>
      </c>
      <c r="T24" s="34">
        <f>(N21/M23)*100</f>
        <v>52.091633466135455</v>
      </c>
    </row>
  </sheetData>
  <mergeCells count="46">
    <mergeCell ref="M18:N18"/>
    <mergeCell ref="M19:N19"/>
    <mergeCell ref="M23:N23"/>
    <mergeCell ref="M24:N24"/>
    <mergeCell ref="M11:N11"/>
    <mergeCell ref="P11:Q11"/>
    <mergeCell ref="P12:Q12"/>
    <mergeCell ref="M13:N13"/>
    <mergeCell ref="P13:Q13"/>
    <mergeCell ref="M17:N17"/>
    <mergeCell ref="P7:Q7"/>
    <mergeCell ref="M8:N8"/>
    <mergeCell ref="P8:Q8"/>
    <mergeCell ref="M9:N9"/>
    <mergeCell ref="P9:Q9"/>
    <mergeCell ref="M10:N10"/>
    <mergeCell ref="P10:Q10"/>
    <mergeCell ref="C18:D18"/>
    <mergeCell ref="C19:D19"/>
    <mergeCell ref="C23:D23"/>
    <mergeCell ref="C24:D24"/>
    <mergeCell ref="L2:T2"/>
    <mergeCell ref="L3:T3"/>
    <mergeCell ref="M5:N5"/>
    <mergeCell ref="P5:S5"/>
    <mergeCell ref="M6:N6"/>
    <mergeCell ref="M7:N7"/>
    <mergeCell ref="C11:D11"/>
    <mergeCell ref="F11:G11"/>
    <mergeCell ref="F12:G12"/>
    <mergeCell ref="C13:D13"/>
    <mergeCell ref="F13:G13"/>
    <mergeCell ref="C17:D17"/>
    <mergeCell ref="C8:D8"/>
    <mergeCell ref="F8:G8"/>
    <mergeCell ref="C9:D9"/>
    <mergeCell ref="F9:G9"/>
    <mergeCell ref="C10:D10"/>
    <mergeCell ref="F10:G10"/>
    <mergeCell ref="B2:J2"/>
    <mergeCell ref="B3:J3"/>
    <mergeCell ref="C5:D5"/>
    <mergeCell ref="F5:I5"/>
    <mergeCell ref="C6:D6"/>
    <mergeCell ref="C7:D7"/>
    <mergeCell ref="F7:G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yamaha r6 gearbox wheelspeed</vt:lpstr>
      <vt:lpstr>Yamaha r6 shift point data</vt:lpstr>
      <vt:lpstr>Geometry</vt:lpstr>
      <vt:lpstr>CoG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Ollie Powell</dc:creator>
  <cp:lastModifiedBy>Ollie Powell</cp:lastModifiedBy>
  <dcterms:created xsi:type="dcterms:W3CDTF">2022-11-29T09:16:26Z</dcterms:created>
  <dcterms:modified xsi:type="dcterms:W3CDTF">2022-12-17T10:42:59Z</dcterms:modified>
</cp:coreProperties>
</file>