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ne\OneDrive\Desktop\Uni\"/>
    </mc:Choice>
  </mc:AlternateContent>
  <xr:revisionPtr revIDLastSave="0" documentId="8_{93A75F99-0E47-4F3D-8E45-F1FCC699FC3A}" xr6:coauthVersionLast="47" xr6:coauthVersionMax="47" xr10:uidLastSave="{00000000-0000-0000-0000-000000000000}"/>
  <bookViews>
    <workbookView xWindow="-120" yWindow="-120" windowWidth="29040" windowHeight="15720" xr2:uid="{1665C78B-2817-49A8-9FCF-2C3152C0137E}"/>
  </bookViews>
  <sheets>
    <sheet name="Appraisal" sheetId="6" r:id="rId1"/>
    <sheet name="ARR" sheetId="8" r:id="rId2"/>
  </sheets>
  <definedNames>
    <definedName name="_xlnm.Print_Area" localSheetId="0">Appraisal!$A$1:$N$23</definedName>
    <definedName name="_xlnm.Print_Area" localSheetId="1">ARR!$A$1:$F$44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0" i="6" l="1"/>
  <c r="L10" i="6"/>
  <c r="K10" i="6"/>
  <c r="J10" i="6"/>
  <c r="I10" i="6"/>
  <c r="H10" i="6"/>
  <c r="G10" i="6"/>
  <c r="F10" i="6"/>
  <c r="E10" i="6"/>
  <c r="D10" i="6"/>
  <c r="C30" i="8"/>
  <c r="D38" i="8" s="1"/>
  <c r="D7" i="8"/>
  <c r="D33" i="8"/>
  <c r="D34" i="8" s="1"/>
  <c r="D13" i="8" s="1"/>
  <c r="D35" i="8"/>
  <c r="E16" i="6"/>
  <c r="F16" i="6"/>
  <c r="G16" i="6"/>
  <c r="H16" i="6"/>
  <c r="H18" i="6" s="1"/>
  <c r="I16" i="6"/>
  <c r="J16" i="6"/>
  <c r="K16" i="6"/>
  <c r="L16" i="6"/>
  <c r="M16" i="6"/>
  <c r="D16" i="6"/>
  <c r="D18" i="6" s="1"/>
  <c r="C11" i="6"/>
  <c r="G18" i="6" l="1"/>
  <c r="M18" i="6"/>
  <c r="L18" i="6"/>
  <c r="K18" i="6"/>
  <c r="J18" i="6"/>
  <c r="I18" i="6"/>
  <c r="F18" i="6"/>
  <c r="E18" i="6"/>
  <c r="D11" i="6"/>
  <c r="D12" i="6" s="1"/>
  <c r="D17" i="8"/>
  <c r="E17" i="8" s="1"/>
  <c r="D29" i="8"/>
  <c r="E29" i="8" s="1"/>
  <c r="D21" i="8"/>
  <c r="E21" i="8" s="1"/>
  <c r="D20" i="8"/>
  <c r="E20" i="8" s="1"/>
  <c r="D26" i="8"/>
  <c r="E26" i="8" s="1"/>
  <c r="D19" i="8"/>
  <c r="E19" i="8" s="1"/>
  <c r="D24" i="8"/>
  <c r="E24" i="8" s="1"/>
  <c r="D16" i="8"/>
  <c r="E16" i="8" s="1"/>
  <c r="D22" i="8"/>
  <c r="E22" i="8" s="1"/>
  <c r="D14" i="8"/>
  <c r="E14" i="8" s="1"/>
  <c r="D27" i="8"/>
  <c r="E27" i="8" s="1"/>
  <c r="D18" i="8"/>
  <c r="E18" i="8" s="1"/>
  <c r="D23" i="8"/>
  <c r="E23" i="8" s="1"/>
  <c r="D15" i="8"/>
  <c r="E15" i="8" s="1"/>
  <c r="D28" i="8"/>
  <c r="E28" i="8" s="1"/>
  <c r="D25" i="8"/>
  <c r="E25" i="8" s="1"/>
  <c r="D10" i="8"/>
  <c r="E10" i="8" s="1"/>
  <c r="D11" i="8"/>
  <c r="E11" i="8" s="1"/>
  <c r="D12" i="8"/>
  <c r="E12" i="8" s="1"/>
  <c r="D8" i="8"/>
  <c r="D9" i="8"/>
  <c r="E9" i="8" s="1"/>
  <c r="E13" i="8"/>
  <c r="C10" i="6"/>
  <c r="E11" i="6"/>
  <c r="C18" i="6"/>
  <c r="D19" i="6" s="1"/>
  <c r="D21" i="6" s="1"/>
  <c r="E8" i="8" l="1"/>
  <c r="E30" i="8" s="1"/>
  <c r="D30" i="8"/>
  <c r="I20" i="6"/>
  <c r="J20" i="6"/>
  <c r="K20" i="6"/>
  <c r="H20" i="6"/>
  <c r="L20" i="6"/>
  <c r="E20" i="6"/>
  <c r="M20" i="6"/>
  <c r="C5" i="6" s="1"/>
  <c r="F20" i="6"/>
  <c r="D20" i="6"/>
  <c r="G20" i="6"/>
  <c r="K19" i="6"/>
  <c r="K21" i="6" s="1"/>
  <c r="C19" i="6"/>
  <c r="G19" i="6"/>
  <c r="G21" i="6" s="1"/>
  <c r="F19" i="6"/>
  <c r="F21" i="6" s="1"/>
  <c r="E19" i="6"/>
  <c r="E21" i="6" s="1"/>
  <c r="J19" i="6"/>
  <c r="J21" i="6" s="1"/>
  <c r="I19" i="6"/>
  <c r="I21" i="6" s="1"/>
  <c r="H19" i="6"/>
  <c r="H21" i="6" s="1"/>
  <c r="L19" i="6"/>
  <c r="L21" i="6" s="1"/>
  <c r="M19" i="6"/>
  <c r="M21" i="6" s="1"/>
  <c r="E12" i="6"/>
  <c r="F11" i="6"/>
  <c r="F8" i="8" l="1"/>
  <c r="G8" i="8" s="1"/>
  <c r="H8" i="8" s="1"/>
  <c r="D22" i="6"/>
  <c r="G22" i="6"/>
  <c r="H22" i="6"/>
  <c r="K22" i="6"/>
  <c r="E22" i="6"/>
  <c r="L22" i="6"/>
  <c r="I22" i="6"/>
  <c r="F22" i="6"/>
  <c r="M22" i="6"/>
  <c r="C7" i="6" s="1"/>
  <c r="J22" i="6"/>
  <c r="C4" i="6"/>
  <c r="F12" i="6"/>
  <c r="G11" i="6"/>
  <c r="C6" i="6" l="1"/>
  <c r="F9" i="8"/>
  <c r="F10" i="8" s="1"/>
  <c r="D36" i="8"/>
  <c r="D37" i="8" s="1"/>
  <c r="D39" i="8"/>
  <c r="G9" i="8"/>
  <c r="H9" i="8" s="1"/>
  <c r="G12" i="6"/>
  <c r="H11" i="6"/>
  <c r="F11" i="8" l="1"/>
  <c r="G10" i="8"/>
  <c r="H10" i="8" s="1"/>
  <c r="I11" i="6"/>
  <c r="H12" i="6"/>
  <c r="F12" i="8" l="1"/>
  <c r="G11" i="8"/>
  <c r="H11" i="8" s="1"/>
  <c r="I12" i="6"/>
  <c r="J11" i="6"/>
  <c r="F13" i="8" l="1"/>
  <c r="G12" i="8"/>
  <c r="H12" i="8" s="1"/>
  <c r="J12" i="6"/>
  <c r="K11" i="6"/>
  <c r="F14" i="8" l="1"/>
  <c r="G13" i="8"/>
  <c r="H13" i="8" s="1"/>
  <c r="K12" i="6"/>
  <c r="L11" i="6"/>
  <c r="F15" i="8" l="1"/>
  <c r="G14" i="8"/>
  <c r="H14" i="8" s="1"/>
  <c r="M11" i="6"/>
  <c r="M12" i="6" s="1"/>
  <c r="L12" i="6"/>
  <c r="F16" i="8" l="1"/>
  <c r="G15" i="8"/>
  <c r="H15" i="8" s="1"/>
  <c r="F17" i="8" l="1"/>
  <c r="G16" i="8"/>
  <c r="H16" i="8" s="1"/>
  <c r="G17" i="8" l="1"/>
  <c r="H17" i="8" s="1"/>
  <c r="F18" i="8"/>
  <c r="G18" i="8" l="1"/>
  <c r="H18" i="8" s="1"/>
  <c r="F19" i="8"/>
  <c r="G19" i="8" l="1"/>
  <c r="H19" i="8" s="1"/>
  <c r="F20" i="8"/>
  <c r="F21" i="8" l="1"/>
  <c r="G20" i="8"/>
  <c r="H20" i="8" s="1"/>
  <c r="F22" i="8" l="1"/>
  <c r="G21" i="8"/>
  <c r="H21" i="8" s="1"/>
  <c r="G22" i="8" l="1"/>
  <c r="H22" i="8" s="1"/>
  <c r="F23" i="8"/>
  <c r="F24" i="8" l="1"/>
  <c r="G23" i="8"/>
  <c r="H23" i="8" s="1"/>
  <c r="G24" i="8" l="1"/>
  <c r="H24" i="8" s="1"/>
  <c r="F25" i="8"/>
  <c r="G25" i="8" l="1"/>
  <c r="H25" i="8" s="1"/>
  <c r="F26" i="8"/>
  <c r="F27" i="8" l="1"/>
  <c r="G26" i="8"/>
  <c r="H26" i="8" s="1"/>
  <c r="F28" i="8" l="1"/>
  <c r="G27" i="8"/>
  <c r="H27" i="8" s="1"/>
  <c r="F29" i="8" l="1"/>
  <c r="G28" i="8"/>
  <c r="H28" i="8" s="1"/>
  <c r="G29" i="8" l="1"/>
  <c r="H29" i="8" s="1"/>
</calcChain>
</file>

<file path=xl/sharedStrings.xml><?xml version="1.0" encoding="utf-8"?>
<sst xmlns="http://schemas.openxmlformats.org/spreadsheetml/2006/main" count="29" uniqueCount="25">
  <si>
    <t>Project Investment</t>
  </si>
  <si>
    <t>Year</t>
  </si>
  <si>
    <t>Investment</t>
  </si>
  <si>
    <t>Discount Rate (WACC)</t>
  </si>
  <si>
    <t>Denominator</t>
  </si>
  <si>
    <t>NPV</t>
  </si>
  <si>
    <t>PI</t>
  </si>
  <si>
    <t>IRR</t>
  </si>
  <si>
    <t>Number of Years</t>
  </si>
  <si>
    <t>BCR</t>
  </si>
  <si>
    <t>Rate of Return (IRR)</t>
  </si>
  <si>
    <t>Profitability Index (PI)</t>
  </si>
  <si>
    <t>Payback</t>
  </si>
  <si>
    <t>Net Present Value (NPV)</t>
  </si>
  <si>
    <t>Profit</t>
  </si>
  <si>
    <t>ARR</t>
  </si>
  <si>
    <t>Initial Investment</t>
  </si>
  <si>
    <t>Difference</t>
  </si>
  <si>
    <t>Time Scale</t>
  </si>
  <si>
    <t>Depreciation</t>
  </si>
  <si>
    <t>Average Investment</t>
  </si>
  <si>
    <t>Average Profit</t>
  </si>
  <si>
    <t>Income</t>
  </si>
  <si>
    <t>Total Cashflow</t>
  </si>
  <si>
    <t xml:space="preserve">Net Benefits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</si>
</sst>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44" fontId="0" fillId="0" borderId="0" xfId="0" applyNumberFormat="1"/>
    <xf numFmtId="44" fontId="0" fillId="0" borderId="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0" fillId="0" borderId="0" xfId="0" applyFont="1"/>
    <xf numFmtId="0" fontId="0" fillId="0" borderId="11" xfId="0" applyFont="1" applyBorder="1" applyAlignment="1">
      <alignment horizontal="center" vertical="center"/>
    </xf>
    <xf numFmtId="44" fontId="0" fillId="0" borderId="11" xfId="0" applyNumberFormat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10" fontId="0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0" xfId="0" applyBorder="1"/>
    <xf numFmtId="0" fontId="0" fillId="0" borderId="0" xfId="0" applyFont="1" applyBorder="1"/>
    <xf numFmtId="44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  <xf numFmtId="44" fontId="6" fillId="0" borderId="11" xfId="0" applyNumberFormat="1" applyFont="1" applyFill="1" applyBorder="1" applyAlignment="1">
      <alignment horizontal="center" vertical="center"/>
    </xf>
    <xf numFmtId="10" fontId="6" fillId="0" borderId="11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0" fontId="0" fillId="0" borderId="13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44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44" fontId="0" fillId="2" borderId="11" xfId="0" applyNumberFormat="1" applyFont="1" applyFill="1" applyBorder="1" applyAlignment="1" applyProtection="1">
      <alignment horizontal="center" vertical="center"/>
      <protection locked="0"/>
    </xf>
    <xf numFmtId="10" fontId="0" fillId="2" borderId="11" xfId="0" applyNumberFormat="1" applyFont="1" applyFill="1" applyBorder="1" applyAlignment="1" applyProtection="1">
      <alignment horizontal="center" vertical="center"/>
      <protection locked="0"/>
    </xf>
    <xf numFmtId="164" fontId="0" fillId="2" borderId="11" xfId="0" applyNumberFormat="1" applyFont="1" applyFill="1" applyBorder="1" applyAlignment="1" applyProtection="1">
      <alignment horizontal="center" vertical="center"/>
      <protection locked="0"/>
    </xf>
    <xf numFmtId="44" fontId="5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55</xdr:row>
      <xdr:rowOff>0</xdr:rowOff>
    </xdr:from>
    <xdr:to>
      <xdr:col>8</xdr:col>
      <xdr:colOff>588907</xdr:colOff>
      <xdr:row>98</xdr:row>
      <xdr:rowOff>124986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5AEAC01-8CE1-478B-9895-CA4E9E254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0275" y="12525375"/>
          <a:ext cx="5296639" cy="831648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9</xdr:col>
      <xdr:colOff>152560</xdr:colOff>
      <xdr:row>135</xdr:row>
      <xdr:rowOff>134326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90794AD-D0F4-4B4B-B2BA-B27C6426E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0275" y="20907375"/>
          <a:ext cx="5811061" cy="6992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C4876-9DFF-43F0-9F68-7C56767C8277}">
  <sheetPr>
    <pageSetUpPr fitToPage="1"/>
  </sheetPr>
  <dimension ref="A1:O24"/>
  <sheetViews>
    <sheetView tabSelected="1" zoomScale="80" zoomScaleNormal="80" workbookViewId="0">
      <selection activeCell="G14" sqref="G14"/>
    </sheetView>
  </sheetViews>
  <sheetFormatPr defaultRowHeight="15" x14ac:dyDescent="0.25"/>
  <cols>
    <col min="1" max="1" width="9.140625" style="1"/>
    <col min="2" max="2" width="28.85546875" style="1" customWidth="1"/>
    <col min="3" max="3" width="22.7109375" style="1" bestFit="1" customWidth="1"/>
    <col min="4" max="4" width="13.42578125" style="1" bestFit="1" customWidth="1"/>
    <col min="5" max="12" width="14.28515625" style="1" bestFit="1" customWidth="1"/>
    <col min="13" max="13" width="13.42578125" style="1" bestFit="1" customWidth="1"/>
    <col min="14" max="38" width="12.5703125" style="1" bestFit="1" customWidth="1"/>
    <col min="39" max="16384" width="9.140625" style="1"/>
  </cols>
  <sheetData>
    <row r="1" spans="1:15" s="31" customFormat="1" x14ac:dyDescent="0.25"/>
    <row r="2" spans="1:15" s="31" customFormat="1" ht="15.75" x14ac:dyDescent="0.25">
      <c r="B2" s="21" t="s">
        <v>0</v>
      </c>
      <c r="C2" s="35">
        <v>270400</v>
      </c>
    </row>
    <row r="3" spans="1:15" s="31" customFormat="1" ht="15.75" x14ac:dyDescent="0.25">
      <c r="B3" s="21" t="s">
        <v>8</v>
      </c>
      <c r="C3" s="33">
        <v>10</v>
      </c>
    </row>
    <row r="4" spans="1:15" s="31" customFormat="1" ht="15.75" x14ac:dyDescent="0.25">
      <c r="B4" s="34" t="s">
        <v>5</v>
      </c>
      <c r="C4" s="35">
        <f>HLOOKUP(C3,C9:M22,11,TRUE)</f>
        <v>308221.04635616438</v>
      </c>
    </row>
    <row r="5" spans="1:15" s="31" customFormat="1" ht="15.75" x14ac:dyDescent="0.25">
      <c r="B5" s="34" t="s">
        <v>7</v>
      </c>
      <c r="C5" s="36">
        <f>HLOOKUP(C3,C9:M22,12,TRUE)</f>
        <v>0.34852781148542311</v>
      </c>
    </row>
    <row r="6" spans="1:15" s="31" customFormat="1" ht="15.75" x14ac:dyDescent="0.25">
      <c r="B6" s="34" t="s">
        <v>6</v>
      </c>
      <c r="C6" s="37">
        <f>HLOOKUP(C3,C9:M22,13,TRUE)</f>
        <v>2.1398707335656968</v>
      </c>
    </row>
    <row r="7" spans="1:15" s="31" customFormat="1" ht="15.75" x14ac:dyDescent="0.25">
      <c r="B7" s="34" t="s">
        <v>9</v>
      </c>
      <c r="C7" s="37">
        <f>HLOOKUP(C3,C9:M22,14,TRUE)</f>
        <v>1.1398707335656968</v>
      </c>
    </row>
    <row r="8" spans="1:15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5" x14ac:dyDescent="0.25">
      <c r="A9" s="27"/>
      <c r="B9" s="21" t="s">
        <v>1</v>
      </c>
      <c r="C9" s="21">
        <v>0</v>
      </c>
      <c r="D9" s="21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1">
        <v>9</v>
      </c>
      <c r="M9" s="21">
        <v>10</v>
      </c>
      <c r="N9" s="31"/>
      <c r="O9" s="31"/>
    </row>
    <row r="10" spans="1:15" x14ac:dyDescent="0.25">
      <c r="A10" s="27"/>
      <c r="B10" s="21" t="s">
        <v>14</v>
      </c>
      <c r="C10" s="20">
        <f>C11</f>
        <v>-270400</v>
      </c>
      <c r="D10" s="20">
        <f>ARR!E8</f>
        <v>63304</v>
      </c>
      <c r="E10" s="20">
        <f>ARR!E9</f>
        <v>130412</v>
      </c>
      <c r="F10" s="20">
        <f>ARR!E10</f>
        <v>136393</v>
      </c>
      <c r="G10" s="20">
        <f>ARR!E11</f>
        <v>114947</v>
      </c>
      <c r="H10" s="20">
        <f>ARR!E12</f>
        <v>93966</v>
      </c>
      <c r="I10" s="20">
        <f>ARR!E13</f>
        <v>88948</v>
      </c>
      <c r="J10" s="20">
        <f>ARR!E14</f>
        <v>81712</v>
      </c>
      <c r="K10" s="20">
        <f>ARR!E15</f>
        <v>76249</v>
      </c>
      <c r="L10" s="20">
        <f>ARR!E16</f>
        <v>72193</v>
      </c>
      <c r="M10" s="20">
        <f>ARR!E17</f>
        <v>70902</v>
      </c>
      <c r="N10" s="31"/>
      <c r="O10" s="31"/>
    </row>
    <row r="11" spans="1:15" x14ac:dyDescent="0.25">
      <c r="A11" s="27"/>
      <c r="B11" s="21" t="s">
        <v>2</v>
      </c>
      <c r="C11" s="20">
        <f>(0-C2)</f>
        <v>-270400</v>
      </c>
      <c r="D11" s="20">
        <f>SUM(C11+D10)</f>
        <v>-207096</v>
      </c>
      <c r="E11" s="20">
        <f t="shared" ref="D11:M11" si="0">SUM(D11+E10)</f>
        <v>-76684</v>
      </c>
      <c r="F11" s="20">
        <f t="shared" si="0"/>
        <v>59709</v>
      </c>
      <c r="G11" s="20">
        <f t="shared" si="0"/>
        <v>174656</v>
      </c>
      <c r="H11" s="20">
        <f t="shared" si="0"/>
        <v>268622</v>
      </c>
      <c r="I11" s="20">
        <f t="shared" si="0"/>
        <v>357570</v>
      </c>
      <c r="J11" s="20">
        <f t="shared" si="0"/>
        <v>439282</v>
      </c>
      <c r="K11" s="20">
        <f t="shared" si="0"/>
        <v>515531</v>
      </c>
      <c r="L11" s="20">
        <f t="shared" si="0"/>
        <v>587724</v>
      </c>
      <c r="M11" s="20">
        <f t="shared" si="0"/>
        <v>658626</v>
      </c>
      <c r="N11" s="31"/>
      <c r="O11" s="31"/>
    </row>
    <row r="12" spans="1:15" x14ac:dyDescent="0.25">
      <c r="A12" s="27"/>
      <c r="B12" s="29"/>
      <c r="C12" s="29" t="s">
        <v>12</v>
      </c>
      <c r="D12" s="29">
        <f>IF(D11&lt;0,D9,C11/D10)</f>
        <v>1</v>
      </c>
      <c r="E12" s="29">
        <f t="shared" ref="E12:M12" si="1">IF(E11&lt;0,E9,D11/E10)</f>
        <v>2</v>
      </c>
      <c r="F12" s="29">
        <f t="shared" si="1"/>
        <v>-0.56222826684653904</v>
      </c>
      <c r="G12" s="29">
        <f t="shared" si="1"/>
        <v>0.5194480934691641</v>
      </c>
      <c r="H12" s="30">
        <f t="shared" si="1"/>
        <v>1.8587148543090053</v>
      </c>
      <c r="I12" s="29">
        <f t="shared" si="1"/>
        <v>3.0199892071772272</v>
      </c>
      <c r="J12" s="29">
        <f t="shared" si="1"/>
        <v>4.3759790483649894</v>
      </c>
      <c r="K12" s="29">
        <f t="shared" si="1"/>
        <v>5.7611509659143074</v>
      </c>
      <c r="L12" s="29">
        <f t="shared" si="1"/>
        <v>7.1410109013339245</v>
      </c>
      <c r="M12" s="29">
        <f t="shared" si="1"/>
        <v>8.2892443090462891</v>
      </c>
      <c r="N12" s="31"/>
      <c r="O12" s="31"/>
    </row>
    <row r="13" spans="1:15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31"/>
      <c r="O13" s="31"/>
    </row>
    <row r="14" spans="1:15" x14ac:dyDescent="0.25">
      <c r="A14" s="27"/>
      <c r="B14" s="27"/>
      <c r="C14" s="27"/>
      <c r="D14" s="27"/>
      <c r="E14" s="27"/>
      <c r="F14" s="27"/>
      <c r="G14" s="27"/>
      <c r="H14" s="28"/>
      <c r="I14" s="27"/>
      <c r="J14" s="27"/>
      <c r="K14" s="27"/>
      <c r="L14" s="27"/>
      <c r="M14" s="27"/>
      <c r="N14" s="31"/>
      <c r="O14" s="31"/>
    </row>
    <row r="15" spans="1:15" x14ac:dyDescent="0.25">
      <c r="A15" s="27"/>
      <c r="B15" s="21" t="s">
        <v>3</v>
      </c>
      <c r="C15" s="39">
        <v>0.105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5" x14ac:dyDescent="0.25">
      <c r="A16" s="27"/>
      <c r="B16" s="38" t="s">
        <v>4</v>
      </c>
      <c r="C16" s="38">
        <v>1</v>
      </c>
      <c r="D16" s="40">
        <f>SUM((1+$C$15)^-D9)</f>
        <v>0.90497737556561086</v>
      </c>
      <c r="E16" s="40">
        <f t="shared" ref="E16:M16" si="2">SUM((1+$C$15)^-E9)</f>
        <v>0.81898405028562071</v>
      </c>
      <c r="F16" s="40">
        <f t="shared" si="2"/>
        <v>0.74116203645757528</v>
      </c>
      <c r="G16" s="40">
        <f t="shared" si="2"/>
        <v>0.67073487462224002</v>
      </c>
      <c r="H16" s="40">
        <f t="shared" si="2"/>
        <v>0.60699988653596382</v>
      </c>
      <c r="I16" s="40">
        <f t="shared" si="2"/>
        <v>0.54932116428594002</v>
      </c>
      <c r="J16" s="40">
        <f t="shared" si="2"/>
        <v>0.49712322559813582</v>
      </c>
      <c r="K16" s="40">
        <f t="shared" si="2"/>
        <v>0.44988527203451206</v>
      </c>
      <c r="L16" s="40">
        <f t="shared" si="2"/>
        <v>0.40713599279141366</v>
      </c>
      <c r="M16" s="40">
        <f t="shared" si="2"/>
        <v>0.36844886225467294</v>
      </c>
      <c r="N16" s="31"/>
      <c r="O16" s="31"/>
    </row>
    <row r="17" spans="1:15" x14ac:dyDescent="0.25">
      <c r="A17" s="27"/>
      <c r="B17" s="41"/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31"/>
      <c r="O17" s="31"/>
    </row>
    <row r="18" spans="1:15" x14ac:dyDescent="0.25">
      <c r="A18" s="27"/>
      <c r="B18" s="21" t="s">
        <v>24</v>
      </c>
      <c r="C18" s="20">
        <f>SUM(C11/C16)</f>
        <v>-270400</v>
      </c>
      <c r="D18" s="20">
        <f>SUM(D16*D10)</f>
        <v>57288.687782805428</v>
      </c>
      <c r="E18" s="20">
        <f t="shared" ref="E18:M18" si="3">SUM(E16*E10)</f>
        <v>106805.34796584837</v>
      </c>
      <c r="F18" s="20">
        <f t="shared" si="3"/>
        <v>101089.31363855806</v>
      </c>
      <c r="G18" s="20">
        <f t="shared" si="3"/>
        <v>77098.96163320262</v>
      </c>
      <c r="H18" s="20">
        <f t="shared" si="3"/>
        <v>57037.351338238375</v>
      </c>
      <c r="I18" s="20">
        <f t="shared" si="3"/>
        <v>48861.018920905793</v>
      </c>
      <c r="J18" s="20">
        <f t="shared" si="3"/>
        <v>40620.933010074878</v>
      </c>
      <c r="K18" s="20">
        <f t="shared" si="3"/>
        <v>34303.302107359508</v>
      </c>
      <c r="L18" s="20">
        <f t="shared" si="3"/>
        <v>29392.368727590525</v>
      </c>
      <c r="M18" s="20">
        <f t="shared" si="3"/>
        <v>26123.761231580822</v>
      </c>
      <c r="N18" s="31"/>
      <c r="O18" s="31"/>
    </row>
    <row r="19" spans="1:15" x14ac:dyDescent="0.25">
      <c r="A19" s="27"/>
      <c r="B19" s="21" t="s">
        <v>13</v>
      </c>
      <c r="C19" s="43">
        <f>C18</f>
        <v>-270400</v>
      </c>
      <c r="D19" s="45">
        <f>SUM(C18:D18)</f>
        <v>-213111.31221719459</v>
      </c>
      <c r="E19" s="45">
        <f>SUM(C18:E18)</f>
        <v>-106305.96425134622</v>
      </c>
      <c r="F19" s="45">
        <f>SUM(C18:F18)</f>
        <v>-5216.6506127881585</v>
      </c>
      <c r="G19" s="45">
        <f>SUM(C18:G18)</f>
        <v>71882.311020414461</v>
      </c>
      <c r="H19" s="45">
        <f>SUM(C18:H18)</f>
        <v>128919.66235865283</v>
      </c>
      <c r="I19" s="45">
        <f>SUM(C18:I18)</f>
        <v>177780.68127955863</v>
      </c>
      <c r="J19" s="45">
        <f>SUM(C18:J18)</f>
        <v>218401.61428963352</v>
      </c>
      <c r="K19" s="45">
        <f>SUM(C18:K18)</f>
        <v>252704.91639699304</v>
      </c>
      <c r="L19" s="45">
        <f>SUM(C18:L18)</f>
        <v>282097.28512458358</v>
      </c>
      <c r="M19" s="45">
        <f>SUM(C18:M18)</f>
        <v>308221.04635616438</v>
      </c>
      <c r="N19" s="31"/>
      <c r="O19" s="31"/>
    </row>
    <row r="20" spans="1:15" x14ac:dyDescent="0.25">
      <c r="A20" s="27"/>
      <c r="B20" s="27"/>
      <c r="C20" s="44" t="s">
        <v>10</v>
      </c>
      <c r="D20" s="46">
        <f>IRR($C$10:D10,1%)</f>
        <v>-0.76588757396449703</v>
      </c>
      <c r="E20" s="46">
        <f>IRR($C$10:E10,1%)</f>
        <v>-0.17867462223458386</v>
      </c>
      <c r="F20" s="46">
        <f>IRR($C$10:F10,1%)</f>
        <v>9.5114118114772772E-2</v>
      </c>
      <c r="G20" s="46">
        <f>IRR($C$10:G10,1%)</f>
        <v>0.21288548318605538</v>
      </c>
      <c r="H20" s="46">
        <f>IRR($C$10:H10,1%)</f>
        <v>0.26915642093958114</v>
      </c>
      <c r="I20" s="46">
        <f>IRR($C$10:I10,1%)</f>
        <v>0.30253014813978529</v>
      </c>
      <c r="J20" s="46">
        <f>IRR($C$10:J10,1%)</f>
        <v>0.32245725011509574</v>
      </c>
      <c r="K20" s="46">
        <f>IRR($C$10:K10,1%)</f>
        <v>0.33491987494087083</v>
      </c>
      <c r="L20" s="46">
        <f>IRR($C$10:L10,1%)</f>
        <v>0.3430039831636511</v>
      </c>
      <c r="M20" s="46">
        <f>IRR($C$10:M10,1%)</f>
        <v>0.34852781148542311</v>
      </c>
      <c r="N20" s="31"/>
      <c r="O20" s="31"/>
    </row>
    <row r="21" spans="1:15" x14ac:dyDescent="0.25">
      <c r="A21" s="27"/>
      <c r="B21" s="27"/>
      <c r="C21" s="44" t="s">
        <v>11</v>
      </c>
      <c r="D21" s="47">
        <f>SUM((D19+$C$2)/$C$2)</f>
        <v>0.21186644890090758</v>
      </c>
      <c r="E21" s="47">
        <f t="shared" ref="E21:M21" si="4">SUM((E19+$C$2)/$C$2)</f>
        <v>0.60685664108229953</v>
      </c>
      <c r="F21" s="47">
        <f t="shared" si="4"/>
        <v>0.98070765305921537</v>
      </c>
      <c r="G21" s="47">
        <f t="shared" si="4"/>
        <v>1.2658369490399943</v>
      </c>
      <c r="H21" s="47">
        <f t="shared" si="4"/>
        <v>1.4767738992553727</v>
      </c>
      <c r="I21" s="47">
        <f t="shared" si="4"/>
        <v>1.6574729337261784</v>
      </c>
      <c r="J21" s="47">
        <f t="shared" si="4"/>
        <v>1.8076982776983488</v>
      </c>
      <c r="K21" s="47">
        <f t="shared" si="4"/>
        <v>1.9345596020598854</v>
      </c>
      <c r="L21" s="47">
        <f t="shared" si="4"/>
        <v>2.0432591905494957</v>
      </c>
      <c r="M21" s="47">
        <f t="shared" si="4"/>
        <v>2.1398707335656968</v>
      </c>
      <c r="N21" s="31"/>
      <c r="O21" s="31"/>
    </row>
    <row r="22" spans="1:15" x14ac:dyDescent="0.25">
      <c r="A22" s="27"/>
      <c r="B22" s="27"/>
      <c r="C22" s="44" t="s">
        <v>9</v>
      </c>
      <c r="D22" s="47">
        <f>SUM(D19/$C$2)</f>
        <v>-0.78813355109909244</v>
      </c>
      <c r="E22" s="47">
        <f>SUM(E19/$C$2)</f>
        <v>-0.39314335891770053</v>
      </c>
      <c r="F22" s="47">
        <f>SUM(F19/$C$2)</f>
        <v>-1.9292346940784608E-2</v>
      </c>
      <c r="G22" s="47">
        <f>SUM(G19/$C$2)</f>
        <v>0.26583694903999433</v>
      </c>
      <c r="H22" s="47">
        <f>SUM(H19/$C$2)</f>
        <v>0.47677389925537289</v>
      </c>
      <c r="I22" s="47">
        <f>SUM(I19/$C$2)</f>
        <v>0.65747293372617832</v>
      </c>
      <c r="J22" s="47">
        <f>SUM(J19/$C$2)</f>
        <v>0.80769827769834879</v>
      </c>
      <c r="K22" s="47">
        <f>SUM(K19/$C$2)</f>
        <v>0.93455960205988553</v>
      </c>
      <c r="L22" s="47">
        <f>SUM(L19/$C$2)</f>
        <v>1.0432591905494955</v>
      </c>
      <c r="M22" s="47">
        <f>SUM(M19/$C$2)</f>
        <v>1.1398707335656968</v>
      </c>
      <c r="N22" s="31"/>
      <c r="O22" s="31"/>
    </row>
    <row r="23" spans="1:15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s="32" customFormat="1" x14ac:dyDescent="0.25">
      <c r="O24" s="31"/>
    </row>
  </sheetData>
  <conditionalFormatting sqref="D20:M20">
    <cfRule type="cellIs" dxfId="4" priority="4" operator="greaterThan">
      <formula>1</formula>
    </cfRule>
  </conditionalFormatting>
  <conditionalFormatting sqref="D21:M21">
    <cfRule type="cellIs" dxfId="3" priority="3" operator="greaterThan">
      <formula>1</formula>
    </cfRule>
  </conditionalFormatting>
  <conditionalFormatting sqref="D22:M22">
    <cfRule type="cellIs" dxfId="2" priority="2" operator="greaterThan">
      <formula>0</formula>
    </cfRule>
  </conditionalFormatting>
  <conditionalFormatting sqref="D19:M20">
    <cfRule type="cellIs" dxfId="1" priority="1" operator="greaterThan">
      <formula>0</formula>
    </cfRule>
  </conditionalFormatting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9067-B9D1-430A-9449-87B4079CFE18}">
  <dimension ref="B2:H39"/>
  <sheetViews>
    <sheetView workbookViewId="0">
      <selection activeCell="D2" sqref="D2"/>
    </sheetView>
  </sheetViews>
  <sheetFormatPr defaultRowHeight="15" x14ac:dyDescent="0.25"/>
  <cols>
    <col min="1" max="1" width="5" customWidth="1"/>
    <col min="2" max="4" width="14.28515625" bestFit="1" customWidth="1"/>
    <col min="5" max="5" width="12.5703125" bestFit="1" customWidth="1"/>
    <col min="6" max="6" width="12.7109375" bestFit="1" customWidth="1"/>
    <col min="7" max="7" width="12.5703125" bestFit="1" customWidth="1"/>
    <col min="8" max="8" width="9.28515625" bestFit="1" customWidth="1"/>
  </cols>
  <sheetData>
    <row r="2" spans="2:8" x14ac:dyDescent="0.25">
      <c r="B2" s="23" t="s">
        <v>16</v>
      </c>
      <c r="C2" s="23"/>
      <c r="D2" s="20">
        <v>270400</v>
      </c>
    </row>
    <row r="3" spans="2:8" x14ac:dyDescent="0.25">
      <c r="B3" s="24"/>
      <c r="C3" s="25"/>
      <c r="D3" s="26"/>
      <c r="E3" s="24"/>
    </row>
    <row r="4" spans="2:8" x14ac:dyDescent="0.25">
      <c r="B4" s="23" t="s">
        <v>18</v>
      </c>
      <c r="C4" s="23"/>
      <c r="D4" s="21">
        <v>10</v>
      </c>
    </row>
    <row r="6" spans="2:8" x14ac:dyDescent="0.25">
      <c r="B6" s="3"/>
    </row>
    <row r="7" spans="2:8" x14ac:dyDescent="0.25">
      <c r="B7" s="15" t="s">
        <v>1</v>
      </c>
      <c r="C7" s="15" t="s">
        <v>22</v>
      </c>
      <c r="D7" s="15" t="str">
        <f>B34</f>
        <v>Depreciation</v>
      </c>
      <c r="E7" s="15" t="s">
        <v>14</v>
      </c>
    </row>
    <row r="8" spans="2:8" x14ac:dyDescent="0.25">
      <c r="B8" s="15">
        <v>1</v>
      </c>
      <c r="C8" s="16">
        <v>90344</v>
      </c>
      <c r="D8" s="16">
        <f>IF(C8&gt;0,$D$34,0)</f>
        <v>27040</v>
      </c>
      <c r="E8" s="16">
        <f>SUM(C8-D8)</f>
        <v>63304</v>
      </c>
      <c r="F8" s="48">
        <f>E8</f>
        <v>63304</v>
      </c>
      <c r="G8" s="48">
        <f>SUM(F8/B8)</f>
        <v>63304</v>
      </c>
      <c r="H8" s="49">
        <f>SUM(G8/$D$35)</f>
        <v>0.46822485207100589</v>
      </c>
    </row>
    <row r="9" spans="2:8" x14ac:dyDescent="0.25">
      <c r="B9" s="15">
        <v>2</v>
      </c>
      <c r="C9" s="16">
        <v>157452</v>
      </c>
      <c r="D9" s="16">
        <f>IF(C9&gt;0,$D$34,0)</f>
        <v>27040</v>
      </c>
      <c r="E9" s="16">
        <f t="shared" ref="E9:E17" si="0">SUM(C9-D9)</f>
        <v>130412</v>
      </c>
      <c r="F9" s="48">
        <f>SUM(F8+E9)</f>
        <v>193716</v>
      </c>
      <c r="G9" s="48">
        <f t="shared" ref="G9:G17" si="1">SUM(F9/B9)</f>
        <v>96858</v>
      </c>
      <c r="H9" s="49">
        <f>SUM(G9/$D$35)</f>
        <v>0.71640532544378699</v>
      </c>
    </row>
    <row r="10" spans="2:8" x14ac:dyDescent="0.25">
      <c r="B10" s="15">
        <v>3</v>
      </c>
      <c r="C10" s="16">
        <v>163433</v>
      </c>
      <c r="D10" s="16">
        <f>IF(C10&gt;0,$D$34,0)</f>
        <v>27040</v>
      </c>
      <c r="E10" s="16">
        <f t="shared" si="0"/>
        <v>136393</v>
      </c>
      <c r="F10" s="48">
        <f t="shared" ref="F10:F17" si="2">SUM(F9+E10)</f>
        <v>330109</v>
      </c>
      <c r="G10" s="48">
        <f t="shared" si="1"/>
        <v>110036.33333333333</v>
      </c>
      <c r="H10" s="49">
        <f>SUM(G10/$D$35)</f>
        <v>0.81387820512820508</v>
      </c>
    </row>
    <row r="11" spans="2:8" x14ac:dyDescent="0.25">
      <c r="B11" s="15">
        <v>4</v>
      </c>
      <c r="C11" s="16">
        <v>141987</v>
      </c>
      <c r="D11" s="16">
        <f>IF(C11&gt;0,$D$34,0)</f>
        <v>27040</v>
      </c>
      <c r="E11" s="16">
        <f t="shared" si="0"/>
        <v>114947</v>
      </c>
      <c r="F11" s="48">
        <f t="shared" si="2"/>
        <v>445056</v>
      </c>
      <c r="G11" s="48">
        <f t="shared" si="1"/>
        <v>111264</v>
      </c>
      <c r="H11" s="49">
        <f>SUM(G11/$D$35)</f>
        <v>0.82295857988165677</v>
      </c>
    </row>
    <row r="12" spans="2:8" x14ac:dyDescent="0.25">
      <c r="B12" s="15">
        <v>5</v>
      </c>
      <c r="C12" s="16">
        <v>121006</v>
      </c>
      <c r="D12" s="16">
        <f>IF(C12&gt;0,$D$34,0)</f>
        <v>27040</v>
      </c>
      <c r="E12" s="16">
        <f t="shared" si="0"/>
        <v>93966</v>
      </c>
      <c r="F12" s="48">
        <f t="shared" si="2"/>
        <v>539022</v>
      </c>
      <c r="G12" s="48">
        <f t="shared" si="1"/>
        <v>107804.4</v>
      </c>
      <c r="H12" s="49">
        <f>SUM(G12/$D$35)</f>
        <v>0.79736982248520705</v>
      </c>
    </row>
    <row r="13" spans="2:8" x14ac:dyDescent="0.25">
      <c r="B13" s="15">
        <v>6</v>
      </c>
      <c r="C13" s="16">
        <v>115988</v>
      </c>
      <c r="D13" s="16">
        <f>IF(C13&gt;0,$D$34,0)</f>
        <v>27040</v>
      </c>
      <c r="E13" s="16">
        <f t="shared" si="0"/>
        <v>88948</v>
      </c>
      <c r="F13" s="48">
        <f t="shared" si="2"/>
        <v>627970</v>
      </c>
      <c r="G13" s="48">
        <f t="shared" si="1"/>
        <v>104661.66666666667</v>
      </c>
      <c r="H13" s="49">
        <f>SUM(G13/$D$35)</f>
        <v>0.77412475345167653</v>
      </c>
    </row>
    <row r="14" spans="2:8" x14ac:dyDescent="0.25">
      <c r="B14" s="15">
        <v>7</v>
      </c>
      <c r="C14" s="16">
        <v>108752</v>
      </c>
      <c r="D14" s="16">
        <f>IF(C14&gt;0,$D$34,0)</f>
        <v>27040</v>
      </c>
      <c r="E14" s="16">
        <f t="shared" si="0"/>
        <v>81712</v>
      </c>
      <c r="F14" s="48">
        <f t="shared" si="2"/>
        <v>709682</v>
      </c>
      <c r="G14" s="48">
        <f t="shared" si="1"/>
        <v>101383.14285714286</v>
      </c>
      <c r="H14" s="49">
        <f>SUM(G14/$D$35)</f>
        <v>0.74987531699070165</v>
      </c>
    </row>
    <row r="15" spans="2:8" x14ac:dyDescent="0.25">
      <c r="B15" s="15">
        <v>8</v>
      </c>
      <c r="C15" s="16">
        <v>103289</v>
      </c>
      <c r="D15" s="16">
        <f>IF(C15&gt;0,$D$34,0)</f>
        <v>27040</v>
      </c>
      <c r="E15" s="16">
        <f t="shared" si="0"/>
        <v>76249</v>
      </c>
      <c r="F15" s="48">
        <f t="shared" si="2"/>
        <v>785931</v>
      </c>
      <c r="G15" s="48">
        <f t="shared" si="1"/>
        <v>98241.375</v>
      </c>
      <c r="H15" s="49">
        <f>SUM(G15/$D$35)</f>
        <v>0.72663738905325448</v>
      </c>
    </row>
    <row r="16" spans="2:8" x14ac:dyDescent="0.25">
      <c r="B16" s="15">
        <v>9</v>
      </c>
      <c r="C16" s="16">
        <v>99233</v>
      </c>
      <c r="D16" s="16">
        <f>IF(C16&gt;0,$D$34,0)</f>
        <v>27040</v>
      </c>
      <c r="E16" s="16">
        <f t="shared" si="0"/>
        <v>72193</v>
      </c>
      <c r="F16" s="48">
        <f t="shared" si="2"/>
        <v>858124</v>
      </c>
      <c r="G16" s="48">
        <f t="shared" si="1"/>
        <v>95347.111111111109</v>
      </c>
      <c r="H16" s="49">
        <f>SUM(G16/$D$35)</f>
        <v>0.70523011176857331</v>
      </c>
    </row>
    <row r="17" spans="2:8" x14ac:dyDescent="0.25">
      <c r="B17" s="15">
        <v>10</v>
      </c>
      <c r="C17" s="16">
        <v>97942</v>
      </c>
      <c r="D17" s="16">
        <f>IF(C17&gt;0,$D$34,0)</f>
        <v>27040</v>
      </c>
      <c r="E17" s="16">
        <f t="shared" si="0"/>
        <v>70902</v>
      </c>
      <c r="F17" s="48">
        <f t="shared" si="2"/>
        <v>929026</v>
      </c>
      <c r="G17" s="48">
        <f t="shared" si="1"/>
        <v>92902.6</v>
      </c>
      <c r="H17" s="49">
        <f>SUM(G17/$D$35)</f>
        <v>0.68714940828402371</v>
      </c>
    </row>
    <row r="18" spans="2:8" hidden="1" x14ac:dyDescent="0.25">
      <c r="B18" s="9">
        <v>11</v>
      </c>
      <c r="C18" s="7">
        <v>0</v>
      </c>
      <c r="D18" s="4">
        <f>IF(C18&gt;0,$D$34,0)</f>
        <v>0</v>
      </c>
      <c r="E18" s="7">
        <f t="shared" ref="E18:E29" si="3">SUM(C18-D18)</f>
        <v>0</v>
      </c>
      <c r="F18" s="12">
        <f t="shared" ref="F18:F29" si="4">SUM(F17+E18)</f>
        <v>929026</v>
      </c>
      <c r="G18" s="12">
        <f t="shared" ref="G18:G29" si="5">SUM(F18/B18)</f>
        <v>84456.909090909088</v>
      </c>
      <c r="H18" s="13">
        <f>SUM(G18/$D$35)</f>
        <v>0.62468128025820335</v>
      </c>
    </row>
    <row r="19" spans="2:8" ht="15.75" hidden="1" thickBot="1" x14ac:dyDescent="0.3">
      <c r="B19" s="11">
        <v>12</v>
      </c>
      <c r="C19" s="2">
        <v>0</v>
      </c>
      <c r="D19" s="6">
        <f>IF(C19&gt;0,$D$34,0)</f>
        <v>0</v>
      </c>
      <c r="E19" s="2">
        <f t="shared" si="3"/>
        <v>0</v>
      </c>
      <c r="F19" s="12">
        <f t="shared" si="4"/>
        <v>929026</v>
      </c>
      <c r="G19" s="12">
        <f t="shared" si="5"/>
        <v>77418.833333333328</v>
      </c>
      <c r="H19" s="13">
        <f>SUM(G19/$D$35)</f>
        <v>0.57262450690335298</v>
      </c>
    </row>
    <row r="20" spans="2:8" hidden="1" x14ac:dyDescent="0.25">
      <c r="B20" s="10">
        <v>13</v>
      </c>
      <c r="C20" s="8">
        <v>0</v>
      </c>
      <c r="D20" s="5">
        <f>IF(C20&gt;0,$D$34,0)</f>
        <v>0</v>
      </c>
      <c r="E20" s="8">
        <f t="shared" si="3"/>
        <v>0</v>
      </c>
      <c r="F20" s="12">
        <f t="shared" si="4"/>
        <v>929026</v>
      </c>
      <c r="G20" s="12">
        <f t="shared" si="5"/>
        <v>71463.538461538468</v>
      </c>
      <c r="H20" s="13">
        <f>SUM(G20/$D$35)</f>
        <v>0.5285764679107875</v>
      </c>
    </row>
    <row r="21" spans="2:8" ht="15.75" hidden="1" thickBot="1" x14ac:dyDescent="0.3">
      <c r="B21" s="11">
        <v>14</v>
      </c>
      <c r="C21" s="2">
        <v>0</v>
      </c>
      <c r="D21" s="6">
        <f>IF(C21&gt;0,$D$34,0)</f>
        <v>0</v>
      </c>
      <c r="E21" s="2">
        <f t="shared" si="3"/>
        <v>0</v>
      </c>
      <c r="F21" s="12">
        <f t="shared" si="4"/>
        <v>929026</v>
      </c>
      <c r="G21" s="12">
        <f t="shared" si="5"/>
        <v>66359</v>
      </c>
      <c r="H21" s="13">
        <f>SUM(G21/$D$35)</f>
        <v>0.49082100591715977</v>
      </c>
    </row>
    <row r="22" spans="2:8" hidden="1" x14ac:dyDescent="0.25">
      <c r="B22" s="10">
        <v>15</v>
      </c>
      <c r="C22" s="8">
        <v>0</v>
      </c>
      <c r="D22" s="5">
        <f>IF(C22&gt;0,$D$34,0)</f>
        <v>0</v>
      </c>
      <c r="E22" s="8">
        <f t="shared" si="3"/>
        <v>0</v>
      </c>
      <c r="F22" s="12">
        <f t="shared" si="4"/>
        <v>929026</v>
      </c>
      <c r="G22" s="12">
        <f t="shared" si="5"/>
        <v>61935.066666666666</v>
      </c>
      <c r="H22" s="13">
        <f>SUM(G22/$D$35)</f>
        <v>0.45809960552268242</v>
      </c>
    </row>
    <row r="23" spans="2:8" ht="15.75" hidden="1" thickBot="1" x14ac:dyDescent="0.3">
      <c r="B23" s="11">
        <v>16</v>
      </c>
      <c r="C23" s="2">
        <v>0</v>
      </c>
      <c r="D23" s="6">
        <f>IF(C23&gt;0,$D$34,0)</f>
        <v>0</v>
      </c>
      <c r="E23" s="2">
        <f t="shared" si="3"/>
        <v>0</v>
      </c>
      <c r="F23" s="12">
        <f t="shared" si="4"/>
        <v>929026</v>
      </c>
      <c r="G23" s="12">
        <f t="shared" si="5"/>
        <v>58064.125</v>
      </c>
      <c r="H23" s="13">
        <f>SUM(G23/$D$35)</f>
        <v>0.42946838017751482</v>
      </c>
    </row>
    <row r="24" spans="2:8" hidden="1" x14ac:dyDescent="0.25">
      <c r="B24" s="10">
        <v>17</v>
      </c>
      <c r="C24" s="8">
        <v>0</v>
      </c>
      <c r="D24" s="5">
        <f>IF(C24&gt;0,$D$34,0)</f>
        <v>0</v>
      </c>
      <c r="E24" s="8">
        <f t="shared" si="3"/>
        <v>0</v>
      </c>
      <c r="F24" s="12">
        <f t="shared" si="4"/>
        <v>929026</v>
      </c>
      <c r="G24" s="12">
        <f t="shared" si="5"/>
        <v>54648.588235294119</v>
      </c>
      <c r="H24" s="13">
        <f>SUM(G24/$D$35)</f>
        <v>0.40420553428471984</v>
      </c>
    </row>
    <row r="25" spans="2:8" ht="15.75" hidden="1" thickBot="1" x14ac:dyDescent="0.3">
      <c r="B25" s="11">
        <v>18</v>
      </c>
      <c r="C25" s="2">
        <v>0</v>
      </c>
      <c r="D25" s="6">
        <f>IF(C25&gt;0,$D$34,0)</f>
        <v>0</v>
      </c>
      <c r="E25" s="2">
        <f t="shared" si="3"/>
        <v>0</v>
      </c>
      <c r="F25" s="12">
        <f t="shared" si="4"/>
        <v>929026</v>
      </c>
      <c r="G25" s="12">
        <f t="shared" si="5"/>
        <v>51612.555555555555</v>
      </c>
      <c r="H25" s="13">
        <f>SUM(G25/$D$35)</f>
        <v>0.38174967126890202</v>
      </c>
    </row>
    <row r="26" spans="2:8" hidden="1" x14ac:dyDescent="0.25">
      <c r="B26" s="10">
        <v>19</v>
      </c>
      <c r="C26" s="8">
        <v>0</v>
      </c>
      <c r="D26" s="5">
        <f>IF(C26&gt;0,$D$34,0)</f>
        <v>0</v>
      </c>
      <c r="E26" s="8">
        <f t="shared" si="3"/>
        <v>0</v>
      </c>
      <c r="F26" s="12">
        <f t="shared" si="4"/>
        <v>929026</v>
      </c>
      <c r="G26" s="12">
        <f t="shared" si="5"/>
        <v>48896.105263157893</v>
      </c>
      <c r="H26" s="13">
        <f>SUM(G26/$D$35)</f>
        <v>0.36165758330738085</v>
      </c>
    </row>
    <row r="27" spans="2:8" ht="15.75" hidden="1" thickBot="1" x14ac:dyDescent="0.3">
      <c r="B27" s="11">
        <v>20</v>
      </c>
      <c r="C27" s="2">
        <v>0</v>
      </c>
      <c r="D27" s="6">
        <f>IF(C27&gt;0,$D$34,0)</f>
        <v>0</v>
      </c>
      <c r="E27" s="2">
        <f t="shared" si="3"/>
        <v>0</v>
      </c>
      <c r="F27" s="12">
        <f t="shared" si="4"/>
        <v>929026</v>
      </c>
      <c r="G27" s="12">
        <f t="shared" si="5"/>
        <v>46451.3</v>
      </c>
      <c r="H27" s="13">
        <f>SUM(G27/$D$35)</f>
        <v>0.34357470414201186</v>
      </c>
    </row>
    <row r="28" spans="2:8" hidden="1" x14ac:dyDescent="0.25">
      <c r="B28" s="10">
        <v>21</v>
      </c>
      <c r="C28" s="8">
        <v>0</v>
      </c>
      <c r="D28" s="5">
        <f>IF(C28&gt;0,$D$34,0)</f>
        <v>0</v>
      </c>
      <c r="E28" s="8">
        <f t="shared" si="3"/>
        <v>0</v>
      </c>
      <c r="F28" s="12">
        <f t="shared" si="4"/>
        <v>929026</v>
      </c>
      <c r="G28" s="12">
        <f t="shared" si="5"/>
        <v>44239.333333333336</v>
      </c>
      <c r="H28" s="13">
        <f>SUM(G28/$D$35)</f>
        <v>0.32721400394477318</v>
      </c>
    </row>
    <row r="29" spans="2:8" ht="15.75" hidden="1" thickBot="1" x14ac:dyDescent="0.3">
      <c r="B29" s="11">
        <v>22</v>
      </c>
      <c r="C29" s="17">
        <v>0</v>
      </c>
      <c r="D29" s="18">
        <f>IF(C29&gt;0,$D$34,0)</f>
        <v>0</v>
      </c>
      <c r="E29" s="17">
        <f t="shared" si="3"/>
        <v>0</v>
      </c>
      <c r="F29" s="12">
        <f t="shared" si="4"/>
        <v>929026</v>
      </c>
      <c r="G29" s="12">
        <f t="shared" si="5"/>
        <v>42228.454545454544</v>
      </c>
      <c r="H29" s="13">
        <f>SUM(G29/$D$35)</f>
        <v>0.31234064012910168</v>
      </c>
    </row>
    <row r="30" spans="2:8" x14ac:dyDescent="0.25">
      <c r="C30" s="19">
        <f>SUM(C8:C29)</f>
        <v>1199426</v>
      </c>
      <c r="D30" s="19">
        <f>SUM(D8:D29)</f>
        <v>270400</v>
      </c>
      <c r="E30" s="19">
        <f>SUM(E8:E29)</f>
        <v>929026</v>
      </c>
    </row>
    <row r="32" spans="2:8" x14ac:dyDescent="0.25">
      <c r="C32" s="14"/>
      <c r="D32" s="14"/>
    </row>
    <row r="33" spans="2:4" x14ac:dyDescent="0.25">
      <c r="B33" s="23" t="s">
        <v>17</v>
      </c>
      <c r="C33" s="23"/>
      <c r="D33" s="16">
        <f>SUM(D2-D3)</f>
        <v>270400</v>
      </c>
    </row>
    <row r="34" spans="2:4" x14ac:dyDescent="0.25">
      <c r="B34" s="23" t="s">
        <v>19</v>
      </c>
      <c r="C34" s="23"/>
      <c r="D34" s="16">
        <f>SUM(D33/D4)</f>
        <v>27040</v>
      </c>
    </row>
    <row r="35" spans="2:4" x14ac:dyDescent="0.25">
      <c r="B35" s="23" t="s">
        <v>20</v>
      </c>
      <c r="C35" s="23"/>
      <c r="D35" s="16">
        <f>SUM((D2+D3)/2)</f>
        <v>135200</v>
      </c>
    </row>
    <row r="36" spans="2:4" x14ac:dyDescent="0.25">
      <c r="B36" s="23" t="s">
        <v>21</v>
      </c>
      <c r="C36" s="23"/>
      <c r="D36" s="16">
        <f>SUM(E30/D4)</f>
        <v>92902.6</v>
      </c>
    </row>
    <row r="37" spans="2:4" x14ac:dyDescent="0.25">
      <c r="B37" s="23" t="s">
        <v>15</v>
      </c>
      <c r="C37" s="23"/>
      <c r="D37" s="22">
        <f>SUM(D36/D35)</f>
        <v>0.68714940828402371</v>
      </c>
    </row>
    <row r="38" spans="2:4" x14ac:dyDescent="0.25">
      <c r="B38" s="23" t="s">
        <v>23</v>
      </c>
      <c r="C38" s="23"/>
      <c r="D38" s="16">
        <f>C30</f>
        <v>1199426</v>
      </c>
    </row>
    <row r="39" spans="2:4" x14ac:dyDescent="0.25">
      <c r="B39" s="23" t="s">
        <v>14</v>
      </c>
      <c r="C39" s="23"/>
      <c r="D39" s="16">
        <f>E30</f>
        <v>929026</v>
      </c>
    </row>
  </sheetData>
  <mergeCells count="9">
    <mergeCell ref="B38:C38"/>
    <mergeCell ref="B39:C39"/>
    <mergeCell ref="B2:C2"/>
    <mergeCell ref="B4:C4"/>
    <mergeCell ref="B34:C34"/>
    <mergeCell ref="B35:C35"/>
    <mergeCell ref="B36:C36"/>
    <mergeCell ref="B37:C37"/>
    <mergeCell ref="B33:C33"/>
  </mergeCells>
  <phoneticPr fontId="3" type="noConversion"/>
  <conditionalFormatting sqref="C8:E29">
    <cfRule type="cellIs" dxfId="0" priority="1" operator="lessThan">
      <formula>0.001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Appraisal</vt:lpstr>
      <vt:lpstr>ARR</vt:lpstr>
      <vt:lpstr>Appraisal!Print_Area</vt:lpstr>
      <vt:lpstr>ARR!Print_Area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Gunter</dc:creator>
  <cp:lastModifiedBy>magnet schultz</cp:lastModifiedBy>
  <cp:lastPrinted>2023-05-29T11:56:28Z</cp:lastPrinted>
  <dcterms:created xsi:type="dcterms:W3CDTF">2022-06-24T13:22:40Z</dcterms:created>
  <dcterms:modified xsi:type="dcterms:W3CDTF">2023-05-29T19:02:19Z</dcterms:modified>
</cp:coreProperties>
</file>