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ad-ah2\Dropbox\Modules\BEng 1 - Motorcycle Technology M4X00392\BEng Yr1 Motorcycle Practical Assessment - 03rd May 2018\"/>
    </mc:Choice>
  </mc:AlternateContent>
  <bookViews>
    <workbookView xWindow="9735" yWindow="15" windowWidth="10875" windowHeight="8190"/>
  </bookViews>
  <sheets>
    <sheet name="Gearbox BMW S1000RR" sheetId="1" r:id="rId1"/>
    <sheet name="Gear Change Calc" sheetId="3" r:id="rId2"/>
    <sheet name="Gear Change Chart" sheetId="4" r:id="rId3"/>
    <sheet name="Dyno Curve" sheetId="6" r:id="rId4"/>
  </sheets>
  <definedNames>
    <definedName name="ChainSize">#REF!</definedName>
    <definedName name="First">'Gearbox BMW S1000RR'!$C$9</definedName>
    <definedName name="First_1">#REF!</definedName>
    <definedName name="FrontSprockets">#REF!</definedName>
    <definedName name="Number_of_Links">#REF!</definedName>
    <definedName name="RearSprockets">#REF!</definedName>
  </definedNames>
  <calcPr calcId="179017"/>
</workbook>
</file>

<file path=xl/calcChain.xml><?xml version="1.0" encoding="utf-8"?>
<calcChain xmlns="http://schemas.openxmlformats.org/spreadsheetml/2006/main">
  <c r="C14" i="3" l="1"/>
  <c r="C2" i="3"/>
  <c r="C9" i="1"/>
  <c r="D9" i="1"/>
  <c r="C11" i="1"/>
  <c r="D11" i="1"/>
  <c r="C13" i="1"/>
  <c r="D13" i="1"/>
  <c r="C15" i="1"/>
  <c r="D15" i="1"/>
  <c r="A3" i="3"/>
  <c r="A4" i="3" s="1"/>
  <c r="C4" i="3" s="1"/>
  <c r="AA14" i="1"/>
  <c r="C3" i="3" l="1"/>
  <c r="A5" i="3"/>
  <c r="AE4" i="1"/>
  <c r="BA16" i="1"/>
  <c r="BA15" i="1"/>
  <c r="BA14" i="1"/>
  <c r="D19" i="1"/>
  <c r="D17" i="1"/>
  <c r="C19" i="1"/>
  <c r="C17" i="1"/>
  <c r="AX10" i="1"/>
  <c r="AX9" i="1"/>
  <c r="AX8" i="1"/>
  <c r="AX7" i="1"/>
  <c r="AX6" i="1"/>
  <c r="AX5" i="1"/>
  <c r="A6" i="3" l="1"/>
  <c r="C6" i="3" s="1"/>
  <c r="C5" i="3"/>
  <c r="A7" i="3"/>
  <c r="C7" i="3" s="1"/>
  <c r="W11" i="1"/>
  <c r="A8" i="3" l="1"/>
  <c r="C8" i="3" s="1"/>
  <c r="BH21" i="1"/>
  <c r="BH22" i="1"/>
  <c r="A9" i="3" l="1"/>
  <c r="C9" i="3" s="1"/>
  <c r="BH20" i="1"/>
  <c r="BH19" i="1"/>
  <c r="U5" i="1" s="1"/>
  <c r="X5" i="1" s="1"/>
  <c r="A10" i="3" l="1"/>
  <c r="C10" i="3" s="1"/>
  <c r="M5" i="1"/>
  <c r="P5" i="1" s="1"/>
  <c r="E5" i="1"/>
  <c r="T11" i="1"/>
  <c r="S11" i="1"/>
  <c r="W17" i="1"/>
  <c r="W15" i="1"/>
  <c r="W13" i="1"/>
  <c r="W9" i="1"/>
  <c r="AB19" i="1"/>
  <c r="AA19" i="1"/>
  <c r="W19" i="1"/>
  <c r="T19" i="1"/>
  <c r="S19" i="1"/>
  <c r="T17" i="1"/>
  <c r="S17" i="1"/>
  <c r="T15" i="1"/>
  <c r="S15" i="1"/>
  <c r="T13" i="1"/>
  <c r="S13" i="1"/>
  <c r="T9" i="1"/>
  <c r="S9" i="1"/>
  <c r="AB14" i="1"/>
  <c r="AE14" i="1" s="1"/>
  <c r="AB9" i="1"/>
  <c r="AA9" i="1"/>
  <c r="AL5" i="1"/>
  <c r="AO5" i="1"/>
  <c r="AR5" i="1"/>
  <c r="AU5" i="1"/>
  <c r="AL6" i="1"/>
  <c r="AO6" i="1"/>
  <c r="AR6" i="1"/>
  <c r="AU6" i="1"/>
  <c r="AL7" i="1"/>
  <c r="AO7" i="1"/>
  <c r="AR7" i="1"/>
  <c r="AU7" i="1"/>
  <c r="K9" i="1"/>
  <c r="L9" i="1"/>
  <c r="AL8" i="1"/>
  <c r="AO8" i="1"/>
  <c r="AR8" i="1"/>
  <c r="AU8" i="1"/>
  <c r="G9" i="1"/>
  <c r="O9" i="1"/>
  <c r="L11" i="1"/>
  <c r="K11" i="1"/>
  <c r="AL9" i="1"/>
  <c r="AO9" i="1"/>
  <c r="AR9" i="1"/>
  <c r="AU9" i="1"/>
  <c r="AL10" i="1"/>
  <c r="AO10" i="1"/>
  <c r="AR10" i="1"/>
  <c r="AU10" i="1"/>
  <c r="G11" i="1"/>
  <c r="O11" i="1"/>
  <c r="L13" i="1"/>
  <c r="K13" i="1"/>
  <c r="G13" i="1"/>
  <c r="O13" i="1"/>
  <c r="L15" i="1"/>
  <c r="K15" i="1"/>
  <c r="G15" i="1"/>
  <c r="O15" i="1"/>
  <c r="L17" i="1"/>
  <c r="K17" i="1"/>
  <c r="G17" i="1"/>
  <c r="O17" i="1"/>
  <c r="L19" i="1"/>
  <c r="K19" i="1"/>
  <c r="G19" i="1"/>
  <c r="O19" i="1"/>
  <c r="F14" i="3" l="1"/>
  <c r="M14" i="3" s="1"/>
  <c r="I14" i="3"/>
  <c r="P14" i="3" s="1"/>
  <c r="H14" i="3"/>
  <c r="O14" i="3" s="1"/>
  <c r="G14" i="3"/>
  <c r="N14" i="3" s="1"/>
  <c r="K14" i="3"/>
  <c r="R14" i="3" s="1"/>
  <c r="J14" i="3"/>
  <c r="Q14" i="3" s="1"/>
  <c r="A11" i="3"/>
  <c r="AE9" i="1"/>
  <c r="AE19" i="1"/>
  <c r="H4" i="3"/>
  <c r="O4" i="3" s="1"/>
  <c r="G7" i="3"/>
  <c r="N7" i="3" s="1"/>
  <c r="G9" i="3"/>
  <c r="N9" i="3" s="1"/>
  <c r="G4" i="3"/>
  <c r="N4" i="3" s="1"/>
  <c r="F7" i="3"/>
  <c r="M7" i="3" s="1"/>
  <c r="F9" i="3"/>
  <c r="M9" i="3" s="1"/>
  <c r="F4" i="3"/>
  <c r="M4" i="3" s="1"/>
  <c r="H6" i="3"/>
  <c r="O6" i="3" s="1"/>
  <c r="I10" i="3"/>
  <c r="P10" i="3" s="1"/>
  <c r="F9" i="1"/>
  <c r="F10" i="1" s="1"/>
  <c r="K2" i="3"/>
  <c r="R2" i="3" s="1"/>
  <c r="H2" i="3"/>
  <c r="O2" i="3" s="1"/>
  <c r="J5" i="3"/>
  <c r="Q5" i="3" s="1"/>
  <c r="H8" i="3"/>
  <c r="O8" i="3" s="1"/>
  <c r="F13" i="1"/>
  <c r="F14" i="1" s="1"/>
  <c r="H3" i="3"/>
  <c r="O3" i="3" s="1"/>
  <c r="J6" i="3"/>
  <c r="Q6" i="3" s="1"/>
  <c r="K8" i="3"/>
  <c r="R8" i="3" s="1"/>
  <c r="K10" i="3"/>
  <c r="R10" i="3" s="1"/>
  <c r="K3" i="3"/>
  <c r="R3" i="3" s="1"/>
  <c r="I6" i="3"/>
  <c r="P6" i="3" s="1"/>
  <c r="J8" i="3"/>
  <c r="Q8" i="3" s="1"/>
  <c r="J10" i="3"/>
  <c r="Q10" i="3" s="1"/>
  <c r="J3" i="3"/>
  <c r="Q3" i="3" s="1"/>
  <c r="K5" i="3"/>
  <c r="R5" i="3" s="1"/>
  <c r="I9" i="3"/>
  <c r="P9" i="3" s="1"/>
  <c r="I2" i="3"/>
  <c r="P2" i="3" s="1"/>
  <c r="F5" i="3"/>
  <c r="M5" i="3" s="1"/>
  <c r="H7" i="3"/>
  <c r="O7" i="3" s="1"/>
  <c r="F15" i="1"/>
  <c r="F16" i="1" s="1"/>
  <c r="F11" i="1"/>
  <c r="F12" i="1" s="1"/>
  <c r="H5" i="1"/>
  <c r="F6" i="3"/>
  <c r="M6" i="3" s="1"/>
  <c r="G8" i="3"/>
  <c r="N8" i="3" s="1"/>
  <c r="G10" i="3"/>
  <c r="N10" i="3" s="1"/>
  <c r="G2" i="3"/>
  <c r="N2" i="3" s="1"/>
  <c r="G3" i="3"/>
  <c r="N3" i="3" s="1"/>
  <c r="H5" i="3"/>
  <c r="O5" i="3" s="1"/>
  <c r="F8" i="3"/>
  <c r="M8" i="3" s="1"/>
  <c r="F10" i="3"/>
  <c r="M10" i="3" s="1"/>
  <c r="F3" i="3"/>
  <c r="M3" i="3" s="1"/>
  <c r="G5" i="3"/>
  <c r="N5" i="3" s="1"/>
  <c r="I8" i="3"/>
  <c r="P8" i="3" s="1"/>
  <c r="I4" i="3"/>
  <c r="P4" i="3" s="1"/>
  <c r="K6" i="3"/>
  <c r="R6" i="3" s="1"/>
  <c r="H10" i="3"/>
  <c r="O10" i="3" s="1"/>
  <c r="F2" i="3"/>
  <c r="M2" i="3" s="1"/>
  <c r="F19" i="1"/>
  <c r="F17" i="1"/>
  <c r="F18" i="1" s="1"/>
  <c r="I5" i="3"/>
  <c r="P5" i="3" s="1"/>
  <c r="K7" i="3"/>
  <c r="R7" i="3" s="1"/>
  <c r="K9" i="3"/>
  <c r="R9" i="3" s="1"/>
  <c r="K4" i="3"/>
  <c r="R4" i="3" s="1"/>
  <c r="J7" i="3"/>
  <c r="Q7" i="3" s="1"/>
  <c r="J9" i="3"/>
  <c r="Q9" i="3" s="1"/>
  <c r="J4" i="3"/>
  <c r="Q4" i="3" s="1"/>
  <c r="I7" i="3"/>
  <c r="P7" i="3" s="1"/>
  <c r="I3" i="3"/>
  <c r="P3" i="3" s="1"/>
  <c r="G6" i="3"/>
  <c r="N6" i="3" s="1"/>
  <c r="H9" i="3"/>
  <c r="O9" i="3" s="1"/>
  <c r="J2" i="3"/>
  <c r="Q2" i="3" s="1"/>
  <c r="F8" i="1"/>
  <c r="V19" i="1"/>
  <c r="V15" i="1"/>
  <c r="V16" i="1" s="1"/>
  <c r="V11" i="1"/>
  <c r="V12" i="1" s="1"/>
  <c r="E9" i="1"/>
  <c r="N11" i="1"/>
  <c r="N12" i="1" s="1"/>
  <c r="N19" i="1"/>
  <c r="N8" i="1"/>
  <c r="V13" i="1"/>
  <c r="V14" i="1" s="1"/>
  <c r="N15" i="1"/>
  <c r="N16" i="1" s="1"/>
  <c r="G18" i="1"/>
  <c r="H18" i="1" s="1"/>
  <c r="G16" i="1"/>
  <c r="H16" i="1" s="1"/>
  <c r="G10" i="1"/>
  <c r="H10" i="1" s="1"/>
  <c r="H9" i="1" s="1"/>
  <c r="M15" i="1"/>
  <c r="M17" i="1"/>
  <c r="E11" i="1"/>
  <c r="U15" i="1"/>
  <c r="U19" i="1"/>
  <c r="U11" i="1"/>
  <c r="U13" i="1"/>
  <c r="U17" i="1"/>
  <c r="M11" i="1"/>
  <c r="E13" i="1"/>
  <c r="V9" i="1"/>
  <c r="V10" i="1" s="1"/>
  <c r="O14" i="1"/>
  <c r="P14" i="1" s="1"/>
  <c r="W10" i="1"/>
  <c r="X10" i="1" s="1"/>
  <c r="X9" i="1" s="1"/>
  <c r="U9" i="1"/>
  <c r="W18" i="1"/>
  <c r="X18" i="1" s="1"/>
  <c r="V17" i="1"/>
  <c r="V18" i="1" s="1"/>
  <c r="W16" i="1"/>
  <c r="X16" i="1" s="1"/>
  <c r="W14" i="1"/>
  <c r="X14" i="1" s="1"/>
  <c r="W12" i="1"/>
  <c r="X12" i="1" s="1"/>
  <c r="V8" i="1"/>
  <c r="M9" i="1"/>
  <c r="O12" i="1"/>
  <c r="P12" i="1" s="1"/>
  <c r="N13" i="1"/>
  <c r="N14" i="1" s="1"/>
  <c r="E19" i="1"/>
  <c r="G14" i="1"/>
  <c r="H14" i="1" s="1"/>
  <c r="G12" i="1"/>
  <c r="H12" i="1" s="1"/>
  <c r="M13" i="1"/>
  <c r="E17" i="1"/>
  <c r="E15" i="1"/>
  <c r="M19" i="1"/>
  <c r="O18" i="1"/>
  <c r="P18" i="1" s="1"/>
  <c r="N17" i="1"/>
  <c r="N18" i="1" s="1"/>
  <c r="O16" i="1"/>
  <c r="P16" i="1" s="1"/>
  <c r="N9" i="1"/>
  <c r="N10" i="1" s="1"/>
  <c r="O10" i="1"/>
  <c r="P10" i="1" s="1"/>
  <c r="P9" i="1" s="1"/>
  <c r="H11" i="3" l="1"/>
  <c r="O11" i="3" s="1"/>
  <c r="C11" i="3"/>
  <c r="I11" i="3"/>
  <c r="P11" i="3" s="1"/>
  <c r="J11" i="3"/>
  <c r="Q11" i="3" s="1"/>
  <c r="K11" i="3"/>
  <c r="R11" i="3" s="1"/>
  <c r="A12" i="3"/>
  <c r="C12" i="3" s="1"/>
  <c r="F11" i="3"/>
  <c r="M11" i="3" s="1"/>
  <c r="G11" i="3"/>
  <c r="N11" i="3" s="1"/>
  <c r="A13" i="3" l="1"/>
  <c r="C13" i="3" s="1"/>
  <c r="H12" i="3"/>
  <c r="O12" i="3" s="1"/>
  <c r="G12" i="3"/>
  <c r="N12" i="3" s="1"/>
  <c r="F12" i="3"/>
  <c r="M12" i="3" s="1"/>
  <c r="K12" i="3"/>
  <c r="R12" i="3" s="1"/>
  <c r="J12" i="3"/>
  <c r="Q12" i="3" s="1"/>
  <c r="I12" i="3"/>
  <c r="P12" i="3" s="1"/>
  <c r="A15" i="3" l="1"/>
  <c r="C15" i="3" s="1"/>
  <c r="I13" i="3"/>
  <c r="P13" i="3" s="1"/>
  <c r="K13" i="3"/>
  <c r="R13" i="3" s="1"/>
  <c r="G13" i="3"/>
  <c r="N13" i="3" s="1"/>
  <c r="F13" i="3"/>
  <c r="M13" i="3" s="1"/>
  <c r="H13" i="3"/>
  <c r="O13" i="3" s="1"/>
  <c r="J13" i="3"/>
  <c r="Q13" i="3" s="1"/>
  <c r="I15" i="3" l="1"/>
  <c r="P15" i="3" s="1"/>
  <c r="G15" i="3"/>
  <c r="N15" i="3" s="1"/>
  <c r="F15" i="3"/>
  <c r="M15" i="3" s="1"/>
  <c r="K15" i="3"/>
  <c r="R15" i="3" s="1"/>
  <c r="J15" i="3"/>
  <c r="Q15" i="3" s="1"/>
  <c r="H15" i="3"/>
  <c r="O15" i="3" s="1"/>
</calcChain>
</file>

<file path=xl/sharedStrings.xml><?xml version="1.0" encoding="utf-8"?>
<sst xmlns="http://schemas.openxmlformats.org/spreadsheetml/2006/main" count="161" uniqueCount="79">
  <si>
    <t>Gear Calc.</t>
  </si>
  <si>
    <t>Gearbox N°</t>
  </si>
  <si>
    <t>Primary</t>
  </si>
  <si>
    <t>FINAL</t>
  </si>
  <si>
    <t>Gear</t>
  </si>
  <si>
    <t>Gearbox A</t>
  </si>
  <si>
    <t>Gearbox B</t>
  </si>
  <si>
    <t>Gearbox C</t>
  </si>
  <si>
    <t>Gearbox D</t>
  </si>
  <si>
    <t>Diam</t>
  </si>
  <si>
    <t>m</t>
  </si>
  <si>
    <t>A</t>
  </si>
  <si>
    <t>RPM</t>
  </si>
  <si>
    <t>tr/mn</t>
  </si>
  <si>
    <t>B</t>
  </si>
  <si>
    <t>Ratios</t>
  </si>
  <si>
    <t>Speeds</t>
  </si>
  <si>
    <t>Revs</t>
  </si>
  <si>
    <t>Falls</t>
  </si>
  <si>
    <t>C</t>
  </si>
  <si>
    <t>D</t>
  </si>
  <si>
    <t>1st</t>
  </si>
  <si>
    <t>2nd</t>
  </si>
  <si>
    <t>3rd</t>
  </si>
  <si>
    <t>Cluster 3-4</t>
  </si>
  <si>
    <t>A-A</t>
  </si>
  <si>
    <t>A-B</t>
  </si>
  <si>
    <t>4th</t>
  </si>
  <si>
    <t>A-D</t>
  </si>
  <si>
    <t>B-A</t>
  </si>
  <si>
    <t>B-B</t>
  </si>
  <si>
    <t>B-C</t>
  </si>
  <si>
    <t>5th</t>
  </si>
  <si>
    <t>Rear tyre diameter</t>
  </si>
  <si>
    <t>6th</t>
  </si>
  <si>
    <t>INTER</t>
  </si>
  <si>
    <t>RAIN</t>
  </si>
  <si>
    <t>Chain Size</t>
  </si>
  <si>
    <t>Dimension</t>
  </si>
  <si>
    <t>1/2"</t>
  </si>
  <si>
    <t>5/8"</t>
  </si>
  <si>
    <t>3/4"</t>
  </si>
  <si>
    <t>Number of Links</t>
  </si>
  <si>
    <t>Front Sprockets</t>
  </si>
  <si>
    <t>Rear Sprockets</t>
  </si>
  <si>
    <t>Chain size</t>
  </si>
  <si>
    <t>Front sprocket</t>
  </si>
  <si>
    <t>Rear sprocket</t>
  </si>
  <si>
    <t xml:space="preserve">Chain </t>
  </si>
  <si>
    <t>Distance between front sprocket and pivot</t>
  </si>
  <si>
    <t>Swing arm Length</t>
  </si>
  <si>
    <t>Gearbox 1</t>
  </si>
  <si>
    <t>Gearbox 2</t>
  </si>
  <si>
    <t>Chain Length</t>
  </si>
  <si>
    <t>Gearbox 3</t>
  </si>
  <si>
    <t>Width</t>
  </si>
  <si>
    <t>Aspect Ratio</t>
  </si>
  <si>
    <t>Rim Size</t>
  </si>
  <si>
    <t>A Tyre</t>
  </si>
  <si>
    <t>B Tyre</t>
  </si>
  <si>
    <t>Circ</t>
  </si>
  <si>
    <t>Gearbox Moto 2</t>
  </si>
  <si>
    <t>M</t>
  </si>
  <si>
    <t>Moto 2 Primary</t>
  </si>
  <si>
    <t>Power (Kw)</t>
  </si>
  <si>
    <t>Road Speed 1st</t>
  </si>
  <si>
    <t>Road Speed 2nd</t>
  </si>
  <si>
    <t>Road Speed 3rd</t>
  </si>
  <si>
    <t>Road Speed 4th</t>
  </si>
  <si>
    <t>Road Speed 5th</t>
  </si>
  <si>
    <t>Road Speed 6th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</si>
  <si>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</si>
  <si>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</si>
  <si>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</si>
  <si>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</si>
  <si>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</si>
  <si>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</si>
  <si>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BMW S1000 RR</t>
  </si>
  <si>
    <t>Torque (Nm)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</si>
</sst>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2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.75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i/>
      <sz val="16"/>
      <name val="Times New Roman"/>
      <family val="1"/>
    </font>
    <font>
      <b/>
      <i/>
      <sz val="16"/>
      <color indexed="12"/>
      <name val="Times New Roman"/>
      <family val="1"/>
    </font>
    <font>
      <b/>
      <i/>
      <sz val="16"/>
      <color indexed="10"/>
      <name val="Times New Roman"/>
      <family val="1"/>
    </font>
    <font>
      <b/>
      <i/>
      <sz val="16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Arial"/>
      <family val="2"/>
    </font>
    <font>
      <b/>
      <sz val="11"/>
      <color indexed="10"/>
      <name val="Times New Roman"/>
      <family val="1"/>
    </font>
    <font>
      <sz val="14"/>
      <color indexed="10"/>
      <name val="Times New Roman"/>
      <family val="1"/>
    </font>
    <font>
      <b/>
      <sz val="9.75"/>
      <name val="Times New Roman"/>
      <family val="1"/>
    </font>
    <font>
      <b/>
      <sz val="11"/>
      <color indexed="12"/>
      <name val="Times New Roman"/>
      <family val="1"/>
    </font>
    <font>
      <sz val="12"/>
      <color indexed="9"/>
      <name val="Times New Roman"/>
      <family val="1"/>
    </font>
    <font>
      <b/>
      <sz val="12"/>
      <color indexed="12"/>
      <name val="Times New Roman"/>
      <family val="1"/>
    </font>
    <font>
      <b/>
      <sz val="12"/>
      <color indexed="10"/>
      <name val="Times New Roman"/>
      <family val="1"/>
    </font>
    <font>
      <sz val="12"/>
      <color rgb="FF0000FF"/>
      <name val="Times New Roman"/>
      <family val="1"/>
    </font>
    <font>
      <sz val="12"/>
      <color rgb="FFFF0000"/>
      <name val="Times New Roman"/>
      <family val="1"/>
    </font>
    <font>
      <b/>
      <i/>
      <sz val="16"/>
      <color rgb="FF00B050"/>
      <name val="Times New Roman"/>
      <family val="1"/>
    </font>
    <font>
      <b/>
      <sz val="11"/>
      <color rgb="FF00B050"/>
      <name val="Times New Roman"/>
      <family val="1"/>
    </font>
    <font>
      <b/>
      <sz val="12"/>
      <color rgb="FF00B050"/>
      <name val="Times New Roman"/>
      <family val="1"/>
    </font>
    <font>
      <sz val="12"/>
      <color rgb="FF00B05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</fills>
  <borders count="2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4" fillId="0" borderId="0" xfId="0" applyFont="1"/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7" fillId="2" borderId="2" xfId="0" applyFont="1" applyFill="1" applyBorder="1" applyAlignment="1">
      <alignment horizontal="right" vertical="center"/>
    </xf>
    <xf numFmtId="0" fontId="8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12" fillId="0" borderId="0" xfId="0" applyFont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4" fillId="2" borderId="0" xfId="0" applyFont="1" applyFill="1" applyBorder="1"/>
    <xf numFmtId="0" fontId="12" fillId="0" borderId="0" xfId="0" applyFont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5" xfId="0" applyFont="1" applyBorder="1"/>
    <xf numFmtId="0" fontId="13" fillId="0" borderId="0" xfId="0" applyFont="1"/>
    <xf numFmtId="0" fontId="12" fillId="0" borderId="0" xfId="0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7" fillId="0" borderId="0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/>
    </xf>
    <xf numFmtId="164" fontId="4" fillId="0" borderId="5" xfId="0" applyNumberFormat="1" applyFont="1" applyFill="1" applyBorder="1" applyAlignment="1">
      <alignment horizontal="center"/>
    </xf>
    <xf numFmtId="2" fontId="4" fillId="0" borderId="5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164" fontId="4" fillId="3" borderId="5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0" fillId="0" borderId="0" xfId="0" applyBorder="1"/>
    <xf numFmtId="0" fontId="4" fillId="0" borderId="5" xfId="0" applyFont="1" applyFill="1" applyBorder="1" applyAlignment="1" applyProtection="1">
      <alignment horizontal="center"/>
    </xf>
    <xf numFmtId="0" fontId="13" fillId="0" borderId="7" xfId="0" applyFont="1" applyBorder="1" applyAlignment="1">
      <alignment horizontal="center"/>
    </xf>
    <xf numFmtId="1" fontId="12" fillId="0" borderId="0" xfId="0" applyNumberFormat="1" applyFont="1" applyBorder="1" applyAlignment="1">
      <alignment horizontal="center"/>
    </xf>
    <xf numFmtId="0" fontId="4" fillId="3" borderId="5" xfId="0" applyFont="1" applyFill="1" applyBorder="1" applyAlignment="1" applyProtection="1">
      <alignment horizontal="center"/>
    </xf>
    <xf numFmtId="0" fontId="11" fillId="0" borderId="7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0" fillId="0" borderId="5" xfId="0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" fontId="19" fillId="0" borderId="4" xfId="0" applyNumberFormat="1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center"/>
    </xf>
    <xf numFmtId="1" fontId="19" fillId="0" borderId="0" xfId="0" applyNumberFormat="1" applyFont="1" applyBorder="1" applyAlignment="1" applyProtection="1">
      <alignment horizontal="center"/>
      <protection hidden="1"/>
    </xf>
    <xf numFmtId="1" fontId="20" fillId="0" borderId="0" xfId="0" applyNumberFormat="1" applyFont="1" applyBorder="1" applyAlignment="1" applyProtection="1">
      <alignment horizontal="center"/>
      <protection hidden="1"/>
    </xf>
    <xf numFmtId="1" fontId="12" fillId="0" borderId="4" xfId="0" applyNumberFormat="1" applyFont="1" applyBorder="1" applyAlignment="1">
      <alignment horizontal="center"/>
    </xf>
    <xf numFmtId="1" fontId="21" fillId="0" borderId="0" xfId="0" applyNumberFormat="1" applyFont="1" applyBorder="1" applyAlignment="1" applyProtection="1">
      <alignment horizontal="center"/>
      <protection hidden="1"/>
    </xf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2" borderId="0" xfId="0" applyFont="1" applyFill="1"/>
    <xf numFmtId="0" fontId="4" fillId="0" borderId="8" xfId="0" applyFont="1" applyBorder="1"/>
    <xf numFmtId="0" fontId="11" fillId="0" borderId="9" xfId="0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" fontId="12" fillId="0" borderId="10" xfId="0" applyNumberFormat="1" applyFont="1" applyBorder="1" applyAlignment="1">
      <alignment horizontal="center"/>
    </xf>
    <xf numFmtId="1" fontId="12" fillId="0" borderId="11" xfId="0" applyNumberFormat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0" xfId="0" applyFont="1" applyBorder="1"/>
    <xf numFmtId="164" fontId="4" fillId="0" borderId="0" xfId="0" applyNumberFormat="1" applyFont="1"/>
    <xf numFmtId="0" fontId="4" fillId="0" borderId="12" xfId="0" applyFont="1" applyBorder="1" applyAlignment="1"/>
    <xf numFmtId="0" fontId="4" fillId="0" borderId="13" xfId="0" applyFont="1" applyBorder="1" applyAlignment="1"/>
    <xf numFmtId="0" fontId="4" fillId="0" borderId="13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25" fillId="0" borderId="0" xfId="0" applyFont="1" applyBorder="1" applyAlignment="1">
      <alignment horizontal="center"/>
    </xf>
    <xf numFmtId="1" fontId="26" fillId="0" borderId="0" xfId="0" applyNumberFormat="1" applyFont="1" applyBorder="1" applyAlignment="1" applyProtection="1">
      <alignment horizontal="center"/>
      <protection hidden="1"/>
    </xf>
    <xf numFmtId="0" fontId="18" fillId="0" borderId="23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0" fontId="3" fillId="0" borderId="0" xfId="1"/>
    <xf numFmtId="1" fontId="3" fillId="0" borderId="0" xfId="1" applyNumberFormat="1"/>
    <xf numFmtId="0" fontId="2" fillId="0" borderId="0" xfId="1" applyFont="1"/>
    <xf numFmtId="0" fontId="1" fillId="0" borderId="0" xfId="1" applyFont="1"/>
    <xf numFmtId="2" fontId="3" fillId="0" borderId="0" xfId="1" applyNumberFormat="1"/>
    <xf numFmtId="0" fontId="24" fillId="2" borderId="2" xfId="0" applyNumberFormat="1" applyFont="1" applyFill="1" applyBorder="1" applyAlignment="1">
      <alignment horizontal="left" vertical="center"/>
    </xf>
    <xf numFmtId="0" fontId="17" fillId="0" borderId="5" xfId="0" applyFont="1" applyBorder="1" applyAlignment="1">
      <alignment horizontal="center"/>
    </xf>
    <xf numFmtId="0" fontId="11" fillId="0" borderId="7" xfId="0" applyFont="1" applyBorder="1" applyAlignment="1" applyProtection="1">
      <alignment horizontal="center"/>
      <protection hidden="1"/>
    </xf>
    <xf numFmtId="0" fontId="13" fillId="0" borderId="0" xfId="0" applyFont="1" applyBorder="1" applyAlignment="1">
      <alignment horizontal="left"/>
    </xf>
    <xf numFmtId="1" fontId="11" fillId="0" borderId="20" xfId="0" applyNumberFormat="1" applyFont="1" applyBorder="1" applyAlignment="1">
      <alignment horizontal="center" vertical="center"/>
    </xf>
    <xf numFmtId="1" fontId="11" fillId="0" borderId="21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13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3" xfId="0" applyFont="1" applyBorder="1" applyAlignment="1">
      <alignment horizontal="center" wrapText="1"/>
    </xf>
    <xf numFmtId="0" fontId="4" fillId="0" borderId="18" xfId="0" applyFont="1" applyBorder="1" applyAlignment="1">
      <alignment horizontal="center" wrapText="1"/>
    </xf>
    <xf numFmtId="0" fontId="17" fillId="0" borderId="5" xfId="0" applyFont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64" fontId="27" fillId="0" borderId="15" xfId="0" applyNumberFormat="1" applyFont="1" applyBorder="1" applyAlignment="1">
      <alignment horizontal="center"/>
    </xf>
    <xf numFmtId="164" fontId="27" fillId="0" borderId="16" xfId="0" applyNumberFormat="1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6" xfId="0" applyFont="1" applyBorder="1" applyAlignment="1">
      <alignment horizontal="center"/>
    </xf>
    <xf numFmtId="164" fontId="23" fillId="0" borderId="15" xfId="0" applyNumberFormat="1" applyFont="1" applyBorder="1" applyAlignment="1">
      <alignment horizontal="center"/>
    </xf>
    <xf numFmtId="164" fontId="23" fillId="0" borderId="16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chartsheet" Target="chart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hartsheet" Target="chartsheets/sheet2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Revs</a:t>
            </a:r>
          </a:p>
        </c:rich>
      </c:tx>
      <c:layout>
        <c:manualLayout>
          <c:xMode val="edge"/>
          <c:yMode val="edge"/>
          <c:x val="0.10432331025735875"/>
          <c:y val="0.1337581846855130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5"/>
          <c:y val="0.22929983848327945"/>
          <c:w val="0.76503759398496241"/>
          <c:h val="0.69639210206032309"/>
        </c:manualLayout>
      </c:layout>
      <c:scatterChart>
        <c:scatterStyle val="lineMarker"/>
        <c:varyColors val="0"/>
        <c:ser>
          <c:idx val="0"/>
          <c:order val="0"/>
          <c:spPr>
            <a:ln w="3175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S1000RR'!$G$8:$G$19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12600</c:v>
                </c:pt>
                <c:pt idx="2">
                  <c:v>9952.7272727272721</c:v>
                </c:pt>
                <c:pt idx="3">
                  <c:v>12600</c:v>
                </c:pt>
                <c:pt idx="4">
                  <c:v>10408.695652173912</c:v>
                </c:pt>
                <c:pt idx="5">
                  <c:v>12600</c:v>
                </c:pt>
                <c:pt idx="6">
                  <c:v>10942.105263157895</c:v>
                </c:pt>
                <c:pt idx="7">
                  <c:v>12600</c:v>
                </c:pt>
                <c:pt idx="8">
                  <c:v>11424</c:v>
                </c:pt>
                <c:pt idx="9">
                  <c:v>12600</c:v>
                </c:pt>
                <c:pt idx="10">
                  <c:v>11681.585677749363</c:v>
                </c:pt>
                <c:pt idx="11">
                  <c:v>13200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A9-40EB-9EA9-E132003EE056}"/>
            </c:ext>
          </c:extLst>
        </c:ser>
        <c:ser>
          <c:idx val="1"/>
          <c:order val="1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triangle"/>
            <c:size val="5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S1000RR'!$O$8:$O$19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12100</c:v>
                </c:pt>
                <c:pt idx="2">
                  <c:v>9557.7777777777774</c:v>
                </c:pt>
                <c:pt idx="3">
                  <c:v>12100</c:v>
                </c:pt>
                <c:pt idx="4">
                  <c:v>9995.652173913044</c:v>
                </c:pt>
                <c:pt idx="5">
                  <c:v>12100</c:v>
                </c:pt>
                <c:pt idx="6">
                  <c:v>10507.894736842107</c:v>
                </c:pt>
                <c:pt idx="7">
                  <c:v>12100</c:v>
                </c:pt>
                <c:pt idx="8">
                  <c:v>10970.666666666666</c:v>
                </c:pt>
                <c:pt idx="9">
                  <c:v>12100</c:v>
                </c:pt>
                <c:pt idx="10">
                  <c:v>11218.030690537085</c:v>
                </c:pt>
                <c:pt idx="11">
                  <c:v>13200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A9-40EB-9EA9-E132003EE056}"/>
            </c:ext>
          </c:extLst>
        </c:ser>
        <c:ser>
          <c:idx val="2"/>
          <c:order val="2"/>
          <c:tx>
            <c:v>Series3</c:v>
          </c:tx>
          <c:x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xVal>
          <c:yVal>
            <c:numRef>
              <c:f>'Gearbox BMW S1000RR'!$W$8:$W$19</c:f>
              <c:numCache>
                <c:formatCode>0</c:formatCode>
                <c:ptCount val="12"/>
                <c:pt idx="0" formatCode="General">
                  <c:v>9500</c:v>
                </c:pt>
                <c:pt idx="1">
                  <c:v>4500</c:v>
                </c:pt>
                <c:pt idx="2">
                  <c:v>3554.5454545454545</c:v>
                </c:pt>
                <c:pt idx="3">
                  <c:v>4500</c:v>
                </c:pt>
                <c:pt idx="4">
                  <c:v>3717.3913043478265</c:v>
                </c:pt>
                <c:pt idx="5">
                  <c:v>4500</c:v>
                </c:pt>
                <c:pt idx="6">
                  <c:v>3907.8947368421059</c:v>
                </c:pt>
                <c:pt idx="7">
                  <c:v>4500</c:v>
                </c:pt>
                <c:pt idx="8">
                  <c:v>4080.0000000000005</c:v>
                </c:pt>
                <c:pt idx="9">
                  <c:v>4500</c:v>
                </c:pt>
                <c:pt idx="10">
                  <c:v>4171.9948849104867</c:v>
                </c:pt>
                <c:pt idx="11">
                  <c:v>14500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A9-40EB-9EA9-E132003EE056}"/>
            </c:ext>
          </c:extLst>
        </c:ser>
        <c:ser>
          <c:idx val="0"/>
          <c:order val="3"/>
          <c:spPr>
            <a:ln w="12700">
              <a:solidFill>
                <a:srgbClr val="00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S1000RR'!$F$8:$F$19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123.73207243709683</c:v>
                </c:pt>
                <c:pt idx="2">
                  <c:v>123.73207243709683</c:v>
                </c:pt>
                <c:pt idx="3">
                  <c:v>156.64290500348579</c:v>
                </c:pt>
                <c:pt idx="4">
                  <c:v>156.64290500348579</c:v>
                </c:pt>
                <c:pt idx="5">
                  <c:v>189.62035868843017</c:v>
                </c:pt>
                <c:pt idx="6">
                  <c:v>189.62035868843017</c:v>
                </c:pt>
                <c:pt idx="7">
                  <c:v>218.35071606546501</c:v>
                </c:pt>
                <c:pt idx="8">
                  <c:v>218.35071606546501</c:v>
                </c:pt>
                <c:pt idx="9">
                  <c:v>240.82799566043934</c:v>
                </c:pt>
                <c:pt idx="10">
                  <c:v>240.82799566043934</c:v>
                </c:pt>
                <c:pt idx="11">
                  <c:v>272.13168061360915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A9-40EB-9EA9-E132003EE056}"/>
            </c:ext>
          </c:extLst>
        </c:ser>
        <c:ser>
          <c:idx val="1"/>
          <c:order val="4"/>
          <c:spPr>
            <a:ln w="12700">
              <a:solidFill>
                <a:srgbClr val="FF0000"/>
              </a:solidFill>
              <a:prstDash val="sysDash"/>
            </a:ln>
          </c:spPr>
          <c:marker>
            <c:symbol val="x"/>
            <c:size val="5"/>
            <c:spPr>
              <a:noFill/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xVal>
          <c:yVal>
            <c:numRef>
              <c:f>'Gearbox BMW S1000RR'!$N$8:$N$19</c:f>
              <c:numCache>
                <c:formatCode>0</c:formatCode>
                <c:ptCount val="12"/>
                <c:pt idx="0">
                  <c:v>93.290054615271401</c:v>
                </c:pt>
                <c:pt idx="1">
                  <c:v>118.82206956260886</c:v>
                </c:pt>
                <c:pt idx="2">
                  <c:v>118.82206956260886</c:v>
                </c:pt>
                <c:pt idx="3">
                  <c:v>150.42691670969666</c:v>
                </c:pt>
                <c:pt idx="4">
                  <c:v>150.42691670969666</c:v>
                </c:pt>
                <c:pt idx="5">
                  <c:v>182.09574128015913</c:v>
                </c:pt>
                <c:pt idx="6">
                  <c:v>182.09574128015913</c:v>
                </c:pt>
                <c:pt idx="7">
                  <c:v>209.68600511048624</c:v>
                </c:pt>
                <c:pt idx="8">
                  <c:v>209.68600511048624</c:v>
                </c:pt>
                <c:pt idx="9">
                  <c:v>231.27132916597745</c:v>
                </c:pt>
                <c:pt idx="10">
                  <c:v>231.27132916597745</c:v>
                </c:pt>
                <c:pt idx="11">
                  <c:v>272.13168061360915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A9-40EB-9EA9-E132003EE056}"/>
            </c:ext>
          </c:extLst>
        </c:ser>
        <c:ser>
          <c:idx val="3"/>
          <c:order val="5"/>
          <c:tx>
            <c:v>Series3</c:v>
          </c:tx>
          <c:x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xVal>
          <c:yVal>
            <c:numRef>
              <c:f>'Gearbox BMW S1000RR'!$V$8:$V$19</c:f>
              <c:numCache>
                <c:formatCode>0</c:formatCode>
                <c:ptCount val="12"/>
                <c:pt idx="0">
                  <c:v>93.290054615271401</c:v>
                </c:pt>
                <c:pt idx="1">
                  <c:v>44.190025870391736</c:v>
                </c:pt>
                <c:pt idx="2">
                  <c:v>44.190025870391736</c:v>
                </c:pt>
                <c:pt idx="3">
                  <c:v>55.943894644102045</c:v>
                </c:pt>
                <c:pt idx="4">
                  <c:v>55.943894644102045</c:v>
                </c:pt>
                <c:pt idx="5">
                  <c:v>67.721556674439341</c:v>
                </c:pt>
                <c:pt idx="6">
                  <c:v>67.721556674439341</c:v>
                </c:pt>
                <c:pt idx="7">
                  <c:v>77.982398594808927</c:v>
                </c:pt>
                <c:pt idx="8">
                  <c:v>77.982398594808927</c:v>
                </c:pt>
                <c:pt idx="9">
                  <c:v>86.009998450156914</c:v>
                </c:pt>
                <c:pt idx="10">
                  <c:v>86.009998450156914</c:v>
                </c:pt>
                <c:pt idx="11">
                  <c:v>298.93252794676755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A9-40EB-9EA9-E132003EE0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67840"/>
        <c:axId val="273068400"/>
      </c:scatterChart>
      <c:valAx>
        <c:axId val="273067840"/>
        <c:scaling>
          <c:orientation val="minMax"/>
          <c:max val="310"/>
          <c:min val="80"/>
        </c:scaling>
        <c:delete val="0"/>
        <c:axPos val="b"/>
        <c:numFmt formatCode="0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273068400"/>
        <c:crossesAt val="0"/>
        <c:crossBetween val="midCat"/>
        <c:majorUnit val="50"/>
        <c:minorUnit val="16.666666666666668"/>
      </c:valAx>
      <c:valAx>
        <c:axId val="273068400"/>
        <c:scaling>
          <c:orientation val="minMax"/>
          <c:max val="16200"/>
          <c:min val="90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67840"/>
        <c:crossesAt val="0"/>
        <c:crossBetween val="midCat"/>
        <c:majorUnit val="1000"/>
        <c:minorUnit val="25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5714280681359489"/>
          <c:y val="0.46496904447453619"/>
          <c:w val="5.0880671013217478E-2"/>
          <c:h val="0.230267107600499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67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1180555555555562" footer="0.51180555555555562"/>
    <c:pageSetup firstPageNumber="0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3045112781955028E-2"/>
          <c:y val="0.19899268807153472"/>
          <c:w val="0.89379699248120303"/>
          <c:h val="0.72040390871465398"/>
        </c:manualLayout>
      </c:layout>
      <c:lineChart>
        <c:grouping val="standard"/>
        <c:varyColors val="0"/>
        <c:ser>
          <c:idx val="0"/>
          <c:order val="0"/>
          <c:spPr>
            <a:ln w="3175">
              <a:solidFill>
                <a:srgbClr val="0000FF"/>
              </a:solidFill>
              <a:prstDash val="solid"/>
            </a:ln>
          </c:spPr>
          <c:marker>
            <c:symbol val="diamond"/>
            <c:size val="3"/>
            <c:spPr>
              <a:solidFill>
                <a:srgbClr val="0000FF"/>
              </a:solidFill>
              <a:ln>
                <a:solidFill>
                  <a:srgbClr val="0000FF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FF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('Gearbox BMW S1000RR'!$H$10,'Gearbox BMW S1000RR'!$H$12,'Gearbox BMW S1000RR'!$H$14,'Gearbox BMW S1000RR'!$H$16,'Gearbox BMW S1000RR'!$H$18)</c:f>
              <c:numCache>
                <c:formatCode>0</c:formatCode>
                <c:ptCount val="5"/>
                <c:pt idx="0">
                  <c:v>2647.2727272727279</c:v>
                </c:pt>
                <c:pt idx="1">
                  <c:v>2191.3043478260879</c:v>
                </c:pt>
                <c:pt idx="2">
                  <c:v>1657.894736842105</c:v>
                </c:pt>
                <c:pt idx="3">
                  <c:v>1176</c:v>
                </c:pt>
                <c:pt idx="4">
                  <c:v>918.41432225063727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734-44E7-BF27-F9CE7DCE8BAD}"/>
            </c:ext>
          </c:extLst>
        </c:ser>
        <c:ser>
          <c:idx val="1"/>
          <c:order val="1"/>
          <c:spPr>
            <a:ln w="3175">
              <a:solidFill>
                <a:srgbClr val="FF0000"/>
              </a:solidFill>
              <a:prstDash val="solid"/>
            </a:ln>
          </c:spPr>
          <c:marker>
            <c:symbol val="squar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FF0000"/>
                    </a:solidFill>
                    <a:latin typeface="Arial"/>
                    <a:ea typeface="Arial"/>
                    <a:cs typeface="Arial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val>
            <c:numRef>
              <c:f>('Gearbox BMW S1000RR'!$P$10,'Gearbox BMW S1000RR'!$P$12,'Gearbox BMW S1000RR'!$P$14,'Gearbox BMW S1000RR'!$P$16,'Gearbox BMW S1000RR'!$P$18)</c:f>
              <c:numCache>
                <c:formatCode>0</c:formatCode>
                <c:ptCount val="5"/>
                <c:pt idx="0">
                  <c:v>2542.2222222222226</c:v>
                </c:pt>
                <c:pt idx="1">
                  <c:v>2104.347826086956</c:v>
                </c:pt>
                <c:pt idx="2">
                  <c:v>1592.1052631578932</c:v>
                </c:pt>
                <c:pt idx="3">
                  <c:v>1129.3333333333339</c:v>
                </c:pt>
                <c:pt idx="4">
                  <c:v>881.96930946291468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734-44E7-BF27-F9CE7DCE8BAD}"/>
            </c:ext>
          </c:extLst>
        </c:ser>
        <c:ser>
          <c:idx val="2"/>
          <c:order val="2"/>
          <c:tx>
            <c:v>Series 3</c:v>
          </c:tx>
          <c:val>
            <c:numRef>
              <c:f>('Gearbox BMW S1000RR'!$X$10,'Gearbox BMW S1000RR'!$X$12,'Gearbox BMW S1000RR'!$X$14,'Gearbox BMW S1000RR'!$X$16,'Gearbox BMW S1000RR'!$X$18)</c:f>
              <c:numCache>
                <c:formatCode>0</c:formatCode>
                <c:ptCount val="5"/>
                <c:pt idx="0">
                  <c:v>945.4545454545455</c:v>
                </c:pt>
                <c:pt idx="1">
                  <c:v>782.60869565217354</c:v>
                </c:pt>
                <c:pt idx="2">
                  <c:v>592.10526315789411</c:v>
                </c:pt>
                <c:pt idx="3">
                  <c:v>419.99999999999955</c:v>
                </c:pt>
                <c:pt idx="4">
                  <c:v>328.00511508951331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734-44E7-BF27-F9CE7DCE8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73072320"/>
        <c:axId val="273072880"/>
      </c:lineChart>
      <c:catAx>
        <c:axId val="2730723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FFFFFF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7288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73072880"/>
        <c:scaling>
          <c:orientation val="minMax"/>
          <c:max val="3500"/>
          <c:min val="500"/>
        </c:scaling>
        <c:delete val="0"/>
        <c:axPos val="l"/>
        <c:majorGridlines>
          <c:spPr>
            <a:ln w="3175">
              <a:solidFill>
                <a:srgbClr val="0000FF"/>
              </a:solidFill>
              <a:prstDash val="sysDash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3072320"/>
        <c:crossesAt val="1"/>
        <c:crossBetween val="midCat"/>
        <c:majorUnit val="500"/>
        <c:minorUnit val="100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noFill/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777" r="0.75000000000000777" t="1" header="0.51180555555555562" footer="0.51180555555555562"/>
    <c:pageSetup firstPageNumber="0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1st Gear</c:v>
          </c:tx>
          <c:marker>
            <c:symbol val="none"/>
          </c:marker>
          <c:xVal>
            <c:numRef>
              <c:f>'Gear Change Calc'!$F$2:$F$15</c:f>
              <c:numCache>
                <c:formatCode>0</c:formatCode>
                <c:ptCount val="14"/>
                <c:pt idx="0">
                  <c:v>19.640011497951878</c:v>
                </c:pt>
                <c:pt idx="1">
                  <c:v>29.460017246927819</c:v>
                </c:pt>
                <c:pt idx="2">
                  <c:v>39.280022995903757</c:v>
                </c:pt>
                <c:pt idx="3">
                  <c:v>49.100028744879701</c:v>
                </c:pt>
                <c:pt idx="4">
                  <c:v>58.920034493855638</c:v>
                </c:pt>
                <c:pt idx="5">
                  <c:v>68.740040242831569</c:v>
                </c:pt>
                <c:pt idx="6">
                  <c:v>78.560045991807513</c:v>
                </c:pt>
                <c:pt idx="7">
                  <c:v>88.380051740783472</c:v>
                </c:pt>
                <c:pt idx="8">
                  <c:v>98.200057489759402</c:v>
                </c:pt>
                <c:pt idx="9">
                  <c:v>108.02006323873532</c:v>
                </c:pt>
                <c:pt idx="10">
                  <c:v>117.84006898771128</c:v>
                </c:pt>
                <c:pt idx="11">
                  <c:v>127.66007473668724</c:v>
                </c:pt>
                <c:pt idx="12">
                  <c:v>132.57007761117518</c:v>
                </c:pt>
                <c:pt idx="13">
                  <c:v>137.48008048566314</c:v>
                </c:pt>
              </c:numCache>
            </c:numRef>
          </c:xVal>
          <c:yVal>
            <c:numRef>
              <c:f>'Gear Change Calc'!$M$2:$M$15</c:f>
              <c:numCache>
                <c:formatCode>0</c:formatCode>
                <c:ptCount val="14"/>
                <c:pt idx="0">
                  <c:v>1832.9928169214256</c:v>
                </c:pt>
                <c:pt idx="1">
                  <c:v>2688.3894648180908</c:v>
                </c:pt>
                <c:pt idx="2">
                  <c:v>2932.7885070742809</c:v>
                </c:pt>
                <c:pt idx="3">
                  <c:v>3299.3870704585656</c:v>
                </c:pt>
                <c:pt idx="4">
                  <c:v>3543.7861127147562</c:v>
                </c:pt>
                <c:pt idx="5">
                  <c:v>3823.0993038646875</c:v>
                </c:pt>
                <c:pt idx="6">
                  <c:v>4078.4090176501718</c:v>
                </c:pt>
                <c:pt idx="7">
                  <c:v>4276.9832394833256</c:v>
                </c:pt>
                <c:pt idx="8">
                  <c:v>4289.2031915961352</c:v>
                </c:pt>
                <c:pt idx="9">
                  <c:v>4332.5284763597338</c:v>
                </c:pt>
                <c:pt idx="10">
                  <c:v>4307.5331197653504</c:v>
                </c:pt>
                <c:pt idx="11">
                  <c:v>4060.7840867182344</c:v>
                </c:pt>
                <c:pt idx="12">
                  <c:v>3964.6955743781946</c:v>
                </c:pt>
                <c:pt idx="13">
                  <c:v>3770.7280805240757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6E-45C9-B01B-B5029CA2AA38}"/>
            </c:ext>
          </c:extLst>
        </c:ser>
        <c:ser>
          <c:idx val="1"/>
          <c:order val="1"/>
          <c:tx>
            <c:v>2nd Gear</c:v>
          </c:tx>
          <c:marker>
            <c:symbol val="none"/>
          </c:marker>
          <c:xVal>
            <c:numRef>
              <c:f>'Gear Change Calc'!$G$2:$G$15</c:f>
              <c:numCache>
                <c:formatCode>0</c:formatCode>
                <c:ptCount val="14"/>
                <c:pt idx="0">
                  <c:v>24.863953175156471</c:v>
                </c:pt>
                <c:pt idx="1">
                  <c:v>37.295929762734708</c:v>
                </c:pt>
                <c:pt idx="2">
                  <c:v>49.727906350312942</c:v>
                </c:pt>
                <c:pt idx="3">
                  <c:v>62.159882937891176</c:v>
                </c:pt>
                <c:pt idx="4">
                  <c:v>74.591859525469417</c:v>
                </c:pt>
                <c:pt idx="5">
                  <c:v>87.023836113047636</c:v>
                </c:pt>
                <c:pt idx="6">
                  <c:v>99.455812700625884</c:v>
                </c:pt>
                <c:pt idx="7">
                  <c:v>111.88778928820409</c:v>
                </c:pt>
                <c:pt idx="8">
                  <c:v>124.31976587578235</c:v>
                </c:pt>
                <c:pt idx="9">
                  <c:v>136.75174246336061</c:v>
                </c:pt>
                <c:pt idx="10">
                  <c:v>149.18371905093883</c:v>
                </c:pt>
                <c:pt idx="11">
                  <c:v>161.61569563851708</c:v>
                </c:pt>
                <c:pt idx="12">
                  <c:v>167.83168393230619</c:v>
                </c:pt>
                <c:pt idx="13">
                  <c:v>174.04767222609527</c:v>
                </c:pt>
              </c:numCache>
            </c:numRef>
          </c:xVal>
          <c:yVal>
            <c:numRef>
              <c:f>'Gear Change Calc'!$N$2:$N$15</c:f>
              <c:numCache>
                <c:formatCode>0</c:formatCode>
                <c:ptCount val="14"/>
                <c:pt idx="0">
                  <c:v>1447.8791745783383</c:v>
                </c:pt>
                <c:pt idx="1">
                  <c:v>2123.556122714896</c:v>
                </c:pt>
                <c:pt idx="2">
                  <c:v>2316.6066793253412</c:v>
                </c:pt>
                <c:pt idx="3">
                  <c:v>2606.1825142410084</c:v>
                </c:pt>
                <c:pt idx="4">
                  <c:v>2799.2330708514537</c:v>
                </c:pt>
                <c:pt idx="5">
                  <c:v>3019.8622784062486</c:v>
                </c:pt>
                <c:pt idx="6">
                  <c:v>3221.5311634368027</c:v>
                </c:pt>
                <c:pt idx="7">
                  <c:v>3378.3847406827899</c:v>
                </c:pt>
                <c:pt idx="8">
                  <c:v>3388.0372685133111</c:v>
                </c:pt>
                <c:pt idx="9">
                  <c:v>3422.2598671851624</c:v>
                </c:pt>
                <c:pt idx="10">
                  <c:v>3402.5160602590945</c:v>
                </c:pt>
                <c:pt idx="11">
                  <c:v>3207.6092482966255</c:v>
                </c:pt>
                <c:pt idx="12">
                  <c:v>3131.7090294583309</c:v>
                </c:pt>
                <c:pt idx="13">
                  <c:v>2978.4943019897246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6E-45C9-B01B-B5029CA2AA38}"/>
            </c:ext>
          </c:extLst>
        </c:ser>
        <c:ser>
          <c:idx val="2"/>
          <c:order val="2"/>
          <c:tx>
            <c:v>3rd Gear</c:v>
          </c:tx>
          <c:marker>
            <c:symbol val="none"/>
          </c:marker>
          <c:xVal>
            <c:numRef>
              <c:f>'Gear Change Calc'!$H$2:$H$15</c:f>
              <c:numCache>
                <c:formatCode>0</c:formatCode>
                <c:ptCount val="14"/>
                <c:pt idx="0">
                  <c:v>30.098469633084147</c:v>
                </c:pt>
                <c:pt idx="1">
                  <c:v>45.147704449626225</c:v>
                </c:pt>
                <c:pt idx="2">
                  <c:v>60.196939266168293</c:v>
                </c:pt>
                <c:pt idx="3">
                  <c:v>75.246174082710368</c:v>
                </c:pt>
                <c:pt idx="4">
                  <c:v>90.29540889925245</c:v>
                </c:pt>
                <c:pt idx="5">
                  <c:v>105.34464371579453</c:v>
                </c:pt>
                <c:pt idx="6">
                  <c:v>120.39387853233659</c:v>
                </c:pt>
                <c:pt idx="7">
                  <c:v>135.44311334887868</c:v>
                </c:pt>
                <c:pt idx="8">
                  <c:v>150.49234816542074</c:v>
                </c:pt>
                <c:pt idx="9">
                  <c:v>165.54158298196282</c:v>
                </c:pt>
                <c:pt idx="10">
                  <c:v>180.5908177985049</c:v>
                </c:pt>
                <c:pt idx="11">
                  <c:v>195.64005261504695</c:v>
                </c:pt>
                <c:pt idx="12">
                  <c:v>203.16467002331802</c:v>
                </c:pt>
                <c:pt idx="13">
                  <c:v>210.68928743158907</c:v>
                </c:pt>
              </c:numCache>
            </c:numRef>
          </c:xVal>
          <c:yVal>
            <c:numRef>
              <c:f>'Gear Change Calc'!$O$2:$O$15</c:f>
              <c:numCache>
                <c:formatCode>0</c:formatCode>
                <c:ptCount val="14"/>
                <c:pt idx="0">
                  <c:v>1196.0741007386273</c:v>
                </c:pt>
                <c:pt idx="1">
                  <c:v>1754.2420144166531</c:v>
                </c:pt>
                <c:pt idx="2">
                  <c:v>1913.7185611818038</c:v>
                </c:pt>
                <c:pt idx="3">
                  <c:v>2152.9333813295293</c:v>
                </c:pt>
                <c:pt idx="4">
                  <c:v>2312.4099280946793</c:v>
                </c:pt>
                <c:pt idx="5">
                  <c:v>2494.6688386834221</c:v>
                </c:pt>
                <c:pt idx="6">
                  <c:v>2661.2648741434459</c:v>
                </c:pt>
                <c:pt idx="7">
                  <c:v>2790.8395683901294</c:v>
                </c:pt>
                <c:pt idx="8">
                  <c:v>2798.8133957283881</c:v>
                </c:pt>
                <c:pt idx="9">
                  <c:v>2827.0842381094826</c:v>
                </c:pt>
                <c:pt idx="10">
                  <c:v>2810.7741367357739</c:v>
                </c:pt>
                <c:pt idx="11">
                  <c:v>2649.7641616363435</c:v>
                </c:pt>
                <c:pt idx="12">
                  <c:v>2587.0639808568822</c:v>
                </c:pt>
                <c:pt idx="13">
                  <c:v>2460.4952929480328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6E-45C9-B01B-B5029CA2AA38}"/>
            </c:ext>
          </c:extLst>
        </c:ser>
        <c:ser>
          <c:idx val="3"/>
          <c:order val="3"/>
          <c:tx>
            <c:v>4th Gear</c:v>
          </c:tx>
          <c:marker>
            <c:symbol val="none"/>
          </c:marker>
          <c:xVal>
            <c:numRef>
              <c:f>'Gear Change Calc'!$I$2:$I$15</c:f>
              <c:numCache>
                <c:formatCode>0</c:formatCode>
                <c:ptCount val="14"/>
                <c:pt idx="0">
                  <c:v>34.658843819915084</c:v>
                </c:pt>
                <c:pt idx="1">
                  <c:v>51.98826572987263</c:v>
                </c:pt>
                <c:pt idx="2">
                  <c:v>69.317687639830169</c:v>
                </c:pt>
                <c:pt idx="3">
                  <c:v>86.6471095497877</c:v>
                </c:pt>
                <c:pt idx="4">
                  <c:v>103.97653145974526</c:v>
                </c:pt>
                <c:pt idx="5">
                  <c:v>121.30595336970276</c:v>
                </c:pt>
                <c:pt idx="6">
                  <c:v>138.63537527966034</c:v>
                </c:pt>
                <c:pt idx="7">
                  <c:v>155.96479718961785</c:v>
                </c:pt>
                <c:pt idx="8">
                  <c:v>173.2942190995754</c:v>
                </c:pt>
                <c:pt idx="9">
                  <c:v>190.62364100953295</c:v>
                </c:pt>
                <c:pt idx="10">
                  <c:v>207.95306291949052</c:v>
                </c:pt>
                <c:pt idx="11">
                  <c:v>225.28248482944804</c:v>
                </c:pt>
                <c:pt idx="12">
                  <c:v>233.94719578442678</c:v>
                </c:pt>
                <c:pt idx="13">
                  <c:v>242.61190673940553</c:v>
                </c:pt>
              </c:numCache>
            </c:numRef>
          </c:xVal>
          <c:yVal>
            <c:numRef>
              <c:f>'Gear Change Calc'!$P$2:$P$15</c:f>
              <c:numCache>
                <c:formatCode>0</c:formatCode>
                <c:ptCount val="14"/>
                <c:pt idx="0">
                  <c:v>1038.6959295888078</c:v>
                </c:pt>
                <c:pt idx="1">
                  <c:v>1523.4206967302512</c:v>
                </c:pt>
                <c:pt idx="2">
                  <c:v>1661.9134873420924</c:v>
                </c:pt>
                <c:pt idx="3">
                  <c:v>1869.6526732598541</c:v>
                </c:pt>
                <c:pt idx="4">
                  <c:v>2008.1454638716948</c:v>
                </c:pt>
                <c:pt idx="5">
                  <c:v>2166.4229388566564</c:v>
                </c:pt>
                <c:pt idx="6">
                  <c:v>2311.0984433350973</c:v>
                </c:pt>
                <c:pt idx="7">
                  <c:v>2423.6238357072179</c:v>
                </c:pt>
                <c:pt idx="8">
                  <c:v>2430.5484752378102</c:v>
                </c:pt>
                <c:pt idx="9">
                  <c:v>2455.0994699371818</c:v>
                </c:pt>
                <c:pt idx="10">
                  <c:v>2440.9354345336978</c:v>
                </c:pt>
                <c:pt idx="11">
                  <c:v>2301.1109824736664</c:v>
                </c:pt>
                <c:pt idx="12">
                  <c:v>2246.6608254809771</c:v>
                </c:pt>
                <c:pt idx="13">
                  <c:v>2136.7459122969763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D6E-45C9-B01B-B5029CA2AA38}"/>
            </c:ext>
          </c:extLst>
        </c:ser>
        <c:ser>
          <c:idx val="4"/>
          <c:order val="4"/>
          <c:tx>
            <c:v>5th Gear</c:v>
          </c:tx>
          <c:marker>
            <c:symbol val="none"/>
          </c:marker>
          <c:xVal>
            <c:numRef>
              <c:f>'Gear Change Calc'!$J$2:$J$15</c:f>
              <c:numCache>
                <c:formatCode>0</c:formatCode>
                <c:ptCount val="14"/>
                <c:pt idx="0">
                  <c:v>38.226665977847517</c:v>
                </c:pt>
                <c:pt idx="1">
                  <c:v>57.339998966771269</c:v>
                </c:pt>
                <c:pt idx="2">
                  <c:v>76.453331955695035</c:v>
                </c:pt>
                <c:pt idx="3">
                  <c:v>95.566664944618793</c:v>
                </c:pt>
                <c:pt idx="4">
                  <c:v>114.67999793354254</c:v>
                </c:pt>
                <c:pt idx="5">
                  <c:v>133.79333092246631</c:v>
                </c:pt>
                <c:pt idx="6">
                  <c:v>152.90666391139007</c:v>
                </c:pt>
                <c:pt idx="7">
                  <c:v>172.01999690031383</c:v>
                </c:pt>
                <c:pt idx="8">
                  <c:v>191.13332988923759</c:v>
                </c:pt>
                <c:pt idx="9">
                  <c:v>210.24666287816132</c:v>
                </c:pt>
                <c:pt idx="10">
                  <c:v>229.35999586708508</c:v>
                </c:pt>
                <c:pt idx="11">
                  <c:v>248.47332885600881</c:v>
                </c:pt>
                <c:pt idx="12">
                  <c:v>258.0299953504707</c:v>
                </c:pt>
                <c:pt idx="13">
                  <c:v>267.58666184493262</c:v>
                </c:pt>
              </c:numCache>
            </c:numRef>
          </c:xVal>
          <c:yVal>
            <c:numRef>
              <c:f>'Gear Change Calc'!$Q$2:$Q$15</c:f>
              <c:numCache>
                <c:formatCode>0</c:formatCode>
                <c:ptCount val="14"/>
                <c:pt idx="0">
                  <c:v>941.75097616051903</c:v>
                </c:pt>
                <c:pt idx="1">
                  <c:v>1381.2347650354279</c:v>
                </c:pt>
                <c:pt idx="2">
                  <c:v>1506.8015618568304</c:v>
                </c:pt>
                <c:pt idx="3">
                  <c:v>1695.1517570889343</c:v>
                </c:pt>
                <c:pt idx="4">
                  <c:v>1820.7185539103371</c:v>
                </c:pt>
                <c:pt idx="5">
                  <c:v>1964.223464563368</c:v>
                </c:pt>
                <c:pt idx="6">
                  <c:v>2095.3959219571548</c:v>
                </c:pt>
                <c:pt idx="7">
                  <c:v>2197.4189443745445</c:v>
                </c:pt>
                <c:pt idx="8">
                  <c:v>2203.6972842156147</c:v>
                </c:pt>
                <c:pt idx="9">
                  <c:v>2225.9568527430451</c:v>
                </c:pt>
                <c:pt idx="10">
                  <c:v>2213.11479397722</c:v>
                </c:pt>
                <c:pt idx="11">
                  <c:v>2086.3406241094581</c:v>
                </c:pt>
                <c:pt idx="12">
                  <c:v>2036.9724817694191</c:v>
                </c:pt>
                <c:pt idx="13">
                  <c:v>1937.3162938159246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D6E-45C9-B01B-B5029CA2AA38}"/>
            </c:ext>
          </c:extLst>
        </c:ser>
        <c:ser>
          <c:idx val="5"/>
          <c:order val="5"/>
          <c:tx>
            <c:v>6th Gear</c:v>
          </c:tx>
          <c:marker>
            <c:symbol val="none"/>
          </c:marker>
          <c:xVal>
            <c:numRef>
              <c:f>'Gear Change Calc'!$K$2:$K$15</c:f>
              <c:numCache>
                <c:formatCode>0</c:formatCode>
                <c:ptCount val="14"/>
                <c:pt idx="0">
                  <c:v>41.232072820243808</c:v>
                </c:pt>
                <c:pt idx="1">
                  <c:v>61.848109230365722</c:v>
                </c:pt>
                <c:pt idx="2">
                  <c:v>82.464145640487615</c:v>
                </c:pt>
                <c:pt idx="3">
                  <c:v>103.08018205060949</c:v>
                </c:pt>
                <c:pt idx="4">
                  <c:v>123.69621846073144</c:v>
                </c:pt>
                <c:pt idx="5">
                  <c:v>144.31225487085331</c:v>
                </c:pt>
                <c:pt idx="6">
                  <c:v>164.92829128097523</c:v>
                </c:pt>
                <c:pt idx="7">
                  <c:v>185.54432769109707</c:v>
                </c:pt>
                <c:pt idx="8">
                  <c:v>206.16036410121899</c:v>
                </c:pt>
                <c:pt idx="9">
                  <c:v>226.77640051134091</c:v>
                </c:pt>
                <c:pt idx="10">
                  <c:v>247.39243692146289</c:v>
                </c:pt>
                <c:pt idx="11">
                  <c:v>268.0084733315847</c:v>
                </c:pt>
                <c:pt idx="12">
                  <c:v>278.31649153664574</c:v>
                </c:pt>
                <c:pt idx="13">
                  <c:v>288.62450974170662</c:v>
                </c:pt>
              </c:numCache>
            </c:numRef>
          </c:xVal>
          <c:yVal>
            <c:numRef>
              <c:f>'Gear Change Calc'!$R$2:$R$15</c:f>
              <c:numCache>
                <c:formatCode>0</c:formatCode>
                <c:ptCount val="14"/>
                <c:pt idx="0">
                  <c:v>873.10672342247608</c:v>
                </c:pt>
                <c:pt idx="1">
                  <c:v>1280.5565276862981</c:v>
                </c:pt>
                <c:pt idx="2">
                  <c:v>1396.9707574759616</c:v>
                </c:pt>
                <c:pt idx="3">
                  <c:v>1571.5921021604572</c:v>
                </c:pt>
                <c:pt idx="4">
                  <c:v>1688.0063319501201</c:v>
                </c:pt>
                <c:pt idx="5">
                  <c:v>1821.0511659954502</c:v>
                </c:pt>
                <c:pt idx="6">
                  <c:v>1942.6624596150091</c:v>
                </c:pt>
                <c:pt idx="7">
                  <c:v>2037.2490213191115</c:v>
                </c:pt>
                <c:pt idx="8">
                  <c:v>2043.0697328085944</c:v>
                </c:pt>
                <c:pt idx="9">
                  <c:v>2063.7068008167616</c:v>
                </c:pt>
                <c:pt idx="10">
                  <c:v>2051.8008000428185</c:v>
                </c:pt>
                <c:pt idx="11">
                  <c:v>1934.267202659024</c:v>
                </c:pt>
                <c:pt idx="12">
                  <c:v>1888.4975054767626</c:v>
                </c:pt>
                <c:pt idx="13">
                  <c:v>1796.1052596119509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D6E-45C9-B01B-B5029CA2A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77920"/>
        <c:axId val="273078480"/>
      </c:scatterChart>
      <c:valAx>
        <c:axId val="27307792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273078480"/>
        <c:crosses val="autoZero"/>
        <c:crossBetween val="midCat"/>
      </c:valAx>
      <c:valAx>
        <c:axId val="273078480"/>
        <c:scaling>
          <c:orientation val="minMax"/>
        </c:scaling>
        <c:delete val="0"/>
        <c:axPos val="l"/>
        <c:majorGridlines/>
        <c:numFmt formatCode="0" sourceLinked="1"/>
        <c:majorTickMark val="out"/>
        <c:minorTickMark val="none"/>
        <c:tickLblPos val="nextTo"/>
        <c:crossAx val="273077920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89991796554552916"/>
          <c:y val="0.38693467336683679"/>
          <c:w val="9.1878589007383105E-2"/>
          <c:h val="0.22487437185929648"/>
        </c:manualLayout>
      </c:layout>
      <c:overlay val="0"/>
    </c:legend>
    <c:plotVisOnly val="1"/>
    <c:dispBlanksAs val="gap"/>
    <c:showDLblsOverMax val="0"/>
  </c:char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Dyno</a:t>
            </a:r>
            <a:r>
              <a:rPr lang="en-GB" baseline="0"/>
              <a:t> Curve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Power (Kw)</c:v>
          </c:tx>
          <c:marker>
            <c:symbol val="none"/>
          </c:marker>
          <c:xVal>
            <c:numRef>
              <c:f>'Gear Change Calc'!$A$2:$A$15</c:f>
              <c:numCache>
                <c:formatCode>General</c:formatCode>
                <c:ptCount val="14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  <c:pt idx="12">
                  <c:v>13500</c:v>
                </c:pt>
                <c:pt idx="13">
                  <c:v>14000</c:v>
                </c:pt>
              </c:numCache>
            </c:numRef>
          </c:xVal>
          <c:yVal>
            <c:numRef>
              <c:f>'Gear Change Calc'!$B$2:$B$15</c:f>
              <c:numCache>
                <c:formatCode>General</c:formatCode>
                <c:ptCount val="14"/>
                <c:pt idx="0">
                  <c:v>10</c:v>
                </c:pt>
                <c:pt idx="1">
                  <c:v>22</c:v>
                </c:pt>
                <c:pt idx="2">
                  <c:v>32</c:v>
                </c:pt>
                <c:pt idx="3">
                  <c:v>45</c:v>
                </c:pt>
                <c:pt idx="4">
                  <c:v>58</c:v>
                </c:pt>
                <c:pt idx="5">
                  <c:v>73</c:v>
                </c:pt>
                <c:pt idx="6">
                  <c:v>89</c:v>
                </c:pt>
                <c:pt idx="7">
                  <c:v>105</c:v>
                </c:pt>
                <c:pt idx="8">
                  <c:v>117</c:v>
                </c:pt>
                <c:pt idx="9">
                  <c:v>130</c:v>
                </c:pt>
                <c:pt idx="10">
                  <c:v>141</c:v>
                </c:pt>
                <c:pt idx="11">
                  <c:v>144</c:v>
                </c:pt>
                <c:pt idx="12">
                  <c:v>146</c:v>
                </c:pt>
                <c:pt idx="13">
                  <c:v>144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AA1-4240-8340-B72285E1215C}"/>
            </c:ext>
          </c:extLst>
        </c:ser>
        <c:ser>
          <c:idx val="1"/>
          <c:order val="1"/>
          <c:tx>
            <c:v>Torque (Nm)</c:v>
          </c:tx>
          <c:marker>
            <c:symbol val="none"/>
          </c:marker>
          <c:xVal>
            <c:numRef>
              <c:f>'Gear Change Calc'!$A$2:$A$15</c:f>
              <c:numCache>
                <c:formatCode>General</c:formatCode>
                <c:ptCount val="14"/>
                <c:pt idx="0">
                  <c:v>2000</c:v>
                </c:pt>
                <c:pt idx="1">
                  <c:v>3000</c:v>
                </c:pt>
                <c:pt idx="2">
                  <c:v>4000</c:v>
                </c:pt>
                <c:pt idx="3">
                  <c:v>5000</c:v>
                </c:pt>
                <c:pt idx="4">
                  <c:v>6000</c:v>
                </c:pt>
                <c:pt idx="5">
                  <c:v>7000</c:v>
                </c:pt>
                <c:pt idx="6">
                  <c:v>8000</c:v>
                </c:pt>
                <c:pt idx="7">
                  <c:v>9000</c:v>
                </c:pt>
                <c:pt idx="8">
                  <c:v>10000</c:v>
                </c:pt>
                <c:pt idx="9">
                  <c:v>11000</c:v>
                </c:pt>
                <c:pt idx="10">
                  <c:v>12000</c:v>
                </c:pt>
                <c:pt idx="11">
                  <c:v>13000</c:v>
                </c:pt>
                <c:pt idx="12">
                  <c:v>13500</c:v>
                </c:pt>
                <c:pt idx="13">
                  <c:v>14000</c:v>
                </c:pt>
              </c:numCache>
            </c:numRef>
          </c:xVal>
          <c:yVal>
            <c:numRef>
              <c:f>'Gear Change Calc'!$C$2:$C$15</c:f>
              <c:numCache>
                <c:formatCode>0.00</c:formatCode>
                <c:ptCount val="14"/>
                <c:pt idx="0">
                  <c:v>47.746482927568607</c:v>
                </c:pt>
                <c:pt idx="1">
                  <c:v>70.028174960433958</c:v>
                </c:pt>
                <c:pt idx="2">
                  <c:v>76.394372684109769</c:v>
                </c:pt>
                <c:pt idx="3">
                  <c:v>85.943669269623484</c:v>
                </c:pt>
                <c:pt idx="4">
                  <c:v>92.309866993299295</c:v>
                </c:pt>
                <c:pt idx="5">
                  <c:v>99.585521534643092</c:v>
                </c:pt>
                <c:pt idx="6">
                  <c:v>106.23592451384015</c:v>
                </c:pt>
                <c:pt idx="7">
                  <c:v>111.40846016432674</c:v>
                </c:pt>
                <c:pt idx="8">
                  <c:v>111.72677005051052</c:v>
                </c:pt>
                <c:pt idx="9">
                  <c:v>112.85532328334398</c:v>
                </c:pt>
                <c:pt idx="10">
                  <c:v>112.20423487978621</c:v>
                </c:pt>
                <c:pt idx="11">
                  <c:v>105.77682371645967</c:v>
                </c:pt>
                <c:pt idx="12">
                  <c:v>103.27387418407432</c:v>
                </c:pt>
                <c:pt idx="13">
                  <c:v>98.221336308141133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AA1-4240-8340-B72285E121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73081840"/>
        <c:axId val="273082400"/>
      </c:scatterChart>
      <c:valAx>
        <c:axId val="2730818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3082400"/>
        <c:crosses val="autoZero"/>
        <c:crossBetween val="midCat"/>
      </c:valAx>
      <c:valAx>
        <c:axId val="273082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308184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8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1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29578</xdr:colOff>
      <xdr:row>20</xdr:row>
      <xdr:rowOff>19552</xdr:rowOff>
    </xdr:from>
    <xdr:to>
      <xdr:col>29</xdr:col>
      <xdr:colOff>905878</xdr:colOff>
      <xdr:row>47</xdr:row>
      <xdr:rowOff>143878</xdr:rowOff>
    </xdr:to>
    <xdr:graphicFrame macro="">
      <xdr:nvGraphicFramePr>
        <xdr:cNvPr id="1377" name="Chart 1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29578</xdr:colOff>
      <xdr:row>48</xdr:row>
      <xdr:rowOff>3509</xdr:rowOff>
    </xdr:from>
    <xdr:to>
      <xdr:col>29</xdr:col>
      <xdr:colOff>905878</xdr:colOff>
      <xdr:row>70</xdr:row>
      <xdr:rowOff>68680</xdr:rowOff>
    </xdr:to>
    <xdr:graphicFrame macro="">
      <xdr:nvGraphicFramePr>
        <xdr:cNvPr id="1378" name="Chart 2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85725</xdr:colOff>
      <xdr:row>44</xdr:row>
      <xdr:rowOff>114300</xdr:rowOff>
    </xdr:from>
    <xdr:to>
      <xdr:col>7</xdr:col>
      <xdr:colOff>9525</xdr:colOff>
      <xdr:row>46</xdr:row>
      <xdr:rowOff>85725</xdr:rowOff>
    </xdr:to>
    <xdr:sp macro="" textlink="" fLocksText="0">
      <xdr:nvSpPr>
        <xdr:cNvPr id="1027" name="Testo 2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2305050" y="8201025"/>
          <a:ext cx="8382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xdr:txBody>
    </xdr:sp>
    <xdr:clientData/>
  </xdr:twoCellAnchor>
  <xdr:twoCellAnchor>
    <xdr:from>
      <xdr:col>7</xdr:col>
      <xdr:colOff>381000</xdr:colOff>
      <xdr:row>44</xdr:row>
      <xdr:rowOff>104775</xdr:rowOff>
    </xdr:from>
    <xdr:to>
      <xdr:col>10</xdr:col>
      <xdr:colOff>200025</xdr:colOff>
      <xdr:row>46</xdr:row>
      <xdr:rowOff>85725</xdr:rowOff>
    </xdr:to>
    <xdr:sp macro="" textlink="" fLocksText="0">
      <xdr:nvSpPr>
        <xdr:cNvPr id="1028" name="Testo 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514725" y="8191500"/>
          <a:ext cx="94297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xdr:txBody>
    </xdr:sp>
    <xdr:clientData/>
  </xdr:twoCellAnchor>
  <xdr:twoCellAnchor>
    <xdr:from>
      <xdr:col>10</xdr:col>
      <xdr:colOff>314325</xdr:colOff>
      <xdr:row>44</xdr:row>
      <xdr:rowOff>114300</xdr:rowOff>
    </xdr:from>
    <xdr:to>
      <xdr:col>12</xdr:col>
      <xdr:colOff>333375</xdr:colOff>
      <xdr:row>46</xdr:row>
      <xdr:rowOff>85725</xdr:rowOff>
    </xdr:to>
    <xdr:sp macro="" textlink="" fLocksText="0">
      <xdr:nvSpPr>
        <xdr:cNvPr id="1029" name="Testo 4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4572000" y="8201025"/>
          <a:ext cx="914400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xdr:txBody>
    </xdr:sp>
    <xdr:clientData/>
  </xdr:twoCellAnchor>
  <xdr:twoCellAnchor>
    <xdr:from>
      <xdr:col>12</xdr:col>
      <xdr:colOff>381000</xdr:colOff>
      <xdr:row>44</xdr:row>
      <xdr:rowOff>114300</xdr:rowOff>
    </xdr:from>
    <xdr:to>
      <xdr:col>14</xdr:col>
      <xdr:colOff>171450</xdr:colOff>
      <xdr:row>46</xdr:row>
      <xdr:rowOff>85725</xdr:rowOff>
    </xdr:to>
    <xdr:sp macro="" textlink="" fLocksText="0">
      <xdr:nvSpPr>
        <xdr:cNvPr id="1030" name="Testo 5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5534025" y="8201025"/>
          <a:ext cx="904875" cy="2952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xdr:txBody>
    </xdr:sp>
    <xdr:clientData/>
  </xdr:twoCellAnchor>
  <xdr:twoCellAnchor>
    <xdr:from>
      <xdr:col>14</xdr:col>
      <xdr:colOff>238125</xdr:colOff>
      <xdr:row>44</xdr:row>
      <xdr:rowOff>123825</xdr:rowOff>
    </xdr:from>
    <xdr:to>
      <xdr:col>24</xdr:col>
      <xdr:colOff>266700</xdr:colOff>
      <xdr:row>46</xdr:row>
      <xdr:rowOff>104775</xdr:rowOff>
    </xdr:to>
    <xdr:sp macro="" textlink="" fLocksText="0">
      <xdr:nvSpPr>
        <xdr:cNvPr id="1031" name="Testo 5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6505575" y="8210550"/>
          <a:ext cx="923925" cy="304800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  <xdr:txBody>
        <a:bodyPr vertOverflow="clip" wrap="square" lIns="20160" tIns="20160" rIns="20160" bIns="20160" anchor="ctr" upright="1"/>
        <a:lstStyle/>
        <a:p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0.39846</cdr:x>
      <cdr:y>0.49927</cdr:y>
    </cdr:from>
    <cdr:to>
      <cdr:x>0.40688</cdr:x>
      <cdr:y>0.53401</cdr:y>
    </cdr:to>
    <cdr:sp macro="" textlink="">
      <cdr:nvSpPr>
        <cdr:cNvPr id="2049" name="Text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045228" y="2247775"/>
          <a:ext cx="85415" cy="15621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1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2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3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  <cdr:relSizeAnchor xmlns:cdr="http://schemas.openxmlformats.org/drawingml/2006/chartDrawing">
    <cdr:from>
      <cdr:x>0.12481</cdr:x>
      <cdr:y>0.92383</cdr:y>
    </cdr:from>
    <cdr:to>
      <cdr:x>0.12481</cdr:x>
      <cdr:y>0.92383</cdr:y>
    </cdr:to>
    <cdr:sp macro="" textlink="">
      <cdr:nvSpPr>
        <cdr:cNvPr id="2054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269226" y="4156513"/>
          <a:ext cx="0" cy="0"/>
        </a:xfrm>
        <a:prstGeom xmlns:a="http://schemas.openxmlformats.org/drawingml/2006/main" prst="rect">
          <a:avLst/>
        </a:prstGeom>
        <a:solidFill xmlns:a="http://schemas.openxmlformats.org/drawingml/2006/main">
          <a:srgbClr val="FFFFFF"/>
        </a:solidFill>
        <a:ln xmlns:a="http://schemas.openxmlformats.org/drawingml/2006/main" w="1">
          <a:noFill/>
          <a:miter lim="800000"/>
          <a:headEnd/>
          <a:tailEnd type="none" w="med" len="med"/>
        </a:ln>
        <a:effectLst xmlns:a="http://schemas.openxmlformats.org/drawingml/2006/main"/>
      </cdr:spPr>
      <cdr:txBody>
        <a:bodyPr xmlns:a="http://schemas.openxmlformats.org/drawingml/2006/main"/>
        <a:lstStyle xmlns:a="http://schemas.openxmlformats.org/drawingml/2006/main"/>
        <a:p xmlns:a="http://schemas.openxmlformats.org/drawingml/2006/main">
          <a:endParaRPr lang="en-GB"/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0.41402</cdr:x>
      <cdr:y>0.47487</cdr:y>
    </cdr:from>
    <cdr:to>
      <cdr:x>0.44135</cdr:x>
      <cdr:y>0.52513</cdr:y>
    </cdr:to>
    <cdr:sp macro="" textlink="" fLocksText="0">
      <cdr:nvSpPr>
        <cdr:cNvPr id="3073" name="Testo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717288" y="1778319"/>
          <a:ext cx="311429" cy="18819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20160" tIns="20160" rIns="20160" bIns="201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1000" b="0" i="0" strike="noStrike">
              <a:solidFill>
                <a:srgbClr val="000000"/>
              </a:solidFill>
              <a:latin typeface="Arial"/>
              <a:cs typeface="Arial"/>
            </a:rPr>
            <a:t>Falls</a:t>
          </a:r>
        </a:p>
      </cdr:txBody>
    </cdr:sp>
  </cdr:relSizeAnchor>
  <cdr:relSizeAnchor xmlns:cdr="http://schemas.openxmlformats.org/drawingml/2006/chartDrawing">
    <cdr:from>
      <cdr:x>0.1778</cdr:x>
      <cdr:y>0.82293</cdr:y>
    </cdr:from>
    <cdr:to>
      <cdr:x>0.27587</cdr:x>
      <cdr:y>0.8746</cdr:y>
    </cdr:to>
    <cdr:sp macro="" textlink="" fLocksText="0">
      <cdr:nvSpPr>
        <cdr:cNvPr id="3074" name="Testo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06841" y="3122851"/>
          <a:ext cx="994839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1°-2°</a:t>
          </a:r>
        </a:p>
      </cdr:txBody>
    </cdr:sp>
  </cdr:relSizeAnchor>
  <cdr:relSizeAnchor xmlns:cdr="http://schemas.openxmlformats.org/drawingml/2006/chartDrawing">
    <cdr:from>
      <cdr:x>0.34373</cdr:x>
      <cdr:y>0.82293</cdr:y>
    </cdr:from>
    <cdr:to>
      <cdr:x>0.45196</cdr:x>
      <cdr:y>0.87386</cdr:y>
    </cdr:to>
    <cdr:sp macro="" textlink="" fLocksText="0">
      <cdr:nvSpPr>
        <cdr:cNvPr id="3075" name="Testo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490027" y="3122851"/>
          <a:ext cx="1097840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2°-3°</a:t>
          </a:r>
        </a:p>
      </cdr:txBody>
    </cdr:sp>
  </cdr:relSizeAnchor>
  <cdr:relSizeAnchor xmlns:cdr="http://schemas.openxmlformats.org/drawingml/2006/chartDrawing">
    <cdr:from>
      <cdr:x>0.49034</cdr:x>
      <cdr:y>0.82293</cdr:y>
    </cdr:from>
    <cdr:to>
      <cdr:x>0.59658</cdr:x>
      <cdr:y>0.87386</cdr:y>
    </cdr:to>
    <cdr:sp macro="" textlink="" fLocksText="0">
      <cdr:nvSpPr>
        <cdr:cNvPr id="3076" name="Testo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77261" y="3122851"/>
          <a:ext cx="1077742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3°-4°</a:t>
          </a:r>
        </a:p>
      </cdr:txBody>
    </cdr:sp>
  </cdr:relSizeAnchor>
  <cdr:relSizeAnchor xmlns:cdr="http://schemas.openxmlformats.org/drawingml/2006/chartDrawing">
    <cdr:from>
      <cdr:x>0.64933</cdr:x>
      <cdr:y>0.82293</cdr:y>
    </cdr:from>
    <cdr:to>
      <cdr:x>0.7536</cdr:x>
      <cdr:y>0.87386</cdr:y>
    </cdr:to>
    <cdr:sp macro="" textlink="" fLocksText="0">
      <cdr:nvSpPr>
        <cdr:cNvPr id="3077" name="Testo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590105" y="3122851"/>
          <a:ext cx="1057645" cy="193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4°-5°</a:t>
          </a:r>
        </a:p>
      </cdr:txBody>
    </cdr:sp>
  </cdr:relSizeAnchor>
  <cdr:relSizeAnchor xmlns:cdr="http://schemas.openxmlformats.org/drawingml/2006/chartDrawing">
    <cdr:from>
      <cdr:x>0.81972</cdr:x>
      <cdr:y>0.82293</cdr:y>
    </cdr:from>
    <cdr:to>
      <cdr:x>0.92522</cdr:x>
      <cdr:y>0.8746</cdr:y>
    </cdr:to>
    <cdr:sp macro="" textlink="" fLocksText="0">
      <cdr:nvSpPr>
        <cdr:cNvPr id="3078" name="Testo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18512" y="3122851"/>
          <a:ext cx="1070205" cy="195872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 cap="flat">
          <a:noFill/>
          <a:round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20160" tIns="20160" rIns="20160" bIns="2016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GB" sz="800" b="0" i="0" strike="noStrike">
              <a:solidFill>
                <a:srgbClr val="000000"/>
              </a:solidFill>
              <a:latin typeface="Arial"/>
              <a:cs typeface="Arial"/>
            </a:rPr>
            <a:t>5°-6°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781" cy="607218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3297" cy="607629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L128"/>
  <sheetViews>
    <sheetView showGridLines="0" tabSelected="1" zoomScale="95" zoomScaleNormal="95" workbookViewId="0">
      <selection activeCell="S4" sqref="S4"/>
    </sheetView>
  </sheetViews>
  <sheetFormatPr defaultColWidth="9.140625" defaultRowHeight="12.75" x14ac:dyDescent="0.2"/>
  <cols>
    <col min="1" max="1" width="5.28515625" style="1" customWidth="1"/>
    <col min="2" max="2" width="4.85546875" style="1" customWidth="1"/>
    <col min="3" max="4" width="6.7109375" style="1" customWidth="1"/>
    <col min="5" max="5" width="9.7109375" style="1" customWidth="1"/>
    <col min="6" max="6" width="7" style="1" customWidth="1"/>
    <col min="7" max="7" width="8.85546875" style="1" bestFit="1" customWidth="1"/>
    <col min="8" max="8" width="6.7109375" style="1" customWidth="1"/>
    <col min="9" max="9" width="5.28515625" style="1" customWidth="1"/>
    <col min="10" max="10" width="4.85546875" style="1" customWidth="1"/>
    <col min="11" max="12" width="6.7109375" style="1" customWidth="1"/>
    <col min="13" max="13" width="9.7109375" style="1" customWidth="1"/>
    <col min="14" max="14" width="7" style="1" customWidth="1"/>
    <col min="15" max="20" width="6.7109375" style="1" customWidth="1"/>
    <col min="21" max="21" width="7.85546875" style="1" bestFit="1" customWidth="1"/>
    <col min="22" max="24" width="6.7109375" style="1" customWidth="1"/>
    <col min="25" max="25" width="9.42578125" style="1" customWidth="1"/>
    <col min="26" max="26" width="8.7109375" style="1" bestFit="1" customWidth="1"/>
    <col min="27" max="27" width="12.140625" style="1" bestFit="1" customWidth="1"/>
    <col min="28" max="28" width="11.42578125" style="1" bestFit="1" customWidth="1"/>
    <col min="29" max="29" width="5.85546875" style="1" bestFit="1" customWidth="1"/>
    <col min="30" max="30" width="17.85546875" style="1" customWidth="1"/>
    <col min="31" max="31" width="9.42578125" style="1" customWidth="1"/>
    <col min="32" max="32" width="8.5703125" style="1" customWidth="1"/>
    <col min="33" max="33" width="7.5703125" style="1" customWidth="1"/>
    <col min="34" max="35" width="5.7109375" style="1" customWidth="1"/>
    <col min="36" max="37" width="3.85546875" style="1" customWidth="1"/>
    <col min="38" max="38" width="5.7109375" style="1" customWidth="1"/>
    <col min="39" max="40" width="3.85546875" style="1" customWidth="1"/>
    <col min="41" max="41" width="5.7109375" style="1" customWidth="1"/>
    <col min="42" max="43" width="3.85546875" style="1" customWidth="1"/>
    <col min="44" max="44" width="5.7109375" style="1" customWidth="1"/>
    <col min="45" max="46" width="3.85546875" style="1" customWidth="1"/>
    <col min="47" max="47" width="5.7109375" style="1" customWidth="1"/>
    <col min="48" max="49" width="3.7109375" style="1" customWidth="1"/>
    <col min="50" max="50" width="5.7109375" style="1" customWidth="1"/>
    <col min="51" max="51" width="3.7109375" style="1" customWidth="1"/>
    <col min="52" max="52" width="15.28515625" style="1" bestFit="1" customWidth="1"/>
    <col min="53" max="53" width="14.7109375" style="1" bestFit="1" customWidth="1"/>
    <col min="54" max="61" width="9.140625" style="1"/>
    <col min="62" max="62" width="11" style="1" bestFit="1" customWidth="1"/>
    <col min="63" max="16384" width="9.140625" style="1"/>
  </cols>
  <sheetData>
    <row r="1" spans="1:64" ht="18.75" customHeight="1" thickBot="1" x14ac:dyDescent="0.25">
      <c r="A1" s="103" t="s">
        <v>77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</row>
    <row r="2" spans="1:64" s="13" customFormat="1" ht="28.15" customHeight="1" thickBot="1" x14ac:dyDescent="0.25">
      <c r="A2" s="2" t="s">
        <v>0</v>
      </c>
      <c r="B2" s="3"/>
      <c r="C2" s="4"/>
      <c r="D2" s="5"/>
      <c r="E2" s="5"/>
      <c r="F2" s="6" t="s">
        <v>1</v>
      </c>
      <c r="G2" s="7">
        <v>1</v>
      </c>
      <c r="H2" s="8"/>
      <c r="I2" s="2" t="s">
        <v>0</v>
      </c>
      <c r="J2" s="3"/>
      <c r="K2" s="4"/>
      <c r="L2" s="5"/>
      <c r="M2" s="5"/>
      <c r="N2" s="6" t="s">
        <v>1</v>
      </c>
      <c r="O2" s="9">
        <v>2</v>
      </c>
      <c r="P2" s="8"/>
      <c r="Q2" s="2" t="s">
        <v>0</v>
      </c>
      <c r="R2" s="3"/>
      <c r="S2" s="4"/>
      <c r="T2" s="5"/>
      <c r="U2" s="5"/>
      <c r="V2" s="6" t="s">
        <v>1</v>
      </c>
      <c r="W2" s="85">
        <v>3</v>
      </c>
      <c r="X2" s="8"/>
      <c r="Y2" s="10"/>
      <c r="Z2" s="104" t="s">
        <v>53</v>
      </c>
      <c r="AA2" s="105"/>
      <c r="AB2" s="10"/>
      <c r="AC2" s="10"/>
      <c r="AD2" s="10"/>
      <c r="AE2" s="10"/>
      <c r="AF2" s="11"/>
      <c r="AG2" s="12"/>
      <c r="AV2" s="13" t="s">
        <v>63</v>
      </c>
    </row>
    <row r="3" spans="1:64" ht="26.25" customHeight="1" x14ac:dyDescent="0.25">
      <c r="A3" s="87" t="s">
        <v>2</v>
      </c>
      <c r="B3" s="87"/>
      <c r="C3" s="14">
        <v>46</v>
      </c>
      <c r="D3" s="14">
        <v>76</v>
      </c>
      <c r="E3" s="15"/>
      <c r="F3" s="15"/>
      <c r="G3" s="15"/>
      <c r="H3" s="16"/>
      <c r="I3" s="87" t="s">
        <v>2</v>
      </c>
      <c r="J3" s="87"/>
      <c r="K3" s="14">
        <v>46</v>
      </c>
      <c r="L3" s="14">
        <v>76</v>
      </c>
      <c r="M3" s="15"/>
      <c r="N3" s="15"/>
      <c r="O3" s="15"/>
      <c r="P3" s="16"/>
      <c r="Q3" s="87" t="s">
        <v>2</v>
      </c>
      <c r="R3" s="87"/>
      <c r="S3" s="14">
        <v>46</v>
      </c>
      <c r="T3" s="14">
        <v>76</v>
      </c>
      <c r="U3" s="15"/>
      <c r="V3" s="15"/>
      <c r="W3" s="15"/>
      <c r="X3" s="16"/>
      <c r="Y3" s="17"/>
      <c r="Z3" s="70" t="s">
        <v>45</v>
      </c>
      <c r="AA3" s="71" t="s">
        <v>46</v>
      </c>
      <c r="AB3" s="71" t="s">
        <v>47</v>
      </c>
      <c r="AC3" s="71" t="s">
        <v>48</v>
      </c>
      <c r="AD3" s="72" t="s">
        <v>49</v>
      </c>
      <c r="AE3" s="73" t="s">
        <v>50</v>
      </c>
      <c r="AF3" s="17"/>
      <c r="AG3" s="18"/>
      <c r="AV3" s="1">
        <v>36</v>
      </c>
      <c r="AW3" s="1">
        <v>76</v>
      </c>
      <c r="BL3" s="1">
        <v>17000</v>
      </c>
    </row>
    <row r="4" spans="1:64" ht="18.75" x14ac:dyDescent="0.3">
      <c r="A4" s="87" t="s">
        <v>3</v>
      </c>
      <c r="B4" s="87"/>
      <c r="C4" s="19">
        <v>16</v>
      </c>
      <c r="D4" s="19">
        <v>45</v>
      </c>
      <c r="E4" s="15"/>
      <c r="F4" s="15"/>
      <c r="G4" s="15"/>
      <c r="H4" s="20"/>
      <c r="I4" s="87" t="s">
        <v>3</v>
      </c>
      <c r="J4" s="87"/>
      <c r="K4" s="19">
        <v>16</v>
      </c>
      <c r="L4" s="19">
        <v>45</v>
      </c>
      <c r="M4" s="15"/>
      <c r="N4" s="15"/>
      <c r="O4" s="15"/>
      <c r="P4" s="20"/>
      <c r="Q4" s="87" t="s">
        <v>3</v>
      </c>
      <c r="R4" s="87"/>
      <c r="S4" s="19">
        <v>16</v>
      </c>
      <c r="T4" s="19">
        <v>45</v>
      </c>
      <c r="U4" s="15"/>
      <c r="V4" s="15"/>
      <c r="W4" s="15"/>
      <c r="X4" s="20"/>
      <c r="Y4" s="21"/>
      <c r="Z4" s="91" t="s">
        <v>40</v>
      </c>
      <c r="AA4" s="93">
        <v>16</v>
      </c>
      <c r="AB4" s="93">
        <v>45</v>
      </c>
      <c r="AC4" s="93">
        <v>114</v>
      </c>
      <c r="AD4" s="93">
        <v>88</v>
      </c>
      <c r="AE4" s="89">
        <f>0.5*(AC4-0.5*(AA4+AB4))*25.4*VLOOKUP(Z4,'Gearbox BMW S1000RR'!AZ14:BA16,2,FALSE)-AD4</f>
        <v>574.78125</v>
      </c>
      <c r="AF4" s="17"/>
      <c r="AG4" s="18"/>
      <c r="AI4" s="22" t="s">
        <v>4</v>
      </c>
      <c r="AJ4" s="101" t="s">
        <v>5</v>
      </c>
      <c r="AK4" s="101"/>
      <c r="AL4" s="101"/>
      <c r="AM4" s="101" t="s">
        <v>6</v>
      </c>
      <c r="AN4" s="101"/>
      <c r="AO4" s="101"/>
      <c r="AP4" s="101" t="s">
        <v>7</v>
      </c>
      <c r="AQ4" s="101"/>
      <c r="AR4" s="101"/>
      <c r="AS4" s="101" t="s">
        <v>8</v>
      </c>
      <c r="AT4" s="101"/>
      <c r="AU4" s="101"/>
      <c r="AV4" s="101" t="s">
        <v>61</v>
      </c>
      <c r="AW4" s="101"/>
      <c r="AX4" s="101"/>
      <c r="AY4" s="102"/>
      <c r="AZ4" s="102"/>
      <c r="BA4" s="102"/>
      <c r="BL4" s="1">
        <v>16900</v>
      </c>
    </row>
    <row r="5" spans="1:64" ht="16.5" thickBot="1" x14ac:dyDescent="0.3">
      <c r="A5" s="87" t="s">
        <v>9</v>
      </c>
      <c r="B5" s="87"/>
      <c r="C5" s="23" t="s">
        <v>58</v>
      </c>
      <c r="D5" s="24"/>
      <c r="E5" s="19">
        <f>$BH$19*IF(C5="A Tyre",1,0)+$BH$20*IF(C5="B Tyre",1,0)+$BH$21*IF(C5="INTER",1,0)+$BH$22*IF(C5="RAIN",1,0)</f>
        <v>0.64079999999999993</v>
      </c>
      <c r="F5" s="25" t="s">
        <v>10</v>
      </c>
      <c r="G5" s="39" t="s">
        <v>60</v>
      </c>
      <c r="H5" s="16">
        <f>3.142*E5</f>
        <v>2.0133935999999997</v>
      </c>
      <c r="I5" s="87" t="s">
        <v>9</v>
      </c>
      <c r="J5" s="87"/>
      <c r="K5" s="23" t="s">
        <v>58</v>
      </c>
      <c r="L5" s="24"/>
      <c r="M5" s="19">
        <f>$BH$19*IF(K5="A Tyre",1,0)+$BH$20*IF(K5="B Tyre",1,0)+$BH$21*IF(K5="INTER",1,0)+$BH$22*IF(K5="RAIN",1,0)</f>
        <v>0.64079999999999993</v>
      </c>
      <c r="N5" s="25" t="s">
        <v>10</v>
      </c>
      <c r="O5" s="39" t="s">
        <v>60</v>
      </c>
      <c r="P5" s="16">
        <f>3.142*M5</f>
        <v>2.0133935999999997</v>
      </c>
      <c r="Q5" s="87" t="s">
        <v>9</v>
      </c>
      <c r="R5" s="87"/>
      <c r="S5" s="23" t="s">
        <v>58</v>
      </c>
      <c r="T5" s="24"/>
      <c r="U5" s="19">
        <f>$BH$19*IF(S5="A Tyre",1,0)+$BH$20*IF(S5="B Tyre",1,0)+$BH$21*IF(S5="INTER",1,0)+$BH$22*IF(S5="RAIN",1,0)</f>
        <v>0.64079999999999993</v>
      </c>
      <c r="V5" s="25" t="s">
        <v>10</v>
      </c>
      <c r="W5" s="79" t="s">
        <v>60</v>
      </c>
      <c r="X5" s="16">
        <f>3.142*U5</f>
        <v>2.0133935999999997</v>
      </c>
      <c r="Y5" s="26"/>
      <c r="Z5" s="92"/>
      <c r="AA5" s="94"/>
      <c r="AB5" s="94"/>
      <c r="AC5" s="94"/>
      <c r="AD5" s="94"/>
      <c r="AE5" s="90"/>
      <c r="AF5" s="17"/>
      <c r="AG5" s="18"/>
      <c r="AI5" s="27">
        <v>1</v>
      </c>
      <c r="AJ5" s="28">
        <v>17</v>
      </c>
      <c r="AK5" s="29">
        <v>45</v>
      </c>
      <c r="AL5" s="30">
        <f t="shared" ref="AL5:AL10" si="0">AK5/AJ5</f>
        <v>2.6470588235294117</v>
      </c>
      <c r="AM5" s="29">
        <v>14</v>
      </c>
      <c r="AN5" s="29">
        <v>37</v>
      </c>
      <c r="AO5" s="30">
        <f t="shared" ref="AO5:AO10" si="1">AN5/AM5</f>
        <v>2.6428571428571428</v>
      </c>
      <c r="AP5" s="29">
        <v>14</v>
      </c>
      <c r="AQ5" s="29">
        <v>36</v>
      </c>
      <c r="AR5" s="30">
        <f t="shared" ref="AR5:AR10" si="2">AQ5/AP5</f>
        <v>2.5714285714285716</v>
      </c>
      <c r="AS5" s="29">
        <v>16</v>
      </c>
      <c r="AT5" s="29">
        <v>40</v>
      </c>
      <c r="AU5" s="31">
        <f t="shared" ref="AU5:AU10" si="3">AT5/AS5</f>
        <v>2.5</v>
      </c>
      <c r="AV5" s="29">
        <v>15</v>
      </c>
      <c r="AW5" s="29">
        <v>39</v>
      </c>
      <c r="AX5" s="31">
        <f t="shared" ref="AX5:AX10" si="4">AW5/AV5</f>
        <v>2.6</v>
      </c>
      <c r="AY5" s="33"/>
      <c r="AZ5" s="33"/>
      <c r="BA5" s="32"/>
      <c r="BC5" s="1" t="s">
        <v>11</v>
      </c>
      <c r="BG5" s="34">
        <v>14</v>
      </c>
      <c r="BH5" s="34">
        <v>37</v>
      </c>
      <c r="BL5" s="1">
        <v>16800</v>
      </c>
    </row>
    <row r="6" spans="1:64" ht="16.5" thickBot="1" x14ac:dyDescent="0.3">
      <c r="A6" s="87" t="s">
        <v>12</v>
      </c>
      <c r="B6" s="87"/>
      <c r="C6" s="19">
        <v>12600</v>
      </c>
      <c r="D6" s="19">
        <v>13200</v>
      </c>
      <c r="E6" s="88" t="s">
        <v>13</v>
      </c>
      <c r="F6" s="88"/>
      <c r="G6" s="15"/>
      <c r="H6" s="16"/>
      <c r="I6" s="87" t="s">
        <v>12</v>
      </c>
      <c r="J6" s="87"/>
      <c r="K6" s="19">
        <v>12100</v>
      </c>
      <c r="L6" s="19">
        <v>13200</v>
      </c>
      <c r="M6" s="88" t="s">
        <v>13</v>
      </c>
      <c r="N6" s="88"/>
      <c r="O6" s="15"/>
      <c r="P6" s="16"/>
      <c r="Q6" s="87" t="s">
        <v>12</v>
      </c>
      <c r="R6" s="87"/>
      <c r="S6" s="19">
        <v>4500</v>
      </c>
      <c r="T6" s="19">
        <v>14500</v>
      </c>
      <c r="U6" s="88" t="s">
        <v>13</v>
      </c>
      <c r="V6" s="88"/>
      <c r="W6" s="15"/>
      <c r="X6" s="16"/>
      <c r="Y6" s="17"/>
      <c r="Z6" s="110" t="s">
        <v>51</v>
      </c>
      <c r="AA6" s="111"/>
      <c r="AB6" s="17"/>
      <c r="AC6" s="17"/>
      <c r="AD6" s="17"/>
      <c r="AE6" s="17"/>
      <c r="AF6" s="17"/>
      <c r="AG6" s="18"/>
      <c r="AI6" s="35">
        <v>2</v>
      </c>
      <c r="AJ6" s="36">
        <v>22</v>
      </c>
      <c r="AK6" s="36">
        <v>46</v>
      </c>
      <c r="AL6" s="37">
        <f t="shared" si="0"/>
        <v>2.0909090909090908</v>
      </c>
      <c r="AM6" s="36">
        <v>18</v>
      </c>
      <c r="AN6" s="36">
        <v>39</v>
      </c>
      <c r="AO6" s="37">
        <f t="shared" si="1"/>
        <v>2.1666666666666665</v>
      </c>
      <c r="AP6" s="36">
        <v>16</v>
      </c>
      <c r="AQ6" s="36">
        <v>34</v>
      </c>
      <c r="AR6" s="37">
        <f t="shared" si="2"/>
        <v>2.125</v>
      </c>
      <c r="AS6" s="36">
        <v>16</v>
      </c>
      <c r="AT6" s="36">
        <v>36</v>
      </c>
      <c r="AU6" s="37">
        <f t="shared" si="3"/>
        <v>2.25</v>
      </c>
      <c r="AV6" s="36">
        <v>16</v>
      </c>
      <c r="AW6" s="36">
        <v>32</v>
      </c>
      <c r="AX6" s="37">
        <f t="shared" si="4"/>
        <v>2</v>
      </c>
      <c r="AY6" s="33"/>
      <c r="AZ6" s="33"/>
      <c r="BA6" s="32"/>
      <c r="BC6" s="1" t="s">
        <v>14</v>
      </c>
      <c r="BG6" s="34">
        <v>15</v>
      </c>
      <c r="BH6" s="34">
        <v>38</v>
      </c>
      <c r="BL6" s="1">
        <v>16700</v>
      </c>
    </row>
    <row r="7" spans="1:64" ht="14.25" x14ac:dyDescent="0.2">
      <c r="A7" s="87" t="s">
        <v>15</v>
      </c>
      <c r="B7" s="87"/>
      <c r="C7" s="39"/>
      <c r="D7" s="39"/>
      <c r="E7" s="39"/>
      <c r="F7" s="39" t="s">
        <v>16</v>
      </c>
      <c r="G7" s="39" t="s">
        <v>17</v>
      </c>
      <c r="H7" s="40" t="s">
        <v>18</v>
      </c>
      <c r="I7" s="87" t="s">
        <v>15</v>
      </c>
      <c r="J7" s="87"/>
      <c r="K7" s="39"/>
      <c r="L7" s="39"/>
      <c r="M7" s="39"/>
      <c r="N7" s="39" t="s">
        <v>16</v>
      </c>
      <c r="O7" s="39" t="s">
        <v>17</v>
      </c>
      <c r="P7" s="40" t="s">
        <v>18</v>
      </c>
      <c r="Q7" s="87" t="s">
        <v>15</v>
      </c>
      <c r="R7" s="87"/>
      <c r="S7" s="39"/>
      <c r="T7" s="39"/>
      <c r="U7" s="39"/>
      <c r="V7" s="39" t="s">
        <v>16</v>
      </c>
      <c r="W7" s="39" t="s">
        <v>17</v>
      </c>
      <c r="X7" s="40" t="s">
        <v>18</v>
      </c>
      <c r="Y7" s="41"/>
      <c r="Z7" s="108" t="s">
        <v>45</v>
      </c>
      <c r="AA7" s="97" t="s">
        <v>46</v>
      </c>
      <c r="AB7" s="97" t="s">
        <v>47</v>
      </c>
      <c r="AC7" s="97" t="s">
        <v>48</v>
      </c>
      <c r="AD7" s="99" t="s">
        <v>49</v>
      </c>
      <c r="AE7" s="95" t="s">
        <v>50</v>
      </c>
      <c r="AF7" s="41"/>
      <c r="AG7" s="41"/>
      <c r="AI7" s="27">
        <v>3</v>
      </c>
      <c r="AJ7" s="29">
        <v>22</v>
      </c>
      <c r="AK7" s="29">
        <v>38</v>
      </c>
      <c r="AL7" s="30">
        <f t="shared" si="0"/>
        <v>1.7272727272727273</v>
      </c>
      <c r="AM7" s="29">
        <v>17</v>
      </c>
      <c r="AN7" s="29">
        <v>32</v>
      </c>
      <c r="AO7" s="30">
        <f t="shared" si="1"/>
        <v>1.8823529411764706</v>
      </c>
      <c r="AP7" s="42">
        <v>22</v>
      </c>
      <c r="AQ7" s="42">
        <v>40</v>
      </c>
      <c r="AR7" s="30">
        <f>AQ7/AP7</f>
        <v>1.8181818181818181</v>
      </c>
      <c r="AS7" s="29">
        <v>21</v>
      </c>
      <c r="AT7" s="29">
        <v>40</v>
      </c>
      <c r="AU7" s="30">
        <f t="shared" si="3"/>
        <v>1.9047619047619047</v>
      </c>
      <c r="AV7" s="29">
        <v>18</v>
      </c>
      <c r="AW7" s="29">
        <v>30</v>
      </c>
      <c r="AX7" s="30">
        <f t="shared" si="4"/>
        <v>1.6666666666666667</v>
      </c>
      <c r="AY7" s="33"/>
      <c r="AZ7" s="33"/>
      <c r="BA7" s="32"/>
      <c r="BC7" s="1" t="s">
        <v>19</v>
      </c>
      <c r="BG7" s="34">
        <v>16</v>
      </c>
      <c r="BH7" s="34">
        <v>39</v>
      </c>
      <c r="BL7" s="1">
        <v>16600</v>
      </c>
    </row>
    <row r="8" spans="1:64" ht="16.5" customHeight="1" x14ac:dyDescent="0.25">
      <c r="A8" s="43"/>
      <c r="B8" s="15"/>
      <c r="C8" s="15"/>
      <c r="D8" s="15"/>
      <c r="E8" s="15"/>
      <c r="F8" s="44">
        <f>G8*60*(C9/D9)*($C$3/$D$3)*$E$5*PI()/1000*$C$4/$D$4</f>
        <v>93.290054615271401</v>
      </c>
      <c r="G8" s="24">
        <v>9500</v>
      </c>
      <c r="H8" s="16"/>
      <c r="I8" s="43"/>
      <c r="J8" s="15"/>
      <c r="K8" s="15"/>
      <c r="L8" s="15"/>
      <c r="M8" s="15"/>
      <c r="N8" s="44">
        <f>O8*60*(K9/L9)*($C$3/$D$3)*$E$5*PI()/1000*$C$4/$D$4</f>
        <v>93.290054615271401</v>
      </c>
      <c r="O8" s="24">
        <v>9500</v>
      </c>
      <c r="P8" s="16"/>
      <c r="Q8" s="43"/>
      <c r="R8" s="15"/>
      <c r="S8" s="15"/>
      <c r="T8" s="15"/>
      <c r="U8" s="15"/>
      <c r="V8" s="44">
        <f>W8*60*(S9/T9)*($C$3/$D$3)*$E$5*PI()/1000*$C$4/$D$4</f>
        <v>93.290054615271401</v>
      </c>
      <c r="W8" s="24">
        <v>9500</v>
      </c>
      <c r="X8" s="16"/>
      <c r="Y8" s="41"/>
      <c r="Z8" s="109"/>
      <c r="AA8" s="98"/>
      <c r="AB8" s="98"/>
      <c r="AC8" s="98"/>
      <c r="AD8" s="100"/>
      <c r="AE8" s="96"/>
      <c r="AF8" s="41"/>
      <c r="AG8" s="41"/>
      <c r="AI8" s="35">
        <v>4</v>
      </c>
      <c r="AJ8" s="36">
        <v>24</v>
      </c>
      <c r="AK8" s="36">
        <v>36</v>
      </c>
      <c r="AL8" s="37">
        <f t="shared" si="0"/>
        <v>1.5</v>
      </c>
      <c r="AM8" s="36">
        <v>20</v>
      </c>
      <c r="AN8" s="36">
        <v>33</v>
      </c>
      <c r="AO8" s="37">
        <f t="shared" si="1"/>
        <v>1.65</v>
      </c>
      <c r="AP8" s="45">
        <v>23</v>
      </c>
      <c r="AQ8" s="45">
        <v>39</v>
      </c>
      <c r="AR8" s="37">
        <f t="shared" si="2"/>
        <v>1.6956521739130435</v>
      </c>
      <c r="AS8" s="36">
        <v>19</v>
      </c>
      <c r="AT8" s="36">
        <v>30</v>
      </c>
      <c r="AU8" s="37">
        <f t="shared" si="3"/>
        <v>1.5789473684210527</v>
      </c>
      <c r="AV8" s="36">
        <v>18</v>
      </c>
      <c r="AW8" s="36">
        <v>26</v>
      </c>
      <c r="AX8" s="37">
        <f t="shared" si="4"/>
        <v>1.4444444444444444</v>
      </c>
      <c r="AY8" s="33"/>
      <c r="AZ8" s="33"/>
      <c r="BA8" s="38"/>
      <c r="BC8" s="1" t="s">
        <v>20</v>
      </c>
      <c r="BG8" s="34">
        <v>17</v>
      </c>
      <c r="BH8" s="34">
        <v>40</v>
      </c>
      <c r="BL8" s="1">
        <v>16500</v>
      </c>
    </row>
    <row r="9" spans="1:64" ht="16.5" customHeight="1" x14ac:dyDescent="0.25">
      <c r="A9" s="46" t="s">
        <v>21</v>
      </c>
      <c r="B9" s="47" t="s">
        <v>11</v>
      </c>
      <c r="C9" s="48">
        <f>$AJ$5*IF(B9="A",1,0)+$AM$5*IF(B9="B",1,0)+$AP$5*IF(B9="C",1,0)+$AV$5*IF(B9="M",1,0)</f>
        <v>17</v>
      </c>
      <c r="D9" s="48">
        <f>$AK$5*IF(B9="A",1,0)+$AN$5*IF(B9="B",1,0)+$AQ$5*IF(B9="C",1,0)+$AW$5*IF(B9="M",1,0)</f>
        <v>45</v>
      </c>
      <c r="E9" s="49">
        <f>D9/First</f>
        <v>2.6470588235294117</v>
      </c>
      <c r="F9" s="44">
        <f>$C$6*60*(C9/D9)*($C$3/$D$3)*$E$5*PI()/1000*$C$4/$D$4</f>
        <v>123.73207243709683</v>
      </c>
      <c r="G9" s="44">
        <f>$C$6</f>
        <v>12600</v>
      </c>
      <c r="H9" s="50">
        <f>H10</f>
        <v>2647.2727272727279</v>
      </c>
      <c r="I9" s="46" t="s">
        <v>21</v>
      </c>
      <c r="J9" s="51" t="s">
        <v>11</v>
      </c>
      <c r="K9" s="48">
        <f>$AJ$5*IF(J9="A",1,0)+$AM$5*IF(J9="B",1,0)+$AP$5*IF(J9="C",1,0)+$AS$5*IF(J9="D",1,0)</f>
        <v>17</v>
      </c>
      <c r="L9" s="48">
        <f>$AK$5*IF(J9="A",1,0)+$AN$5*IF(J9="B",1,0)+$AQ$5*IF(J9="C",1,0)+$AT$5*IF(J9="D",1,0)</f>
        <v>45</v>
      </c>
      <c r="M9" s="49">
        <f>L9/K9</f>
        <v>2.6470588235294117</v>
      </c>
      <c r="N9" s="44">
        <f>$K$6*60*(K9/L9)*($K$3/$L$3)*$M$5*PI()/1000*$K$4/$L$4</f>
        <v>118.82206956260886</v>
      </c>
      <c r="O9" s="44">
        <f>$K$6</f>
        <v>12100</v>
      </c>
      <c r="P9" s="50">
        <f>P10</f>
        <v>2542.2222222222226</v>
      </c>
      <c r="Q9" s="46" t="s">
        <v>21</v>
      </c>
      <c r="R9" s="74" t="s">
        <v>11</v>
      </c>
      <c r="S9" s="48">
        <f>$AJ$5*IF(R9="A",1,0)+$AM$5*IF(R9="B",1,0)+$AP$5*IF(R9="C",1,0)+$AS$5*IF(R9="D",1,0)</f>
        <v>17</v>
      </c>
      <c r="T9" s="48">
        <f>$AK$5*IF(R9="A",1,0)+$AN$5*IF(R9="B",1,0)+$AQ$5*IF(R9="C",1,0)+$AT$5*IF(R9="D",1,0)</f>
        <v>45</v>
      </c>
      <c r="U9" s="49">
        <f>T9/S9</f>
        <v>2.6470588235294117</v>
      </c>
      <c r="V9" s="44">
        <f>$S$6*60*(S9/T9)*($S$3/$T$3)*$U$5*PI()/1000*$S$4/$T$4</f>
        <v>44.190025870391736</v>
      </c>
      <c r="W9" s="44">
        <f>$S$6</f>
        <v>4500</v>
      </c>
      <c r="X9" s="50">
        <f>X10</f>
        <v>945.4545454545455</v>
      </c>
      <c r="Y9" s="52"/>
      <c r="Z9" s="91" t="s">
        <v>40</v>
      </c>
      <c r="AA9" s="93">
        <f>C4</f>
        <v>16</v>
      </c>
      <c r="AB9" s="93">
        <f>D4</f>
        <v>45</v>
      </c>
      <c r="AC9" s="93">
        <v>112</v>
      </c>
      <c r="AD9" s="93">
        <v>88</v>
      </c>
      <c r="AE9" s="89">
        <f>0.5*(AC9-0.5*(AA9+AB9))*25.4*VLOOKUP(Z9,'Gearbox BMW S1000RR'!AZ14:BA16,2,FALSE)-AD9</f>
        <v>558.90625</v>
      </c>
      <c r="AF9" s="52"/>
      <c r="AG9" s="53"/>
      <c r="AI9" s="27">
        <v>5</v>
      </c>
      <c r="AJ9" s="29">
        <v>25</v>
      </c>
      <c r="AK9" s="29">
        <v>34</v>
      </c>
      <c r="AL9" s="30">
        <f t="shared" si="0"/>
        <v>1.36</v>
      </c>
      <c r="AM9" s="29">
        <v>20</v>
      </c>
      <c r="AN9" s="29">
        <v>30</v>
      </c>
      <c r="AO9" s="30">
        <f t="shared" si="1"/>
        <v>1.5</v>
      </c>
      <c r="AP9" s="29">
        <v>22</v>
      </c>
      <c r="AQ9" s="29">
        <v>32</v>
      </c>
      <c r="AR9" s="30">
        <f t="shared" si="2"/>
        <v>1.4545454545454546</v>
      </c>
      <c r="AS9" s="29">
        <v>23</v>
      </c>
      <c r="AT9" s="29">
        <v>32</v>
      </c>
      <c r="AU9" s="30">
        <f t="shared" si="3"/>
        <v>1.3913043478260869</v>
      </c>
      <c r="AV9" s="29">
        <v>23</v>
      </c>
      <c r="AW9" s="29">
        <v>30</v>
      </c>
      <c r="AX9" s="30">
        <f t="shared" si="4"/>
        <v>1.3043478260869565</v>
      </c>
      <c r="AY9" s="33"/>
      <c r="AZ9" s="33"/>
      <c r="BA9" s="38"/>
      <c r="BC9" s="1" t="s">
        <v>62</v>
      </c>
      <c r="BH9" s="34">
        <v>41</v>
      </c>
      <c r="BL9" s="1">
        <v>16400</v>
      </c>
    </row>
    <row r="10" spans="1:64" ht="16.5" thickBot="1" x14ac:dyDescent="0.3">
      <c r="A10" s="46"/>
      <c r="B10" s="47"/>
      <c r="C10" s="54"/>
      <c r="D10" s="54"/>
      <c r="E10" s="49"/>
      <c r="F10" s="55">
        <f>F9</f>
        <v>123.73207243709683</v>
      </c>
      <c r="G10" s="56">
        <f>$C$6*(C9/D9)*(D11/C11)</f>
        <v>9952.7272727272721</v>
      </c>
      <c r="H10" s="57">
        <f>$C$6-G10</f>
        <v>2647.2727272727279</v>
      </c>
      <c r="I10" s="46"/>
      <c r="J10" s="51"/>
      <c r="K10" s="54"/>
      <c r="L10" s="54"/>
      <c r="M10" s="49"/>
      <c r="N10" s="55">
        <f>N9</f>
        <v>118.82206956260886</v>
      </c>
      <c r="O10" s="58">
        <f>$K$6*(K9/L9)*(L11/K11)</f>
        <v>9557.7777777777774</v>
      </c>
      <c r="P10" s="57">
        <f>$K$6-O10</f>
        <v>2542.2222222222226</v>
      </c>
      <c r="Q10" s="46"/>
      <c r="R10" s="51"/>
      <c r="S10" s="54"/>
      <c r="T10" s="54"/>
      <c r="U10" s="49"/>
      <c r="V10" s="55">
        <f>V9</f>
        <v>44.190025870391736</v>
      </c>
      <c r="W10" s="75">
        <f>$S$6*(S9/T9)*(T11/S11)</f>
        <v>3554.5454545454545</v>
      </c>
      <c r="X10" s="57">
        <f>$S$6-W10</f>
        <v>945.4545454545455</v>
      </c>
      <c r="Y10" s="52"/>
      <c r="Z10" s="92"/>
      <c r="AA10" s="94"/>
      <c r="AB10" s="94"/>
      <c r="AC10" s="94"/>
      <c r="AD10" s="94"/>
      <c r="AE10" s="90"/>
      <c r="AF10" s="52"/>
      <c r="AG10" s="53"/>
      <c r="AI10" s="35">
        <v>6</v>
      </c>
      <c r="AJ10" s="36">
        <v>23</v>
      </c>
      <c r="AK10" s="36">
        <v>29</v>
      </c>
      <c r="AL10" s="37">
        <f t="shared" si="0"/>
        <v>1.2608695652173914</v>
      </c>
      <c r="AM10" s="36">
        <v>23</v>
      </c>
      <c r="AN10" s="36">
        <v>32</v>
      </c>
      <c r="AO10" s="37">
        <f t="shared" si="1"/>
        <v>1.3913043478260869</v>
      </c>
      <c r="AP10" s="36">
        <v>26</v>
      </c>
      <c r="AQ10" s="36">
        <v>35</v>
      </c>
      <c r="AR10" s="37">
        <f t="shared" si="2"/>
        <v>1.3461538461538463</v>
      </c>
      <c r="AS10" s="36">
        <v>23</v>
      </c>
      <c r="AT10" s="36">
        <v>29</v>
      </c>
      <c r="AU10" s="37">
        <f t="shared" si="3"/>
        <v>1.2608695652173914</v>
      </c>
      <c r="AV10" s="36">
        <v>24</v>
      </c>
      <c r="AW10" s="36">
        <v>29</v>
      </c>
      <c r="AX10" s="37">
        <f t="shared" si="4"/>
        <v>1.2083333333333333</v>
      </c>
      <c r="AY10" s="33"/>
      <c r="AZ10" s="33"/>
      <c r="BA10" s="38"/>
      <c r="BH10" s="34">
        <v>42</v>
      </c>
      <c r="BL10" s="1">
        <v>16300</v>
      </c>
    </row>
    <row r="11" spans="1:64" ht="16.5" thickBot="1" x14ac:dyDescent="0.3">
      <c r="A11" s="46" t="s">
        <v>22</v>
      </c>
      <c r="B11" s="47" t="s">
        <v>11</v>
      </c>
      <c r="C11" s="48">
        <f>$AJ$6*IF(B11="A",1,0)+$AM$6*IF(B11="B",1,0)+$AP$6*IF(B11="C",1,0)+$AS$6*IF(B11="D",1,0)+$AV$6*IF(B11="E",1,0)+$AY$6*IF(B11="f",1,0)+$AV$6*IF(B11="M",1,0)</f>
        <v>22</v>
      </c>
      <c r="D11" s="59">
        <f>$AK$6*IF(B11="A",1,0)+$AN$6*IF(B11="B",1,0)+$AQ$6*IF(B11="C",1,0)+$AT$6*IF(B11="D",1,0)+$AW$6*IF(B11="E",1,0)+$AZ$6*IF(B11="f",1,0)+$AW$6*IF(B11="M",1,0)</f>
        <v>46</v>
      </c>
      <c r="E11" s="49">
        <f>D11/First</f>
        <v>2.7058823529411766</v>
      </c>
      <c r="F11" s="44">
        <f>$C$6*60*(C11/D11)*($C$3/$D$3)*$E$5*PI()/1000*$C$4/$D$4</f>
        <v>156.64290500348579</v>
      </c>
      <c r="G11" s="44">
        <f>$C$6</f>
        <v>12600</v>
      </c>
      <c r="H11" s="57"/>
      <c r="I11" s="46" t="s">
        <v>22</v>
      </c>
      <c r="J11" s="51" t="s">
        <v>11</v>
      </c>
      <c r="K11" s="48">
        <f>$AJ$6*IF(J11="A",1,0)+$AM$6*IF(J11="B",1,0)+$AP$6*IF(J11="C",1,0)+$AS$6*IF(J11="D",1,0)+$AV$6*IF(J11="E",1,0)+$AY$6*IF(J11="f",1,0)</f>
        <v>22</v>
      </c>
      <c r="L11" s="59">
        <f>$AK$6*IF(J11="A",1,0)+$AN$6*IF(J11="B",1,0)+$AQ$6*IF(J11="C",1,0)+$AT$6*IF(J11="D",1,0)+$AW$6*IF(J11="E",1,0)+$AZ$6*IF(J11="f",1,0)</f>
        <v>46</v>
      </c>
      <c r="M11" s="49">
        <f>L11/First</f>
        <v>2.7058823529411766</v>
      </c>
      <c r="N11" s="44">
        <f>$K$6*60*(K11/L11)*($K$3/$L$3)*$M$5*PI()/1000*$K$4/$L$4</f>
        <v>150.42691670969666</v>
      </c>
      <c r="O11" s="44">
        <f>$K$6</f>
        <v>12100</v>
      </c>
      <c r="P11" s="57"/>
      <c r="Q11" s="46" t="s">
        <v>22</v>
      </c>
      <c r="R11" s="74" t="s">
        <v>11</v>
      </c>
      <c r="S11" s="48">
        <f>$AJ$6*IF(R11="A",1,0)+$AM$6*IF(R11="B",1,0)+$AP$6*IF(R11="C",1,0)+$AS$6*IF(R11="D",1,0)+$AV$6*IF(R11="E",1,0)+$AY$6*IF(R11="f",1,0)</f>
        <v>22</v>
      </c>
      <c r="T11" s="59">
        <f>$AK$6*IF(R11="A",1,0)+$AN$6*IF(R11="B",1,0)+$AQ$6*IF(R11="C",1,0)+$AT$6*IF(R11="D",1,0)+$AW$6*IF(R11="E",1,0)+$AZ$6*IF(R11="f",1,0)</f>
        <v>46</v>
      </c>
      <c r="U11" s="49">
        <f>T11/First</f>
        <v>2.7058823529411766</v>
      </c>
      <c r="V11" s="44">
        <f>$S$6*60*(S11/T11)*($S$3/$T$3)*$U$5*PI()/1000*$S$4/$T$4</f>
        <v>55.943894644102045</v>
      </c>
      <c r="W11" s="44">
        <f>$S$6</f>
        <v>4500</v>
      </c>
      <c r="X11" s="57"/>
      <c r="Y11" s="52"/>
      <c r="Z11" s="112" t="s">
        <v>52</v>
      </c>
      <c r="AA11" s="113"/>
      <c r="AB11" s="52"/>
      <c r="AC11" s="52"/>
      <c r="AD11" s="52"/>
      <c r="AE11" s="52"/>
      <c r="AF11" s="52"/>
      <c r="AG11" s="53"/>
      <c r="BH11" s="34">
        <v>43</v>
      </c>
      <c r="BL11" s="1">
        <v>16200</v>
      </c>
    </row>
    <row r="12" spans="1:64" ht="15.75" x14ac:dyDescent="0.25">
      <c r="A12" s="46"/>
      <c r="B12" s="47"/>
      <c r="C12" s="54"/>
      <c r="D12" s="60"/>
      <c r="E12" s="49"/>
      <c r="F12" s="55">
        <f>F11</f>
        <v>156.64290500348579</v>
      </c>
      <c r="G12" s="56">
        <f>$C$6*(C11/D11)*(D13/C13)</f>
        <v>10408.695652173912</v>
      </c>
      <c r="H12" s="57">
        <f>$C$6-G12</f>
        <v>2191.3043478260879</v>
      </c>
      <c r="I12" s="46"/>
      <c r="J12" s="51"/>
      <c r="K12" s="54"/>
      <c r="L12" s="60"/>
      <c r="M12" s="49"/>
      <c r="N12" s="55">
        <f>N11</f>
        <v>150.42691670969666</v>
      </c>
      <c r="O12" s="58">
        <f>$K$6*(K11/L11)*(L13/K13)</f>
        <v>9995.652173913044</v>
      </c>
      <c r="P12" s="57">
        <f>$K$6-O12</f>
        <v>2104.347826086956</v>
      </c>
      <c r="Q12" s="46"/>
      <c r="R12" s="51"/>
      <c r="S12" s="54"/>
      <c r="T12" s="60"/>
      <c r="U12" s="49"/>
      <c r="V12" s="55">
        <f>V11</f>
        <v>55.943894644102045</v>
      </c>
      <c r="W12" s="75">
        <f>$S$6*(S11/T11)*(T13/S13)</f>
        <v>3717.3913043478265</v>
      </c>
      <c r="X12" s="57">
        <f>$S$6-W12</f>
        <v>782.60869565217354</v>
      </c>
      <c r="Y12" s="52"/>
      <c r="Z12" s="108" t="s">
        <v>45</v>
      </c>
      <c r="AA12" s="97" t="s">
        <v>46</v>
      </c>
      <c r="AB12" s="97" t="s">
        <v>47</v>
      </c>
      <c r="AC12" s="97" t="s">
        <v>48</v>
      </c>
      <c r="AD12" s="99" t="s">
        <v>49</v>
      </c>
      <c r="AE12" s="95" t="s">
        <v>50</v>
      </c>
      <c r="AF12" s="52"/>
      <c r="AG12" s="53"/>
      <c r="BH12" s="34">
        <v>44</v>
      </c>
      <c r="BL12" s="1">
        <v>16100</v>
      </c>
    </row>
    <row r="13" spans="1:64" ht="15.75" customHeight="1" x14ac:dyDescent="0.25">
      <c r="A13" s="46" t="s">
        <v>23</v>
      </c>
      <c r="B13" s="47" t="s">
        <v>11</v>
      </c>
      <c r="C13" s="48">
        <f>$AJ$7*IF(B13="A",1,0)+$AM$7*IF(B13="B",1,0)+$AP$7*IF(B13="C",1,0)+$AS$7*IF(B13="D",1,0)+$AV$7*IF(B13="E",1,0)+$AY$7*IF(B13="f",1,0)+$AV$7*IF(B13="M",1,0)</f>
        <v>22</v>
      </c>
      <c r="D13" s="59">
        <f>$AK$7*IF(B13="A",1,0)+$AN$7*IF(B13="B",1,0)+$AQ$7*IF(B13="C",1,0)+$AT$7*IF(B13="D",1,0)+$AW$7*IF(B13="E",1,0)+$AZ$7*IF(B13="f",1,0)+$AW$7*IF(B13="M",1,0)</f>
        <v>38</v>
      </c>
      <c r="E13" s="49">
        <f>D13/First</f>
        <v>2.2352941176470589</v>
      </c>
      <c r="F13" s="44">
        <f>$C$6*60*(C13/D13)*($C$3/$D$3)*$E$5*PI()/1000*$C$4/$D$4</f>
        <v>189.62035868843017</v>
      </c>
      <c r="G13" s="44">
        <f>$C$6</f>
        <v>12600</v>
      </c>
      <c r="H13" s="57"/>
      <c r="I13" s="46" t="s">
        <v>23</v>
      </c>
      <c r="J13" s="51" t="s">
        <v>11</v>
      </c>
      <c r="K13" s="48">
        <f>$AJ$7*IF(J13="A",1,0)+$AM$7*IF(J13="B",1,0)+$AP$7*IF(J13="C",1,0)+$AS$7*IF(J13="D",1,0)</f>
        <v>22</v>
      </c>
      <c r="L13" s="59">
        <f>$AK$7*IF(J13="A",1,0)+$AN$7*IF(J13="B",1,0)+$AQ$7*IF(J13="C",1,0)+$AT$7*IF(J13="D",1,0)</f>
        <v>38</v>
      </c>
      <c r="M13" s="49">
        <f>L13/First</f>
        <v>2.2352941176470589</v>
      </c>
      <c r="N13" s="44">
        <f>$K$6*60*(K13/L13)*($K$3/$L$3)*$M$5*PI()/1000*$K$4/$L$4</f>
        <v>182.09574128015913</v>
      </c>
      <c r="O13" s="44">
        <f>$K$6</f>
        <v>12100</v>
      </c>
      <c r="P13" s="57"/>
      <c r="Q13" s="46" t="s">
        <v>23</v>
      </c>
      <c r="R13" s="74" t="s">
        <v>11</v>
      </c>
      <c r="S13" s="48">
        <f>$AJ$7*IF(R13="A",1,0)+$AM$7*IF(R13="B",1,0)+$AP$7*IF(R13="C",1,0)+$AS$7*IF(R13="D",1,0)</f>
        <v>22</v>
      </c>
      <c r="T13" s="59">
        <f>$AK$7*IF(R13="A",1,0)+$AN$7*IF(R13="B",1,0)+$AQ$7*IF(R13="C",1,0)+$AT$7*IF(R13="D",1,0)</f>
        <v>38</v>
      </c>
      <c r="U13" s="49">
        <f>T13/First</f>
        <v>2.2352941176470589</v>
      </c>
      <c r="V13" s="44">
        <f>$S$6*60*(S13/T13)*($S$3/$T$3)*$U$5*PI()/1000*$S$4/$T$4</f>
        <v>67.721556674439341</v>
      </c>
      <c r="W13" s="44">
        <f>$S$6</f>
        <v>4500</v>
      </c>
      <c r="X13" s="57"/>
      <c r="Y13" s="52"/>
      <c r="Z13" s="109"/>
      <c r="AA13" s="98"/>
      <c r="AB13" s="98"/>
      <c r="AC13" s="98"/>
      <c r="AD13" s="100"/>
      <c r="AE13" s="96"/>
      <c r="AF13" s="52"/>
      <c r="AG13" s="53"/>
      <c r="AI13" s="61"/>
      <c r="AJ13" s="61"/>
      <c r="AK13" s="61"/>
      <c r="AL13" s="61"/>
      <c r="AM13" s="1" t="s">
        <v>24</v>
      </c>
      <c r="AZ13" t="s">
        <v>37</v>
      </c>
      <c r="BA13" t="s">
        <v>38</v>
      </c>
      <c r="BH13" s="34">
        <v>45</v>
      </c>
      <c r="BL13" s="1">
        <v>16000</v>
      </c>
    </row>
    <row r="14" spans="1:64" ht="15.75" x14ac:dyDescent="0.25">
      <c r="A14" s="46"/>
      <c r="B14" s="47"/>
      <c r="C14" s="54"/>
      <c r="D14" s="60"/>
      <c r="E14" s="49"/>
      <c r="F14" s="55">
        <f>F13</f>
        <v>189.62035868843017</v>
      </c>
      <c r="G14" s="56">
        <f>$C$6*(C13/D13)*(D15/C15)</f>
        <v>10942.105263157895</v>
      </c>
      <c r="H14" s="57">
        <f>$C$6-G14</f>
        <v>1657.894736842105</v>
      </c>
      <c r="I14" s="46"/>
      <c r="J14" s="51"/>
      <c r="K14" s="54"/>
      <c r="L14" s="60"/>
      <c r="M14" s="49"/>
      <c r="N14" s="55">
        <f>N13</f>
        <v>182.09574128015913</v>
      </c>
      <c r="O14" s="58">
        <f>$K$6*(K13/L13)*(L15/K15)</f>
        <v>10507.894736842107</v>
      </c>
      <c r="P14" s="57">
        <f>$K$6-O14</f>
        <v>1592.1052631578932</v>
      </c>
      <c r="Q14" s="46"/>
      <c r="R14" s="51"/>
      <c r="S14" s="54"/>
      <c r="T14" s="60"/>
      <c r="U14" s="49"/>
      <c r="V14" s="55">
        <f>V13</f>
        <v>67.721556674439341</v>
      </c>
      <c r="W14" s="75">
        <f>$S$6*(S13/T13)*(T15/S15)</f>
        <v>3907.8947368421059</v>
      </c>
      <c r="X14" s="57">
        <f>$S$6-W14</f>
        <v>592.10526315789411</v>
      </c>
      <c r="Y14" s="52"/>
      <c r="Z14" s="91" t="s">
        <v>40</v>
      </c>
      <c r="AA14" s="93">
        <f>K4</f>
        <v>16</v>
      </c>
      <c r="AB14" s="93">
        <f>L4</f>
        <v>45</v>
      </c>
      <c r="AC14" s="93">
        <v>110</v>
      </c>
      <c r="AD14" s="93">
        <v>88</v>
      </c>
      <c r="AE14" s="89">
        <f>0.5*(AC14-0.5*(AA14+AB14))*25.4*VLOOKUP(Z14,'Gearbox BMW S1000RR'!AZ14:BA16,2,FALSE)-AD14</f>
        <v>543.03125</v>
      </c>
      <c r="AF14" s="52"/>
      <c r="AG14" s="53"/>
      <c r="AN14" s="62" t="s">
        <v>25</v>
      </c>
      <c r="AO14" s="62" t="s">
        <v>26</v>
      </c>
      <c r="AZ14" t="s">
        <v>39</v>
      </c>
      <c r="BA14">
        <f>1/2</f>
        <v>0.5</v>
      </c>
      <c r="BH14" s="34">
        <v>46</v>
      </c>
      <c r="BL14" s="1">
        <v>15900</v>
      </c>
    </row>
    <row r="15" spans="1:64" ht="16.5" thickBot="1" x14ac:dyDescent="0.3">
      <c r="A15" s="46" t="s">
        <v>27</v>
      </c>
      <c r="B15" s="47" t="s">
        <v>11</v>
      </c>
      <c r="C15" s="48">
        <f>$AJ$8*IF(B15="A",1,0)+$AM$8*IF(B15="B",1,0)+$AP$8*IF(B15="C",1,0)+$AS$8*IF(B15="D",1,0)+$AV$8*IF(B15="E",1,0)+$AY$8*IF(B15="f",1,0)+$AV$8*IF(B15="M",1,0)</f>
        <v>24</v>
      </c>
      <c r="D15" s="59">
        <f>$AK$8*IF(B15="A",1,0)+$AN$8*IF(B15="B",1,0)+$AQ$8*IF(B15="C",1,0)+$AT$8*IF(B15="D",1,0)+$AW$8*IF(B15="E",1,0)+$AZ$8*IF(B15="f",1,0)+$AW$8*IF(B15="M",1,0)</f>
        <v>36</v>
      </c>
      <c r="E15" s="49">
        <f>D15/First</f>
        <v>2.1176470588235294</v>
      </c>
      <c r="F15" s="44">
        <f>$C$6*60*(C15/D15)*($C$3/$D$3)*$E$5*PI()/1000*$C$4/$D$4</f>
        <v>218.35071606546501</v>
      </c>
      <c r="G15" s="44">
        <f>$C$6</f>
        <v>12600</v>
      </c>
      <c r="H15" s="57"/>
      <c r="I15" s="46" t="s">
        <v>27</v>
      </c>
      <c r="J15" s="51" t="s">
        <v>11</v>
      </c>
      <c r="K15" s="48">
        <f>$AJ$8*IF(J15="A",1,0)+$AM$8*IF(J15="B",1,0)+$AP$8*IF(J15="C",1,0)+$AS$8*IF(J15="D",1,0)+$AV$8*IF(J15="E",1,0)+$AY$8*IF(J15="f",1,0)</f>
        <v>24</v>
      </c>
      <c r="L15" s="59">
        <f>$AK$8*IF(J15="A",1,0)+$AN$8*IF(J15="B",1,0)+$AQ$8*IF(J15="C",1,0)+$AT$8*IF(J15="D",1,0)+$AW$8*IF(J15="E",1,0)+$AZ$8*IF(J15="f",1,0)</f>
        <v>36</v>
      </c>
      <c r="M15" s="49">
        <f>L15/First</f>
        <v>2.1176470588235294</v>
      </c>
      <c r="N15" s="44">
        <f>$K$6*60*(K15/L15)*($K$3/$L$3)*$M$5*PI()/1000*$K$4/$L$4</f>
        <v>209.68600511048624</v>
      </c>
      <c r="O15" s="44">
        <f>$K$6</f>
        <v>12100</v>
      </c>
      <c r="P15" s="57"/>
      <c r="Q15" s="46" t="s">
        <v>27</v>
      </c>
      <c r="R15" s="74" t="s">
        <v>11</v>
      </c>
      <c r="S15" s="48">
        <f>$AJ$8*IF(R15="A",1,0)+$AM$8*IF(R15="B",1,0)+$AP$8*IF(R15="C",1,0)+$AS$8*IF(R15="D",1,0)+$AV$8*IF(R15="E",1,0)+$AY$8*IF(R15="f",1,0)</f>
        <v>24</v>
      </c>
      <c r="T15" s="59">
        <f>$AK$8*IF(R15="A",1,0)+$AN$8*IF(R15="B",1,0)+$AQ$8*IF(R15="C",1,0)+$AT$8*IF(R15="D",1,0)+$AW$8*IF(R15="E",1,0)+$AZ$8*IF(R15="f",1,0)</f>
        <v>36</v>
      </c>
      <c r="U15" s="49">
        <f>T15/First</f>
        <v>2.1176470588235294</v>
      </c>
      <c r="V15" s="44">
        <f>$S$6*60*(S15/T15)*($S$3/$T$3)*$U$5*PI()/1000*$S$4/$T$4</f>
        <v>77.982398594808927</v>
      </c>
      <c r="W15" s="44">
        <f>$S$6</f>
        <v>4500</v>
      </c>
      <c r="X15" s="57"/>
      <c r="Y15" s="52"/>
      <c r="Z15" s="92"/>
      <c r="AA15" s="94"/>
      <c r="AB15" s="94"/>
      <c r="AC15" s="94"/>
      <c r="AD15" s="94"/>
      <c r="AE15" s="90"/>
      <c r="AF15" s="52"/>
      <c r="AG15" s="53"/>
      <c r="AN15" s="62" t="s">
        <v>28</v>
      </c>
      <c r="AO15" s="62" t="s">
        <v>29</v>
      </c>
      <c r="AZ15" t="s">
        <v>40</v>
      </c>
      <c r="BA15">
        <f>5/8</f>
        <v>0.625</v>
      </c>
      <c r="BH15" s="34">
        <v>47</v>
      </c>
      <c r="BL15" s="1">
        <v>15800</v>
      </c>
    </row>
    <row r="16" spans="1:64" ht="18" customHeight="1" thickBot="1" x14ac:dyDescent="0.3">
      <c r="A16" s="46"/>
      <c r="B16" s="47"/>
      <c r="C16" s="54"/>
      <c r="D16" s="60"/>
      <c r="E16" s="49"/>
      <c r="F16" s="55">
        <f>F15</f>
        <v>218.35071606546501</v>
      </c>
      <c r="G16" s="56">
        <f>$C$6*(C15/D15)*(D17/C17)</f>
        <v>11424</v>
      </c>
      <c r="H16" s="57">
        <f>$C$6-G16</f>
        <v>1176</v>
      </c>
      <c r="I16" s="46"/>
      <c r="J16" s="51"/>
      <c r="K16" s="54"/>
      <c r="L16" s="60"/>
      <c r="M16" s="49"/>
      <c r="N16" s="55">
        <f>N15</f>
        <v>209.68600511048624</v>
      </c>
      <c r="O16" s="58">
        <f>$K$6*(K15/L15)*(L17/K17)</f>
        <v>10970.666666666666</v>
      </c>
      <c r="P16" s="57">
        <f>$K$6-O16</f>
        <v>1129.3333333333339</v>
      </c>
      <c r="Q16" s="46"/>
      <c r="R16" s="51"/>
      <c r="S16" s="54"/>
      <c r="T16" s="60"/>
      <c r="U16" s="49"/>
      <c r="V16" s="55">
        <f>V15</f>
        <v>77.982398594808927</v>
      </c>
      <c r="W16" s="75">
        <f>$S$6*(S15/T15)*(T17/S17)</f>
        <v>4080.0000000000005</v>
      </c>
      <c r="X16" s="57">
        <f>$S$6-W16</f>
        <v>419.99999999999955</v>
      </c>
      <c r="Y16" s="52"/>
      <c r="Z16" s="106" t="s">
        <v>54</v>
      </c>
      <c r="AA16" s="107"/>
      <c r="AB16" s="52"/>
      <c r="AC16" s="52"/>
      <c r="AD16" s="52"/>
      <c r="AE16" s="52"/>
      <c r="AF16" s="52"/>
      <c r="AG16" s="53"/>
      <c r="AN16" s="62" t="s">
        <v>30</v>
      </c>
      <c r="AO16" s="62" t="s">
        <v>31</v>
      </c>
      <c r="AZ16" t="s">
        <v>41</v>
      </c>
      <c r="BA16">
        <f>3/4</f>
        <v>0.75</v>
      </c>
      <c r="BH16" s="34">
        <v>48</v>
      </c>
      <c r="BL16" s="1">
        <v>15700</v>
      </c>
    </row>
    <row r="17" spans="1:64" ht="15.75" x14ac:dyDescent="0.25">
      <c r="A17" s="46" t="s">
        <v>32</v>
      </c>
      <c r="B17" s="47" t="s">
        <v>11</v>
      </c>
      <c r="C17" s="48">
        <f>$AJ$9*IF(B17="A",1,0)+$AM$9*IF(B17="B",1,0)+$AP$9*IF(B17="C",1,0)+$AS$9*IF(B17="D",1,0)+$AV$9*IF(B17="E",1,0)+$AY$9*IF(B17="f",1,0)+$AV$9*IF(B17="M",1,0)</f>
        <v>25</v>
      </c>
      <c r="D17" s="59">
        <f>$AK$9*IF(B17="A",1,0)+$AN$9*IF(B17="B",1,0)+$AQ$9*IF(B17="C",1,0)+$AT$9*IF(B17="D",1,0)+$AW$9*IF(B17="E",1,0)+$AZ$9*IF(B17="f",1,0)+$AW$9*IF(B17="M",1,0)</f>
        <v>34</v>
      </c>
      <c r="E17" s="49">
        <f>D17/First</f>
        <v>2</v>
      </c>
      <c r="F17" s="44">
        <f>$C$6*60*(C17/D17)*($C$3/$D$3)*$E$5*PI()/1000*$C$4/$D$4</f>
        <v>240.82799566043934</v>
      </c>
      <c r="G17" s="44">
        <f>$C$6</f>
        <v>12600</v>
      </c>
      <c r="H17" s="57"/>
      <c r="I17" s="46" t="s">
        <v>32</v>
      </c>
      <c r="J17" s="51" t="s">
        <v>11</v>
      </c>
      <c r="K17" s="48">
        <f>$AJ$9*IF(J17="A",1,0)+$AM$9*IF(J17="B",1,0)+$AP$9*IF(J17="C",1,0)+$AS$9*IF(J17="D",1,0)+$AV$9*IF(J17="E",1,0)+$AY$9*IF(J17="f",1,0)</f>
        <v>25</v>
      </c>
      <c r="L17" s="59">
        <f>$AK$9*IF(J17="A",1,0)+$AN$9*IF(J17="B",1,0)+$AQ$9*IF(J17="C",1,0)+$AT$9*IF(J17="D",1,0)+$AW$9*IF(J17="E",1,0)+$AZ$9*IF(J17="f",1,0)</f>
        <v>34</v>
      </c>
      <c r="M17" s="49">
        <f>L17/First</f>
        <v>2</v>
      </c>
      <c r="N17" s="44">
        <f>$K$6*60*(K17/L17)*($K$3/$L$3)*$M$5*PI()/1000*$K$4/$L$4</f>
        <v>231.27132916597745</v>
      </c>
      <c r="O17" s="44">
        <f>$K$6</f>
        <v>12100</v>
      </c>
      <c r="P17" s="57"/>
      <c r="Q17" s="46" t="s">
        <v>32</v>
      </c>
      <c r="R17" s="74" t="s">
        <v>11</v>
      </c>
      <c r="S17" s="48">
        <f>$AJ$9*IF(R17="A",1,0)+$AM$9*IF(R17="B",1,0)+$AP$9*IF(R17="C",1,0)+$AS$9*IF(R17="D",1,0)+$AV$9*IF(R17="E",1,0)+$AY$9*IF(R17="f",1,0)</f>
        <v>25</v>
      </c>
      <c r="T17" s="59">
        <f>$AK$9*IF(R17="A",1,0)+$AN$9*IF(R17="B",1,0)+$AQ$9*IF(R17="C",1,0)+$AT$9*IF(R17="D",1,0)+$AW$9*IF(R17="E",1,0)+$AZ$9*IF(R17="f",1,0)</f>
        <v>34</v>
      </c>
      <c r="U17" s="49">
        <f>T17/First</f>
        <v>2</v>
      </c>
      <c r="V17" s="44">
        <f>$S$6*60*(S17/T17)*($S$3/$T$3)*$U$5*PI()/1000*$S$4/$T$4</f>
        <v>86.009998450156914</v>
      </c>
      <c r="W17" s="44">
        <f>$S$6</f>
        <v>4500</v>
      </c>
      <c r="X17" s="57"/>
      <c r="Y17" s="52"/>
      <c r="Z17" s="108" t="s">
        <v>45</v>
      </c>
      <c r="AA17" s="97" t="s">
        <v>46</v>
      </c>
      <c r="AB17" s="97" t="s">
        <v>47</v>
      </c>
      <c r="AC17" s="97" t="s">
        <v>48</v>
      </c>
      <c r="AD17" s="99" t="s">
        <v>49</v>
      </c>
      <c r="AE17" s="95" t="s">
        <v>50</v>
      </c>
      <c r="AF17" s="52"/>
      <c r="AG17" s="53"/>
      <c r="AZ17"/>
      <c r="BA17"/>
      <c r="BH17" s="1">
        <v>49</v>
      </c>
      <c r="BL17" s="1">
        <v>15600</v>
      </c>
    </row>
    <row r="18" spans="1:64" ht="15.75" x14ac:dyDescent="0.25">
      <c r="A18" s="46"/>
      <c r="B18" s="47"/>
      <c r="C18" s="54"/>
      <c r="D18" s="60"/>
      <c r="E18" s="49"/>
      <c r="F18" s="55">
        <f>F17</f>
        <v>240.82799566043934</v>
      </c>
      <c r="G18" s="56">
        <f>$C$6*(C17/D17)*(D19/C19)</f>
        <v>11681.585677749363</v>
      </c>
      <c r="H18" s="57">
        <f>$C$6-G18</f>
        <v>918.41432225063727</v>
      </c>
      <c r="I18" s="46"/>
      <c r="J18" s="51"/>
      <c r="K18" s="54"/>
      <c r="L18" s="60"/>
      <c r="M18" s="49"/>
      <c r="N18" s="55">
        <f>N17</f>
        <v>231.27132916597745</v>
      </c>
      <c r="O18" s="58">
        <f>$K$6*(K17/L17)*(L19/K19)</f>
        <v>11218.030690537085</v>
      </c>
      <c r="P18" s="57">
        <f>$K$6-O18</f>
        <v>881.96930946291468</v>
      </c>
      <c r="Q18" s="46"/>
      <c r="R18" s="51"/>
      <c r="S18" s="54"/>
      <c r="T18" s="60"/>
      <c r="U18" s="49"/>
      <c r="V18" s="55">
        <f>V17</f>
        <v>86.009998450156914</v>
      </c>
      <c r="W18" s="75">
        <f>$S$6*(S17/T17)*(T19/S19)</f>
        <v>4171.9948849104867</v>
      </c>
      <c r="X18" s="57">
        <f>$S$6-W18</f>
        <v>328.00511508951331</v>
      </c>
      <c r="Y18" s="52"/>
      <c r="Z18" s="109"/>
      <c r="AA18" s="98"/>
      <c r="AB18" s="98"/>
      <c r="AC18" s="98"/>
      <c r="AD18" s="100"/>
      <c r="AE18" s="96"/>
      <c r="AF18" s="52"/>
      <c r="AG18" s="53"/>
      <c r="AZ18" t="s">
        <v>42</v>
      </c>
      <c r="BA18"/>
      <c r="BG18" s="86" t="s">
        <v>33</v>
      </c>
      <c r="BH18" s="86"/>
      <c r="BI18" s="1" t="s">
        <v>55</v>
      </c>
      <c r="BJ18" s="1" t="s">
        <v>56</v>
      </c>
      <c r="BK18" s="1" t="s">
        <v>57</v>
      </c>
      <c r="BL18" s="1">
        <v>15500</v>
      </c>
    </row>
    <row r="19" spans="1:64" ht="15.75" x14ac:dyDescent="0.25">
      <c r="A19" s="63" t="s">
        <v>34</v>
      </c>
      <c r="B19" s="76" t="s">
        <v>11</v>
      </c>
      <c r="C19" s="48">
        <f>$AJ$10*IF(B19="A",1,0)+$AM$10*IF(B19="B",1,0)+$AP$10*IF(B19="C",1,0)+$AS$10*IF(B19="D",1,0)+$AV$10*IF(B19="E",1,0)+$AY$10*IF(B19="f",1,0)+$AV$10*IF(B19="M",1,0)</f>
        <v>23</v>
      </c>
      <c r="D19" s="59">
        <f>$AK$10*IF(B19="A",1,0)+$AN$10*IF(B19="B",1,0)+$AQ$10*IF(B19="C",1,0)+$AT$10*IF(B19="D",1,0)+$AW$10*IF(B19="E",1,0)+$AZ$10*IF(B19="f",1,0)+$AW$10*IF(B19="M",1,0)</f>
        <v>29</v>
      </c>
      <c r="E19" s="64">
        <f>D19/First</f>
        <v>1.7058823529411764</v>
      </c>
      <c r="F19" s="65">
        <f>D6*60*(C19/D19)*($C$3/$D$3)*$E$5*PI()/1000*$C$4/$D$4</f>
        <v>272.13168061360915</v>
      </c>
      <c r="G19" s="65">
        <f>D6</f>
        <v>13200</v>
      </c>
      <c r="H19" s="66"/>
      <c r="I19" s="63" t="s">
        <v>34</v>
      </c>
      <c r="J19" s="77" t="s">
        <v>11</v>
      </c>
      <c r="K19" s="48">
        <f>$AJ$10*IF(J19="A",1,0)+$AM$10*IF(J19="B",1,0)+$AP$10*IF(J19="C",1,0)+$AS$10*IF(J19="D",1,0)+$AV$10*IF(J19="E",1,0)+$AY$10*IF(J19="f",1,0)</f>
        <v>23</v>
      </c>
      <c r="L19" s="59">
        <f>$AK$10*IF(J19="A",1,0)+$AN$10*IF(J19="B",1,0)+$AQ$10*IF(J19="C",1,0)+$AT$10*IF(J19="D",1,0)+$AW$10*IF(J19="E",1,0)+$AZ$10*IF(J19="f",1,0)</f>
        <v>29</v>
      </c>
      <c r="M19" s="64">
        <f>L19/First</f>
        <v>1.7058823529411764</v>
      </c>
      <c r="N19" s="65">
        <f>L6*60*(K19/L19)*($K$3/$L$3)*$M$5*PI()/1000*$K$4/$L$4</f>
        <v>272.13168061360915</v>
      </c>
      <c r="O19" s="65">
        <f>L6</f>
        <v>13200</v>
      </c>
      <c r="P19" s="66"/>
      <c r="Q19" s="63" t="s">
        <v>34</v>
      </c>
      <c r="R19" s="78" t="s">
        <v>11</v>
      </c>
      <c r="S19" s="48">
        <f>$AJ$10*IF(R19="A",1,0)+$AM$10*IF(R19="B",1,0)+$AP$10*IF(R19="C",1,0)+$AS$10*IF(R19="D",1,0)+$AV$10*IF(R19="E",1,0)+$AY$10*IF(R19="f",1,0)</f>
        <v>23</v>
      </c>
      <c r="T19" s="59">
        <f>$AK$10*IF(R19="A",1,0)+$AN$10*IF(R19="B",1,0)+$AQ$10*IF(R19="C",1,0)+$AT$10*IF(R19="D",1,0)+$AW$10*IF(R19="E",1,0)+$AZ$10*IF(R19="f",1,0)</f>
        <v>29</v>
      </c>
      <c r="U19" s="64">
        <f>T19/First</f>
        <v>1.7058823529411764</v>
      </c>
      <c r="V19" s="65">
        <f>T6*60*(S19/T19)*($S$3/$T$3)*$U$5*PI()/1000*$S$4/$T$4</f>
        <v>298.93252794676755</v>
      </c>
      <c r="W19" s="65">
        <f>T6</f>
        <v>14500</v>
      </c>
      <c r="X19" s="66"/>
      <c r="Y19" s="52"/>
      <c r="Z19" s="91" t="s">
        <v>40</v>
      </c>
      <c r="AA19" s="93">
        <f>S4</f>
        <v>16</v>
      </c>
      <c r="AB19" s="93">
        <f>T4</f>
        <v>45</v>
      </c>
      <c r="AC19" s="93">
        <v>114</v>
      </c>
      <c r="AD19" s="93">
        <v>88</v>
      </c>
      <c r="AE19" s="89">
        <f>0.5*(AC19-0.5*(AA19+AB19))*25.4*VLOOKUP(Z19,'Gearbox BMW S1000RR'!AZ14:BA16,2,FALSE)-AD19</f>
        <v>574.78125</v>
      </c>
      <c r="AF19" s="52"/>
      <c r="AG19" s="53"/>
      <c r="AZ19">
        <v>108</v>
      </c>
      <c r="BA19"/>
      <c r="BG19" s="67" t="s">
        <v>58</v>
      </c>
      <c r="BH19" s="67">
        <f>((((BI19/25.4*BJ19/100+BK19/2)*2*3.142)*25.4)/3.142)/1000</f>
        <v>0.64079999999999993</v>
      </c>
      <c r="BI19" s="1">
        <v>190</v>
      </c>
      <c r="BJ19" s="1">
        <v>55</v>
      </c>
      <c r="BK19" s="1">
        <v>17</v>
      </c>
      <c r="BL19" s="1">
        <v>15400</v>
      </c>
    </row>
    <row r="20" spans="1:64" ht="13.5" thickBot="1" x14ac:dyDescent="0.25">
      <c r="A20" s="68"/>
      <c r="B20" s="68"/>
      <c r="C20" s="68"/>
      <c r="D20" s="68"/>
      <c r="F20" s="68"/>
      <c r="G20" s="68"/>
      <c r="H20" s="68"/>
      <c r="I20" s="68"/>
      <c r="J20" s="68"/>
      <c r="K20" s="68"/>
      <c r="L20" s="68"/>
      <c r="N20" s="68"/>
      <c r="O20" s="68"/>
      <c r="P20" s="68"/>
      <c r="Q20" s="68"/>
      <c r="R20" s="68"/>
      <c r="S20" s="68"/>
      <c r="T20" s="68"/>
      <c r="U20" s="68"/>
      <c r="V20" s="68"/>
      <c r="W20" s="68"/>
      <c r="X20" s="68"/>
      <c r="Y20" s="68"/>
      <c r="Z20" s="92"/>
      <c r="AA20" s="94"/>
      <c r="AB20" s="94"/>
      <c r="AC20" s="94"/>
      <c r="AD20" s="94"/>
      <c r="AE20" s="90"/>
      <c r="AF20" s="68"/>
      <c r="AG20" s="68"/>
      <c r="AZ20">
        <v>110</v>
      </c>
      <c r="BA20"/>
      <c r="BG20" s="67" t="s">
        <v>59</v>
      </c>
      <c r="BH20" s="67">
        <f>((((BI20/25.4*BJ20/100+BK20/2)*2*3.142)*25.4)/3.142)/1000</f>
        <v>0.66190000000000004</v>
      </c>
      <c r="BI20" s="1">
        <v>195</v>
      </c>
      <c r="BJ20" s="1">
        <v>59</v>
      </c>
      <c r="BK20" s="1">
        <v>17</v>
      </c>
      <c r="BL20" s="1">
        <v>15300</v>
      </c>
    </row>
    <row r="21" spans="1:64" x14ac:dyDescent="0.2">
      <c r="A21" s="68"/>
      <c r="B21" s="68"/>
      <c r="C21" s="68"/>
      <c r="D21" s="68"/>
      <c r="F21" s="68"/>
      <c r="G21" s="68"/>
      <c r="H21" s="68"/>
      <c r="I21" s="68"/>
      <c r="J21" s="68"/>
      <c r="K21" s="68"/>
      <c r="L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Z21">
        <v>112</v>
      </c>
      <c r="BA21"/>
      <c r="BG21" s="67" t="s">
        <v>35</v>
      </c>
      <c r="BH21" s="67">
        <f>((((BI21/25.4*BJ21/100+BK21/2)*2*3.142)*25.4)/3.142)/1000</f>
        <v>0.65219999999999978</v>
      </c>
      <c r="BI21" s="1">
        <v>190</v>
      </c>
      <c r="BJ21" s="1">
        <v>58</v>
      </c>
      <c r="BK21" s="1">
        <v>17</v>
      </c>
      <c r="BL21" s="1">
        <v>15200</v>
      </c>
    </row>
    <row r="22" spans="1:64" x14ac:dyDescent="0.2">
      <c r="A22" s="68"/>
      <c r="B22" s="68"/>
      <c r="C22" s="68"/>
      <c r="D22" s="68"/>
      <c r="F22" s="68"/>
      <c r="G22" s="68"/>
      <c r="H22" s="68"/>
      <c r="I22" s="68"/>
      <c r="J22" s="68"/>
      <c r="K22" s="68"/>
      <c r="L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8"/>
      <c r="AG22" s="68"/>
      <c r="AZ22">
        <v>114</v>
      </c>
      <c r="BA22"/>
      <c r="BG22" s="67" t="s">
        <v>36</v>
      </c>
      <c r="BH22" s="67">
        <f>((((BI22/25.4*BJ22/100+BK22/2)*2*3.142)*25.4)/3.142)/1000</f>
        <v>0.65599999999999992</v>
      </c>
      <c r="BI22" s="1">
        <v>190</v>
      </c>
      <c r="BJ22" s="1">
        <v>59</v>
      </c>
      <c r="BK22" s="1">
        <v>17</v>
      </c>
      <c r="BL22" s="1">
        <v>15100</v>
      </c>
    </row>
    <row r="23" spans="1:64" x14ac:dyDescent="0.2">
      <c r="A23" s="68"/>
      <c r="B23" s="68"/>
      <c r="C23" s="68"/>
      <c r="D23" s="68"/>
      <c r="F23" s="68"/>
      <c r="G23" s="68"/>
      <c r="H23" s="68"/>
      <c r="I23" s="68"/>
      <c r="J23" s="68"/>
      <c r="K23" s="68"/>
      <c r="L23" s="68"/>
      <c r="N23" s="68"/>
      <c r="O23" s="68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68"/>
      <c r="AG23" s="68"/>
      <c r="AZ23">
        <v>116</v>
      </c>
      <c r="BA23"/>
      <c r="BL23" s="1">
        <v>15000</v>
      </c>
    </row>
    <row r="24" spans="1:64" x14ac:dyDescent="0.2">
      <c r="A24" s="68"/>
      <c r="B24" s="68"/>
      <c r="C24" s="68"/>
      <c r="D24" s="68"/>
      <c r="F24" s="68"/>
      <c r="G24" s="68"/>
      <c r="H24" s="68"/>
      <c r="I24" s="68"/>
      <c r="J24" s="68"/>
      <c r="K24" s="68"/>
      <c r="L24" s="68"/>
      <c r="N24" s="68"/>
      <c r="O24" s="68"/>
      <c r="P24" s="68"/>
      <c r="Q24" s="68"/>
      <c r="R24" s="68"/>
      <c r="S24" s="68"/>
      <c r="T24" s="68"/>
      <c r="U24" s="68"/>
      <c r="V24" s="68"/>
      <c r="W24" s="68"/>
      <c r="X24" s="68"/>
      <c r="Y24" s="68"/>
      <c r="Z24" s="68"/>
      <c r="AA24" s="68"/>
      <c r="AB24" s="68"/>
      <c r="AC24" s="68"/>
      <c r="AD24" s="68"/>
      <c r="AE24" s="68"/>
      <c r="AF24" s="68"/>
      <c r="AG24" s="68"/>
      <c r="AZ24"/>
      <c r="BA24"/>
      <c r="BL24" s="1">
        <v>14900</v>
      </c>
    </row>
    <row r="25" spans="1:64" x14ac:dyDescent="0.2">
      <c r="A25" s="68"/>
      <c r="B25" s="68"/>
      <c r="C25" s="68"/>
      <c r="D25" s="68"/>
      <c r="F25" s="68"/>
      <c r="G25" s="68"/>
      <c r="H25" s="68"/>
      <c r="I25" s="68"/>
      <c r="J25" s="68"/>
      <c r="K25" s="68"/>
      <c r="L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Z25" t="s">
        <v>43</v>
      </c>
      <c r="BA25" t="s">
        <v>44</v>
      </c>
      <c r="BL25" s="1">
        <v>14800</v>
      </c>
    </row>
    <row r="26" spans="1:64" x14ac:dyDescent="0.2">
      <c r="A26" s="68"/>
      <c r="B26" s="68"/>
      <c r="C26" s="68"/>
      <c r="D26" s="68"/>
      <c r="F26" s="68"/>
      <c r="G26" s="68"/>
      <c r="H26" s="68"/>
      <c r="I26" s="68"/>
      <c r="J26" s="68"/>
      <c r="K26" s="68"/>
      <c r="L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Z26">
        <v>14</v>
      </c>
      <c r="BA26">
        <v>38</v>
      </c>
      <c r="BL26" s="1">
        <v>14700</v>
      </c>
    </row>
    <row r="27" spans="1:64" x14ac:dyDescent="0.2">
      <c r="A27" s="68"/>
      <c r="B27" s="68"/>
      <c r="C27" s="68"/>
      <c r="D27" s="68"/>
      <c r="F27" s="68"/>
      <c r="G27" s="68"/>
      <c r="H27" s="68"/>
      <c r="I27" s="68"/>
      <c r="J27" s="68"/>
      <c r="K27" s="68"/>
      <c r="L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Z27">
        <v>15</v>
      </c>
      <c r="BA27">
        <v>39</v>
      </c>
      <c r="BL27" s="1">
        <v>14600</v>
      </c>
    </row>
    <row r="28" spans="1:64" x14ac:dyDescent="0.2">
      <c r="AZ28">
        <v>16</v>
      </c>
      <c r="BA28">
        <v>40</v>
      </c>
      <c r="BL28" s="1">
        <v>14500</v>
      </c>
    </row>
    <row r="29" spans="1:64" x14ac:dyDescent="0.2">
      <c r="AZ29">
        <v>17</v>
      </c>
      <c r="BA29">
        <v>41</v>
      </c>
      <c r="BL29" s="1">
        <v>14400</v>
      </c>
    </row>
    <row r="30" spans="1:64" x14ac:dyDescent="0.2">
      <c r="AZ30"/>
      <c r="BA30">
        <v>42</v>
      </c>
      <c r="BL30" s="1">
        <v>14300</v>
      </c>
    </row>
    <row r="31" spans="1:64" x14ac:dyDescent="0.2">
      <c r="AZ31"/>
      <c r="BA31">
        <v>43</v>
      </c>
      <c r="BL31" s="1">
        <v>14200</v>
      </c>
    </row>
    <row r="32" spans="1:64" x14ac:dyDescent="0.2">
      <c r="AZ32"/>
      <c r="BA32">
        <v>44</v>
      </c>
      <c r="BL32" s="1">
        <v>14100</v>
      </c>
    </row>
    <row r="33" spans="52:64" x14ac:dyDescent="0.2">
      <c r="AZ33"/>
      <c r="BA33">
        <v>45</v>
      </c>
      <c r="BL33" s="1">
        <v>14000</v>
      </c>
    </row>
    <row r="34" spans="52:64" x14ac:dyDescent="0.2">
      <c r="AZ34"/>
      <c r="BA34">
        <v>46</v>
      </c>
      <c r="BL34" s="1">
        <v>13900</v>
      </c>
    </row>
    <row r="35" spans="52:64" x14ac:dyDescent="0.2">
      <c r="AZ35"/>
      <c r="BA35">
        <v>47</v>
      </c>
      <c r="BL35" s="1">
        <v>13800</v>
      </c>
    </row>
    <row r="36" spans="52:64" x14ac:dyDescent="0.2">
      <c r="BL36" s="1">
        <v>13700</v>
      </c>
    </row>
    <row r="37" spans="52:64" x14ac:dyDescent="0.2">
      <c r="BL37" s="1">
        <v>13600</v>
      </c>
    </row>
    <row r="38" spans="52:64" x14ac:dyDescent="0.2">
      <c r="BL38" s="1">
        <v>13500</v>
      </c>
    </row>
    <row r="39" spans="52:64" x14ac:dyDescent="0.2">
      <c r="BL39" s="1">
        <v>13400</v>
      </c>
    </row>
    <row r="40" spans="52:64" x14ac:dyDescent="0.2">
      <c r="BL40" s="1">
        <v>13300</v>
      </c>
    </row>
    <row r="41" spans="52:64" x14ac:dyDescent="0.2">
      <c r="BL41" s="1">
        <v>13200</v>
      </c>
    </row>
    <row r="42" spans="52:64" x14ac:dyDescent="0.2">
      <c r="BL42" s="1">
        <v>13100</v>
      </c>
    </row>
    <row r="43" spans="52:64" x14ac:dyDescent="0.2">
      <c r="BL43" s="1">
        <v>13000</v>
      </c>
    </row>
    <row r="44" spans="52:64" x14ac:dyDescent="0.2">
      <c r="BL44" s="1">
        <v>12900</v>
      </c>
    </row>
    <row r="45" spans="52:64" x14ac:dyDescent="0.2">
      <c r="BL45" s="1">
        <v>12800</v>
      </c>
    </row>
    <row r="46" spans="52:64" x14ac:dyDescent="0.2">
      <c r="BL46" s="1">
        <v>12700</v>
      </c>
    </row>
    <row r="47" spans="52:64" x14ac:dyDescent="0.2">
      <c r="BL47" s="1">
        <v>12600</v>
      </c>
    </row>
    <row r="48" spans="52:64" x14ac:dyDescent="0.2">
      <c r="BL48" s="1">
        <v>12500</v>
      </c>
    </row>
    <row r="49" spans="64:64" x14ac:dyDescent="0.2">
      <c r="BL49" s="1">
        <v>12400</v>
      </c>
    </row>
    <row r="50" spans="64:64" ht="24.75" customHeight="1" x14ac:dyDescent="0.2">
      <c r="BL50" s="1">
        <v>12300</v>
      </c>
    </row>
    <row r="51" spans="64:64" x14ac:dyDescent="0.2">
      <c r="BL51" s="1">
        <v>12200</v>
      </c>
    </row>
    <row r="52" spans="64:64" x14ac:dyDescent="0.2">
      <c r="BL52" s="1">
        <v>12100</v>
      </c>
    </row>
    <row r="53" spans="64:64" x14ac:dyDescent="0.2">
      <c r="BL53" s="1">
        <v>12000</v>
      </c>
    </row>
    <row r="54" spans="64:64" x14ac:dyDescent="0.2">
      <c r="BL54" s="1">
        <v>11900</v>
      </c>
    </row>
    <row r="55" spans="64:64" x14ac:dyDescent="0.2">
      <c r="BL55" s="1">
        <v>11800</v>
      </c>
    </row>
    <row r="56" spans="64:64" x14ac:dyDescent="0.2">
      <c r="BL56" s="1">
        <v>11700</v>
      </c>
    </row>
    <row r="57" spans="64:64" x14ac:dyDescent="0.2">
      <c r="BL57" s="1">
        <v>11600</v>
      </c>
    </row>
    <row r="58" spans="64:64" x14ac:dyDescent="0.2">
      <c r="BL58" s="1">
        <v>11500</v>
      </c>
    </row>
    <row r="59" spans="64:64" x14ac:dyDescent="0.2">
      <c r="BL59" s="1">
        <v>11400</v>
      </c>
    </row>
    <row r="60" spans="64:64" x14ac:dyDescent="0.2">
      <c r="BL60" s="1">
        <v>11300</v>
      </c>
    </row>
    <row r="61" spans="64:64" x14ac:dyDescent="0.2">
      <c r="BL61" s="1">
        <v>11200</v>
      </c>
    </row>
    <row r="62" spans="64:64" x14ac:dyDescent="0.2">
      <c r="BL62" s="1">
        <v>11100</v>
      </c>
    </row>
    <row r="63" spans="64:64" x14ac:dyDescent="0.2">
      <c r="BL63" s="1">
        <v>11000</v>
      </c>
    </row>
    <row r="64" spans="64:64" x14ac:dyDescent="0.2">
      <c r="BL64" s="1">
        <v>10900</v>
      </c>
    </row>
    <row r="65" spans="5:64" x14ac:dyDescent="0.2">
      <c r="BL65" s="1">
        <v>10800</v>
      </c>
    </row>
    <row r="66" spans="5:64" x14ac:dyDescent="0.2">
      <c r="BL66" s="1">
        <v>10700</v>
      </c>
    </row>
    <row r="67" spans="5:64" x14ac:dyDescent="0.2">
      <c r="BL67" s="1">
        <v>10600</v>
      </c>
    </row>
    <row r="68" spans="5:64" x14ac:dyDescent="0.2">
      <c r="BL68" s="1">
        <v>10500</v>
      </c>
    </row>
    <row r="69" spans="5:64" x14ac:dyDescent="0.2">
      <c r="BL69" s="1">
        <v>10400</v>
      </c>
    </row>
    <row r="70" spans="5:64" x14ac:dyDescent="0.2">
      <c r="BL70" s="1">
        <v>10300</v>
      </c>
    </row>
    <row r="71" spans="5:64" x14ac:dyDescent="0.2">
      <c r="BL71" s="1">
        <v>10200</v>
      </c>
    </row>
    <row r="72" spans="5:64" x14ac:dyDescent="0.2">
      <c r="BL72" s="1">
        <v>10100</v>
      </c>
    </row>
    <row r="73" spans="5:64" x14ac:dyDescent="0.2">
      <c r="BL73" s="1">
        <v>10000</v>
      </c>
    </row>
    <row r="74" spans="5:64" x14ac:dyDescent="0.2">
      <c r="BL74" s="1">
        <v>9900</v>
      </c>
    </row>
    <row r="75" spans="5:64" x14ac:dyDescent="0.2">
      <c r="BL75" s="1">
        <v>9800</v>
      </c>
    </row>
    <row r="76" spans="5:64" x14ac:dyDescent="0.2">
      <c r="BL76" s="1">
        <v>9700</v>
      </c>
    </row>
    <row r="77" spans="5:64" x14ac:dyDescent="0.2">
      <c r="BL77" s="1">
        <v>9600</v>
      </c>
    </row>
    <row r="78" spans="5:64" x14ac:dyDescent="0.2">
      <c r="E78" s="69"/>
      <c r="M78" s="69"/>
      <c r="BL78" s="1">
        <v>9500</v>
      </c>
    </row>
    <row r="79" spans="5:64" x14ac:dyDescent="0.2">
      <c r="BL79" s="1">
        <v>9400</v>
      </c>
    </row>
    <row r="80" spans="5:64" x14ac:dyDescent="0.2">
      <c r="BL80" s="1">
        <v>9300</v>
      </c>
    </row>
    <row r="81" spans="64:64" x14ac:dyDescent="0.2">
      <c r="BL81" s="1">
        <v>9200</v>
      </c>
    </row>
    <row r="82" spans="64:64" x14ac:dyDescent="0.2">
      <c r="BL82" s="1">
        <v>9100</v>
      </c>
    </row>
    <row r="83" spans="64:64" x14ac:dyDescent="0.2">
      <c r="BL83" s="1">
        <v>9000</v>
      </c>
    </row>
    <row r="84" spans="64:64" x14ac:dyDescent="0.2">
      <c r="BL84" s="1">
        <v>8900</v>
      </c>
    </row>
    <row r="85" spans="64:64" x14ac:dyDescent="0.2">
      <c r="BL85" s="1">
        <v>8800</v>
      </c>
    </row>
    <row r="86" spans="64:64" x14ac:dyDescent="0.2">
      <c r="BL86" s="1">
        <v>8700</v>
      </c>
    </row>
    <row r="87" spans="64:64" x14ac:dyDescent="0.2">
      <c r="BL87" s="1">
        <v>8600</v>
      </c>
    </row>
    <row r="88" spans="64:64" x14ac:dyDescent="0.2">
      <c r="BL88" s="1">
        <v>8500</v>
      </c>
    </row>
    <row r="89" spans="64:64" x14ac:dyDescent="0.2">
      <c r="BL89" s="1">
        <v>8400</v>
      </c>
    </row>
    <row r="90" spans="64:64" x14ac:dyDescent="0.2">
      <c r="BL90" s="1">
        <v>8300</v>
      </c>
    </row>
    <row r="91" spans="64:64" x14ac:dyDescent="0.2">
      <c r="BL91" s="1">
        <v>8200</v>
      </c>
    </row>
    <row r="92" spans="64:64" x14ac:dyDescent="0.2">
      <c r="BL92" s="1">
        <v>8100</v>
      </c>
    </row>
    <row r="93" spans="64:64" x14ac:dyDescent="0.2">
      <c r="BL93" s="1">
        <v>8000</v>
      </c>
    </row>
    <row r="94" spans="64:64" x14ac:dyDescent="0.2">
      <c r="BL94" s="1">
        <v>7900</v>
      </c>
    </row>
    <row r="95" spans="64:64" x14ac:dyDescent="0.2">
      <c r="BL95" s="1">
        <v>7800</v>
      </c>
    </row>
    <row r="96" spans="64:64" x14ac:dyDescent="0.2">
      <c r="BL96" s="1">
        <v>7700</v>
      </c>
    </row>
    <row r="97" spans="64:64" x14ac:dyDescent="0.2">
      <c r="BL97" s="1">
        <v>7600</v>
      </c>
    </row>
    <row r="98" spans="64:64" x14ac:dyDescent="0.2">
      <c r="BL98" s="1">
        <v>7500</v>
      </c>
    </row>
    <row r="99" spans="64:64" x14ac:dyDescent="0.2">
      <c r="BL99" s="1">
        <v>7400</v>
      </c>
    </row>
    <row r="100" spans="64:64" x14ac:dyDescent="0.2">
      <c r="BL100" s="1">
        <v>7300</v>
      </c>
    </row>
    <row r="101" spans="64:64" x14ac:dyDescent="0.2">
      <c r="BL101" s="1">
        <v>7200</v>
      </c>
    </row>
    <row r="102" spans="64:64" x14ac:dyDescent="0.2">
      <c r="BL102" s="1">
        <v>7100</v>
      </c>
    </row>
    <row r="103" spans="64:64" x14ac:dyDescent="0.2">
      <c r="BL103" s="1">
        <v>7000</v>
      </c>
    </row>
    <row r="104" spans="64:64" x14ac:dyDescent="0.2">
      <c r="BL104" s="1">
        <v>6900</v>
      </c>
    </row>
    <row r="105" spans="64:64" x14ac:dyDescent="0.2">
      <c r="BL105" s="1">
        <v>6800</v>
      </c>
    </row>
    <row r="106" spans="64:64" x14ac:dyDescent="0.2">
      <c r="BL106" s="1">
        <v>6700</v>
      </c>
    </row>
    <row r="107" spans="64:64" x14ac:dyDescent="0.2">
      <c r="BL107" s="1">
        <v>6600</v>
      </c>
    </row>
    <row r="108" spans="64:64" x14ac:dyDescent="0.2">
      <c r="BL108" s="1">
        <v>6500</v>
      </c>
    </row>
    <row r="109" spans="64:64" x14ac:dyDescent="0.2">
      <c r="BL109" s="1">
        <v>6400</v>
      </c>
    </row>
    <row r="110" spans="64:64" x14ac:dyDescent="0.2">
      <c r="BL110" s="1">
        <v>6300</v>
      </c>
    </row>
    <row r="111" spans="64:64" x14ac:dyDescent="0.2">
      <c r="BL111" s="1">
        <v>6200</v>
      </c>
    </row>
    <row r="112" spans="64:64" x14ac:dyDescent="0.2">
      <c r="BL112" s="1">
        <v>6100</v>
      </c>
    </row>
    <row r="113" spans="64:64" x14ac:dyDescent="0.2">
      <c r="BL113" s="1">
        <v>6000</v>
      </c>
    </row>
    <row r="114" spans="64:64" x14ac:dyDescent="0.2">
      <c r="BL114" s="1">
        <v>5900</v>
      </c>
    </row>
    <row r="115" spans="64:64" x14ac:dyDescent="0.2">
      <c r="BL115" s="1">
        <v>5800</v>
      </c>
    </row>
    <row r="116" spans="64:64" x14ac:dyDescent="0.2">
      <c r="BL116" s="1">
        <v>5700</v>
      </c>
    </row>
    <row r="117" spans="64:64" x14ac:dyDescent="0.2">
      <c r="BL117" s="1">
        <v>5600</v>
      </c>
    </row>
    <row r="118" spans="64:64" x14ac:dyDescent="0.2">
      <c r="BL118" s="1">
        <v>5500</v>
      </c>
    </row>
    <row r="119" spans="64:64" x14ac:dyDescent="0.2">
      <c r="BL119" s="1">
        <v>5400</v>
      </c>
    </row>
    <row r="120" spans="64:64" x14ac:dyDescent="0.2">
      <c r="BL120" s="1">
        <v>5300</v>
      </c>
    </row>
    <row r="121" spans="64:64" x14ac:dyDescent="0.2">
      <c r="BL121" s="1">
        <v>5200</v>
      </c>
    </row>
    <row r="122" spans="64:64" x14ac:dyDescent="0.2">
      <c r="BL122" s="1">
        <v>5100</v>
      </c>
    </row>
    <row r="123" spans="64:64" x14ac:dyDescent="0.2">
      <c r="BL123" s="1">
        <v>5000</v>
      </c>
    </row>
    <row r="124" spans="64:64" x14ac:dyDescent="0.2">
      <c r="BL124" s="1">
        <v>4900</v>
      </c>
    </row>
    <row r="125" spans="64:64" x14ac:dyDescent="0.2">
      <c r="BL125" s="1">
        <v>4800</v>
      </c>
    </row>
    <row r="126" spans="64:64" x14ac:dyDescent="0.2">
      <c r="BL126" s="1">
        <v>4700</v>
      </c>
    </row>
    <row r="127" spans="64:64" x14ac:dyDescent="0.2">
      <c r="BL127" s="1">
        <v>4600</v>
      </c>
    </row>
    <row r="128" spans="64:64" x14ac:dyDescent="0.2">
      <c r="BL128" s="1">
        <v>4500</v>
      </c>
    </row>
  </sheetData>
  <sheetProtection selectLockedCells="1" selectUnlockedCells="1"/>
  <mergeCells count="72">
    <mergeCell ref="AB17:AB18"/>
    <mergeCell ref="AC17:AC18"/>
    <mergeCell ref="AD17:AD18"/>
    <mergeCell ref="AE17:AE18"/>
    <mergeCell ref="Z19:Z20"/>
    <mergeCell ref="AA19:AA20"/>
    <mergeCell ref="AB19:AB20"/>
    <mergeCell ref="AC19:AC20"/>
    <mergeCell ref="AD19:AD20"/>
    <mergeCell ref="AE19:AE20"/>
    <mergeCell ref="Q6:R6"/>
    <mergeCell ref="U6:V6"/>
    <mergeCell ref="Q7:R7"/>
    <mergeCell ref="Z16:AA16"/>
    <mergeCell ref="Z17:Z18"/>
    <mergeCell ref="AA17:AA18"/>
    <mergeCell ref="Z6:AA6"/>
    <mergeCell ref="Z11:AA11"/>
    <mergeCell ref="Z9:Z10"/>
    <mergeCell ref="AA9:AA10"/>
    <mergeCell ref="Z12:Z13"/>
    <mergeCell ref="AA12:AA13"/>
    <mergeCell ref="Z7:Z8"/>
    <mergeCell ref="AA7:AA8"/>
    <mergeCell ref="AB7:AB8"/>
    <mergeCell ref="AA4:AA5"/>
    <mergeCell ref="AB4:AB5"/>
    <mergeCell ref="AD14:AD15"/>
    <mergeCell ref="AE14:AE15"/>
    <mergeCell ref="AB9:AB10"/>
    <mergeCell ref="AC9:AC10"/>
    <mergeCell ref="AD9:AD10"/>
    <mergeCell ref="AB12:AB13"/>
    <mergeCell ref="AC12:AC13"/>
    <mergeCell ref="AD12:AD13"/>
    <mergeCell ref="A1:AG1"/>
    <mergeCell ref="A3:B3"/>
    <mergeCell ref="I3:J3"/>
    <mergeCell ref="A4:B4"/>
    <mergeCell ref="I4:J4"/>
    <mergeCell ref="Z2:AA2"/>
    <mergeCell ref="AJ4:AL4"/>
    <mergeCell ref="AC4:AC5"/>
    <mergeCell ref="AD4:AD5"/>
    <mergeCell ref="AE4:AE5"/>
    <mergeCell ref="Q3:R3"/>
    <mergeCell ref="AM4:AO4"/>
    <mergeCell ref="AP4:AR4"/>
    <mergeCell ref="AS4:AU4"/>
    <mergeCell ref="AV4:AX4"/>
    <mergeCell ref="AY4:BA4"/>
    <mergeCell ref="A5:B5"/>
    <mergeCell ref="I5:J5"/>
    <mergeCell ref="Z4:Z5"/>
    <mergeCell ref="Q4:R4"/>
    <mergeCell ref="Q5:R5"/>
    <mergeCell ref="BG18:BH18"/>
    <mergeCell ref="A6:B6"/>
    <mergeCell ref="E6:F6"/>
    <mergeCell ref="I6:J6"/>
    <mergeCell ref="M6:N6"/>
    <mergeCell ref="A7:B7"/>
    <mergeCell ref="I7:J7"/>
    <mergeCell ref="AE9:AE10"/>
    <mergeCell ref="Z14:Z15"/>
    <mergeCell ref="AA14:AA15"/>
    <mergeCell ref="AE12:AE13"/>
    <mergeCell ref="AC7:AC8"/>
    <mergeCell ref="AD7:AD8"/>
    <mergeCell ref="AE7:AE8"/>
    <mergeCell ref="AB14:AB15"/>
    <mergeCell ref="AC14:AC15"/>
  </mergeCells>
  <dataValidations count="10">
    <dataValidation type="list" allowBlank="1" showErrorMessage="1" sqref="K4 C4 S4">
      <formula1>$BG$5:$BG$8</formula1>
    </dataValidation>
    <dataValidation type="list" allowBlank="1" showErrorMessage="1" sqref="K6:L6 S6:T6 C6:D6">
      <formula1>$BL$3:$BL$128</formula1>
    </dataValidation>
    <dataValidation type="list" allowBlank="1" showErrorMessage="1" sqref="L4 T4">
      <formula1>$BH$5:$BH$16</formula1>
    </dataValidation>
    <dataValidation type="list" allowBlank="1" showErrorMessage="1" sqref="C5 K5 S5">
      <formula1>$BG$19:$BG$22</formula1>
    </dataValidation>
    <dataValidation type="list" allowBlank="1" showInputMessage="1" showErrorMessage="1" sqref="B9 B11 B13 B15 B17 B19 J9 J11 J13 J15 J17 J19 R9 R11 R13 R15 R17 R19">
      <formula1>$BC$5:$BC$9</formula1>
    </dataValidation>
    <dataValidation type="list" allowBlank="1" showInputMessage="1" showErrorMessage="1" sqref="Z4:Z5 Z9:Z10 Z14:Z15 Z19:Z20">
      <formula1>$AZ$14:$AZ$16</formula1>
    </dataValidation>
    <dataValidation type="list" allowBlank="1" showInputMessage="1" showErrorMessage="1" sqref="AC4:AC5 AC9:AC10 AC14:AC15 AC19:AC20">
      <formula1>$AZ$19:$AZ$23</formula1>
    </dataValidation>
    <dataValidation type="list" allowBlank="1" showInputMessage="1" showErrorMessage="1" sqref="AA4:AA5 AA9:AA10 AA14:AA15 AA19:AA20">
      <formula1>$BG$5:$BG$8</formula1>
    </dataValidation>
    <dataValidation type="list" allowBlank="1" showInputMessage="1" showErrorMessage="1" sqref="AB4:AB5 AB9:AB10 AB14:AB15 AB19:AB20">
      <formula1>$BH$5:$BH$16</formula1>
    </dataValidation>
    <dataValidation type="list" allowBlank="1" showErrorMessage="1" sqref="D4">
      <formula1>$BH$5:$BH$17</formula1>
    </dataValidation>
  </dataValidations>
  <printOptions horizontalCentered="1"/>
  <pageMargins left="0" right="0" top="0.34027777777777779" bottom="0.19999999999999998" header="0.51180555555555551" footer="0.19652777777777777"/>
  <pageSetup paperSize="9" scale="31" firstPageNumber="0" orientation="landscape" horizontalDpi="300" verticalDpi="300" r:id="rId1"/>
  <headerFooter alignWithMargins="0">
    <oddFooter xml:space="preserve">&amp;C&amp;D&amp;R&amp;A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31" sqref="C31"/>
    </sheetView>
  </sheetViews>
  <sheetFormatPr defaultColWidth="9.140625" defaultRowHeight="15" x14ac:dyDescent="0.25"/>
  <cols>
    <col min="1" max="1" width="6.5703125" style="80" bestFit="1" customWidth="1"/>
    <col min="2" max="2" width="11.7109375" style="80" bestFit="1" customWidth="1"/>
    <col min="3" max="3" width="13.140625" style="80" customWidth="1"/>
    <col min="4" max="5" width="9.140625" style="80"/>
    <col min="6" max="6" width="16.42578125" style="80" bestFit="1" customWidth="1"/>
    <col min="7" max="7" width="17.140625" style="80" bestFit="1" customWidth="1"/>
    <col min="8" max="11" width="16.5703125" style="80" bestFit="1" customWidth="1"/>
    <col min="12" max="12" width="9.140625" style="80"/>
    <col min="13" max="13" width="17.28515625" style="80" bestFit="1" customWidth="1"/>
    <col min="14" max="14" width="18" style="80" bestFit="1" customWidth="1"/>
    <col min="15" max="18" width="17.42578125" style="80" bestFit="1" customWidth="1"/>
    <col min="19" max="16384" width="9.140625" style="80"/>
  </cols>
  <sheetData>
    <row r="1" spans="1:18" x14ac:dyDescent="0.25">
      <c r="A1" s="80" t="s">
        <v>12</v>
      </c>
      <c r="B1" s="82" t="s">
        <v>64</v>
      </c>
      <c r="C1" s="83" t="s">
        <v>78</v>
      </c>
      <c r="F1" s="80" t="s">
        <v>65</v>
      </c>
      <c r="G1" s="80" t="s">
        <v>66</v>
      </c>
      <c r="H1" s="80" t="s">
        <v>67</v>
      </c>
      <c r="I1" s="80" t="s">
        <v>68</v>
      </c>
      <c r="J1" s="80" t="s">
        <v>69</v>
      </c>
      <c r="K1" s="80" t="s">
        <v>70</v>
      </c>
      <c r="M1" s="80" t="s">
        <v>71</v>
      </c>
      <c r="N1" s="80" t="s">
        <v>72</v>
      </c>
      <c r="O1" s="80" t="s">
        <v>73</v>
      </c>
      <c r="P1" s="80" t="s">
        <v>74</v>
      </c>
      <c r="Q1" s="80" t="s">
        <v>75</v>
      </c>
      <c r="R1" s="80" t="s">
        <v>76</v>
      </c>
    </row>
    <row r="2" spans="1:18" x14ac:dyDescent="0.25">
      <c r="A2" s="80">
        <v>2000</v>
      </c>
      <c r="B2" s="80">
        <v>10</v>
      </c>
      <c r="C2" s="84">
        <f>(B2*1000*120)/(4*PI()*A2)</f>
        <v>47.746482927568607</v>
      </c>
      <c r="F2" s="81">
        <f>A2*60*(First/'Gearbox BMW S1000RR'!$D$9)*('Gearbox BMW S1000RR'!$C$3/'Gearbox BMW S1000RR'!$D$3)*'Gearbox BMW S1000RR'!$E$5*PI()/1000*'Gearbox BMW S1000RR'!$C$4/'Gearbox BMW S1000RR'!$D$4</f>
        <v>19.640011497951878</v>
      </c>
      <c r="G2" s="81">
        <f>A2*60*('Gearbox BMW S1000RR'!$C$11/'Gearbox BMW S1000RR'!$D$11)*('Gearbox BMW S1000RR'!$C$3/'Gearbox BMW S1000RR'!$D$3)*'Gearbox BMW S1000RR'!$E$5*PI()/1000*'Gearbox BMW S1000RR'!$C$4/'Gearbox BMW S1000RR'!$D$4</f>
        <v>24.863953175156471</v>
      </c>
      <c r="H2" s="81">
        <f>A2*60*('Gearbox BMW S1000RR'!$C$13/'Gearbox BMW S1000RR'!$D$13)*('Gearbox BMW S1000RR'!$C$3/'Gearbox BMW S1000RR'!$D$3)*'Gearbox BMW S1000RR'!$E$5*PI()/1000*'Gearbox BMW S1000RR'!$C$4/'Gearbox BMW S1000RR'!$D$4</f>
        <v>30.098469633084147</v>
      </c>
      <c r="I2" s="81">
        <f>A2*60*('Gearbox BMW S1000RR'!$C$15/'Gearbox BMW S1000RR'!$D$15)*('Gearbox BMW S1000RR'!$C$3/'Gearbox BMW S1000RR'!$D$3)*'Gearbox BMW S1000RR'!$E$5*PI()/1000*'Gearbox BMW S1000RR'!$C$4/'Gearbox BMW S1000RR'!$D$4</f>
        <v>34.658843819915084</v>
      </c>
      <c r="J2" s="81">
        <f>A2*60*('Gearbox BMW S1000RR'!$C$17/'Gearbox BMW S1000RR'!$D$17)*('Gearbox BMW S1000RR'!$C$3/'Gearbox BMW S1000RR'!$D$3)*'Gearbox BMW S1000RR'!$E$5*PI()/1000*'Gearbox BMW S1000RR'!$C$4/'Gearbox BMW S1000RR'!$D$4</f>
        <v>38.226665977847517</v>
      </c>
      <c r="K2" s="81">
        <f>A2*60*('Gearbox BMW S1000RR'!$C$19/'Gearbox BMW S1000RR'!$D$19)*('Gearbox BMW S1000RR'!$C$3/'Gearbox BMW S1000RR'!$D$3)*'Gearbox BMW S1000RR'!$E$5*PI()/1000*'Gearbox BMW S1000RR'!$C$4/'Gearbox BMW S1000RR'!$D$4</f>
        <v>41.232072820243808</v>
      </c>
      <c r="M2" s="81">
        <f>(B2*1000)/(F2/3.6)</f>
        <v>1832.9928169214256</v>
      </c>
      <c r="N2" s="81">
        <f>(B2*1000)/(G2/3.6)</f>
        <v>1447.8791745783383</v>
      </c>
      <c r="O2" s="81">
        <f>(B2*1000)/(H2/3.6)</f>
        <v>1196.0741007386273</v>
      </c>
      <c r="P2" s="81">
        <f>(B2*1000)/(I2/3.6)</f>
        <v>1038.6959295888078</v>
      </c>
      <c r="Q2" s="81">
        <f>(B2*1000)/(J2/3.6)</f>
        <v>941.75097616051903</v>
      </c>
      <c r="R2" s="81">
        <f>(B2*1000)/(K2/3.6)</f>
        <v>873.10672342247608</v>
      </c>
    </row>
    <row r="3" spans="1:18" x14ac:dyDescent="0.25">
      <c r="A3" s="80">
        <f>A2+1000</f>
        <v>3000</v>
      </c>
      <c r="B3" s="80">
        <v>22</v>
      </c>
      <c r="C3" s="84">
        <f t="shared" ref="C3:C15" si="0">(B3*1000*120)/(4*PI()*A3)</f>
        <v>70.028174960433958</v>
      </c>
      <c r="F3" s="81">
        <f>A3*60*(First/'Gearbox BMW S1000RR'!$D$9)*('Gearbox BMW S1000RR'!$C$3/'Gearbox BMW S1000RR'!$D$3)*'Gearbox BMW S1000RR'!$E$5*PI()/1000*'Gearbox BMW S1000RR'!$C$4/'Gearbox BMW S1000RR'!$D$4</f>
        <v>29.460017246927819</v>
      </c>
      <c r="G3" s="81">
        <f>A3*60*('Gearbox BMW S1000RR'!$C$11/'Gearbox BMW S1000RR'!$D$11)*('Gearbox BMW S1000RR'!$C$3/'Gearbox BMW S1000RR'!$D$3)*'Gearbox BMW S1000RR'!$E$5*PI()/1000*'Gearbox BMW S1000RR'!$C$4/'Gearbox BMW S1000RR'!$D$4</f>
        <v>37.295929762734708</v>
      </c>
      <c r="H3" s="81">
        <f>A3*60*('Gearbox BMW S1000RR'!$C$13/'Gearbox BMW S1000RR'!$D$13)*('Gearbox BMW S1000RR'!$C$3/'Gearbox BMW S1000RR'!$D$3)*'Gearbox BMW S1000RR'!$E$5*PI()/1000*'Gearbox BMW S1000RR'!$C$4/'Gearbox BMW S1000RR'!$D$4</f>
        <v>45.147704449626225</v>
      </c>
      <c r="I3" s="81">
        <f>A3*60*('Gearbox BMW S1000RR'!$C$15/'Gearbox BMW S1000RR'!$D$15)*('Gearbox BMW S1000RR'!$C$3/'Gearbox BMW S1000RR'!$D$3)*'Gearbox BMW S1000RR'!$E$5*PI()/1000*'Gearbox BMW S1000RR'!$C$4/'Gearbox BMW S1000RR'!$D$4</f>
        <v>51.98826572987263</v>
      </c>
      <c r="J3" s="81">
        <f>A3*60*('Gearbox BMW S1000RR'!$C$17/'Gearbox BMW S1000RR'!$D$17)*('Gearbox BMW S1000RR'!$C$3/'Gearbox BMW S1000RR'!$D$3)*'Gearbox BMW S1000RR'!$E$5*PI()/1000*'Gearbox BMW S1000RR'!$C$4/'Gearbox BMW S1000RR'!$D$4</f>
        <v>57.339998966771269</v>
      </c>
      <c r="K3" s="81">
        <f>A3*60*('Gearbox BMW S1000RR'!$C$19/'Gearbox BMW S1000RR'!$D$19)*('Gearbox BMW S1000RR'!$C$3/'Gearbox BMW S1000RR'!$D$3)*'Gearbox BMW S1000RR'!$E$5*PI()/1000*'Gearbox BMW S1000RR'!$C$4/'Gearbox BMW S1000RR'!$D$4</f>
        <v>61.848109230365722</v>
      </c>
      <c r="M3" s="81">
        <f t="shared" ref="M3:M15" si="1">(B3*1000)/(F3/3.6)</f>
        <v>2688.3894648180908</v>
      </c>
      <c r="N3" s="81">
        <f t="shared" ref="N3:N13" si="2">(B3*1000)/(G3/3.6)</f>
        <v>2123.556122714896</v>
      </c>
      <c r="O3" s="81">
        <f t="shared" ref="O3:O13" si="3">(B3*1000)/(H3/3.6)</f>
        <v>1754.2420144166531</v>
      </c>
      <c r="P3" s="81">
        <f t="shared" ref="P3:P13" si="4">(B3*1000)/(I3/3.6)</f>
        <v>1523.4206967302512</v>
      </c>
      <c r="Q3" s="81">
        <f t="shared" ref="Q3:Q13" si="5">(B3*1000)/(J3/3.6)</f>
        <v>1381.2347650354279</v>
      </c>
      <c r="R3" s="81">
        <f t="shared" ref="R3:R13" si="6">(B3*1000)/(K3/3.6)</f>
        <v>1280.5565276862981</v>
      </c>
    </row>
    <row r="4" spans="1:18" x14ac:dyDescent="0.25">
      <c r="A4" s="80">
        <f t="shared" ref="A4:A13" si="7">A3+1000</f>
        <v>4000</v>
      </c>
      <c r="B4" s="80">
        <v>32</v>
      </c>
      <c r="C4" s="84">
        <f t="shared" si="0"/>
        <v>76.394372684109769</v>
      </c>
      <c r="F4" s="81">
        <f>A4*60*(First/'Gearbox BMW S1000RR'!$D$9)*('Gearbox BMW S1000RR'!$C$3/'Gearbox BMW S1000RR'!$D$3)*'Gearbox BMW S1000RR'!$E$5*PI()/1000*'Gearbox BMW S1000RR'!$C$4/'Gearbox BMW S1000RR'!$D$4</f>
        <v>39.280022995903757</v>
      </c>
      <c r="G4" s="81">
        <f>A4*60*('Gearbox BMW S1000RR'!$C$11/'Gearbox BMW S1000RR'!$D$11)*('Gearbox BMW S1000RR'!$C$3/'Gearbox BMW S1000RR'!$D$3)*'Gearbox BMW S1000RR'!$E$5*PI()/1000*'Gearbox BMW S1000RR'!$C$4/'Gearbox BMW S1000RR'!$D$4</f>
        <v>49.727906350312942</v>
      </c>
      <c r="H4" s="81">
        <f>A4*60*('Gearbox BMW S1000RR'!$C$13/'Gearbox BMW S1000RR'!$D$13)*('Gearbox BMW S1000RR'!$C$3/'Gearbox BMW S1000RR'!$D$3)*'Gearbox BMW S1000RR'!$E$5*PI()/1000*'Gearbox BMW S1000RR'!$C$4/'Gearbox BMW S1000RR'!$D$4</f>
        <v>60.196939266168293</v>
      </c>
      <c r="I4" s="81">
        <f>A4*60*('Gearbox BMW S1000RR'!$C$15/'Gearbox BMW S1000RR'!$D$15)*('Gearbox BMW S1000RR'!$C$3/'Gearbox BMW S1000RR'!$D$3)*'Gearbox BMW S1000RR'!$E$5*PI()/1000*'Gearbox BMW S1000RR'!$C$4/'Gearbox BMW S1000RR'!$D$4</f>
        <v>69.317687639830169</v>
      </c>
      <c r="J4" s="81">
        <f>A4*60*('Gearbox BMW S1000RR'!$C$17/'Gearbox BMW S1000RR'!$D$17)*('Gearbox BMW S1000RR'!$C$3/'Gearbox BMW S1000RR'!$D$3)*'Gearbox BMW S1000RR'!$E$5*PI()/1000*'Gearbox BMW S1000RR'!$C$4/'Gearbox BMW S1000RR'!$D$4</f>
        <v>76.453331955695035</v>
      </c>
      <c r="K4" s="81">
        <f>A4*60*('Gearbox BMW S1000RR'!$C$19/'Gearbox BMW S1000RR'!$D$19)*('Gearbox BMW S1000RR'!$C$3/'Gearbox BMW S1000RR'!$D$3)*'Gearbox BMW S1000RR'!$E$5*PI()/1000*'Gearbox BMW S1000RR'!$C$4/'Gearbox BMW S1000RR'!$D$4</f>
        <v>82.464145640487615</v>
      </c>
      <c r="M4" s="81">
        <f t="shared" si="1"/>
        <v>2932.7885070742809</v>
      </c>
      <c r="N4" s="81">
        <f t="shared" si="2"/>
        <v>2316.6066793253412</v>
      </c>
      <c r="O4" s="81">
        <f t="shared" si="3"/>
        <v>1913.7185611818038</v>
      </c>
      <c r="P4" s="81">
        <f t="shared" si="4"/>
        <v>1661.9134873420924</v>
      </c>
      <c r="Q4" s="81">
        <f t="shared" si="5"/>
        <v>1506.8015618568304</v>
      </c>
      <c r="R4" s="81">
        <f t="shared" si="6"/>
        <v>1396.9707574759616</v>
      </c>
    </row>
    <row r="5" spans="1:18" x14ac:dyDescent="0.25">
      <c r="A5" s="80">
        <f t="shared" si="7"/>
        <v>5000</v>
      </c>
      <c r="B5" s="80">
        <v>45</v>
      </c>
      <c r="C5" s="84">
        <f t="shared" si="0"/>
        <v>85.943669269623484</v>
      </c>
      <c r="F5" s="81">
        <f>A5*60*(First/'Gearbox BMW S1000RR'!$D$9)*('Gearbox BMW S1000RR'!$C$3/'Gearbox BMW S1000RR'!$D$3)*'Gearbox BMW S1000RR'!$E$5*PI()/1000*'Gearbox BMW S1000RR'!$C$4/'Gearbox BMW S1000RR'!$D$4</f>
        <v>49.100028744879701</v>
      </c>
      <c r="G5" s="81">
        <f>A5*60*('Gearbox BMW S1000RR'!$C$11/'Gearbox BMW S1000RR'!$D$11)*('Gearbox BMW S1000RR'!$C$3/'Gearbox BMW S1000RR'!$D$3)*'Gearbox BMW S1000RR'!$E$5*PI()/1000*'Gearbox BMW S1000RR'!$C$4/'Gearbox BMW S1000RR'!$D$4</f>
        <v>62.159882937891176</v>
      </c>
      <c r="H5" s="81">
        <f>A5*60*('Gearbox BMW S1000RR'!$C$13/'Gearbox BMW S1000RR'!$D$13)*('Gearbox BMW S1000RR'!$C$3/'Gearbox BMW S1000RR'!$D$3)*'Gearbox BMW S1000RR'!$E$5*PI()/1000*'Gearbox BMW S1000RR'!$C$4/'Gearbox BMW S1000RR'!$D$4</f>
        <v>75.246174082710368</v>
      </c>
      <c r="I5" s="81">
        <f>A5*60*('Gearbox BMW S1000RR'!$C$15/'Gearbox BMW S1000RR'!$D$15)*('Gearbox BMW S1000RR'!$C$3/'Gearbox BMW S1000RR'!$D$3)*'Gearbox BMW S1000RR'!$E$5*PI()/1000*'Gearbox BMW S1000RR'!$C$4/'Gearbox BMW S1000RR'!$D$4</f>
        <v>86.6471095497877</v>
      </c>
      <c r="J5" s="81">
        <f>A5*60*('Gearbox BMW S1000RR'!$C$17/'Gearbox BMW S1000RR'!$D$17)*('Gearbox BMW S1000RR'!$C$3/'Gearbox BMW S1000RR'!$D$3)*'Gearbox BMW S1000RR'!$E$5*PI()/1000*'Gearbox BMW S1000RR'!$C$4/'Gearbox BMW S1000RR'!$D$4</f>
        <v>95.566664944618793</v>
      </c>
      <c r="K5" s="81">
        <f>A5*60*('Gearbox BMW S1000RR'!$C$19/'Gearbox BMW S1000RR'!$D$19)*('Gearbox BMW S1000RR'!$C$3/'Gearbox BMW S1000RR'!$D$3)*'Gearbox BMW S1000RR'!$E$5*PI()/1000*'Gearbox BMW S1000RR'!$C$4/'Gearbox BMW S1000RR'!$D$4</f>
        <v>103.08018205060949</v>
      </c>
      <c r="M5" s="81">
        <f t="shared" si="1"/>
        <v>3299.3870704585656</v>
      </c>
      <c r="N5" s="81">
        <f t="shared" si="2"/>
        <v>2606.1825142410084</v>
      </c>
      <c r="O5" s="81">
        <f t="shared" si="3"/>
        <v>2152.9333813295293</v>
      </c>
      <c r="P5" s="81">
        <f t="shared" si="4"/>
        <v>1869.6526732598541</v>
      </c>
      <c r="Q5" s="81">
        <f t="shared" si="5"/>
        <v>1695.1517570889343</v>
      </c>
      <c r="R5" s="81">
        <f t="shared" si="6"/>
        <v>1571.5921021604572</v>
      </c>
    </row>
    <row r="6" spans="1:18" x14ac:dyDescent="0.25">
      <c r="A6" s="80">
        <f t="shared" si="7"/>
        <v>6000</v>
      </c>
      <c r="B6" s="80">
        <v>58</v>
      </c>
      <c r="C6" s="84">
        <f t="shared" si="0"/>
        <v>92.309866993299295</v>
      </c>
      <c r="F6" s="81">
        <f>A6*60*(First/'Gearbox BMW S1000RR'!$D$9)*('Gearbox BMW S1000RR'!$C$3/'Gearbox BMW S1000RR'!$D$3)*'Gearbox BMW S1000RR'!$E$5*PI()/1000*'Gearbox BMW S1000RR'!$C$4/'Gearbox BMW S1000RR'!$D$4</f>
        <v>58.920034493855638</v>
      </c>
      <c r="G6" s="81">
        <f>A6*60*('Gearbox BMW S1000RR'!$C$11/'Gearbox BMW S1000RR'!$D$11)*('Gearbox BMW S1000RR'!$C$3/'Gearbox BMW S1000RR'!$D$3)*'Gearbox BMW S1000RR'!$E$5*PI()/1000*'Gearbox BMW S1000RR'!$C$4/'Gearbox BMW S1000RR'!$D$4</f>
        <v>74.591859525469417</v>
      </c>
      <c r="H6" s="81">
        <f>A6*60*('Gearbox BMW S1000RR'!$C$13/'Gearbox BMW S1000RR'!$D$13)*('Gearbox BMW S1000RR'!$C$3/'Gearbox BMW S1000RR'!$D$3)*'Gearbox BMW S1000RR'!$E$5*PI()/1000*'Gearbox BMW S1000RR'!$C$4/'Gearbox BMW S1000RR'!$D$4</f>
        <v>90.29540889925245</v>
      </c>
      <c r="I6" s="81">
        <f>A6*60*('Gearbox BMW S1000RR'!$C$15/'Gearbox BMW S1000RR'!$D$15)*('Gearbox BMW S1000RR'!$C$3/'Gearbox BMW S1000RR'!$D$3)*'Gearbox BMW S1000RR'!$E$5*PI()/1000*'Gearbox BMW S1000RR'!$C$4/'Gearbox BMW S1000RR'!$D$4</f>
        <v>103.97653145974526</v>
      </c>
      <c r="J6" s="81">
        <f>A6*60*('Gearbox BMW S1000RR'!$C$17/'Gearbox BMW S1000RR'!$D$17)*('Gearbox BMW S1000RR'!$C$3/'Gearbox BMW S1000RR'!$D$3)*'Gearbox BMW S1000RR'!$E$5*PI()/1000*'Gearbox BMW S1000RR'!$C$4/'Gearbox BMW S1000RR'!$D$4</f>
        <v>114.67999793354254</v>
      </c>
      <c r="K6" s="81">
        <f>A6*60*('Gearbox BMW S1000RR'!$C$19/'Gearbox BMW S1000RR'!$D$19)*('Gearbox BMW S1000RR'!$C$3/'Gearbox BMW S1000RR'!$D$3)*'Gearbox BMW S1000RR'!$E$5*PI()/1000*'Gearbox BMW S1000RR'!$C$4/'Gearbox BMW S1000RR'!$D$4</f>
        <v>123.69621846073144</v>
      </c>
      <c r="M6" s="81">
        <f t="shared" si="1"/>
        <v>3543.7861127147562</v>
      </c>
      <c r="N6" s="81">
        <f t="shared" si="2"/>
        <v>2799.2330708514537</v>
      </c>
      <c r="O6" s="81">
        <f t="shared" si="3"/>
        <v>2312.4099280946793</v>
      </c>
      <c r="P6" s="81">
        <f t="shared" si="4"/>
        <v>2008.1454638716948</v>
      </c>
      <c r="Q6" s="81">
        <f t="shared" si="5"/>
        <v>1820.7185539103371</v>
      </c>
      <c r="R6" s="81">
        <f t="shared" si="6"/>
        <v>1688.0063319501201</v>
      </c>
    </row>
    <row r="7" spans="1:18" x14ac:dyDescent="0.25">
      <c r="A7" s="80">
        <f t="shared" si="7"/>
        <v>7000</v>
      </c>
      <c r="B7" s="80">
        <v>73</v>
      </c>
      <c r="C7" s="84">
        <f t="shared" si="0"/>
        <v>99.585521534643092</v>
      </c>
      <c r="F7" s="81">
        <f>A7*60*(First/'Gearbox BMW S1000RR'!$D$9)*('Gearbox BMW S1000RR'!$C$3/'Gearbox BMW S1000RR'!$D$3)*'Gearbox BMW S1000RR'!$E$5*PI()/1000*'Gearbox BMW S1000RR'!$C$4/'Gearbox BMW S1000RR'!$D$4</f>
        <v>68.740040242831569</v>
      </c>
      <c r="G7" s="81">
        <f>A7*60*('Gearbox BMW S1000RR'!$C$11/'Gearbox BMW S1000RR'!$D$11)*('Gearbox BMW S1000RR'!$C$3/'Gearbox BMW S1000RR'!$D$3)*'Gearbox BMW S1000RR'!$E$5*PI()/1000*'Gearbox BMW S1000RR'!$C$4/'Gearbox BMW S1000RR'!$D$4</f>
        <v>87.023836113047636</v>
      </c>
      <c r="H7" s="81">
        <f>A7*60*('Gearbox BMW S1000RR'!$C$13/'Gearbox BMW S1000RR'!$D$13)*('Gearbox BMW S1000RR'!$C$3/'Gearbox BMW S1000RR'!$D$3)*'Gearbox BMW S1000RR'!$E$5*PI()/1000*'Gearbox BMW S1000RR'!$C$4/'Gearbox BMW S1000RR'!$D$4</f>
        <v>105.34464371579453</v>
      </c>
      <c r="I7" s="81">
        <f>A7*60*('Gearbox BMW S1000RR'!$C$15/'Gearbox BMW S1000RR'!$D$15)*('Gearbox BMW S1000RR'!$C$3/'Gearbox BMW S1000RR'!$D$3)*'Gearbox BMW S1000RR'!$E$5*PI()/1000*'Gearbox BMW S1000RR'!$C$4/'Gearbox BMW S1000RR'!$D$4</f>
        <v>121.30595336970276</v>
      </c>
      <c r="J7" s="81">
        <f>A7*60*('Gearbox BMW S1000RR'!$C$17/'Gearbox BMW S1000RR'!$D$17)*('Gearbox BMW S1000RR'!$C$3/'Gearbox BMW S1000RR'!$D$3)*'Gearbox BMW S1000RR'!$E$5*PI()/1000*'Gearbox BMW S1000RR'!$C$4/'Gearbox BMW S1000RR'!$D$4</f>
        <v>133.79333092246631</v>
      </c>
      <c r="K7" s="81">
        <f>A7*60*('Gearbox BMW S1000RR'!$C$19/'Gearbox BMW S1000RR'!$D$19)*('Gearbox BMW S1000RR'!$C$3/'Gearbox BMW S1000RR'!$D$3)*'Gearbox BMW S1000RR'!$E$5*PI()/1000*'Gearbox BMW S1000RR'!$C$4/'Gearbox BMW S1000RR'!$D$4</f>
        <v>144.31225487085331</v>
      </c>
      <c r="M7" s="81">
        <f t="shared" si="1"/>
        <v>3823.0993038646875</v>
      </c>
      <c r="N7" s="81">
        <f t="shared" si="2"/>
        <v>3019.8622784062486</v>
      </c>
      <c r="O7" s="81">
        <f t="shared" si="3"/>
        <v>2494.6688386834221</v>
      </c>
      <c r="P7" s="81">
        <f t="shared" si="4"/>
        <v>2166.4229388566564</v>
      </c>
      <c r="Q7" s="81">
        <f t="shared" si="5"/>
        <v>1964.223464563368</v>
      </c>
      <c r="R7" s="81">
        <f t="shared" si="6"/>
        <v>1821.0511659954502</v>
      </c>
    </row>
    <row r="8" spans="1:18" x14ac:dyDescent="0.25">
      <c r="A8" s="80">
        <f t="shared" si="7"/>
        <v>8000</v>
      </c>
      <c r="B8" s="80">
        <v>89</v>
      </c>
      <c r="C8" s="84">
        <f t="shared" si="0"/>
        <v>106.23592451384015</v>
      </c>
      <c r="F8" s="81">
        <f>A8*60*(First/'Gearbox BMW S1000RR'!$D$9)*('Gearbox BMW S1000RR'!$C$3/'Gearbox BMW S1000RR'!$D$3)*'Gearbox BMW S1000RR'!$E$5*PI()/1000*'Gearbox BMW S1000RR'!$C$4/'Gearbox BMW S1000RR'!$D$4</f>
        <v>78.560045991807513</v>
      </c>
      <c r="G8" s="81">
        <f>A8*60*('Gearbox BMW S1000RR'!$C$11/'Gearbox BMW S1000RR'!$D$11)*('Gearbox BMW S1000RR'!$C$3/'Gearbox BMW S1000RR'!$D$3)*'Gearbox BMW S1000RR'!$E$5*PI()/1000*'Gearbox BMW S1000RR'!$C$4/'Gearbox BMW S1000RR'!$D$4</f>
        <v>99.455812700625884</v>
      </c>
      <c r="H8" s="81">
        <f>A8*60*('Gearbox BMW S1000RR'!$C$13/'Gearbox BMW S1000RR'!$D$13)*('Gearbox BMW S1000RR'!$C$3/'Gearbox BMW S1000RR'!$D$3)*'Gearbox BMW S1000RR'!$E$5*PI()/1000*'Gearbox BMW S1000RR'!$C$4/'Gearbox BMW S1000RR'!$D$4</f>
        <v>120.39387853233659</v>
      </c>
      <c r="I8" s="81">
        <f>A8*60*('Gearbox BMW S1000RR'!$C$15/'Gearbox BMW S1000RR'!$D$15)*('Gearbox BMW S1000RR'!$C$3/'Gearbox BMW S1000RR'!$D$3)*'Gearbox BMW S1000RR'!$E$5*PI()/1000*'Gearbox BMW S1000RR'!$C$4/'Gearbox BMW S1000RR'!$D$4</f>
        <v>138.63537527966034</v>
      </c>
      <c r="J8" s="81">
        <f>A8*60*('Gearbox BMW S1000RR'!$C$17/'Gearbox BMW S1000RR'!$D$17)*('Gearbox BMW S1000RR'!$C$3/'Gearbox BMW S1000RR'!$D$3)*'Gearbox BMW S1000RR'!$E$5*PI()/1000*'Gearbox BMW S1000RR'!$C$4/'Gearbox BMW S1000RR'!$D$4</f>
        <v>152.90666391139007</v>
      </c>
      <c r="K8" s="81">
        <f>A8*60*('Gearbox BMW S1000RR'!$C$19/'Gearbox BMW S1000RR'!$D$19)*('Gearbox BMW S1000RR'!$C$3/'Gearbox BMW S1000RR'!$D$3)*'Gearbox BMW S1000RR'!$E$5*PI()/1000*'Gearbox BMW S1000RR'!$C$4/'Gearbox BMW S1000RR'!$D$4</f>
        <v>164.92829128097523</v>
      </c>
      <c r="M8" s="81">
        <f t="shared" si="1"/>
        <v>4078.4090176501718</v>
      </c>
      <c r="N8" s="81">
        <f t="shared" si="2"/>
        <v>3221.5311634368027</v>
      </c>
      <c r="O8" s="81">
        <f t="shared" si="3"/>
        <v>2661.2648741434459</v>
      </c>
      <c r="P8" s="81">
        <f t="shared" si="4"/>
        <v>2311.0984433350973</v>
      </c>
      <c r="Q8" s="81">
        <f t="shared" si="5"/>
        <v>2095.3959219571548</v>
      </c>
      <c r="R8" s="81">
        <f t="shared" si="6"/>
        <v>1942.6624596150091</v>
      </c>
    </row>
    <row r="9" spans="1:18" x14ac:dyDescent="0.25">
      <c r="A9" s="80">
        <f t="shared" si="7"/>
        <v>9000</v>
      </c>
      <c r="B9" s="80">
        <v>105</v>
      </c>
      <c r="C9" s="84">
        <f t="shared" si="0"/>
        <v>111.40846016432674</v>
      </c>
      <c r="F9" s="81">
        <f>A9*60*(First/'Gearbox BMW S1000RR'!$D$9)*('Gearbox BMW S1000RR'!$C$3/'Gearbox BMW S1000RR'!$D$3)*'Gearbox BMW S1000RR'!$E$5*PI()/1000*'Gearbox BMW S1000RR'!$C$4/'Gearbox BMW S1000RR'!$D$4</f>
        <v>88.380051740783472</v>
      </c>
      <c r="G9" s="81">
        <f>A9*60*('Gearbox BMW S1000RR'!$C$11/'Gearbox BMW S1000RR'!$D$11)*('Gearbox BMW S1000RR'!$C$3/'Gearbox BMW S1000RR'!$D$3)*'Gearbox BMW S1000RR'!$E$5*PI()/1000*'Gearbox BMW S1000RR'!$C$4/'Gearbox BMW S1000RR'!$D$4</f>
        <v>111.88778928820409</v>
      </c>
      <c r="H9" s="81">
        <f>A9*60*('Gearbox BMW S1000RR'!$C$13/'Gearbox BMW S1000RR'!$D$13)*('Gearbox BMW S1000RR'!$C$3/'Gearbox BMW S1000RR'!$D$3)*'Gearbox BMW S1000RR'!$E$5*PI()/1000*'Gearbox BMW S1000RR'!$C$4/'Gearbox BMW S1000RR'!$D$4</f>
        <v>135.44311334887868</v>
      </c>
      <c r="I9" s="81">
        <f>A9*60*('Gearbox BMW S1000RR'!$C$15/'Gearbox BMW S1000RR'!$D$15)*('Gearbox BMW S1000RR'!$C$3/'Gearbox BMW S1000RR'!$D$3)*'Gearbox BMW S1000RR'!$E$5*PI()/1000*'Gearbox BMW S1000RR'!$C$4/'Gearbox BMW S1000RR'!$D$4</f>
        <v>155.96479718961785</v>
      </c>
      <c r="J9" s="81">
        <f>A9*60*('Gearbox BMW S1000RR'!$C$17/'Gearbox BMW S1000RR'!$D$17)*('Gearbox BMW S1000RR'!$C$3/'Gearbox BMW S1000RR'!$D$3)*'Gearbox BMW S1000RR'!$E$5*PI()/1000*'Gearbox BMW S1000RR'!$C$4/'Gearbox BMW S1000RR'!$D$4</f>
        <v>172.01999690031383</v>
      </c>
      <c r="K9" s="81">
        <f>A9*60*('Gearbox BMW S1000RR'!$C$19/'Gearbox BMW S1000RR'!$D$19)*('Gearbox BMW S1000RR'!$C$3/'Gearbox BMW S1000RR'!$D$3)*'Gearbox BMW S1000RR'!$E$5*PI()/1000*'Gearbox BMW S1000RR'!$C$4/'Gearbox BMW S1000RR'!$D$4</f>
        <v>185.54432769109707</v>
      </c>
      <c r="M9" s="81">
        <f t="shared" si="1"/>
        <v>4276.9832394833256</v>
      </c>
      <c r="N9" s="81">
        <f t="shared" si="2"/>
        <v>3378.3847406827899</v>
      </c>
      <c r="O9" s="81">
        <f t="shared" si="3"/>
        <v>2790.8395683901294</v>
      </c>
      <c r="P9" s="81">
        <f t="shared" si="4"/>
        <v>2423.6238357072179</v>
      </c>
      <c r="Q9" s="81">
        <f t="shared" si="5"/>
        <v>2197.4189443745445</v>
      </c>
      <c r="R9" s="81">
        <f t="shared" si="6"/>
        <v>2037.2490213191115</v>
      </c>
    </row>
    <row r="10" spans="1:18" x14ac:dyDescent="0.25">
      <c r="A10" s="80">
        <f t="shared" si="7"/>
        <v>10000</v>
      </c>
      <c r="B10" s="80">
        <v>117</v>
      </c>
      <c r="C10" s="84">
        <f t="shared" si="0"/>
        <v>111.72677005051052</v>
      </c>
      <c r="F10" s="81">
        <f>A10*60*(First/'Gearbox BMW S1000RR'!$D$9)*('Gearbox BMW S1000RR'!$C$3/'Gearbox BMW S1000RR'!$D$3)*'Gearbox BMW S1000RR'!$E$5*PI()/1000*'Gearbox BMW S1000RR'!$C$4/'Gearbox BMW S1000RR'!$D$4</f>
        <v>98.200057489759402</v>
      </c>
      <c r="G10" s="81">
        <f>A10*60*('Gearbox BMW S1000RR'!$C$11/'Gearbox BMW S1000RR'!$D$11)*('Gearbox BMW S1000RR'!$C$3/'Gearbox BMW S1000RR'!$D$3)*'Gearbox BMW S1000RR'!$E$5*PI()/1000*'Gearbox BMW S1000RR'!$C$4/'Gearbox BMW S1000RR'!$D$4</f>
        <v>124.31976587578235</v>
      </c>
      <c r="H10" s="81">
        <f>A10*60*('Gearbox BMW S1000RR'!$C$13/'Gearbox BMW S1000RR'!$D$13)*('Gearbox BMW S1000RR'!$C$3/'Gearbox BMW S1000RR'!$D$3)*'Gearbox BMW S1000RR'!$E$5*PI()/1000*'Gearbox BMW S1000RR'!$C$4/'Gearbox BMW S1000RR'!$D$4</f>
        <v>150.49234816542074</v>
      </c>
      <c r="I10" s="81">
        <f>A10*60*('Gearbox BMW S1000RR'!$C$15/'Gearbox BMW S1000RR'!$D$15)*('Gearbox BMW S1000RR'!$C$3/'Gearbox BMW S1000RR'!$D$3)*'Gearbox BMW S1000RR'!$E$5*PI()/1000*'Gearbox BMW S1000RR'!$C$4/'Gearbox BMW S1000RR'!$D$4</f>
        <v>173.2942190995754</v>
      </c>
      <c r="J10" s="81">
        <f>A10*60*('Gearbox BMW S1000RR'!$C$17/'Gearbox BMW S1000RR'!$D$17)*('Gearbox BMW S1000RR'!$C$3/'Gearbox BMW S1000RR'!$D$3)*'Gearbox BMW S1000RR'!$E$5*PI()/1000*'Gearbox BMW S1000RR'!$C$4/'Gearbox BMW S1000RR'!$D$4</f>
        <v>191.13332988923759</v>
      </c>
      <c r="K10" s="81">
        <f>A10*60*('Gearbox BMW S1000RR'!$C$19/'Gearbox BMW S1000RR'!$D$19)*('Gearbox BMW S1000RR'!$C$3/'Gearbox BMW S1000RR'!$D$3)*'Gearbox BMW S1000RR'!$E$5*PI()/1000*'Gearbox BMW S1000RR'!$C$4/'Gearbox BMW S1000RR'!$D$4</f>
        <v>206.16036410121899</v>
      </c>
      <c r="M10" s="81">
        <f t="shared" si="1"/>
        <v>4289.2031915961352</v>
      </c>
      <c r="N10" s="81">
        <f t="shared" si="2"/>
        <v>3388.0372685133111</v>
      </c>
      <c r="O10" s="81">
        <f t="shared" si="3"/>
        <v>2798.8133957283881</v>
      </c>
      <c r="P10" s="81">
        <f t="shared" si="4"/>
        <v>2430.5484752378102</v>
      </c>
      <c r="Q10" s="81">
        <f t="shared" si="5"/>
        <v>2203.6972842156147</v>
      </c>
      <c r="R10" s="81">
        <f t="shared" si="6"/>
        <v>2043.0697328085944</v>
      </c>
    </row>
    <row r="11" spans="1:18" x14ac:dyDescent="0.25">
      <c r="A11" s="80">
        <f t="shared" si="7"/>
        <v>11000</v>
      </c>
      <c r="B11" s="80">
        <v>130</v>
      </c>
      <c r="C11" s="84">
        <f t="shared" si="0"/>
        <v>112.85532328334398</v>
      </c>
      <c r="F11" s="81">
        <f>A11*60*(First/'Gearbox BMW S1000RR'!$D$9)*('Gearbox BMW S1000RR'!$C$3/'Gearbox BMW S1000RR'!$D$3)*'Gearbox BMW S1000RR'!$E$5*PI()/1000*'Gearbox BMW S1000RR'!$C$4/'Gearbox BMW S1000RR'!$D$4</f>
        <v>108.02006323873532</v>
      </c>
      <c r="G11" s="81">
        <f>A11*60*('Gearbox BMW S1000RR'!$C$11/'Gearbox BMW S1000RR'!$D$11)*('Gearbox BMW S1000RR'!$C$3/'Gearbox BMW S1000RR'!$D$3)*'Gearbox BMW S1000RR'!$E$5*PI()/1000*'Gearbox BMW S1000RR'!$C$4/'Gearbox BMW S1000RR'!$D$4</f>
        <v>136.75174246336061</v>
      </c>
      <c r="H11" s="81">
        <f>A11*60*('Gearbox BMW S1000RR'!$C$13/'Gearbox BMW S1000RR'!$D$13)*('Gearbox BMW S1000RR'!$C$3/'Gearbox BMW S1000RR'!$D$3)*'Gearbox BMW S1000RR'!$E$5*PI()/1000*'Gearbox BMW S1000RR'!$C$4/'Gearbox BMW S1000RR'!$D$4</f>
        <v>165.54158298196282</v>
      </c>
      <c r="I11" s="81">
        <f>A11*60*('Gearbox BMW S1000RR'!$C$15/'Gearbox BMW S1000RR'!$D$15)*('Gearbox BMW S1000RR'!$C$3/'Gearbox BMW S1000RR'!$D$3)*'Gearbox BMW S1000RR'!$E$5*PI()/1000*'Gearbox BMW S1000RR'!$C$4/'Gearbox BMW S1000RR'!$D$4</f>
        <v>190.62364100953295</v>
      </c>
      <c r="J11" s="81">
        <f>A11*60*('Gearbox BMW S1000RR'!$C$17/'Gearbox BMW S1000RR'!$D$17)*('Gearbox BMW S1000RR'!$C$3/'Gearbox BMW S1000RR'!$D$3)*'Gearbox BMW S1000RR'!$E$5*PI()/1000*'Gearbox BMW S1000RR'!$C$4/'Gearbox BMW S1000RR'!$D$4</f>
        <v>210.24666287816132</v>
      </c>
      <c r="K11" s="81">
        <f>A11*60*('Gearbox BMW S1000RR'!$C$19/'Gearbox BMW S1000RR'!$D$19)*('Gearbox BMW S1000RR'!$C$3/'Gearbox BMW S1000RR'!$D$3)*'Gearbox BMW S1000RR'!$E$5*PI()/1000*'Gearbox BMW S1000RR'!$C$4/'Gearbox BMW S1000RR'!$D$4</f>
        <v>226.77640051134091</v>
      </c>
      <c r="M11" s="81">
        <f t="shared" si="1"/>
        <v>4332.5284763597338</v>
      </c>
      <c r="N11" s="81">
        <f t="shared" si="2"/>
        <v>3422.2598671851624</v>
      </c>
      <c r="O11" s="81">
        <f t="shared" si="3"/>
        <v>2827.0842381094826</v>
      </c>
      <c r="P11" s="81">
        <f t="shared" si="4"/>
        <v>2455.0994699371818</v>
      </c>
      <c r="Q11" s="81">
        <f t="shared" si="5"/>
        <v>2225.9568527430451</v>
      </c>
      <c r="R11" s="81">
        <f t="shared" si="6"/>
        <v>2063.7068008167616</v>
      </c>
    </row>
    <row r="12" spans="1:18" x14ac:dyDescent="0.25">
      <c r="A12" s="80">
        <f t="shared" si="7"/>
        <v>12000</v>
      </c>
      <c r="B12" s="80">
        <v>141</v>
      </c>
      <c r="C12" s="84">
        <f t="shared" si="0"/>
        <v>112.20423487978621</v>
      </c>
      <c r="F12" s="81">
        <f>A12*60*(First/'Gearbox BMW S1000RR'!$D$9)*('Gearbox BMW S1000RR'!$C$3/'Gearbox BMW S1000RR'!$D$3)*'Gearbox BMW S1000RR'!$E$5*PI()/1000*'Gearbox BMW S1000RR'!$C$4/'Gearbox BMW S1000RR'!$D$4</f>
        <v>117.84006898771128</v>
      </c>
      <c r="G12" s="81">
        <f>A12*60*('Gearbox BMW S1000RR'!$C$11/'Gearbox BMW S1000RR'!$D$11)*('Gearbox BMW S1000RR'!$C$3/'Gearbox BMW S1000RR'!$D$3)*'Gearbox BMW S1000RR'!$E$5*PI()/1000*'Gearbox BMW S1000RR'!$C$4/'Gearbox BMW S1000RR'!$D$4</f>
        <v>149.18371905093883</v>
      </c>
      <c r="H12" s="81">
        <f>A12*60*('Gearbox BMW S1000RR'!$C$13/'Gearbox BMW S1000RR'!$D$13)*('Gearbox BMW S1000RR'!$C$3/'Gearbox BMW S1000RR'!$D$3)*'Gearbox BMW S1000RR'!$E$5*PI()/1000*'Gearbox BMW S1000RR'!$C$4/'Gearbox BMW S1000RR'!$D$4</f>
        <v>180.5908177985049</v>
      </c>
      <c r="I12" s="81">
        <f>A12*60*('Gearbox BMW S1000RR'!$C$15/'Gearbox BMW S1000RR'!$D$15)*('Gearbox BMW S1000RR'!$C$3/'Gearbox BMW S1000RR'!$D$3)*'Gearbox BMW S1000RR'!$E$5*PI()/1000*'Gearbox BMW S1000RR'!$C$4/'Gearbox BMW S1000RR'!$D$4</f>
        <v>207.95306291949052</v>
      </c>
      <c r="J12" s="81">
        <f>A12*60*('Gearbox BMW S1000RR'!$C$17/'Gearbox BMW S1000RR'!$D$17)*('Gearbox BMW S1000RR'!$C$3/'Gearbox BMW S1000RR'!$D$3)*'Gearbox BMW S1000RR'!$E$5*PI()/1000*'Gearbox BMW S1000RR'!$C$4/'Gearbox BMW S1000RR'!$D$4</f>
        <v>229.35999586708508</v>
      </c>
      <c r="K12" s="81">
        <f>A12*60*('Gearbox BMW S1000RR'!$C$19/'Gearbox BMW S1000RR'!$D$19)*('Gearbox BMW S1000RR'!$C$3/'Gearbox BMW S1000RR'!$D$3)*'Gearbox BMW S1000RR'!$E$5*PI()/1000*'Gearbox BMW S1000RR'!$C$4/'Gearbox BMW S1000RR'!$D$4</f>
        <v>247.39243692146289</v>
      </c>
      <c r="M12" s="81">
        <f t="shared" si="1"/>
        <v>4307.5331197653504</v>
      </c>
      <c r="N12" s="81">
        <f t="shared" si="2"/>
        <v>3402.5160602590945</v>
      </c>
      <c r="O12" s="81">
        <f t="shared" si="3"/>
        <v>2810.7741367357739</v>
      </c>
      <c r="P12" s="81">
        <f t="shared" si="4"/>
        <v>2440.9354345336978</v>
      </c>
      <c r="Q12" s="81">
        <f t="shared" si="5"/>
        <v>2213.11479397722</v>
      </c>
      <c r="R12" s="81">
        <f t="shared" si="6"/>
        <v>2051.8008000428185</v>
      </c>
    </row>
    <row r="13" spans="1:18" x14ac:dyDescent="0.25">
      <c r="A13" s="80">
        <f t="shared" si="7"/>
        <v>13000</v>
      </c>
      <c r="B13" s="80">
        <v>144</v>
      </c>
      <c r="C13" s="84">
        <f t="shared" si="0"/>
        <v>105.77682371645967</v>
      </c>
      <c r="F13" s="81">
        <f>A13*60*(First/'Gearbox BMW S1000RR'!$D$9)*('Gearbox BMW S1000RR'!$C$3/'Gearbox BMW S1000RR'!$D$3)*'Gearbox BMW S1000RR'!$E$5*PI()/1000*'Gearbox BMW S1000RR'!$C$4/'Gearbox BMW S1000RR'!$D$4</f>
        <v>127.66007473668724</v>
      </c>
      <c r="G13" s="81">
        <f>A13*60*('Gearbox BMW S1000RR'!$C$11/'Gearbox BMW S1000RR'!$D$11)*('Gearbox BMW S1000RR'!$C$3/'Gearbox BMW S1000RR'!$D$3)*'Gearbox BMW S1000RR'!$E$5*PI()/1000*'Gearbox BMW S1000RR'!$C$4/'Gearbox BMW S1000RR'!$D$4</f>
        <v>161.61569563851708</v>
      </c>
      <c r="H13" s="81">
        <f>A13*60*('Gearbox BMW S1000RR'!$C$13/'Gearbox BMW S1000RR'!$D$13)*('Gearbox BMW S1000RR'!$C$3/'Gearbox BMW S1000RR'!$D$3)*'Gearbox BMW S1000RR'!$E$5*PI()/1000*'Gearbox BMW S1000RR'!$C$4/'Gearbox BMW S1000RR'!$D$4</f>
        <v>195.64005261504695</v>
      </c>
      <c r="I13" s="81">
        <f>A13*60*('Gearbox BMW S1000RR'!$C$15/'Gearbox BMW S1000RR'!$D$15)*('Gearbox BMW S1000RR'!$C$3/'Gearbox BMW S1000RR'!$D$3)*'Gearbox BMW S1000RR'!$E$5*PI()/1000*'Gearbox BMW S1000RR'!$C$4/'Gearbox BMW S1000RR'!$D$4</f>
        <v>225.28248482944804</v>
      </c>
      <c r="J13" s="81">
        <f>A13*60*('Gearbox BMW S1000RR'!$C$17/'Gearbox BMW S1000RR'!$D$17)*('Gearbox BMW S1000RR'!$C$3/'Gearbox BMW S1000RR'!$D$3)*'Gearbox BMW S1000RR'!$E$5*PI()/1000*'Gearbox BMW S1000RR'!$C$4/'Gearbox BMW S1000RR'!$D$4</f>
        <v>248.47332885600881</v>
      </c>
      <c r="K13" s="81">
        <f>A13*60*('Gearbox BMW S1000RR'!$C$19/'Gearbox BMW S1000RR'!$D$19)*('Gearbox BMW S1000RR'!$C$3/'Gearbox BMW S1000RR'!$D$3)*'Gearbox BMW S1000RR'!$E$5*PI()/1000*'Gearbox BMW S1000RR'!$C$4/'Gearbox BMW S1000RR'!$D$4</f>
        <v>268.0084733315847</v>
      </c>
      <c r="M13" s="81">
        <f t="shared" si="1"/>
        <v>4060.7840867182344</v>
      </c>
      <c r="N13" s="81">
        <f t="shared" si="2"/>
        <v>3207.6092482966255</v>
      </c>
      <c r="O13" s="81">
        <f t="shared" si="3"/>
        <v>2649.7641616363435</v>
      </c>
      <c r="P13" s="81">
        <f t="shared" si="4"/>
        <v>2301.1109824736664</v>
      </c>
      <c r="Q13" s="81">
        <f t="shared" si="5"/>
        <v>2086.3406241094581</v>
      </c>
      <c r="R13" s="81">
        <f t="shared" si="6"/>
        <v>1934.267202659024</v>
      </c>
    </row>
    <row r="14" spans="1:18" x14ac:dyDescent="0.25">
      <c r="A14" s="80">
        <v>13500</v>
      </c>
      <c r="B14" s="80">
        <v>146</v>
      </c>
      <c r="C14" s="84">
        <f t="shared" si="0"/>
        <v>103.27387418407432</v>
      </c>
      <c r="F14" s="81">
        <f>A14*60*(First/'Gearbox BMW S1000RR'!$D$9)*('Gearbox BMW S1000RR'!$C$3/'Gearbox BMW S1000RR'!$D$3)*'Gearbox BMW S1000RR'!$E$5*PI()/1000*'Gearbox BMW S1000RR'!$C$4/'Gearbox BMW S1000RR'!$D$4</f>
        <v>132.57007761117518</v>
      </c>
      <c r="G14" s="81">
        <f>A14*60*('Gearbox BMW S1000RR'!$C$11/'Gearbox BMW S1000RR'!$D$11)*('Gearbox BMW S1000RR'!$C$3/'Gearbox BMW S1000RR'!$D$3)*'Gearbox BMW S1000RR'!$E$5*PI()/1000*'Gearbox BMW S1000RR'!$C$4/'Gearbox BMW S1000RR'!$D$4</f>
        <v>167.83168393230619</v>
      </c>
      <c r="H14" s="81">
        <f>A14*60*('Gearbox BMW S1000RR'!$C$13/'Gearbox BMW S1000RR'!$D$13)*('Gearbox BMW S1000RR'!$C$3/'Gearbox BMW S1000RR'!$D$3)*'Gearbox BMW S1000RR'!$E$5*PI()/1000*'Gearbox BMW S1000RR'!$C$4/'Gearbox BMW S1000RR'!$D$4</f>
        <v>203.16467002331802</v>
      </c>
      <c r="I14" s="81">
        <f>A14*60*('Gearbox BMW S1000RR'!$C$15/'Gearbox BMW S1000RR'!$D$15)*('Gearbox BMW S1000RR'!$C$3/'Gearbox BMW S1000RR'!$D$3)*'Gearbox BMW S1000RR'!$E$5*PI()/1000*'Gearbox BMW S1000RR'!$C$4/'Gearbox BMW S1000RR'!$D$4</f>
        <v>233.94719578442678</v>
      </c>
      <c r="J14" s="81">
        <f>A14*60*('Gearbox BMW S1000RR'!$C$17/'Gearbox BMW S1000RR'!$D$17)*('Gearbox BMW S1000RR'!$C$3/'Gearbox BMW S1000RR'!$D$3)*'Gearbox BMW S1000RR'!$E$5*PI()/1000*'Gearbox BMW S1000RR'!$C$4/'Gearbox BMW S1000RR'!$D$4</f>
        <v>258.0299953504707</v>
      </c>
      <c r="K14" s="81">
        <f>A14*60*('Gearbox BMW S1000RR'!$C$19/'Gearbox BMW S1000RR'!$D$19)*('Gearbox BMW S1000RR'!$C$3/'Gearbox BMW S1000RR'!$D$3)*'Gearbox BMW S1000RR'!$E$5*PI()/1000*'Gearbox BMW S1000RR'!$C$4/'Gearbox BMW S1000RR'!$D$4</f>
        <v>278.31649153664574</v>
      </c>
      <c r="M14" s="81">
        <f t="shared" si="1"/>
        <v>3964.6955743781946</v>
      </c>
      <c r="N14" s="81">
        <f>(B14*1000)/(G14/3.6)</f>
        <v>3131.7090294583309</v>
      </c>
      <c r="O14" s="81">
        <f>(B14*1000)/(H14/3.6)</f>
        <v>2587.0639808568822</v>
      </c>
      <c r="P14" s="81">
        <f>(B14*1000)/(I14/3.6)</f>
        <v>2246.6608254809771</v>
      </c>
      <c r="Q14" s="81">
        <f>(B14*1000)/(J14/3.6)</f>
        <v>2036.9724817694191</v>
      </c>
      <c r="R14" s="81">
        <f>(B14*1000)/(K14/3.6)</f>
        <v>1888.4975054767626</v>
      </c>
    </row>
    <row r="15" spans="1:18" x14ac:dyDescent="0.25">
      <c r="A15" s="80">
        <f>A13+1000</f>
        <v>14000</v>
      </c>
      <c r="B15" s="80">
        <v>144</v>
      </c>
      <c r="C15" s="84">
        <f t="shared" si="0"/>
        <v>98.221336308141133</v>
      </c>
      <c r="F15" s="81">
        <f>A15*60*(First/'Gearbox BMW S1000RR'!$D$9)*('Gearbox BMW S1000RR'!$C$3/'Gearbox BMW S1000RR'!$D$3)*'Gearbox BMW S1000RR'!$E$5*PI()/1000*'Gearbox BMW S1000RR'!$C$4/'Gearbox BMW S1000RR'!$D$4</f>
        <v>137.48008048566314</v>
      </c>
      <c r="G15" s="81">
        <f>A15*60*('Gearbox BMW S1000RR'!$C$11/'Gearbox BMW S1000RR'!$D$11)*('Gearbox BMW S1000RR'!$C$3/'Gearbox BMW S1000RR'!$D$3)*'Gearbox BMW S1000RR'!$E$5*PI()/1000*'Gearbox BMW S1000RR'!$C$4/'Gearbox BMW S1000RR'!$D$4</f>
        <v>174.04767222609527</v>
      </c>
      <c r="H15" s="81">
        <f>A15*60*('Gearbox BMW S1000RR'!$C$13/'Gearbox BMW S1000RR'!$D$13)*('Gearbox BMW S1000RR'!$C$3/'Gearbox BMW S1000RR'!$D$3)*'Gearbox BMW S1000RR'!$E$5*PI()/1000*'Gearbox BMW S1000RR'!$C$4/'Gearbox BMW S1000RR'!$D$4</f>
        <v>210.68928743158907</v>
      </c>
      <c r="I15" s="81">
        <f>A15*60*('Gearbox BMW S1000RR'!$C$15/'Gearbox BMW S1000RR'!$D$15)*('Gearbox BMW S1000RR'!$C$3/'Gearbox BMW S1000RR'!$D$3)*'Gearbox BMW S1000RR'!$E$5*PI()/1000*'Gearbox BMW S1000RR'!$C$4/'Gearbox BMW S1000RR'!$D$4</f>
        <v>242.61190673940553</v>
      </c>
      <c r="J15" s="81">
        <f>A15*60*('Gearbox BMW S1000RR'!$C$17/'Gearbox BMW S1000RR'!$D$17)*('Gearbox BMW S1000RR'!$C$3/'Gearbox BMW S1000RR'!$D$3)*'Gearbox BMW S1000RR'!$E$5*PI()/1000*'Gearbox BMW S1000RR'!$C$4/'Gearbox BMW S1000RR'!$D$4</f>
        <v>267.58666184493262</v>
      </c>
      <c r="K15" s="81">
        <f>A15*60*('Gearbox BMW S1000RR'!$C$19/'Gearbox BMW S1000RR'!$D$19)*('Gearbox BMW S1000RR'!$C$3/'Gearbox BMW S1000RR'!$D$3)*'Gearbox BMW S1000RR'!$E$5*PI()/1000*'Gearbox BMW S1000RR'!$C$4/'Gearbox BMW S1000RR'!$D$4</f>
        <v>288.62450974170662</v>
      </c>
      <c r="M15" s="81">
        <f t="shared" si="1"/>
        <v>3770.7280805240757</v>
      </c>
      <c r="N15" s="81">
        <f t="shared" ref="N15" si="8">(B15*1000)/(G15/3.6)</f>
        <v>2978.4943019897246</v>
      </c>
      <c r="O15" s="81">
        <f t="shared" ref="O15" si="9">(B15*1000)/(H15/3.6)</f>
        <v>2460.4952929480328</v>
      </c>
      <c r="P15" s="81">
        <f t="shared" ref="P15" si="10">(B15*1000)/(I15/3.6)</f>
        <v>2136.7459122969763</v>
      </c>
      <c r="Q15" s="81">
        <f t="shared" ref="Q15" si="11">(B15*1000)/(J15/3.6)</f>
        <v>1937.3162938159246</v>
      </c>
      <c r="R15" s="81">
        <f t="shared" ref="R15" si="12">(B15*1000)/(K15/3.6)</f>
        <v>1796.1052596119509</v>
      </c>
    </row>
    <row r="17" spans="15:17" x14ac:dyDescent="0.25">
      <c r="O17" s="80">
        <v>15500</v>
      </c>
      <c r="P17" s="80">
        <v>15500</v>
      </c>
      <c r="Q17" s="80">
        <v>15250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</vt:i4>
      </vt:variant>
      <vt:variant>
        <vt:lpstr>Charts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Gearbox BMW S1000RR</vt:lpstr>
      <vt:lpstr>Gear Change Calc</vt:lpstr>
      <vt:lpstr>Gear Change Chart</vt:lpstr>
      <vt:lpstr>Dyno Curve</vt:lpstr>
      <vt:lpstr>First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Andrew Harrison</cp:lastModifiedBy>
  <dcterms:created xsi:type="dcterms:W3CDTF">2013-06-27T11:50:24Z</dcterms:created>
  <dcterms:modified xsi:type="dcterms:W3CDTF">2018-05-03T07:22:08Z</dcterms:modified>
</cp:coreProperties>
</file>