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__\Desktop\UNI\"/>
    </mc:Choice>
  </mc:AlternateContent>
  <xr:revisionPtr revIDLastSave="0" documentId="13_ncr:1_{6E030639-B327-4C77-9938-DC81FEDD6AF0}" xr6:coauthVersionLast="45" xr6:coauthVersionMax="45" xr10:uidLastSave="{00000000-0000-0000-0000-000000000000}"/>
  <bookViews>
    <workbookView xWindow="20865" yWindow="7095" windowWidth="14655" windowHeight="6195" activeTab="2" xr2:uid="{73B9E1D0-FE2D-4B61-968D-A954FCCBA792}"/>
  </bookViews>
  <sheets>
    <sheet name="Data" sheetId="4" r:id="rId1"/>
    <sheet name="Lumped Mass Model" sheetId="1" r:id="rId2"/>
    <sheet name="Torque Vectoring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2" i="3" l="1"/>
  <c r="T11" i="3" l="1"/>
  <c r="S5" i="3"/>
  <c r="C16" i="3"/>
  <c r="C17" i="3"/>
  <c r="I16" i="3"/>
  <c r="G16" i="3"/>
  <c r="C17" i="1"/>
  <c r="C14" i="1"/>
  <c r="D20" i="3" l="1"/>
  <c r="E3" i="3"/>
  <c r="D4" i="3" l="1"/>
  <c r="E4" i="3" s="1"/>
  <c r="C12" i="4"/>
  <c r="C10" i="4"/>
  <c r="C11" i="1"/>
  <c r="C12" i="1" s="1"/>
  <c r="S7" i="3"/>
  <c r="S6" i="3"/>
  <c r="D11" i="3" l="1"/>
  <c r="T7" i="3"/>
  <c r="T6" i="3"/>
  <c r="T5" i="3"/>
  <c r="E11" i="3" l="1"/>
  <c r="D5" i="3"/>
  <c r="E5" i="3" s="1"/>
  <c r="D6" i="3"/>
  <c r="D7" i="3"/>
  <c r="E7" i="3" s="1"/>
  <c r="D8" i="3"/>
  <c r="E8" i="3" s="1"/>
  <c r="D9" i="3"/>
  <c r="E9" i="3" s="1"/>
  <c r="D3" i="3"/>
  <c r="E5" i="1"/>
  <c r="E6" i="1"/>
  <c r="E7" i="1"/>
  <c r="E4" i="1"/>
  <c r="P5" i="3" l="1"/>
  <c r="E16" i="3"/>
  <c r="D12" i="3"/>
  <c r="E6" i="3"/>
  <c r="E8" i="1"/>
  <c r="C15" i="1" l="1"/>
  <c r="G17" i="3"/>
  <c r="E12" i="3"/>
  <c r="E17" i="3" s="1"/>
  <c r="P4" i="3"/>
  <c r="S11" i="3"/>
  <c r="K16" i="3"/>
  <c r="U11" i="3" l="1"/>
  <c r="V11" i="3" s="1"/>
  <c r="U5" i="3"/>
  <c r="V5" i="3" s="1"/>
  <c r="W5" i="3" s="1"/>
  <c r="X5" i="3" s="1"/>
  <c r="U7" i="3"/>
  <c r="V7" i="3" s="1"/>
  <c r="W7" i="3" s="1"/>
  <c r="X7" i="3" s="1"/>
  <c r="U6" i="3"/>
  <c r="V6" i="3" s="1"/>
  <c r="W6" i="3" s="1"/>
  <c r="X6" i="3" s="1"/>
  <c r="I17" i="3"/>
  <c r="K17" i="3" s="1"/>
</calcChain>
</file>

<file path=xl/sharedStrings.xml><?xml version="1.0" encoding="utf-8"?>
<sst xmlns="http://schemas.openxmlformats.org/spreadsheetml/2006/main" count="94" uniqueCount="72">
  <si>
    <t>Lumped Mass Model</t>
  </si>
  <si>
    <t>CoG Long</t>
  </si>
  <si>
    <t>DI</t>
  </si>
  <si>
    <t>Wheelbase</t>
  </si>
  <si>
    <t>Mass</t>
  </si>
  <si>
    <t>47/53</t>
  </si>
  <si>
    <t>kg</t>
  </si>
  <si>
    <t>m</t>
  </si>
  <si>
    <t>Engine</t>
  </si>
  <si>
    <t>Transaxle</t>
  </si>
  <si>
    <t>Body Front</t>
  </si>
  <si>
    <t>Body Rear</t>
  </si>
  <si>
    <t>Total</t>
  </si>
  <si>
    <t>Vehicle Data</t>
  </si>
  <si>
    <t>Max Torque</t>
  </si>
  <si>
    <t>Nm</t>
  </si>
  <si>
    <t>RPM</t>
  </si>
  <si>
    <t>Max Torque to Front</t>
  </si>
  <si>
    <t>%</t>
  </si>
  <si>
    <t>Front Gearbox</t>
  </si>
  <si>
    <t xml:space="preserve">Ratio 1 6% taller than 2nd gear in the main gearbox </t>
  </si>
  <si>
    <t xml:space="preserve">Ratio 2 6% taller than 4nd gear in the main gearbox </t>
  </si>
  <si>
    <t>Gear 1 used when in gear 1 &amp; 2 in main gearbox</t>
  </si>
  <si>
    <t>Gear 2 used when in gear 3 &amp; 4 in main gearbox</t>
  </si>
  <si>
    <t>Disengaged when in gear 5-7</t>
  </si>
  <si>
    <t>Gear</t>
  </si>
  <si>
    <t>Ratio</t>
  </si>
  <si>
    <t>Overall Ratio</t>
  </si>
  <si>
    <t>Max Torque to Each Clutch Pack</t>
  </si>
  <si>
    <t>kW</t>
  </si>
  <si>
    <t>rad/sec</t>
  </si>
  <si>
    <t>Torque Capacity</t>
  </si>
  <si>
    <t>W</t>
  </si>
  <si>
    <t>Axial Force</t>
  </si>
  <si>
    <t>RWD</t>
  </si>
  <si>
    <t>Mu</t>
  </si>
  <si>
    <t>AWD</t>
  </si>
  <si>
    <t>Rear Drive Force (N)</t>
  </si>
  <si>
    <t>Front Drive Force (N)</t>
  </si>
  <si>
    <t>Total Drive Force (N)</t>
  </si>
  <si>
    <t>Acceleration (m/s/s)</t>
  </si>
  <si>
    <t>Track Front</t>
  </si>
  <si>
    <t>Difference in Angular Velocity @ 6000rpm</t>
  </si>
  <si>
    <t>Radius (m)</t>
  </si>
  <si>
    <t>Max Force Across Axle (N)</t>
  </si>
  <si>
    <t>Front</t>
  </si>
  <si>
    <t>Rear</t>
  </si>
  <si>
    <t>front gearbox</t>
  </si>
  <si>
    <t>Improvement</t>
  </si>
  <si>
    <t>Max Torque at One Front Wheel (Nm)</t>
  </si>
  <si>
    <t>Max Force Difference (N)</t>
  </si>
  <si>
    <t>Yaw Rate Moment (Nm)</t>
  </si>
  <si>
    <t>Rotational Acceleration Increase (rad/s^2)</t>
  </si>
  <si>
    <t>Mass (kg)</t>
  </si>
  <si>
    <t>Distance to CoG (m)</t>
  </si>
  <si>
    <t>Moment of Inertia ZZ (kgm^2)</t>
  </si>
  <si>
    <t>Distance a (m)</t>
  </si>
  <si>
    <t>Distance b (m)</t>
  </si>
  <si>
    <t>Inertial Conjugate, c (m)</t>
  </si>
  <si>
    <t>Distance Infront of Rear Axle (m)</t>
  </si>
  <si>
    <t>RPM @ Max Torque</t>
  </si>
  <si>
    <t>Distribution (F/R)</t>
  </si>
  <si>
    <t>b</t>
  </si>
  <si>
    <t>a</t>
  </si>
  <si>
    <t>Distance (m)</t>
  </si>
  <si>
    <r>
      <t>r</t>
    </r>
    <r>
      <rPr>
        <sz val="7"/>
        <color theme="1"/>
        <rFont val="Calibri"/>
        <family val="2"/>
        <scheme val="minor"/>
      </rPr>
      <t>e</t>
    </r>
  </si>
  <si>
    <t>Rear Road Wheel Speed @ Max Torque (RPM)</t>
  </si>
  <si>
    <t>Torque at each Clutch Pack</t>
  </si>
  <si>
    <t>Power Dissipated across Each Clutch Pack</t>
  </si>
  <si>
    <t>s</t>
  </si>
  <si>
    <t>Clutch Pack Sizing (Mean Radius)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</si>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</sst>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7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3" borderId="49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/>
    <xf numFmtId="0" fontId="0" fillId="3" borderId="39" xfId="0" applyFill="1" applyBorder="1"/>
    <xf numFmtId="0" fontId="0" fillId="3" borderId="3" xfId="0" applyFill="1" applyBorder="1"/>
    <xf numFmtId="0" fontId="0" fillId="3" borderId="13" xfId="0" applyFill="1" applyBorder="1"/>
    <xf numFmtId="0" fontId="0" fillId="4" borderId="12" xfId="0" applyFill="1" applyBorder="1" applyAlignment="1">
      <alignment vertical="center"/>
    </xf>
    <xf numFmtId="0" fontId="0" fillId="4" borderId="3" xfId="0" applyFill="1" applyBorder="1"/>
    <xf numFmtId="0" fontId="0" fillId="4" borderId="13" xfId="0" applyFill="1" applyBorder="1"/>
    <xf numFmtId="0" fontId="0" fillId="4" borderId="3" xfId="0" applyFill="1" applyBorder="1" applyAlignment="1">
      <alignment horizontal="right"/>
    </xf>
    <xf numFmtId="0" fontId="0" fillId="4" borderId="50" xfId="0" applyFill="1" applyBorder="1" applyAlignment="1">
      <alignment vertical="center"/>
    </xf>
    <xf numFmtId="0" fontId="0" fillId="4" borderId="29" xfId="0" applyFill="1" applyBorder="1"/>
    <xf numFmtId="0" fontId="0" fillId="4" borderId="31" xfId="0" applyFill="1" applyBorder="1"/>
    <xf numFmtId="0" fontId="0" fillId="5" borderId="1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2" xfId="0" applyFill="1" applyBorder="1"/>
    <xf numFmtId="0" fontId="0" fillId="3" borderId="11" xfId="0" applyFill="1" applyBorder="1"/>
    <xf numFmtId="0" fontId="0" fillId="4" borderId="10" xfId="0" applyFill="1" applyBorder="1"/>
    <xf numFmtId="0" fontId="0" fillId="4" borderId="2" xfId="0" applyFill="1" applyBorder="1"/>
    <xf numFmtId="0" fontId="0" fillId="4" borderId="11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0" fontId="2" fillId="2" borderId="48" xfId="0" applyFont="1" applyFill="1" applyBorder="1" applyAlignment="1">
      <alignment horizontal="right"/>
    </xf>
    <xf numFmtId="0" fontId="2" fillId="2" borderId="42" xfId="0" applyFont="1" applyFill="1" applyBorder="1"/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Border="1" applyAlignment="1"/>
    <xf numFmtId="0" fontId="2" fillId="2" borderId="21" xfId="0" applyFont="1" applyFill="1" applyBorder="1" applyAlignment="1">
      <alignment horizontal="center" vertical="center" wrapText="1"/>
    </xf>
    <xf numFmtId="0" fontId="0" fillId="3" borderId="18" xfId="0" applyFill="1" applyBorder="1"/>
    <xf numFmtId="0" fontId="0" fillId="3" borderId="17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2" fillId="2" borderId="46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/>
    </xf>
    <xf numFmtId="0" fontId="0" fillId="3" borderId="26" xfId="0" applyFill="1" applyBorder="1" applyAlignment="1">
      <alignment horizontal="left"/>
    </xf>
    <xf numFmtId="0" fontId="0" fillId="3" borderId="25" xfId="0" applyFill="1" applyBorder="1" applyAlignment="1">
      <alignment horizontal="center"/>
    </xf>
    <xf numFmtId="0" fontId="0" fillId="3" borderId="27" xfId="0" applyFill="1" applyBorder="1" applyAlignment="1">
      <alignment horizontal="left"/>
    </xf>
    <xf numFmtId="0" fontId="0" fillId="3" borderId="51" xfId="0" applyFill="1" applyBorder="1" applyAlignment="1">
      <alignment horizontal="center"/>
    </xf>
    <xf numFmtId="0" fontId="0" fillId="3" borderId="51" xfId="0" applyFill="1" applyBorder="1" applyAlignment="1">
      <alignment horizontal="left"/>
    </xf>
    <xf numFmtId="0" fontId="0" fillId="4" borderId="28" xfId="0" applyFill="1" applyBorder="1" applyAlignment="1">
      <alignment horizontal="center"/>
    </xf>
    <xf numFmtId="0" fontId="0" fillId="4" borderId="30" xfId="0" applyFill="1" applyBorder="1" applyAlignment="1">
      <alignment horizontal="left"/>
    </xf>
    <xf numFmtId="0" fontId="0" fillId="4" borderId="29" xfId="0" applyFill="1" applyBorder="1" applyAlignment="1">
      <alignment horizontal="center"/>
    </xf>
    <xf numFmtId="0" fontId="0" fillId="4" borderId="31" xfId="0" applyFill="1" applyBorder="1" applyAlignment="1">
      <alignment horizontal="left"/>
    </xf>
    <xf numFmtId="0" fontId="0" fillId="4" borderId="52" xfId="0" applyFill="1" applyBorder="1" applyAlignment="1">
      <alignment horizontal="center"/>
    </xf>
    <xf numFmtId="0" fontId="0" fillId="4" borderId="52" xfId="0" applyFill="1" applyBorder="1" applyAlignment="1">
      <alignment horizontal="left"/>
    </xf>
    <xf numFmtId="0" fontId="0" fillId="3" borderId="5" xfId="0" applyFill="1" applyBorder="1"/>
    <xf numFmtId="0" fontId="0" fillId="4" borderId="5" xfId="0" applyFill="1" applyBorder="1"/>
    <xf numFmtId="0" fontId="2" fillId="2" borderId="33" xfId="0" applyFont="1" applyFill="1" applyBorder="1" applyAlignment="1">
      <alignment horizontal="center"/>
    </xf>
    <xf numFmtId="0" fontId="2" fillId="2" borderId="34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2" fillId="2" borderId="36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/>
    </xf>
    <xf numFmtId="0" fontId="0" fillId="3" borderId="34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/>
    </xf>
    <xf numFmtId="0" fontId="0" fillId="4" borderId="37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3" borderId="40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4" borderId="17" xfId="0" applyFill="1" applyBorder="1"/>
    <xf numFmtId="0" fontId="0" fillId="3" borderId="16" xfId="0" applyFill="1" applyBorder="1"/>
    <xf numFmtId="0" fontId="0" fillId="3" borderId="21" xfId="0" applyFill="1" applyBorder="1"/>
    <xf numFmtId="0" fontId="0" fillId="4" borderId="7" xfId="0" applyFill="1" applyBorder="1"/>
    <xf numFmtId="0" fontId="0" fillId="4" borderId="19" xfId="0" applyFill="1" applyBorder="1"/>
    <xf numFmtId="0" fontId="2" fillId="2" borderId="1" xfId="0" applyFont="1" applyFill="1" applyBorder="1" applyAlignment="1">
      <alignment horizontal="center"/>
    </xf>
    <xf numFmtId="0" fontId="0" fillId="3" borderId="33" xfId="0" applyFill="1" applyBorder="1"/>
    <xf numFmtId="0" fontId="0" fillId="3" borderId="37" xfId="0" applyFill="1" applyBorder="1"/>
    <xf numFmtId="0" fontId="0" fillId="3" borderId="34" xfId="0" applyFill="1" applyBorder="1"/>
    <xf numFmtId="0" fontId="0" fillId="4" borderId="37" xfId="0" applyFill="1" applyBorder="1"/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0" fillId="6" borderId="35" xfId="0" applyFill="1" applyBorder="1"/>
    <xf numFmtId="0" fontId="0" fillId="6" borderId="0" xfId="0" applyFill="1" applyBorder="1" applyAlignment="1">
      <alignment horizontal="center" vertical="center"/>
    </xf>
    <xf numFmtId="0" fontId="0" fillId="3" borderId="12" xfId="0" applyFill="1" applyBorder="1" applyAlignment="1">
      <alignment horizontal="left" vertical="center"/>
    </xf>
    <xf numFmtId="0" fontId="0" fillId="4" borderId="12" xfId="0" applyFill="1" applyBorder="1" applyAlignment="1">
      <alignment horizontal="left" vertical="center"/>
    </xf>
    <xf numFmtId="0" fontId="0" fillId="4" borderId="28" xfId="0" applyFill="1" applyBorder="1" applyAlignment="1">
      <alignment horizontal="left" vertical="center"/>
    </xf>
    <xf numFmtId="0" fontId="2" fillId="2" borderId="46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161925</xdr:colOff>
      <xdr:row>6</xdr:row>
      <xdr:rowOff>95250</xdr:rowOff>
    </xdr:from>
    <xdr:to>
      <xdr:col>9</xdr:col>
      <xdr:colOff>355265</xdr:colOff>
      <xdr:row>20</xdr:row>
      <xdr:rowOff>128638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D138989-D033-427A-B017-A75545D06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05625" y="1276350"/>
          <a:ext cx="1993565" cy="2786113"/>
        </a:xfrm>
        <a:prstGeom prst="rect">
          <a:avLst/>
        </a:prstGeom>
      </xdr:spPr>
    </xdr:pic>
    <xdr:clientData/>
  </xdr:twoCellAnchor>
  <xdr:twoCellAnchor editAs="oneCell">
    <xdr:from>
      <xdr:col>9</xdr:col>
      <xdr:colOff>480906</xdr:colOff>
      <xdr:row>6</xdr:row>
      <xdr:rowOff>133349</xdr:rowOff>
    </xdr:from>
    <xdr:to>
      <xdr:col>15</xdr:col>
      <xdr:colOff>31315</xdr:colOff>
      <xdr:row>15</xdr:row>
      <xdr:rowOff>475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3B63C6D-37A9-4075-A641-0F8A40604F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024831" y="1314449"/>
          <a:ext cx="2893684" cy="1648301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38101</xdr:colOff>
      <xdr:row>14</xdr:row>
      <xdr:rowOff>155792</xdr:rowOff>
    </xdr:from>
    <xdr:to>
      <xdr:col>14</xdr:col>
      <xdr:colOff>314325</xdr:colOff>
      <xdr:row>23</xdr:row>
      <xdr:rowOff>19049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3B966CC-1B49-49FC-BEC0-A5D4D4672C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239251" y="2918042"/>
          <a:ext cx="2352674" cy="16063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59C5C-B272-4DFB-BE63-E16A91C9D095}">
  <dimension ref="B1:H12"/>
  <sheetViews>
    <sheetView zoomScale="170" zoomScaleNormal="170" workbookViewId="0">
      <selection activeCell="C12" sqref="C12"/>
    </sheetView>
  </sheetViews>
  <sheetFormatPr defaultRowHeight="15" x14ac:dyDescent="0.25"/>
  <cols>
    <col min="1" max="1" width="4.28515625" customWidth="1"/>
    <col min="2" max="2" width="29.140625" customWidth="1"/>
    <col min="3" max="3" width="7.140625" customWidth="1"/>
    <col min="4" max="4" width="5" bestFit="1" customWidth="1"/>
    <col min="6" max="6" width="5" bestFit="1" customWidth="1"/>
    <col min="8" max="8" width="47.28515625" bestFit="1" customWidth="1"/>
  </cols>
  <sheetData>
    <row r="1" spans="2:8" ht="15.75" thickBot="1" x14ac:dyDescent="0.3">
      <c r="E1" s="2"/>
    </row>
    <row r="2" spans="2:8" ht="15.75" thickBot="1" x14ac:dyDescent="0.3">
      <c r="B2" s="107" t="s">
        <v>13</v>
      </c>
      <c r="C2" s="108"/>
      <c r="D2" s="109"/>
      <c r="E2" s="3"/>
      <c r="F2" s="3"/>
      <c r="H2" s="95" t="s">
        <v>19</v>
      </c>
    </row>
    <row r="3" spans="2:8" x14ac:dyDescent="0.25">
      <c r="B3" s="4" t="s">
        <v>3</v>
      </c>
      <c r="C3" s="6">
        <v>2.99</v>
      </c>
      <c r="D3" s="7" t="s">
        <v>7</v>
      </c>
      <c r="E3" s="2"/>
      <c r="H3" s="96" t="s">
        <v>20</v>
      </c>
    </row>
    <row r="4" spans="2:8" x14ac:dyDescent="0.25">
      <c r="B4" s="10" t="s">
        <v>41</v>
      </c>
      <c r="C4" s="11">
        <v>1.6759999999999999</v>
      </c>
      <c r="D4" s="12" t="s">
        <v>7</v>
      </c>
      <c r="E4" s="2"/>
      <c r="H4" s="99" t="s">
        <v>21</v>
      </c>
    </row>
    <row r="5" spans="2:8" x14ac:dyDescent="0.25">
      <c r="B5" s="5" t="s">
        <v>4</v>
      </c>
      <c r="C5" s="8">
        <v>1880</v>
      </c>
      <c r="D5" s="9" t="s">
        <v>6</v>
      </c>
      <c r="H5" s="97" t="s">
        <v>22</v>
      </c>
    </row>
    <row r="6" spans="2:8" x14ac:dyDescent="0.25">
      <c r="B6" s="10" t="s">
        <v>61</v>
      </c>
      <c r="C6" s="13" t="s">
        <v>5</v>
      </c>
      <c r="D6" s="12"/>
      <c r="H6" s="99" t="s">
        <v>23</v>
      </c>
    </row>
    <row r="7" spans="2:8" ht="15.75" thickBot="1" x14ac:dyDescent="0.3">
      <c r="B7" s="4" t="s">
        <v>14</v>
      </c>
      <c r="C7" s="8">
        <v>683</v>
      </c>
      <c r="D7" s="9" t="s">
        <v>15</v>
      </c>
      <c r="H7" s="98" t="s">
        <v>24</v>
      </c>
    </row>
    <row r="8" spans="2:8" x14ac:dyDescent="0.25">
      <c r="B8" s="14" t="s">
        <v>60</v>
      </c>
      <c r="C8" s="11">
        <v>6000</v>
      </c>
      <c r="D8" s="12" t="s">
        <v>16</v>
      </c>
    </row>
    <row r="9" spans="2:8" x14ac:dyDescent="0.25">
      <c r="B9" s="104" t="s">
        <v>17</v>
      </c>
      <c r="C9" s="8">
        <v>20</v>
      </c>
      <c r="D9" s="9" t="s">
        <v>18</v>
      </c>
    </row>
    <row r="10" spans="2:8" x14ac:dyDescent="0.25">
      <c r="B10" s="104"/>
      <c r="C10" s="8">
        <f>C7*(C9/100)</f>
        <v>136.6</v>
      </c>
      <c r="D10" s="9" t="s">
        <v>15</v>
      </c>
    </row>
    <row r="11" spans="2:8" x14ac:dyDescent="0.25">
      <c r="B11" s="105" t="s">
        <v>28</v>
      </c>
      <c r="C11" s="11">
        <v>10</v>
      </c>
      <c r="D11" s="12" t="s">
        <v>18</v>
      </c>
    </row>
    <row r="12" spans="2:8" ht="15.75" thickBot="1" x14ac:dyDescent="0.3">
      <c r="B12" s="106"/>
      <c r="C12" s="15">
        <f>C7*(C11/100)</f>
        <v>68.3</v>
      </c>
      <c r="D12" s="16" t="s">
        <v>15</v>
      </c>
    </row>
  </sheetData>
  <mergeCells count="3">
    <mergeCell ref="B9:B10"/>
    <mergeCell ref="B11:B12"/>
    <mergeCell ref="B2:D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C8FE2-EC58-4CEE-8618-D4FBA1505E36}">
  <dimension ref="B1:P18"/>
  <sheetViews>
    <sheetView zoomScaleNormal="100" workbookViewId="0">
      <selection activeCell="C4" sqref="C4"/>
    </sheetView>
  </sheetViews>
  <sheetFormatPr defaultRowHeight="15" x14ac:dyDescent="0.25"/>
  <cols>
    <col min="1" max="1" width="3.85546875" customWidth="1"/>
    <col min="2" max="2" width="29.7109375" bestFit="1" customWidth="1"/>
    <col min="3" max="3" width="12" bestFit="1" customWidth="1"/>
    <col min="4" max="4" width="18.7109375" bestFit="1" customWidth="1"/>
    <col min="5" max="5" width="27.7109375" bestFit="1" customWidth="1"/>
    <col min="7" max="7" width="7" bestFit="1" customWidth="1"/>
    <col min="8" max="8" width="9.42578125" bestFit="1" customWidth="1"/>
    <col min="9" max="9" width="10.5703125" bestFit="1" customWidth="1"/>
    <col min="10" max="10" width="9.85546875" bestFit="1" customWidth="1"/>
    <col min="11" max="11" width="8" bestFit="1" customWidth="1"/>
    <col min="12" max="13" width="7" bestFit="1" customWidth="1"/>
  </cols>
  <sheetData>
    <row r="1" spans="2:13" ht="15.75" thickBot="1" x14ac:dyDescent="0.3">
      <c r="I1" s="2"/>
      <c r="J1" s="2"/>
    </row>
    <row r="2" spans="2:13" ht="15.75" thickBot="1" x14ac:dyDescent="0.3">
      <c r="B2" s="112" t="s">
        <v>0</v>
      </c>
      <c r="C2" s="113"/>
      <c r="D2" s="113"/>
      <c r="E2" s="114"/>
      <c r="G2" s="115" t="s">
        <v>0</v>
      </c>
      <c r="H2" s="116"/>
      <c r="I2" s="116"/>
      <c r="J2" s="116"/>
      <c r="K2" s="116"/>
      <c r="L2" s="116"/>
      <c r="M2" s="117"/>
    </row>
    <row r="3" spans="2:13" ht="15.75" thickBot="1" x14ac:dyDescent="0.3">
      <c r="B3" s="39"/>
      <c r="C3" s="40" t="s">
        <v>53</v>
      </c>
      <c r="D3" s="40" t="s">
        <v>54</v>
      </c>
      <c r="E3" s="41" t="s">
        <v>55</v>
      </c>
      <c r="G3" s="118" t="s">
        <v>53</v>
      </c>
      <c r="H3" s="119"/>
      <c r="I3" s="119"/>
      <c r="J3" s="120"/>
      <c r="K3" s="118" t="s">
        <v>64</v>
      </c>
      <c r="L3" s="119"/>
      <c r="M3" s="120"/>
    </row>
    <row r="4" spans="2:13" x14ac:dyDescent="0.25">
      <c r="B4" s="25" t="s">
        <v>8</v>
      </c>
      <c r="C4" s="26">
        <v>265</v>
      </c>
      <c r="D4" s="26">
        <v>0.81294</v>
      </c>
      <c r="E4" s="27">
        <f>C4*D4^2</f>
        <v>175.130932554</v>
      </c>
      <c r="G4" s="17" t="s">
        <v>8</v>
      </c>
      <c r="H4" s="18" t="s">
        <v>9</v>
      </c>
      <c r="I4" s="18" t="s">
        <v>10</v>
      </c>
      <c r="J4" s="19" t="s">
        <v>11</v>
      </c>
      <c r="K4" s="20" t="s">
        <v>65</v>
      </c>
      <c r="L4" s="18" t="s">
        <v>63</v>
      </c>
      <c r="M4" s="19" t="s">
        <v>62</v>
      </c>
    </row>
    <row r="5" spans="2:13" ht="15.75" thickBot="1" x14ac:dyDescent="0.3">
      <c r="B5" s="31" t="s">
        <v>9</v>
      </c>
      <c r="C5" s="32">
        <v>241</v>
      </c>
      <c r="D5" s="32">
        <v>1.4053</v>
      </c>
      <c r="E5" s="33">
        <f t="shared" ref="E5:E7" si="0">C5*D5^2</f>
        <v>475.94320969</v>
      </c>
      <c r="G5" s="21">
        <v>265</v>
      </c>
      <c r="H5" s="22">
        <v>241</v>
      </c>
      <c r="I5" s="22">
        <v>687</v>
      </c>
      <c r="J5" s="23">
        <v>687</v>
      </c>
      <c r="K5" s="24">
        <v>0.81294</v>
      </c>
      <c r="L5" s="22">
        <v>1.5847</v>
      </c>
      <c r="M5" s="23">
        <v>1.4053</v>
      </c>
    </row>
    <row r="6" spans="2:13" x14ac:dyDescent="0.25">
      <c r="B6" s="28" t="s">
        <v>10</v>
      </c>
      <c r="C6" s="29">
        <v>687</v>
      </c>
      <c r="D6" s="29">
        <v>1.5847</v>
      </c>
      <c r="E6" s="30">
        <f t="shared" si="0"/>
        <v>1725.24529983</v>
      </c>
      <c r="J6" s="2"/>
    </row>
    <row r="7" spans="2:13" ht="15.75" thickBot="1" x14ac:dyDescent="0.3">
      <c r="B7" s="34" t="s">
        <v>11</v>
      </c>
      <c r="C7" s="35">
        <v>687</v>
      </c>
      <c r="D7" s="35">
        <v>1.4053</v>
      </c>
      <c r="E7" s="36">
        <f t="shared" si="0"/>
        <v>1356.7343778300001</v>
      </c>
      <c r="J7" s="2"/>
    </row>
    <row r="8" spans="2:13" ht="15.75" thickBot="1" x14ac:dyDescent="0.3">
      <c r="B8" s="42"/>
      <c r="C8" s="43"/>
      <c r="D8" s="37" t="s">
        <v>12</v>
      </c>
      <c r="E8" s="38">
        <f t="shared" ref="E8" si="1">SUM(E4:E7)</f>
        <v>3733.0538199040002</v>
      </c>
      <c r="I8" s="2"/>
    </row>
    <row r="9" spans="2:13" ht="15.75" thickBot="1" x14ac:dyDescent="0.3">
      <c r="C9" s="2"/>
    </row>
    <row r="10" spans="2:13" ht="15.75" thickBot="1" x14ac:dyDescent="0.3">
      <c r="B10" s="110" t="s">
        <v>1</v>
      </c>
      <c r="C10" s="111"/>
      <c r="D10" s="1"/>
    </row>
    <row r="11" spans="2:13" x14ac:dyDescent="0.25">
      <c r="B11" s="90" t="s">
        <v>56</v>
      </c>
      <c r="C11" s="45">
        <f>Data!C3*0.53</f>
        <v>1.5847000000000002</v>
      </c>
      <c r="G11" s="2"/>
      <c r="H11" s="2"/>
    </row>
    <row r="12" spans="2:13" ht="15.75" thickBot="1" x14ac:dyDescent="0.3">
      <c r="B12" s="34" t="s">
        <v>57</v>
      </c>
      <c r="C12" s="91">
        <f>Data!C3-C11</f>
        <v>1.4053</v>
      </c>
    </row>
    <row r="13" spans="2:13" ht="15.75" thickBot="1" x14ac:dyDescent="0.3">
      <c r="B13" s="42"/>
      <c r="C13" s="42"/>
    </row>
    <row r="14" spans="2:13" x14ac:dyDescent="0.25">
      <c r="B14" s="93" t="s">
        <v>58</v>
      </c>
      <c r="C14" s="27">
        <f>E8/(Data!C5*C11)</f>
        <v>1.253023869174513</v>
      </c>
    </row>
    <row r="15" spans="2:13" ht="15.75" thickBot="1" x14ac:dyDescent="0.3">
      <c r="B15" s="34" t="s">
        <v>59</v>
      </c>
      <c r="C15" s="91">
        <f>C12-C14</f>
        <v>0.15227613082548697</v>
      </c>
    </row>
    <row r="16" spans="2:13" ht="15.75" thickBot="1" x14ac:dyDescent="0.3">
      <c r="B16" s="42"/>
      <c r="C16" s="42"/>
    </row>
    <row r="17" spans="2:16" ht="15.75" thickBot="1" x14ac:dyDescent="0.3">
      <c r="B17" s="94" t="s">
        <v>2</v>
      </c>
      <c r="C17" s="92">
        <f>E8/(Data!C5*C11*C12)</f>
        <v>0.89164154925959804</v>
      </c>
      <c r="P17" t="s">
        <v>69</v>
      </c>
    </row>
    <row r="18" spans="2:16" x14ac:dyDescent="0.25">
      <c r="B18" s="42"/>
      <c r="C18" s="42"/>
    </row>
  </sheetData>
  <mergeCells count="5">
    <mergeCell ref="B10:C10"/>
    <mergeCell ref="B2:E2"/>
    <mergeCell ref="G2:M2"/>
    <mergeCell ref="G3:J3"/>
    <mergeCell ref="K3:M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90A74-0682-4C8B-BB66-DC09D0AE908F}">
  <dimension ref="B1:X22"/>
  <sheetViews>
    <sheetView tabSelected="1" zoomScaleNormal="100" workbookViewId="0">
      <selection activeCell="D22" sqref="D22"/>
    </sheetView>
  </sheetViews>
  <sheetFormatPr defaultRowHeight="15" x14ac:dyDescent="0.25"/>
  <cols>
    <col min="1" max="1" width="5.28515625" customWidth="1"/>
    <col min="2" max="2" width="5.140625" bestFit="1" customWidth="1"/>
    <col min="3" max="3" width="12" bestFit="1" customWidth="1"/>
    <col min="4" max="4" width="12.42578125" bestFit="1" customWidth="1"/>
    <col min="5" max="5" width="16.28515625" bestFit="1" customWidth="1"/>
    <col min="6" max="6" width="7.5703125" bestFit="1" customWidth="1"/>
    <col min="7" max="7" width="13.5703125" customWidth="1"/>
    <col min="8" max="8" width="10.7109375" customWidth="1"/>
    <col min="9" max="9" width="12" bestFit="1" customWidth="1"/>
    <col min="10" max="10" width="7.140625" customWidth="1"/>
    <col min="11" max="11" width="12" bestFit="1" customWidth="1"/>
    <col min="12" max="12" width="7.140625" customWidth="1"/>
    <col min="13" max="13" width="13.28515625" customWidth="1"/>
    <col min="14" max="14" width="5.7109375" bestFit="1" customWidth="1"/>
    <col min="15" max="15" width="10.42578125" bestFit="1" customWidth="1"/>
    <col min="16" max="16" width="24.28515625" bestFit="1" customWidth="1"/>
    <col min="18" max="18" width="4" bestFit="1" customWidth="1"/>
    <col min="19" max="19" width="19" bestFit="1" customWidth="1"/>
    <col min="20" max="20" width="20.140625" bestFit="1" customWidth="1"/>
    <col min="21" max="21" width="19.7109375" bestFit="1" customWidth="1"/>
    <col min="22" max="23" width="19.42578125" bestFit="1" customWidth="1"/>
    <col min="24" max="24" width="20.42578125" bestFit="1" customWidth="1"/>
  </cols>
  <sheetData>
    <row r="1" spans="2:24" ht="15.75" thickBot="1" x14ac:dyDescent="0.3"/>
    <row r="2" spans="2:24" ht="45.75" thickBot="1" x14ac:dyDescent="0.3">
      <c r="B2" s="39" t="s">
        <v>25</v>
      </c>
      <c r="C2" s="40" t="s">
        <v>26</v>
      </c>
      <c r="D2" s="40" t="s">
        <v>27</v>
      </c>
      <c r="E2" s="44" t="s">
        <v>66</v>
      </c>
      <c r="M2" s="2"/>
      <c r="N2" s="2"/>
      <c r="R2" s="2"/>
    </row>
    <row r="3" spans="2:24" ht="15.75" thickBot="1" x14ac:dyDescent="0.3">
      <c r="B3" s="46">
        <v>1</v>
      </c>
      <c r="C3" s="47">
        <v>3.3969999999999998</v>
      </c>
      <c r="D3" s="47">
        <f>C3*3.88</f>
        <v>13.180359999999999</v>
      </c>
      <c r="E3" s="48">
        <f>Data!$C$8/D3</f>
        <v>455.22277084996165</v>
      </c>
      <c r="M3" s="2"/>
      <c r="N3" s="102"/>
      <c r="O3" s="75" t="s">
        <v>43</v>
      </c>
      <c r="P3" s="76" t="s">
        <v>44</v>
      </c>
      <c r="R3" s="103"/>
      <c r="S3" s="118" t="s">
        <v>34</v>
      </c>
      <c r="T3" s="120"/>
      <c r="U3" s="118" t="s">
        <v>36</v>
      </c>
      <c r="V3" s="119"/>
      <c r="W3" s="120"/>
      <c r="X3" s="80" t="s">
        <v>48</v>
      </c>
    </row>
    <row r="4" spans="2:24" ht="15.75" thickBot="1" x14ac:dyDescent="0.3">
      <c r="B4" s="49">
        <v>2</v>
      </c>
      <c r="C4" s="50">
        <v>2.1859999999999999</v>
      </c>
      <c r="D4" s="50">
        <f>C4*3.88</f>
        <v>8.481679999999999</v>
      </c>
      <c r="E4" s="51">
        <f>Data!$C$8/D4</f>
        <v>707.40702313692577</v>
      </c>
      <c r="N4" s="73" t="s">
        <v>45</v>
      </c>
      <c r="O4" s="77">
        <v>0.34100000000000003</v>
      </c>
      <c r="P4" s="48">
        <f>(D20/0.341)*2</f>
        <v>3205.3269739390239</v>
      </c>
      <c r="R4" s="79" t="s">
        <v>35</v>
      </c>
      <c r="S4" s="39" t="s">
        <v>37</v>
      </c>
      <c r="T4" s="41" t="s">
        <v>40</v>
      </c>
      <c r="U4" s="39" t="s">
        <v>38</v>
      </c>
      <c r="V4" s="40" t="s">
        <v>39</v>
      </c>
      <c r="W4" s="41" t="s">
        <v>40</v>
      </c>
      <c r="X4" s="80" t="s">
        <v>40</v>
      </c>
    </row>
    <row r="5" spans="2:24" ht="15.75" thickBot="1" x14ac:dyDescent="0.3">
      <c r="B5" s="52">
        <v>3</v>
      </c>
      <c r="C5" s="53">
        <v>1.6259999999999999</v>
      </c>
      <c r="D5" s="53">
        <f t="shared" ref="D5:D9" si="0">C5*3.88</f>
        <v>6.3088799999999994</v>
      </c>
      <c r="E5" s="54">
        <f>Data!$C$8/D5</f>
        <v>951.04043823943402</v>
      </c>
      <c r="N5" s="74" t="s">
        <v>46</v>
      </c>
      <c r="O5" s="78">
        <v>0.35699999999999998</v>
      </c>
      <c r="P5" s="57">
        <f>(((Data!C7*D3)/2)/0.357)*2</f>
        <v>25216.206946778711</v>
      </c>
      <c r="R5" s="81">
        <v>0.2</v>
      </c>
      <c r="S5" s="46">
        <f>(1880*0.53*9.81)*R5</f>
        <v>1954.9368000000004</v>
      </c>
      <c r="T5" s="48">
        <f>S5/1880</f>
        <v>1.0398600000000002</v>
      </c>
      <c r="U5" s="46">
        <f>IF(((1880*0.47*9.81)*R5)&gt;$P$4,$P$4,(1880*0.47*9.81)*R5)</f>
        <v>1733.6232</v>
      </c>
      <c r="V5" s="47">
        <f>S5+U5</f>
        <v>3688.5600000000004</v>
      </c>
      <c r="W5" s="48">
        <f>V5/1880</f>
        <v>1.9620000000000002</v>
      </c>
      <c r="X5" s="82">
        <f>W5-T5</f>
        <v>0.92213999999999996</v>
      </c>
    </row>
    <row r="6" spans="2:24" x14ac:dyDescent="0.25">
      <c r="B6" s="49">
        <v>4</v>
      </c>
      <c r="C6" s="50">
        <v>1.2849999999999999</v>
      </c>
      <c r="D6" s="50">
        <f t="shared" si="0"/>
        <v>4.9857999999999993</v>
      </c>
      <c r="E6" s="51">
        <f>Data!$C$8/D6</f>
        <v>1203.4177062858521</v>
      </c>
      <c r="R6" s="85">
        <v>0.6</v>
      </c>
      <c r="S6" s="49">
        <f>(1880*0.53*9.81)*R6</f>
        <v>5864.8104000000003</v>
      </c>
      <c r="T6" s="51">
        <f t="shared" ref="T6" si="1">S6/1880</f>
        <v>3.11958</v>
      </c>
      <c r="U6" s="49">
        <f>IF(((1880*0.47*9.81)*R6)&gt;$P$4,$P$4,(1880*0.47*9.81)*R6)</f>
        <v>3205.3269739390239</v>
      </c>
      <c r="V6" s="50">
        <f>S6+U6</f>
        <v>9070.1373739390237</v>
      </c>
      <c r="W6" s="51">
        <f t="shared" ref="W6:W7" si="2">V6/1880</f>
        <v>4.8245411563505449</v>
      </c>
      <c r="X6" s="86">
        <f>W6-T6</f>
        <v>1.7049611563505449</v>
      </c>
    </row>
    <row r="7" spans="2:24" ht="15.75" thickBot="1" x14ac:dyDescent="0.3">
      <c r="B7" s="52">
        <v>5</v>
      </c>
      <c r="C7" s="53">
        <v>1.0289999999999999</v>
      </c>
      <c r="D7" s="53">
        <f t="shared" si="0"/>
        <v>3.9925199999999994</v>
      </c>
      <c r="E7" s="54">
        <f>Data!$C$8/D7</f>
        <v>1502.8102551771815</v>
      </c>
      <c r="R7" s="83">
        <v>0.9</v>
      </c>
      <c r="S7" s="21">
        <f>(1880*0.53*9.81)*R7</f>
        <v>8797.2156000000014</v>
      </c>
      <c r="T7" s="23">
        <f>S7/1880</f>
        <v>4.6793700000000005</v>
      </c>
      <c r="U7" s="21">
        <f>IF(((1880*0.47*9.81)*R7)&gt;$P$4,$P$4,(1880*0.47*9.81)*R7)</f>
        <v>3205.3269739390239</v>
      </c>
      <c r="V7" s="22">
        <f>S7+U7</f>
        <v>12002.542573939025</v>
      </c>
      <c r="W7" s="23">
        <f t="shared" si="2"/>
        <v>6.3843311563505454</v>
      </c>
      <c r="X7" s="84">
        <f>W7-T7</f>
        <v>1.7049611563505449</v>
      </c>
    </row>
    <row r="8" spans="2:24" x14ac:dyDescent="0.25">
      <c r="B8" s="49">
        <v>6</v>
      </c>
      <c r="C8" s="50">
        <v>0.83899999999999997</v>
      </c>
      <c r="D8" s="50">
        <f t="shared" si="0"/>
        <v>3.2553199999999998</v>
      </c>
      <c r="E8" s="51">
        <f>Data!$C$8/D8</f>
        <v>1843.1367730361378</v>
      </c>
    </row>
    <row r="9" spans="2:24" ht="15.75" thickBot="1" x14ac:dyDescent="0.3">
      <c r="B9" s="52">
        <v>7</v>
      </c>
      <c r="C9" s="53">
        <v>0.63400000000000001</v>
      </c>
      <c r="D9" s="53">
        <f t="shared" si="0"/>
        <v>2.4599199999999999</v>
      </c>
      <c r="E9" s="54">
        <f>Data!$C$8/D9</f>
        <v>2439.1037106897788</v>
      </c>
      <c r="S9" s="125"/>
      <c r="T9" s="125"/>
      <c r="U9" s="125"/>
      <c r="V9" s="125"/>
    </row>
    <row r="10" spans="2:24" ht="45.75" thickBot="1" x14ac:dyDescent="0.3">
      <c r="B10" s="126" t="s">
        <v>47</v>
      </c>
      <c r="C10" s="127"/>
      <c r="D10" s="127"/>
      <c r="E10" s="128"/>
      <c r="S10" s="100" t="s">
        <v>49</v>
      </c>
      <c r="T10" s="101" t="s">
        <v>50</v>
      </c>
      <c r="U10" s="101" t="s">
        <v>51</v>
      </c>
      <c r="V10" s="44" t="s">
        <v>52</v>
      </c>
    </row>
    <row r="11" spans="2:24" ht="15.75" thickBot="1" x14ac:dyDescent="0.3">
      <c r="B11" s="52">
        <v>1</v>
      </c>
      <c r="C11" s="53"/>
      <c r="D11" s="53">
        <f>D4/1.06</f>
        <v>8.0015849056603763</v>
      </c>
      <c r="E11" s="54">
        <f>Data!$C$8/D11</f>
        <v>749.85144452514135</v>
      </c>
      <c r="S11" s="87">
        <f>D20</f>
        <v>546.50824905660363</v>
      </c>
      <c r="T11" s="88">
        <f>S11/0.341</f>
        <v>1602.663486969512</v>
      </c>
      <c r="U11" s="88">
        <f>T11*(1.676/2)</f>
        <v>1343.0320020804509</v>
      </c>
      <c r="V11" s="89">
        <f>U11/'Lumped Mass Model'!E8</f>
        <v>0.35976765052773563</v>
      </c>
    </row>
    <row r="12" spans="2:24" ht="15.75" thickBot="1" x14ac:dyDescent="0.3">
      <c r="B12" s="55">
        <v>2</v>
      </c>
      <c r="C12" s="56"/>
      <c r="D12" s="56">
        <f>D6/1.06</f>
        <v>4.7035849056603762</v>
      </c>
      <c r="E12" s="57">
        <f>Data!$C$8/D12</f>
        <v>1275.6227686630032</v>
      </c>
    </row>
    <row r="14" spans="2:24" ht="15.75" thickBot="1" x14ac:dyDescent="0.3"/>
    <row r="15" spans="2:24" ht="15.75" thickBot="1" x14ac:dyDescent="0.3">
      <c r="B15" s="58" t="s">
        <v>25</v>
      </c>
      <c r="C15" s="118" t="s">
        <v>42</v>
      </c>
      <c r="D15" s="119"/>
      <c r="E15" s="119"/>
      <c r="F15" s="120"/>
      <c r="G15" s="123" t="s">
        <v>67</v>
      </c>
      <c r="H15" s="124"/>
      <c r="I15" s="118" t="s">
        <v>68</v>
      </c>
      <c r="J15" s="119"/>
      <c r="K15" s="119"/>
      <c r="L15" s="120"/>
    </row>
    <row r="16" spans="2:24" x14ac:dyDescent="0.25">
      <c r="B16" s="59">
        <v>1</v>
      </c>
      <c r="C16" s="59">
        <f>E11-E3</f>
        <v>294.6286736751797</v>
      </c>
      <c r="D16" s="60" t="s">
        <v>16</v>
      </c>
      <c r="E16" s="61">
        <f>(C16/60)*2*PI()</f>
        <v>30.853442558494965</v>
      </c>
      <c r="F16" s="62" t="s">
        <v>30</v>
      </c>
      <c r="G16" s="63">
        <f>Data!C12*D11</f>
        <v>546.50824905660363</v>
      </c>
      <c r="H16" s="64" t="s">
        <v>15</v>
      </c>
      <c r="I16" s="59">
        <f>G16*E16</f>
        <v>16861.660870011579</v>
      </c>
      <c r="J16" s="60" t="s">
        <v>32</v>
      </c>
      <c r="K16" s="61">
        <f>I16/1000</f>
        <v>16.86166087001158</v>
      </c>
      <c r="L16" s="62" t="s">
        <v>29</v>
      </c>
    </row>
    <row r="17" spans="2:12" ht="15.75" thickBot="1" x14ac:dyDescent="0.3">
      <c r="B17" s="65">
        <v>2</v>
      </c>
      <c r="C17" s="65">
        <f>E12-E5</f>
        <v>324.58233042356915</v>
      </c>
      <c r="D17" s="66" t="s">
        <v>16</v>
      </c>
      <c r="E17" s="67">
        <f>(C17/60)*2*PI()</f>
        <v>33.990182158124654</v>
      </c>
      <c r="F17" s="68" t="s">
        <v>30</v>
      </c>
      <c r="G17" s="69">
        <f>Data!C12*D12</f>
        <v>321.25484905660369</v>
      </c>
      <c r="H17" s="70" t="s">
        <v>15</v>
      </c>
      <c r="I17" s="65">
        <f>G17*E17</f>
        <v>10919.510838614799</v>
      </c>
      <c r="J17" s="66" t="s">
        <v>32</v>
      </c>
      <c r="K17" s="67">
        <f>I17/1000</f>
        <v>10.919510838614798</v>
      </c>
      <c r="L17" s="68" t="s">
        <v>29</v>
      </c>
    </row>
    <row r="20" spans="2:12" x14ac:dyDescent="0.25">
      <c r="B20" s="121" t="s">
        <v>31</v>
      </c>
      <c r="C20" s="122"/>
      <c r="D20" s="8">
        <f>G16</f>
        <v>546.50824905660363</v>
      </c>
      <c r="E20" s="71" t="s">
        <v>15</v>
      </c>
    </row>
    <row r="21" spans="2:12" ht="33" customHeight="1" x14ac:dyDescent="0.25">
      <c r="B21" s="129" t="s">
        <v>70</v>
      </c>
      <c r="C21" s="130"/>
      <c r="D21" s="11">
        <v>0.2</v>
      </c>
      <c r="E21" s="72" t="s">
        <v>7</v>
      </c>
    </row>
    <row r="22" spans="2:12" x14ac:dyDescent="0.25">
      <c r="B22" s="121" t="s">
        <v>33</v>
      </c>
      <c r="C22" s="122"/>
      <c r="D22" s="8">
        <f>D20/(4*0.1*D21)</f>
        <v>6831.3531132075441</v>
      </c>
      <c r="E22" s="71" t="s">
        <v>71</v>
      </c>
    </row>
  </sheetData>
  <mergeCells count="10">
    <mergeCell ref="U3:W3"/>
    <mergeCell ref="B20:C20"/>
    <mergeCell ref="B21:C21"/>
    <mergeCell ref="S9:V9"/>
    <mergeCell ref="B10:E10"/>
    <mergeCell ref="B22:C22"/>
    <mergeCell ref="G15:H15"/>
    <mergeCell ref="I15:L15"/>
    <mergeCell ref="C15:F15"/>
    <mergeCell ref="S3:T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Lumped Mass Model</vt:lpstr>
      <vt:lpstr>Torque Vectoring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 Chignell</dc:creator>
  <cp:lastModifiedBy>sam__</cp:lastModifiedBy>
  <dcterms:created xsi:type="dcterms:W3CDTF">2020-05-16T13:03:32Z</dcterms:created>
  <dcterms:modified xsi:type="dcterms:W3CDTF">2020-05-20T05:34:18Z</dcterms:modified>
</cp:coreProperties>
</file>