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 Parry\Documents\Uni\4th Year\Hybrid and Electric Vehicles\"/>
    </mc:Choice>
  </mc:AlternateContent>
  <xr:revisionPtr revIDLastSave="0" documentId="13_ncr:1_{5FF6AFC0-D304-4B92-A229-F9D032CBF9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BSFC" sheetId="3" r:id="rId2"/>
    <sheet name="Graphs" sheetId="4" r:id="rId3"/>
    <sheet name="Track Map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7" i="1" l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6" i="1"/>
  <c r="AM85" i="1"/>
  <c r="AM82" i="1"/>
  <c r="AM81" i="1"/>
  <c r="I2" i="1"/>
  <c r="K2" i="1" s="1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22" i="3"/>
  <c r="S12" i="1" l="1"/>
  <c r="S24" i="1"/>
  <c r="S36" i="1"/>
  <c r="S48" i="1"/>
  <c r="S60" i="1"/>
  <c r="S72" i="1"/>
  <c r="S84" i="1"/>
  <c r="S96" i="1"/>
  <c r="S108" i="1"/>
  <c r="S120" i="1"/>
  <c r="S132" i="1"/>
  <c r="S144" i="1"/>
  <c r="S156" i="1"/>
  <c r="S27" i="1"/>
  <c r="S75" i="1"/>
  <c r="S123" i="1"/>
  <c r="S159" i="1"/>
  <c r="S40" i="1"/>
  <c r="S88" i="1"/>
  <c r="S136" i="1"/>
  <c r="S104" i="1"/>
  <c r="S69" i="1"/>
  <c r="S117" i="1"/>
  <c r="S46" i="1"/>
  <c r="S154" i="1"/>
  <c r="S13" i="1"/>
  <c r="S25" i="1"/>
  <c r="S37" i="1"/>
  <c r="S49" i="1"/>
  <c r="S61" i="1"/>
  <c r="S73" i="1"/>
  <c r="S85" i="1"/>
  <c r="S97" i="1"/>
  <c r="S109" i="1"/>
  <c r="S121" i="1"/>
  <c r="S133" i="1"/>
  <c r="S145" i="1"/>
  <c r="S157" i="1"/>
  <c r="S39" i="1"/>
  <c r="S63" i="1"/>
  <c r="S99" i="1"/>
  <c r="S135" i="1"/>
  <c r="S28" i="1"/>
  <c r="S64" i="1"/>
  <c r="S112" i="1"/>
  <c r="S148" i="1"/>
  <c r="S68" i="1"/>
  <c r="S45" i="1"/>
  <c r="S129" i="1"/>
  <c r="S34" i="1"/>
  <c r="S130" i="1"/>
  <c r="AC3" i="1"/>
  <c r="AG3" i="1" s="1"/>
  <c r="S14" i="1"/>
  <c r="S26" i="1"/>
  <c r="S38" i="1"/>
  <c r="S50" i="1"/>
  <c r="S62" i="1"/>
  <c r="S74" i="1"/>
  <c r="S86" i="1"/>
  <c r="S98" i="1"/>
  <c r="S110" i="1"/>
  <c r="S122" i="1"/>
  <c r="S134" i="1"/>
  <c r="S146" i="1"/>
  <c r="S158" i="1"/>
  <c r="S15" i="1"/>
  <c r="S51" i="1"/>
  <c r="S87" i="1"/>
  <c r="S111" i="1"/>
  <c r="S147" i="1"/>
  <c r="AA3" i="1"/>
  <c r="AE3" i="1" s="1"/>
  <c r="S16" i="1"/>
  <c r="S52" i="1"/>
  <c r="S100" i="1"/>
  <c r="S124" i="1"/>
  <c r="S160" i="1"/>
  <c r="S116" i="1"/>
  <c r="S93" i="1"/>
  <c r="S153" i="1"/>
  <c r="S94" i="1"/>
  <c r="AB3" i="1"/>
  <c r="AF3" i="1" s="1"/>
  <c r="S152" i="1"/>
  <c r="S6" i="1"/>
  <c r="S70" i="1"/>
  <c r="S76" i="1"/>
  <c r="S44" i="1"/>
  <c r="S128" i="1"/>
  <c r="S21" i="1"/>
  <c r="S10" i="1"/>
  <c r="S142" i="1"/>
  <c r="S17" i="1"/>
  <c r="S29" i="1"/>
  <c r="S41" i="1"/>
  <c r="S53" i="1"/>
  <c r="S65" i="1"/>
  <c r="S77" i="1"/>
  <c r="S89" i="1"/>
  <c r="S101" i="1"/>
  <c r="S113" i="1"/>
  <c r="S125" i="1"/>
  <c r="S137" i="1"/>
  <c r="S149" i="1"/>
  <c r="S161" i="1"/>
  <c r="S18" i="1"/>
  <c r="S30" i="1"/>
  <c r="S42" i="1"/>
  <c r="S54" i="1"/>
  <c r="S66" i="1"/>
  <c r="S78" i="1"/>
  <c r="S90" i="1"/>
  <c r="S102" i="1"/>
  <c r="S114" i="1"/>
  <c r="S126" i="1"/>
  <c r="S138" i="1"/>
  <c r="S150" i="1"/>
  <c r="S162" i="1"/>
  <c r="S19" i="1"/>
  <c r="S31" i="1"/>
  <c r="S43" i="1"/>
  <c r="S55" i="1"/>
  <c r="S67" i="1"/>
  <c r="S79" i="1"/>
  <c r="S91" i="1"/>
  <c r="S103" i="1"/>
  <c r="S115" i="1"/>
  <c r="S127" i="1"/>
  <c r="S139" i="1"/>
  <c r="S151" i="1"/>
  <c r="S163" i="1"/>
  <c r="S8" i="1"/>
  <c r="S56" i="1"/>
  <c r="S92" i="1"/>
  <c r="S140" i="1"/>
  <c r="S57" i="1"/>
  <c r="S106" i="1"/>
  <c r="S20" i="1"/>
  <c r="S7" i="1"/>
  <c r="S32" i="1"/>
  <c r="S164" i="1"/>
  <c r="S81" i="1"/>
  <c r="S141" i="1"/>
  <c r="S22" i="1"/>
  <c r="S118" i="1"/>
  <c r="S9" i="1"/>
  <c r="S82" i="1"/>
  <c r="S11" i="1"/>
  <c r="S23" i="1"/>
  <c r="S35" i="1"/>
  <c r="S47" i="1"/>
  <c r="S59" i="1"/>
  <c r="S71" i="1"/>
  <c r="S83" i="1"/>
  <c r="S95" i="1"/>
  <c r="S107" i="1"/>
  <c r="S119" i="1"/>
  <c r="S131" i="1"/>
  <c r="S143" i="1"/>
  <c r="S155" i="1"/>
  <c r="S80" i="1"/>
  <c r="S33" i="1"/>
  <c r="S105" i="1"/>
  <c r="S58" i="1"/>
  <c r="AE16" i="1" l="1"/>
  <c r="AE149" i="1"/>
  <c r="L26" i="3"/>
  <c r="L35" i="3"/>
  <c r="L36" i="3"/>
  <c r="L37" i="3"/>
  <c r="L38" i="3"/>
  <c r="K25" i="3"/>
  <c r="L25" i="3" s="1"/>
  <c r="K26" i="3"/>
  <c r="K27" i="3"/>
  <c r="L27" i="3" s="1"/>
  <c r="K28" i="3"/>
  <c r="L28" i="3" s="1"/>
  <c r="K29" i="3"/>
  <c r="L29" i="3" s="1"/>
  <c r="K30" i="3"/>
  <c r="L30" i="3" s="1"/>
  <c r="K31" i="3"/>
  <c r="L31" i="3" s="1"/>
  <c r="K32" i="3"/>
  <c r="L32" i="3" s="1"/>
  <c r="K33" i="3"/>
  <c r="L33" i="3" s="1"/>
  <c r="K34" i="3"/>
  <c r="L34" i="3" s="1"/>
  <c r="K35" i="3"/>
  <c r="K36" i="3"/>
  <c r="K38" i="3"/>
  <c r="K39" i="3"/>
  <c r="L39" i="3" s="1"/>
  <c r="K37" i="3"/>
  <c r="G135" i="1"/>
  <c r="G140" i="1"/>
  <c r="G139" i="1"/>
  <c r="G138" i="1"/>
  <c r="L138" i="1" s="1"/>
  <c r="G6" i="1"/>
  <c r="G7" i="1"/>
  <c r="L7" i="1" s="1"/>
  <c r="G8" i="1"/>
  <c r="G9" i="1"/>
  <c r="G10" i="1"/>
  <c r="G11" i="1"/>
  <c r="G12" i="1"/>
  <c r="L12" i="1" s="1"/>
  <c r="G13" i="1"/>
  <c r="L13" i="1" s="1"/>
  <c r="G14" i="1"/>
  <c r="G15" i="1"/>
  <c r="G16" i="1"/>
  <c r="G17" i="1"/>
  <c r="G18" i="1"/>
  <c r="L18" i="1" s="1"/>
  <c r="G19" i="1"/>
  <c r="L19" i="1" s="1"/>
  <c r="G20" i="1"/>
  <c r="G21" i="1"/>
  <c r="G22" i="1"/>
  <c r="G23" i="1"/>
  <c r="G24" i="1"/>
  <c r="G25" i="1"/>
  <c r="G26" i="1"/>
  <c r="G27" i="1"/>
  <c r="G28" i="1"/>
  <c r="G29" i="1"/>
  <c r="G30" i="1"/>
  <c r="L30" i="1" s="1"/>
  <c r="G31" i="1"/>
  <c r="L31" i="1" s="1"/>
  <c r="G32" i="1"/>
  <c r="G33" i="1"/>
  <c r="G34" i="1"/>
  <c r="G35" i="1"/>
  <c r="L35" i="1" s="1"/>
  <c r="G36" i="1"/>
  <c r="G37" i="1"/>
  <c r="G38" i="1"/>
  <c r="G39" i="1"/>
  <c r="G40" i="1"/>
  <c r="G41" i="1"/>
  <c r="G42" i="1"/>
  <c r="L42" i="1" s="1"/>
  <c r="G43" i="1"/>
  <c r="L43" i="1" s="1"/>
  <c r="G44" i="1"/>
  <c r="G45" i="1"/>
  <c r="G46" i="1"/>
  <c r="G47" i="1"/>
  <c r="G48" i="1"/>
  <c r="L48" i="1" s="1"/>
  <c r="G49" i="1"/>
  <c r="G50" i="1"/>
  <c r="G51" i="1"/>
  <c r="G52" i="1"/>
  <c r="G53" i="1"/>
  <c r="G54" i="1"/>
  <c r="L54" i="1" s="1"/>
  <c r="G55" i="1"/>
  <c r="L55" i="1" s="1"/>
  <c r="G56" i="1"/>
  <c r="G57" i="1"/>
  <c r="G58" i="1"/>
  <c r="G59" i="1"/>
  <c r="L59" i="1" s="1"/>
  <c r="G60" i="1"/>
  <c r="L60" i="1" s="1"/>
  <c r="G61" i="1"/>
  <c r="L61" i="1" s="1"/>
  <c r="G62" i="1"/>
  <c r="G63" i="1"/>
  <c r="G64" i="1"/>
  <c r="G65" i="1"/>
  <c r="G66" i="1"/>
  <c r="L66" i="1" s="1"/>
  <c r="G67" i="1"/>
  <c r="L67" i="1" s="1"/>
  <c r="G68" i="1"/>
  <c r="G69" i="1"/>
  <c r="G70" i="1"/>
  <c r="G71" i="1"/>
  <c r="G72" i="1"/>
  <c r="G73" i="1"/>
  <c r="G74" i="1"/>
  <c r="G75" i="1"/>
  <c r="G76" i="1"/>
  <c r="G77" i="1"/>
  <c r="G78" i="1"/>
  <c r="L78" i="1" s="1"/>
  <c r="G79" i="1"/>
  <c r="L79" i="1" s="1"/>
  <c r="G80" i="1"/>
  <c r="G81" i="1"/>
  <c r="G82" i="1"/>
  <c r="G83" i="1"/>
  <c r="G84" i="1"/>
  <c r="G85" i="1"/>
  <c r="G86" i="1"/>
  <c r="G87" i="1"/>
  <c r="G88" i="1"/>
  <c r="G89" i="1"/>
  <c r="G90" i="1"/>
  <c r="L90" i="1" s="1"/>
  <c r="G91" i="1"/>
  <c r="L91" i="1" s="1"/>
  <c r="G92" i="1"/>
  <c r="G93" i="1"/>
  <c r="L93" i="1" s="1"/>
  <c r="G94" i="1"/>
  <c r="G95" i="1"/>
  <c r="G96" i="1"/>
  <c r="L96" i="1" s="1"/>
  <c r="G97" i="1"/>
  <c r="G98" i="1"/>
  <c r="G99" i="1"/>
  <c r="G100" i="1"/>
  <c r="G101" i="1"/>
  <c r="G102" i="1"/>
  <c r="L102" i="1" s="1"/>
  <c r="G103" i="1"/>
  <c r="L103" i="1" s="1"/>
  <c r="G104" i="1"/>
  <c r="G105" i="1"/>
  <c r="G106" i="1"/>
  <c r="G107" i="1"/>
  <c r="G108" i="1"/>
  <c r="L108" i="1" s="1"/>
  <c r="G109" i="1"/>
  <c r="G110" i="1"/>
  <c r="G111" i="1"/>
  <c r="G112" i="1"/>
  <c r="G113" i="1"/>
  <c r="G114" i="1"/>
  <c r="L114" i="1" s="1"/>
  <c r="G115" i="1"/>
  <c r="L115" i="1" s="1"/>
  <c r="G116" i="1"/>
  <c r="G117" i="1"/>
  <c r="G118" i="1"/>
  <c r="G119" i="1"/>
  <c r="G120" i="1"/>
  <c r="G121" i="1"/>
  <c r="G122" i="1"/>
  <c r="G123" i="1"/>
  <c r="G124" i="1"/>
  <c r="G125" i="1"/>
  <c r="G126" i="1"/>
  <c r="L126" i="1" s="1"/>
  <c r="G127" i="1"/>
  <c r="G128" i="1"/>
  <c r="G129" i="1"/>
  <c r="G130" i="1"/>
  <c r="G131" i="1"/>
  <c r="G132" i="1"/>
  <c r="G133" i="1"/>
  <c r="G134" i="1"/>
  <c r="G136" i="1"/>
  <c r="G137" i="1"/>
  <c r="G141" i="1"/>
  <c r="G142" i="1"/>
  <c r="G143" i="1"/>
  <c r="G144" i="1"/>
  <c r="L144" i="1" s="1"/>
  <c r="G145" i="1"/>
  <c r="G146" i="1"/>
  <c r="G147" i="1"/>
  <c r="G148" i="1"/>
  <c r="G149" i="1"/>
  <c r="G150" i="1"/>
  <c r="L150" i="1" s="1"/>
  <c r="G151" i="1"/>
  <c r="G152" i="1"/>
  <c r="G153" i="1"/>
  <c r="N153" i="1" s="1"/>
  <c r="G154" i="1"/>
  <c r="G155" i="1"/>
  <c r="G156" i="1"/>
  <c r="L156" i="1" s="1"/>
  <c r="G157" i="1"/>
  <c r="L157" i="1" s="1"/>
  <c r="G158" i="1"/>
  <c r="G159" i="1"/>
  <c r="G160" i="1"/>
  <c r="G161" i="1"/>
  <c r="G162" i="1"/>
  <c r="L162" i="1" s="1"/>
  <c r="G163" i="1"/>
  <c r="G164" i="1"/>
  <c r="I6" i="1"/>
  <c r="A2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6" i="1"/>
  <c r="L45" i="1"/>
  <c r="N38" i="1" l="1"/>
  <c r="M34" i="1"/>
  <c r="M157" i="1"/>
  <c r="M61" i="1"/>
  <c r="M13" i="1"/>
  <c r="N9" i="1"/>
  <c r="M130" i="1"/>
  <c r="N136" i="1"/>
  <c r="N161" i="1"/>
  <c r="N87" i="1"/>
  <c r="M82" i="1"/>
  <c r="M109" i="1"/>
  <c r="N155" i="1"/>
  <c r="N115" i="1"/>
  <c r="N66" i="1"/>
  <c r="M44" i="1"/>
  <c r="N164" i="1"/>
  <c r="N139" i="1"/>
  <c r="M162" i="1"/>
  <c r="M139" i="1"/>
  <c r="M114" i="1"/>
  <c r="M91" i="1"/>
  <c r="M66" i="1"/>
  <c r="M43" i="1"/>
  <c r="M18" i="1"/>
  <c r="N148" i="1"/>
  <c r="N120" i="1"/>
  <c r="N96" i="1"/>
  <c r="N71" i="1"/>
  <c r="N48" i="1"/>
  <c r="N18" i="1"/>
  <c r="M160" i="1"/>
  <c r="M134" i="1"/>
  <c r="M112" i="1"/>
  <c r="M86" i="1"/>
  <c r="M64" i="1"/>
  <c r="M38" i="1"/>
  <c r="M16" i="1"/>
  <c r="N142" i="1"/>
  <c r="N118" i="1"/>
  <c r="N91" i="1"/>
  <c r="N69" i="1"/>
  <c r="N43" i="1"/>
  <c r="N13" i="1"/>
  <c r="M158" i="1"/>
  <c r="M133" i="1"/>
  <c r="M110" i="1"/>
  <c r="M85" i="1"/>
  <c r="M62" i="1"/>
  <c r="M37" i="1"/>
  <c r="M14" i="1"/>
  <c r="N141" i="1"/>
  <c r="N116" i="1"/>
  <c r="N90" i="1"/>
  <c r="N67" i="1"/>
  <c r="N39" i="1"/>
  <c r="N12" i="1"/>
  <c r="M154" i="1"/>
  <c r="M129" i="1"/>
  <c r="M106" i="1"/>
  <c r="M81" i="1"/>
  <c r="M58" i="1"/>
  <c r="M10" i="1"/>
  <c r="N86" i="1"/>
  <c r="N63" i="1"/>
  <c r="N37" i="1"/>
  <c r="N135" i="1"/>
  <c r="N112" i="1"/>
  <c r="M150" i="1"/>
  <c r="M128" i="1"/>
  <c r="M102" i="1"/>
  <c r="M80" i="1"/>
  <c r="M54" i="1"/>
  <c r="M32" i="1"/>
  <c r="N6" i="1"/>
  <c r="N134" i="1"/>
  <c r="N107" i="1"/>
  <c r="N85" i="1"/>
  <c r="N59" i="1"/>
  <c r="N36" i="1"/>
  <c r="M148" i="1"/>
  <c r="M126" i="1"/>
  <c r="M100" i="1"/>
  <c r="M78" i="1"/>
  <c r="M52" i="1"/>
  <c r="M30" i="1"/>
  <c r="N159" i="1"/>
  <c r="N132" i="1"/>
  <c r="N105" i="1"/>
  <c r="N83" i="1"/>
  <c r="N57" i="1"/>
  <c r="N32" i="1"/>
  <c r="M147" i="1"/>
  <c r="M124" i="1"/>
  <c r="M99" i="1"/>
  <c r="M76" i="1"/>
  <c r="M51" i="1"/>
  <c r="M28" i="1"/>
  <c r="N158" i="1"/>
  <c r="N130" i="1"/>
  <c r="N104" i="1"/>
  <c r="N81" i="1"/>
  <c r="N56" i="1"/>
  <c r="N31" i="1"/>
  <c r="M33" i="1"/>
  <c r="M146" i="1"/>
  <c r="M123" i="1"/>
  <c r="M98" i="1"/>
  <c r="M75" i="1"/>
  <c r="M50" i="1"/>
  <c r="M27" i="1"/>
  <c r="N157" i="1"/>
  <c r="N129" i="1"/>
  <c r="N103" i="1"/>
  <c r="N80" i="1"/>
  <c r="N55" i="1"/>
  <c r="N27" i="1"/>
  <c r="N16" i="1"/>
  <c r="N28" i="1"/>
  <c r="N40" i="1"/>
  <c r="N52" i="1"/>
  <c r="N64" i="1"/>
  <c r="N76" i="1"/>
  <c r="N88" i="1"/>
  <c r="N100" i="1"/>
  <c r="N113" i="1"/>
  <c r="N125" i="1"/>
  <c r="N137" i="1"/>
  <c r="N152" i="1"/>
  <c r="M11" i="1"/>
  <c r="M23" i="1"/>
  <c r="M35" i="1"/>
  <c r="M47" i="1"/>
  <c r="M59" i="1"/>
  <c r="M71" i="1"/>
  <c r="M83" i="1"/>
  <c r="M95" i="1"/>
  <c r="M107" i="1"/>
  <c r="M119" i="1"/>
  <c r="M131" i="1"/>
  <c r="M143" i="1"/>
  <c r="M155" i="1"/>
  <c r="N17" i="1"/>
  <c r="N29" i="1"/>
  <c r="N41" i="1"/>
  <c r="N53" i="1"/>
  <c r="N65" i="1"/>
  <c r="N77" i="1"/>
  <c r="N89" i="1"/>
  <c r="N101" i="1"/>
  <c r="N114" i="1"/>
  <c r="N126" i="1"/>
  <c r="N138" i="1"/>
  <c r="N154" i="1"/>
  <c r="M12" i="1"/>
  <c r="M24" i="1"/>
  <c r="M36" i="1"/>
  <c r="M48" i="1"/>
  <c r="M60" i="1"/>
  <c r="M72" i="1"/>
  <c r="M84" i="1"/>
  <c r="M96" i="1"/>
  <c r="M108" i="1"/>
  <c r="M120" i="1"/>
  <c r="M132" i="1"/>
  <c r="M144" i="1"/>
  <c r="M156" i="1"/>
  <c r="N30" i="1"/>
  <c r="N42" i="1"/>
  <c r="N10" i="1"/>
  <c r="N22" i="1"/>
  <c r="N34" i="1"/>
  <c r="N46" i="1"/>
  <c r="N58" i="1"/>
  <c r="N70" i="1"/>
  <c r="N82" i="1"/>
  <c r="N94" i="1"/>
  <c r="N106" i="1"/>
  <c r="N119" i="1"/>
  <c r="N131" i="1"/>
  <c r="N145" i="1"/>
  <c r="N160" i="1"/>
  <c r="M17" i="1"/>
  <c r="M29" i="1"/>
  <c r="M41" i="1"/>
  <c r="M53" i="1"/>
  <c r="M65" i="1"/>
  <c r="M77" i="1"/>
  <c r="M89" i="1"/>
  <c r="M101" i="1"/>
  <c r="M113" i="1"/>
  <c r="M125" i="1"/>
  <c r="M137" i="1"/>
  <c r="M149" i="1"/>
  <c r="M161" i="1"/>
  <c r="N11" i="1"/>
  <c r="N23" i="1"/>
  <c r="N35" i="1"/>
  <c r="N24" i="1"/>
  <c r="N44" i="1"/>
  <c r="N60" i="1"/>
  <c r="N75" i="1"/>
  <c r="N92" i="1"/>
  <c r="N108" i="1"/>
  <c r="N124" i="1"/>
  <c r="N143" i="1"/>
  <c r="M7" i="1"/>
  <c r="M22" i="1"/>
  <c r="M39" i="1"/>
  <c r="M55" i="1"/>
  <c r="M70" i="1"/>
  <c r="M87" i="1"/>
  <c r="M103" i="1"/>
  <c r="M118" i="1"/>
  <c r="M135" i="1"/>
  <c r="M151" i="1"/>
  <c r="N7" i="1"/>
  <c r="N25" i="1"/>
  <c r="N45" i="1"/>
  <c r="N61" i="1"/>
  <c r="N78" i="1"/>
  <c r="N93" i="1"/>
  <c r="N110" i="1"/>
  <c r="N127" i="1"/>
  <c r="N144" i="1"/>
  <c r="M8" i="1"/>
  <c r="M25" i="1"/>
  <c r="M40" i="1"/>
  <c r="M56" i="1"/>
  <c r="M73" i="1"/>
  <c r="M88" i="1"/>
  <c r="M104" i="1"/>
  <c r="M121" i="1"/>
  <c r="M136" i="1"/>
  <c r="M152" i="1"/>
  <c r="N8" i="1"/>
  <c r="N26" i="1"/>
  <c r="N47" i="1"/>
  <c r="N62" i="1"/>
  <c r="N79" i="1"/>
  <c r="N95" i="1"/>
  <c r="N111" i="1"/>
  <c r="N128" i="1"/>
  <c r="N147" i="1"/>
  <c r="M9" i="1"/>
  <c r="M26" i="1"/>
  <c r="M42" i="1"/>
  <c r="M57" i="1"/>
  <c r="M74" i="1"/>
  <c r="M90" i="1"/>
  <c r="M105" i="1"/>
  <c r="M122" i="1"/>
  <c r="M138" i="1"/>
  <c r="M153" i="1"/>
  <c r="N14" i="1"/>
  <c r="N33" i="1"/>
  <c r="N51" i="1"/>
  <c r="N68" i="1"/>
  <c r="N84" i="1"/>
  <c r="N99" i="1"/>
  <c r="N117" i="1"/>
  <c r="N133" i="1"/>
  <c r="N151" i="1"/>
  <c r="M15" i="1"/>
  <c r="M31" i="1"/>
  <c r="M46" i="1"/>
  <c r="M63" i="1"/>
  <c r="M79" i="1"/>
  <c r="M94" i="1"/>
  <c r="M111" i="1"/>
  <c r="M127" i="1"/>
  <c r="M142" i="1"/>
  <c r="M159" i="1"/>
  <c r="N15" i="1"/>
  <c r="M6" i="1"/>
  <c r="M145" i="1"/>
  <c r="M117" i="1"/>
  <c r="M97" i="1"/>
  <c r="M69" i="1"/>
  <c r="M49" i="1"/>
  <c r="M21" i="1"/>
  <c r="N156" i="1"/>
  <c r="N123" i="1"/>
  <c r="N102" i="1"/>
  <c r="N74" i="1"/>
  <c r="N54" i="1"/>
  <c r="N21" i="1"/>
  <c r="M164" i="1"/>
  <c r="M141" i="1"/>
  <c r="M116" i="1"/>
  <c r="M93" i="1"/>
  <c r="M68" i="1"/>
  <c r="M45" i="1"/>
  <c r="M20" i="1"/>
  <c r="N150" i="1"/>
  <c r="N122" i="1"/>
  <c r="N98" i="1"/>
  <c r="N73" i="1"/>
  <c r="N50" i="1"/>
  <c r="N20" i="1"/>
  <c r="K6" i="1"/>
  <c r="M163" i="1"/>
  <c r="M140" i="1"/>
  <c r="M115" i="1"/>
  <c r="M92" i="1"/>
  <c r="M67" i="1"/>
  <c r="M19" i="1"/>
  <c r="N121" i="1"/>
  <c r="N97" i="1"/>
  <c r="N72" i="1"/>
  <c r="N49" i="1"/>
  <c r="N19" i="1"/>
  <c r="N109" i="1"/>
  <c r="L109" i="1"/>
  <c r="N149" i="1"/>
  <c r="N163" i="1"/>
  <c r="N140" i="1"/>
  <c r="N146" i="1"/>
  <c r="N162" i="1"/>
  <c r="L155" i="1"/>
  <c r="L141" i="1"/>
  <c r="L127" i="1"/>
  <c r="L139" i="1"/>
  <c r="L151" i="1"/>
  <c r="L107" i="1"/>
  <c r="L163" i="1"/>
  <c r="L161" i="1"/>
  <c r="L149" i="1"/>
  <c r="L137" i="1"/>
  <c r="L125" i="1"/>
  <c r="L113" i="1"/>
  <c r="L101" i="1"/>
  <c r="L89" i="1"/>
  <c r="L77" i="1"/>
  <c r="L65" i="1"/>
  <c r="L53" i="1"/>
  <c r="L41" i="1"/>
  <c r="L29" i="1"/>
  <c r="L17" i="1"/>
  <c r="H163" i="1"/>
  <c r="H160" i="1"/>
  <c r="H148" i="1"/>
  <c r="H136" i="1"/>
  <c r="H124" i="1"/>
  <c r="H112" i="1"/>
  <c r="H100" i="1"/>
  <c r="H88" i="1"/>
  <c r="H76" i="1"/>
  <c r="H64" i="1"/>
  <c r="H52" i="1"/>
  <c r="H40" i="1"/>
  <c r="H28" i="1"/>
  <c r="H16" i="1"/>
  <c r="H159" i="1"/>
  <c r="H147" i="1"/>
  <c r="H135" i="1"/>
  <c r="H123" i="1"/>
  <c r="H111" i="1"/>
  <c r="H99" i="1"/>
  <c r="H87" i="1"/>
  <c r="H75" i="1"/>
  <c r="H63" i="1"/>
  <c r="H51" i="1"/>
  <c r="H39" i="1"/>
  <c r="H27" i="1"/>
  <c r="H15" i="1"/>
  <c r="H158" i="1"/>
  <c r="H146" i="1"/>
  <c r="H134" i="1"/>
  <c r="H122" i="1"/>
  <c r="H110" i="1"/>
  <c r="H98" i="1"/>
  <c r="H86" i="1"/>
  <c r="H74" i="1"/>
  <c r="H62" i="1"/>
  <c r="H50" i="1"/>
  <c r="H38" i="1"/>
  <c r="H26" i="1"/>
  <c r="H14" i="1"/>
  <c r="H157" i="1"/>
  <c r="H145" i="1"/>
  <c r="H133" i="1"/>
  <c r="H121" i="1"/>
  <c r="H109" i="1"/>
  <c r="H97" i="1"/>
  <c r="H85" i="1"/>
  <c r="H73" i="1"/>
  <c r="H61" i="1"/>
  <c r="H49" i="1"/>
  <c r="H37" i="1"/>
  <c r="H25" i="1"/>
  <c r="H13" i="1"/>
  <c r="H156" i="1"/>
  <c r="H144" i="1"/>
  <c r="H132" i="1"/>
  <c r="H120" i="1"/>
  <c r="H108" i="1"/>
  <c r="H96" i="1"/>
  <c r="H84" i="1"/>
  <c r="H72" i="1"/>
  <c r="H60" i="1"/>
  <c r="H48" i="1"/>
  <c r="H36" i="1"/>
  <c r="H24" i="1"/>
  <c r="H12" i="1"/>
  <c r="H155" i="1"/>
  <c r="H143" i="1"/>
  <c r="H131" i="1"/>
  <c r="H119" i="1"/>
  <c r="H107" i="1"/>
  <c r="H95" i="1"/>
  <c r="H83" i="1"/>
  <c r="H71" i="1"/>
  <c r="H59" i="1"/>
  <c r="H47" i="1"/>
  <c r="H35" i="1"/>
  <c r="H23" i="1"/>
  <c r="H11" i="1"/>
  <c r="H154" i="1"/>
  <c r="H142" i="1"/>
  <c r="H130" i="1"/>
  <c r="H118" i="1"/>
  <c r="H106" i="1"/>
  <c r="H94" i="1"/>
  <c r="H82" i="1"/>
  <c r="H70" i="1"/>
  <c r="H58" i="1"/>
  <c r="H46" i="1"/>
  <c r="H34" i="1"/>
  <c r="H22" i="1"/>
  <c r="H10" i="1"/>
  <c r="H153" i="1"/>
  <c r="H141" i="1"/>
  <c r="H129" i="1"/>
  <c r="H117" i="1"/>
  <c r="H105" i="1"/>
  <c r="H93" i="1"/>
  <c r="H81" i="1"/>
  <c r="H69" i="1"/>
  <c r="H57" i="1"/>
  <c r="H45" i="1"/>
  <c r="H33" i="1"/>
  <c r="H21" i="1"/>
  <c r="H9" i="1"/>
  <c r="H152" i="1"/>
  <c r="H140" i="1"/>
  <c r="H128" i="1"/>
  <c r="H116" i="1"/>
  <c r="H104" i="1"/>
  <c r="H92" i="1"/>
  <c r="H80" i="1"/>
  <c r="H68" i="1"/>
  <c r="H56" i="1"/>
  <c r="H44" i="1"/>
  <c r="H32" i="1"/>
  <c r="H20" i="1"/>
  <c r="H8" i="1"/>
  <c r="H151" i="1"/>
  <c r="H139" i="1"/>
  <c r="H127" i="1"/>
  <c r="H115" i="1"/>
  <c r="H103" i="1"/>
  <c r="H91" i="1"/>
  <c r="H79" i="1"/>
  <c r="H67" i="1"/>
  <c r="H55" i="1"/>
  <c r="H43" i="1"/>
  <c r="H31" i="1"/>
  <c r="H19" i="1"/>
  <c r="H7" i="1"/>
  <c r="I7" i="1" s="1"/>
  <c r="H162" i="1"/>
  <c r="H150" i="1"/>
  <c r="H138" i="1"/>
  <c r="H126" i="1"/>
  <c r="H114" i="1"/>
  <c r="H102" i="1"/>
  <c r="H90" i="1"/>
  <c r="H78" i="1"/>
  <c r="H66" i="1"/>
  <c r="H54" i="1"/>
  <c r="H42" i="1"/>
  <c r="H30" i="1"/>
  <c r="H18" i="1"/>
  <c r="H161" i="1"/>
  <c r="H149" i="1"/>
  <c r="H137" i="1"/>
  <c r="H125" i="1"/>
  <c r="H113" i="1"/>
  <c r="H101" i="1"/>
  <c r="H89" i="1"/>
  <c r="H77" i="1"/>
  <c r="H65" i="1"/>
  <c r="H53" i="1"/>
  <c r="H41" i="1"/>
  <c r="H29" i="1"/>
  <c r="H17" i="1"/>
  <c r="O88" i="1"/>
  <c r="P88" i="1" s="1"/>
  <c r="Q88" i="1" s="1"/>
  <c r="R88" i="1" s="1"/>
  <c r="O76" i="1"/>
  <c r="P76" i="1" s="1"/>
  <c r="Q76" i="1" s="1"/>
  <c r="R76" i="1" s="1"/>
  <c r="O100" i="1"/>
  <c r="P100" i="1" s="1"/>
  <c r="Q100" i="1" s="1"/>
  <c r="R100" i="1" s="1"/>
  <c r="L92" i="1"/>
  <c r="O153" i="1"/>
  <c r="P153" i="1" s="1"/>
  <c r="Q153" i="1" s="1"/>
  <c r="R153" i="1" s="1"/>
  <c r="O105" i="1"/>
  <c r="P105" i="1" s="1"/>
  <c r="Q105" i="1" s="1"/>
  <c r="R105" i="1" s="1"/>
  <c r="O33" i="1"/>
  <c r="P33" i="1" s="1"/>
  <c r="Q33" i="1" s="1"/>
  <c r="R33" i="1" s="1"/>
  <c r="O64" i="1"/>
  <c r="P64" i="1" s="1"/>
  <c r="Q64" i="1" s="1"/>
  <c r="R64" i="1" s="1"/>
  <c r="O52" i="1"/>
  <c r="P52" i="1" s="1"/>
  <c r="Q52" i="1" s="1"/>
  <c r="R52" i="1" s="1"/>
  <c r="O139" i="1"/>
  <c r="P139" i="1" s="1"/>
  <c r="Q139" i="1" s="1"/>
  <c r="R139" i="1" s="1"/>
  <c r="O79" i="1"/>
  <c r="P79" i="1" s="1"/>
  <c r="Q79" i="1" s="1"/>
  <c r="R79" i="1" s="1"/>
  <c r="O40" i="1"/>
  <c r="P40" i="1" s="1"/>
  <c r="Q40" i="1" s="1"/>
  <c r="R40" i="1" s="1"/>
  <c r="O28" i="1"/>
  <c r="P28" i="1" s="1"/>
  <c r="Q28" i="1" s="1"/>
  <c r="R28" i="1" s="1"/>
  <c r="O160" i="1"/>
  <c r="P160" i="1" s="1"/>
  <c r="Q160" i="1" s="1"/>
  <c r="R160" i="1" s="1"/>
  <c r="O16" i="1"/>
  <c r="P16" i="1" s="1"/>
  <c r="Q16" i="1" s="1"/>
  <c r="R16" i="1" s="1"/>
  <c r="O148" i="1"/>
  <c r="P148" i="1" s="1"/>
  <c r="Q148" i="1" s="1"/>
  <c r="R148" i="1" s="1"/>
  <c r="O136" i="1"/>
  <c r="P136" i="1" s="1"/>
  <c r="Q136" i="1" s="1"/>
  <c r="R136" i="1" s="1"/>
  <c r="O124" i="1"/>
  <c r="P124" i="1" s="1"/>
  <c r="Q124" i="1" s="1"/>
  <c r="R124" i="1" s="1"/>
  <c r="O112" i="1"/>
  <c r="P112" i="1" s="1"/>
  <c r="Q112" i="1" s="1"/>
  <c r="R112" i="1" s="1"/>
  <c r="O6" i="1"/>
  <c r="P6" i="1" s="1"/>
  <c r="Q6" i="1" s="1"/>
  <c r="R6" i="1" s="1"/>
  <c r="O162" i="1"/>
  <c r="P162" i="1" s="1"/>
  <c r="Q162" i="1" s="1"/>
  <c r="R162" i="1" s="1"/>
  <c r="O138" i="1"/>
  <c r="P138" i="1" s="1"/>
  <c r="Q138" i="1" s="1"/>
  <c r="R138" i="1" s="1"/>
  <c r="O126" i="1"/>
  <c r="P126" i="1" s="1"/>
  <c r="Q126" i="1" s="1"/>
  <c r="R126" i="1" s="1"/>
  <c r="O114" i="1"/>
  <c r="P114" i="1" s="1"/>
  <c r="Q114" i="1" s="1"/>
  <c r="R114" i="1" s="1"/>
  <c r="O102" i="1"/>
  <c r="P102" i="1" s="1"/>
  <c r="Q102" i="1" s="1"/>
  <c r="R102" i="1" s="1"/>
  <c r="O90" i="1"/>
  <c r="P90" i="1" s="1"/>
  <c r="Q90" i="1" s="1"/>
  <c r="R90" i="1" s="1"/>
  <c r="O78" i="1"/>
  <c r="P78" i="1" s="1"/>
  <c r="Q78" i="1" s="1"/>
  <c r="R78" i="1" s="1"/>
  <c r="O66" i="1"/>
  <c r="P66" i="1" s="1"/>
  <c r="Q66" i="1" s="1"/>
  <c r="R66" i="1" s="1"/>
  <c r="O54" i="1"/>
  <c r="P54" i="1" s="1"/>
  <c r="Q54" i="1" s="1"/>
  <c r="R54" i="1" s="1"/>
  <c r="O42" i="1"/>
  <c r="P42" i="1" s="1"/>
  <c r="Q42" i="1" s="1"/>
  <c r="R42" i="1" s="1"/>
  <c r="O30" i="1"/>
  <c r="P30" i="1" s="1"/>
  <c r="Q30" i="1" s="1"/>
  <c r="R30" i="1" s="1"/>
  <c r="O18" i="1"/>
  <c r="P18" i="1" s="1"/>
  <c r="Q18" i="1" s="1"/>
  <c r="R18" i="1" s="1"/>
  <c r="O161" i="1"/>
  <c r="P161" i="1" s="1"/>
  <c r="Q161" i="1" s="1"/>
  <c r="R161" i="1" s="1"/>
  <c r="O149" i="1"/>
  <c r="P149" i="1" s="1"/>
  <c r="Q149" i="1" s="1"/>
  <c r="R149" i="1" s="1"/>
  <c r="O137" i="1"/>
  <c r="P137" i="1" s="1"/>
  <c r="Q137" i="1" s="1"/>
  <c r="R137" i="1" s="1"/>
  <c r="O125" i="1"/>
  <c r="P125" i="1" s="1"/>
  <c r="Q125" i="1" s="1"/>
  <c r="R125" i="1" s="1"/>
  <c r="O113" i="1"/>
  <c r="P113" i="1" s="1"/>
  <c r="Q113" i="1" s="1"/>
  <c r="R113" i="1" s="1"/>
  <c r="O101" i="1"/>
  <c r="P101" i="1" s="1"/>
  <c r="Q101" i="1" s="1"/>
  <c r="R101" i="1" s="1"/>
  <c r="O89" i="1"/>
  <c r="P89" i="1" s="1"/>
  <c r="Q89" i="1" s="1"/>
  <c r="R89" i="1" s="1"/>
  <c r="O77" i="1"/>
  <c r="P77" i="1" s="1"/>
  <c r="Q77" i="1" s="1"/>
  <c r="R77" i="1" s="1"/>
  <c r="O65" i="1"/>
  <c r="P65" i="1" s="1"/>
  <c r="Q65" i="1" s="1"/>
  <c r="R65" i="1" s="1"/>
  <c r="O53" i="1"/>
  <c r="P53" i="1" s="1"/>
  <c r="Q53" i="1" s="1"/>
  <c r="R53" i="1" s="1"/>
  <c r="O41" i="1"/>
  <c r="P41" i="1" s="1"/>
  <c r="Q41" i="1" s="1"/>
  <c r="R41" i="1" s="1"/>
  <c r="O29" i="1"/>
  <c r="P29" i="1" s="1"/>
  <c r="Q29" i="1" s="1"/>
  <c r="R29" i="1" s="1"/>
  <c r="O17" i="1"/>
  <c r="P17" i="1" s="1"/>
  <c r="Q17" i="1" s="1"/>
  <c r="R17" i="1" s="1"/>
  <c r="O159" i="1"/>
  <c r="P159" i="1" s="1"/>
  <c r="Q159" i="1" s="1"/>
  <c r="R159" i="1" s="1"/>
  <c r="O147" i="1"/>
  <c r="P147" i="1" s="1"/>
  <c r="Q147" i="1" s="1"/>
  <c r="R147" i="1" s="1"/>
  <c r="O135" i="1"/>
  <c r="P135" i="1" s="1"/>
  <c r="Q135" i="1" s="1"/>
  <c r="R135" i="1" s="1"/>
  <c r="O123" i="1"/>
  <c r="P123" i="1" s="1"/>
  <c r="Q123" i="1" s="1"/>
  <c r="R123" i="1" s="1"/>
  <c r="O111" i="1"/>
  <c r="P111" i="1" s="1"/>
  <c r="Q111" i="1" s="1"/>
  <c r="R111" i="1" s="1"/>
  <c r="O99" i="1"/>
  <c r="P99" i="1" s="1"/>
  <c r="Q99" i="1" s="1"/>
  <c r="R99" i="1" s="1"/>
  <c r="O87" i="1"/>
  <c r="P87" i="1" s="1"/>
  <c r="Q87" i="1" s="1"/>
  <c r="R87" i="1" s="1"/>
  <c r="O75" i="1"/>
  <c r="P75" i="1" s="1"/>
  <c r="Q75" i="1" s="1"/>
  <c r="R75" i="1" s="1"/>
  <c r="O63" i="1"/>
  <c r="P63" i="1" s="1"/>
  <c r="Q63" i="1" s="1"/>
  <c r="R63" i="1" s="1"/>
  <c r="O51" i="1"/>
  <c r="P51" i="1" s="1"/>
  <c r="Q51" i="1" s="1"/>
  <c r="R51" i="1" s="1"/>
  <c r="O39" i="1"/>
  <c r="P39" i="1" s="1"/>
  <c r="Q39" i="1" s="1"/>
  <c r="R39" i="1" s="1"/>
  <c r="O27" i="1"/>
  <c r="P27" i="1" s="1"/>
  <c r="Q27" i="1" s="1"/>
  <c r="R27" i="1" s="1"/>
  <c r="O15" i="1"/>
  <c r="P15" i="1" s="1"/>
  <c r="Q15" i="1" s="1"/>
  <c r="R15" i="1" s="1"/>
  <c r="O158" i="1"/>
  <c r="P158" i="1" s="1"/>
  <c r="Q158" i="1" s="1"/>
  <c r="R158" i="1" s="1"/>
  <c r="O146" i="1"/>
  <c r="P146" i="1" s="1"/>
  <c r="Q146" i="1" s="1"/>
  <c r="R146" i="1" s="1"/>
  <c r="O134" i="1"/>
  <c r="P134" i="1" s="1"/>
  <c r="Q134" i="1" s="1"/>
  <c r="R134" i="1" s="1"/>
  <c r="O122" i="1"/>
  <c r="P122" i="1" s="1"/>
  <c r="Q122" i="1" s="1"/>
  <c r="R122" i="1" s="1"/>
  <c r="O110" i="1"/>
  <c r="P110" i="1" s="1"/>
  <c r="Q110" i="1" s="1"/>
  <c r="R110" i="1" s="1"/>
  <c r="O98" i="1"/>
  <c r="P98" i="1" s="1"/>
  <c r="Q98" i="1" s="1"/>
  <c r="R98" i="1" s="1"/>
  <c r="O86" i="1"/>
  <c r="P86" i="1" s="1"/>
  <c r="Q86" i="1" s="1"/>
  <c r="R86" i="1" s="1"/>
  <c r="O74" i="1"/>
  <c r="P74" i="1" s="1"/>
  <c r="Q74" i="1" s="1"/>
  <c r="R74" i="1" s="1"/>
  <c r="O62" i="1"/>
  <c r="P62" i="1" s="1"/>
  <c r="Q62" i="1" s="1"/>
  <c r="R62" i="1" s="1"/>
  <c r="O50" i="1"/>
  <c r="P50" i="1" s="1"/>
  <c r="Q50" i="1" s="1"/>
  <c r="R50" i="1" s="1"/>
  <c r="O38" i="1"/>
  <c r="P38" i="1" s="1"/>
  <c r="Q38" i="1" s="1"/>
  <c r="R38" i="1" s="1"/>
  <c r="O26" i="1"/>
  <c r="P26" i="1" s="1"/>
  <c r="Q26" i="1" s="1"/>
  <c r="R26" i="1" s="1"/>
  <c r="O14" i="1"/>
  <c r="P14" i="1" s="1"/>
  <c r="Q14" i="1" s="1"/>
  <c r="R14" i="1" s="1"/>
  <c r="O157" i="1"/>
  <c r="P157" i="1" s="1"/>
  <c r="Q157" i="1" s="1"/>
  <c r="R157" i="1" s="1"/>
  <c r="O145" i="1"/>
  <c r="P145" i="1" s="1"/>
  <c r="Q145" i="1" s="1"/>
  <c r="R145" i="1" s="1"/>
  <c r="O133" i="1"/>
  <c r="P133" i="1" s="1"/>
  <c r="Q133" i="1" s="1"/>
  <c r="R133" i="1" s="1"/>
  <c r="O121" i="1"/>
  <c r="P121" i="1" s="1"/>
  <c r="Q121" i="1" s="1"/>
  <c r="R121" i="1" s="1"/>
  <c r="O97" i="1"/>
  <c r="P97" i="1" s="1"/>
  <c r="Q97" i="1" s="1"/>
  <c r="R97" i="1" s="1"/>
  <c r="O85" i="1"/>
  <c r="P85" i="1" s="1"/>
  <c r="Q85" i="1" s="1"/>
  <c r="R85" i="1" s="1"/>
  <c r="O73" i="1"/>
  <c r="P73" i="1" s="1"/>
  <c r="Q73" i="1" s="1"/>
  <c r="R73" i="1" s="1"/>
  <c r="O61" i="1"/>
  <c r="P61" i="1" s="1"/>
  <c r="Q61" i="1" s="1"/>
  <c r="R61" i="1" s="1"/>
  <c r="O49" i="1"/>
  <c r="P49" i="1" s="1"/>
  <c r="Q49" i="1" s="1"/>
  <c r="R49" i="1" s="1"/>
  <c r="O37" i="1"/>
  <c r="P37" i="1" s="1"/>
  <c r="Q37" i="1" s="1"/>
  <c r="R37" i="1" s="1"/>
  <c r="O25" i="1"/>
  <c r="P25" i="1" s="1"/>
  <c r="Q25" i="1" s="1"/>
  <c r="R25" i="1" s="1"/>
  <c r="O13" i="1"/>
  <c r="P13" i="1" s="1"/>
  <c r="Q13" i="1" s="1"/>
  <c r="R13" i="1" s="1"/>
  <c r="O156" i="1"/>
  <c r="P156" i="1" s="1"/>
  <c r="Q156" i="1" s="1"/>
  <c r="R156" i="1" s="1"/>
  <c r="O144" i="1"/>
  <c r="P144" i="1" s="1"/>
  <c r="Q144" i="1" s="1"/>
  <c r="R144" i="1" s="1"/>
  <c r="O132" i="1"/>
  <c r="P132" i="1" s="1"/>
  <c r="Q132" i="1" s="1"/>
  <c r="R132" i="1" s="1"/>
  <c r="O120" i="1"/>
  <c r="P120" i="1" s="1"/>
  <c r="Q120" i="1" s="1"/>
  <c r="R120" i="1" s="1"/>
  <c r="O108" i="1"/>
  <c r="P108" i="1" s="1"/>
  <c r="Q108" i="1" s="1"/>
  <c r="R108" i="1" s="1"/>
  <c r="O96" i="1"/>
  <c r="P96" i="1" s="1"/>
  <c r="Q96" i="1" s="1"/>
  <c r="R96" i="1" s="1"/>
  <c r="O84" i="1"/>
  <c r="P84" i="1" s="1"/>
  <c r="Q84" i="1" s="1"/>
  <c r="R84" i="1" s="1"/>
  <c r="O72" i="1"/>
  <c r="P72" i="1" s="1"/>
  <c r="Q72" i="1" s="1"/>
  <c r="R72" i="1" s="1"/>
  <c r="O60" i="1"/>
  <c r="P60" i="1" s="1"/>
  <c r="Q60" i="1" s="1"/>
  <c r="R60" i="1" s="1"/>
  <c r="O48" i="1"/>
  <c r="P48" i="1" s="1"/>
  <c r="Q48" i="1" s="1"/>
  <c r="R48" i="1" s="1"/>
  <c r="O36" i="1"/>
  <c r="P36" i="1" s="1"/>
  <c r="Q36" i="1" s="1"/>
  <c r="R36" i="1" s="1"/>
  <c r="O24" i="1"/>
  <c r="P24" i="1" s="1"/>
  <c r="Q24" i="1" s="1"/>
  <c r="R24" i="1" s="1"/>
  <c r="O12" i="1"/>
  <c r="P12" i="1" s="1"/>
  <c r="Q12" i="1" s="1"/>
  <c r="R12" i="1" s="1"/>
  <c r="O109" i="1"/>
  <c r="P109" i="1" s="1"/>
  <c r="Q109" i="1" s="1"/>
  <c r="R109" i="1" s="1"/>
  <c r="O155" i="1"/>
  <c r="P155" i="1" s="1"/>
  <c r="Q155" i="1" s="1"/>
  <c r="R155" i="1" s="1"/>
  <c r="O143" i="1"/>
  <c r="P143" i="1" s="1"/>
  <c r="Q143" i="1" s="1"/>
  <c r="R143" i="1" s="1"/>
  <c r="O131" i="1"/>
  <c r="P131" i="1" s="1"/>
  <c r="Q131" i="1" s="1"/>
  <c r="R131" i="1" s="1"/>
  <c r="O119" i="1"/>
  <c r="P119" i="1" s="1"/>
  <c r="Q119" i="1" s="1"/>
  <c r="R119" i="1" s="1"/>
  <c r="O107" i="1"/>
  <c r="P107" i="1" s="1"/>
  <c r="Q107" i="1" s="1"/>
  <c r="R107" i="1" s="1"/>
  <c r="O95" i="1"/>
  <c r="P95" i="1" s="1"/>
  <c r="Q95" i="1" s="1"/>
  <c r="R95" i="1" s="1"/>
  <c r="O83" i="1"/>
  <c r="P83" i="1" s="1"/>
  <c r="Q83" i="1" s="1"/>
  <c r="R83" i="1" s="1"/>
  <c r="O71" i="1"/>
  <c r="P71" i="1" s="1"/>
  <c r="Q71" i="1" s="1"/>
  <c r="R71" i="1" s="1"/>
  <c r="O59" i="1"/>
  <c r="P59" i="1" s="1"/>
  <c r="Q59" i="1" s="1"/>
  <c r="R59" i="1" s="1"/>
  <c r="O47" i="1"/>
  <c r="P47" i="1" s="1"/>
  <c r="Q47" i="1" s="1"/>
  <c r="R47" i="1" s="1"/>
  <c r="O35" i="1"/>
  <c r="P35" i="1" s="1"/>
  <c r="Q35" i="1" s="1"/>
  <c r="R35" i="1" s="1"/>
  <c r="O23" i="1"/>
  <c r="P23" i="1" s="1"/>
  <c r="Q23" i="1" s="1"/>
  <c r="R23" i="1" s="1"/>
  <c r="O11" i="1"/>
  <c r="P11" i="1" s="1"/>
  <c r="Q11" i="1" s="1"/>
  <c r="R11" i="1" s="1"/>
  <c r="O154" i="1"/>
  <c r="P154" i="1" s="1"/>
  <c r="Q154" i="1" s="1"/>
  <c r="R154" i="1" s="1"/>
  <c r="O142" i="1"/>
  <c r="P142" i="1" s="1"/>
  <c r="Q142" i="1" s="1"/>
  <c r="R142" i="1" s="1"/>
  <c r="O130" i="1"/>
  <c r="P130" i="1" s="1"/>
  <c r="Q130" i="1" s="1"/>
  <c r="R130" i="1" s="1"/>
  <c r="O118" i="1"/>
  <c r="P118" i="1" s="1"/>
  <c r="Q118" i="1" s="1"/>
  <c r="R118" i="1" s="1"/>
  <c r="O106" i="1"/>
  <c r="P106" i="1" s="1"/>
  <c r="Q106" i="1" s="1"/>
  <c r="R106" i="1" s="1"/>
  <c r="O94" i="1"/>
  <c r="P94" i="1" s="1"/>
  <c r="Q94" i="1" s="1"/>
  <c r="R94" i="1" s="1"/>
  <c r="O82" i="1"/>
  <c r="P82" i="1" s="1"/>
  <c r="Q82" i="1" s="1"/>
  <c r="R82" i="1" s="1"/>
  <c r="O70" i="1"/>
  <c r="P70" i="1" s="1"/>
  <c r="Q70" i="1" s="1"/>
  <c r="R70" i="1" s="1"/>
  <c r="O58" i="1"/>
  <c r="P58" i="1" s="1"/>
  <c r="Q58" i="1" s="1"/>
  <c r="R58" i="1" s="1"/>
  <c r="O46" i="1"/>
  <c r="P46" i="1" s="1"/>
  <c r="Q46" i="1" s="1"/>
  <c r="R46" i="1" s="1"/>
  <c r="O34" i="1"/>
  <c r="P34" i="1" s="1"/>
  <c r="Q34" i="1" s="1"/>
  <c r="R34" i="1" s="1"/>
  <c r="O22" i="1"/>
  <c r="P22" i="1" s="1"/>
  <c r="Q22" i="1" s="1"/>
  <c r="R22" i="1" s="1"/>
  <c r="O10" i="1"/>
  <c r="P10" i="1" s="1"/>
  <c r="Q10" i="1" s="1"/>
  <c r="R10" i="1" s="1"/>
  <c r="O141" i="1"/>
  <c r="P141" i="1" s="1"/>
  <c r="Q141" i="1" s="1"/>
  <c r="R141" i="1" s="1"/>
  <c r="O129" i="1"/>
  <c r="P129" i="1" s="1"/>
  <c r="Q129" i="1" s="1"/>
  <c r="R129" i="1" s="1"/>
  <c r="O117" i="1"/>
  <c r="P117" i="1" s="1"/>
  <c r="Q117" i="1" s="1"/>
  <c r="R117" i="1" s="1"/>
  <c r="O93" i="1"/>
  <c r="P93" i="1" s="1"/>
  <c r="Q93" i="1" s="1"/>
  <c r="R93" i="1" s="1"/>
  <c r="O81" i="1"/>
  <c r="P81" i="1" s="1"/>
  <c r="Q81" i="1" s="1"/>
  <c r="R81" i="1" s="1"/>
  <c r="O69" i="1"/>
  <c r="P69" i="1" s="1"/>
  <c r="Q69" i="1" s="1"/>
  <c r="R69" i="1" s="1"/>
  <c r="O57" i="1"/>
  <c r="P57" i="1" s="1"/>
  <c r="Q57" i="1" s="1"/>
  <c r="R57" i="1" s="1"/>
  <c r="O45" i="1"/>
  <c r="P45" i="1" s="1"/>
  <c r="Q45" i="1" s="1"/>
  <c r="R45" i="1" s="1"/>
  <c r="O21" i="1"/>
  <c r="P21" i="1" s="1"/>
  <c r="Q21" i="1" s="1"/>
  <c r="R21" i="1" s="1"/>
  <c r="O9" i="1"/>
  <c r="P9" i="1" s="1"/>
  <c r="Q9" i="1" s="1"/>
  <c r="R9" i="1" s="1"/>
  <c r="O164" i="1"/>
  <c r="P164" i="1" s="1"/>
  <c r="Q164" i="1" s="1"/>
  <c r="R164" i="1" s="1"/>
  <c r="O152" i="1"/>
  <c r="P152" i="1" s="1"/>
  <c r="Q152" i="1" s="1"/>
  <c r="R152" i="1" s="1"/>
  <c r="O140" i="1"/>
  <c r="P140" i="1" s="1"/>
  <c r="Q140" i="1" s="1"/>
  <c r="R140" i="1" s="1"/>
  <c r="O128" i="1"/>
  <c r="P128" i="1" s="1"/>
  <c r="Q128" i="1" s="1"/>
  <c r="R128" i="1" s="1"/>
  <c r="O116" i="1"/>
  <c r="P116" i="1" s="1"/>
  <c r="Q116" i="1" s="1"/>
  <c r="R116" i="1" s="1"/>
  <c r="O104" i="1"/>
  <c r="P104" i="1" s="1"/>
  <c r="Q104" i="1" s="1"/>
  <c r="R104" i="1" s="1"/>
  <c r="O92" i="1"/>
  <c r="P92" i="1" s="1"/>
  <c r="Q92" i="1" s="1"/>
  <c r="R92" i="1" s="1"/>
  <c r="O80" i="1"/>
  <c r="P80" i="1" s="1"/>
  <c r="Q80" i="1" s="1"/>
  <c r="R80" i="1" s="1"/>
  <c r="O68" i="1"/>
  <c r="P68" i="1" s="1"/>
  <c r="Q68" i="1" s="1"/>
  <c r="R68" i="1" s="1"/>
  <c r="O56" i="1"/>
  <c r="P56" i="1" s="1"/>
  <c r="Q56" i="1" s="1"/>
  <c r="R56" i="1" s="1"/>
  <c r="O44" i="1"/>
  <c r="P44" i="1" s="1"/>
  <c r="Q44" i="1" s="1"/>
  <c r="R44" i="1" s="1"/>
  <c r="O32" i="1"/>
  <c r="P32" i="1" s="1"/>
  <c r="Q32" i="1" s="1"/>
  <c r="R32" i="1" s="1"/>
  <c r="O20" i="1"/>
  <c r="P20" i="1" s="1"/>
  <c r="Q20" i="1" s="1"/>
  <c r="R20" i="1" s="1"/>
  <c r="O8" i="1"/>
  <c r="P8" i="1" s="1"/>
  <c r="Q8" i="1" s="1"/>
  <c r="R8" i="1" s="1"/>
  <c r="O163" i="1"/>
  <c r="P163" i="1" s="1"/>
  <c r="Q163" i="1" s="1"/>
  <c r="R163" i="1" s="1"/>
  <c r="O151" i="1"/>
  <c r="P151" i="1" s="1"/>
  <c r="Q151" i="1" s="1"/>
  <c r="R151" i="1" s="1"/>
  <c r="O127" i="1"/>
  <c r="P127" i="1" s="1"/>
  <c r="Q127" i="1" s="1"/>
  <c r="R127" i="1" s="1"/>
  <c r="O115" i="1"/>
  <c r="P115" i="1" s="1"/>
  <c r="Q115" i="1" s="1"/>
  <c r="R115" i="1" s="1"/>
  <c r="O103" i="1"/>
  <c r="P103" i="1" s="1"/>
  <c r="Q103" i="1" s="1"/>
  <c r="R103" i="1" s="1"/>
  <c r="O91" i="1"/>
  <c r="P91" i="1" s="1"/>
  <c r="Q91" i="1" s="1"/>
  <c r="R91" i="1" s="1"/>
  <c r="O67" i="1"/>
  <c r="P67" i="1" s="1"/>
  <c r="Q67" i="1" s="1"/>
  <c r="R67" i="1" s="1"/>
  <c r="O55" i="1"/>
  <c r="P55" i="1" s="1"/>
  <c r="Q55" i="1" s="1"/>
  <c r="R55" i="1" s="1"/>
  <c r="O43" i="1"/>
  <c r="P43" i="1" s="1"/>
  <c r="Q43" i="1" s="1"/>
  <c r="R43" i="1" s="1"/>
  <c r="O31" i="1"/>
  <c r="P31" i="1" s="1"/>
  <c r="Q31" i="1" s="1"/>
  <c r="R31" i="1" s="1"/>
  <c r="O19" i="1"/>
  <c r="P19" i="1" s="1"/>
  <c r="Q19" i="1" s="1"/>
  <c r="R19" i="1" s="1"/>
  <c r="O7" i="1"/>
  <c r="P7" i="1" s="1"/>
  <c r="Q7" i="1" s="1"/>
  <c r="R7" i="1" s="1"/>
  <c r="O150" i="1"/>
  <c r="P150" i="1" s="1"/>
  <c r="Q150" i="1" s="1"/>
  <c r="R150" i="1" s="1"/>
  <c r="L39" i="1"/>
  <c r="L164" i="1"/>
  <c r="L159" i="1"/>
  <c r="L94" i="1"/>
  <c r="L52" i="1"/>
  <c r="L26" i="1"/>
  <c r="L40" i="1"/>
  <c r="L134" i="1"/>
  <c r="L122" i="1"/>
  <c r="L76" i="1"/>
  <c r="L62" i="1"/>
  <c r="L50" i="1"/>
  <c r="L99" i="1"/>
  <c r="L98" i="1"/>
  <c r="L44" i="1"/>
  <c r="L158" i="1"/>
  <c r="L86" i="1"/>
  <c r="L38" i="1"/>
  <c r="L140" i="1"/>
  <c r="L136" i="1"/>
  <c r="L75" i="1"/>
  <c r="L20" i="1"/>
  <c r="L135" i="1"/>
  <c r="L74" i="1"/>
  <c r="L15" i="1"/>
  <c r="L63" i="1"/>
  <c r="L123" i="1"/>
  <c r="L116" i="1"/>
  <c r="L51" i="1"/>
  <c r="L88" i="1"/>
  <c r="L124" i="1"/>
  <c r="L87" i="1"/>
  <c r="L46" i="1"/>
  <c r="L14" i="1"/>
  <c r="L120" i="1"/>
  <c r="L147" i="1"/>
  <c r="L111" i="1"/>
  <c r="L72" i="1"/>
  <c r="L28" i="1"/>
  <c r="L146" i="1"/>
  <c r="L110" i="1"/>
  <c r="L68" i="1"/>
  <c r="L27" i="1"/>
  <c r="L142" i="1"/>
  <c r="L24" i="1"/>
  <c r="L16" i="1"/>
  <c r="L11" i="1"/>
  <c r="L154" i="1"/>
  <c r="L121" i="1"/>
  <c r="L106" i="1"/>
  <c r="L73" i="1"/>
  <c r="L58" i="1"/>
  <c r="L25" i="1"/>
  <c r="L10" i="1"/>
  <c r="L153" i="1"/>
  <c r="L105" i="1"/>
  <c r="L57" i="1"/>
  <c r="L9" i="1"/>
  <c r="L152" i="1"/>
  <c r="L119" i="1"/>
  <c r="L104" i="1"/>
  <c r="L71" i="1"/>
  <c r="L56" i="1"/>
  <c r="L23" i="1"/>
  <c r="L8" i="1"/>
  <c r="L148" i="1"/>
  <c r="L133" i="1"/>
  <c r="L118" i="1"/>
  <c r="L100" i="1"/>
  <c r="L85" i="1"/>
  <c r="L70" i="1"/>
  <c r="L37" i="1"/>
  <c r="L22" i="1"/>
  <c r="L132" i="1"/>
  <c r="L117" i="1"/>
  <c r="L84" i="1"/>
  <c r="L69" i="1"/>
  <c r="L36" i="1"/>
  <c r="L21" i="1"/>
  <c r="L131" i="1"/>
  <c r="L160" i="1"/>
  <c r="L145" i="1"/>
  <c r="L130" i="1"/>
  <c r="L112" i="1"/>
  <c r="L97" i="1"/>
  <c r="L82" i="1"/>
  <c r="L64" i="1"/>
  <c r="L49" i="1"/>
  <c r="L34" i="1"/>
  <c r="L83" i="1"/>
  <c r="L129" i="1"/>
  <c r="L81" i="1"/>
  <c r="L33" i="1"/>
  <c r="L143" i="1"/>
  <c r="L128" i="1"/>
  <c r="L95" i="1"/>
  <c r="L80" i="1"/>
  <c r="L47" i="1"/>
  <c r="L32" i="1"/>
  <c r="I8" i="1" l="1"/>
  <c r="I9" i="1" l="1"/>
  <c r="J8" i="1"/>
  <c r="K8" i="1" s="1"/>
  <c r="T8" i="1" s="1"/>
  <c r="U8" i="1" s="1"/>
  <c r="V8" i="1" s="1"/>
  <c r="W8" i="1" s="1"/>
  <c r="Y8" i="1" l="1"/>
  <c r="AD8" i="1"/>
  <c r="AA8" i="1"/>
  <c r="AB8" i="1" s="1" a="1"/>
  <c r="AB8" i="1" s="1"/>
  <c r="I10" i="1"/>
  <c r="J9" i="1"/>
  <c r="K9" i="1" s="1"/>
  <c r="T9" i="1" s="1"/>
  <c r="U9" i="1" s="1"/>
  <c r="V9" i="1" s="1"/>
  <c r="W9" i="1" s="1"/>
  <c r="Y9" i="1" l="1"/>
  <c r="AD9" i="1"/>
  <c r="AC8" i="1"/>
  <c r="AE8" i="1" s="1"/>
  <c r="AF8" i="1" s="1" a="1"/>
  <c r="AF8" i="1" s="1"/>
  <c r="AG8" i="1" s="1"/>
  <c r="AA9" i="1"/>
  <c r="AB9" i="1" s="1" a="1"/>
  <c r="AB9" i="1" s="1"/>
  <c r="I11" i="1"/>
  <c r="J10" i="1"/>
  <c r="K10" i="1" s="1"/>
  <c r="T10" i="1" s="1"/>
  <c r="U10" i="1" s="1"/>
  <c r="V10" i="1" s="1"/>
  <c r="W10" i="1" s="1"/>
  <c r="Y10" i="1" l="1"/>
  <c r="AC9" i="1"/>
  <c r="AE9" i="1" s="1"/>
  <c r="AF9" i="1" s="1" a="1"/>
  <c r="AF9" i="1" s="1"/>
  <c r="AH8" i="1"/>
  <c r="AD10" i="1"/>
  <c r="AA10" i="1"/>
  <c r="AC10" i="1" s="1"/>
  <c r="AE10" i="1" s="1"/>
  <c r="I12" i="1"/>
  <c r="J11" i="1"/>
  <c r="K11" i="1" s="1"/>
  <c r="T11" i="1" s="1"/>
  <c r="U11" i="1" s="1"/>
  <c r="V11" i="1" s="1"/>
  <c r="W11" i="1" s="1"/>
  <c r="Y11" i="1" l="1"/>
  <c r="AG9" i="1"/>
  <c r="AH9" i="1" s="1"/>
  <c r="AB10" i="1" a="1"/>
  <c r="AB10" i="1" s="1"/>
  <c r="AF10" i="1" a="1"/>
  <c r="AF10" i="1" s="1"/>
  <c r="AD11" i="1"/>
  <c r="AA11" i="1"/>
  <c r="AB11" i="1" s="1" a="1"/>
  <c r="AB11" i="1" s="1"/>
  <c r="I13" i="1"/>
  <c r="J12" i="1"/>
  <c r="K12" i="1" s="1"/>
  <c r="T12" i="1" s="1"/>
  <c r="U12" i="1" s="1"/>
  <c r="V12" i="1" s="1"/>
  <c r="W12" i="1" s="1"/>
  <c r="Y12" i="1" l="1"/>
  <c r="AG10" i="1"/>
  <c r="AC11" i="1"/>
  <c r="AE11" i="1" s="1"/>
  <c r="AF11" i="1" s="1" a="1"/>
  <c r="AF11" i="1" s="1"/>
  <c r="AD12" i="1"/>
  <c r="AA12" i="1"/>
  <c r="AC12" i="1" s="1"/>
  <c r="AE12" i="1" s="1"/>
  <c r="AF12" i="1" s="1" a="1"/>
  <c r="AF12" i="1" s="1"/>
  <c r="AG12" i="1" s="1"/>
  <c r="I14" i="1"/>
  <c r="J13" i="1"/>
  <c r="K13" i="1" s="1"/>
  <c r="T13" i="1" s="1"/>
  <c r="U13" i="1" s="1"/>
  <c r="V13" i="1" s="1"/>
  <c r="W13" i="1" s="1"/>
  <c r="Y13" i="1" l="1"/>
  <c r="AH10" i="1"/>
  <c r="AG11" i="1"/>
  <c r="AH11" i="1" s="1"/>
  <c r="AB12" i="1" a="1"/>
  <c r="AB12" i="1" s="1"/>
  <c r="AH12" i="1"/>
  <c r="AD13" i="1"/>
  <c r="AA13" i="1"/>
  <c r="AB13" i="1" s="1" a="1"/>
  <c r="AB13" i="1" s="1"/>
  <c r="I15" i="1"/>
  <c r="J14" i="1"/>
  <c r="K14" i="1" s="1"/>
  <c r="T14" i="1" s="1"/>
  <c r="U14" i="1" s="1"/>
  <c r="V14" i="1" s="1"/>
  <c r="W14" i="1" s="1"/>
  <c r="Y14" i="1" l="1"/>
  <c r="AC13" i="1"/>
  <c r="AE13" i="1" s="1"/>
  <c r="AF13" i="1" s="1" a="1"/>
  <c r="AF13" i="1" s="1"/>
  <c r="AD14" i="1"/>
  <c r="AA14" i="1"/>
  <c r="AC14" i="1" s="1"/>
  <c r="AE14" i="1" s="1"/>
  <c r="I16" i="1"/>
  <c r="J15" i="1"/>
  <c r="K15" i="1" s="1"/>
  <c r="T15" i="1" s="1"/>
  <c r="U15" i="1" s="1"/>
  <c r="V15" i="1" s="1"/>
  <c r="W15" i="1" s="1"/>
  <c r="Y15" i="1" l="1"/>
  <c r="AG13" i="1"/>
  <c r="AH13" i="1" s="1"/>
  <c r="AD15" i="1"/>
  <c r="AF14" i="1" a="1"/>
  <c r="AF14" i="1" s="1"/>
  <c r="AB14" i="1" a="1"/>
  <c r="AB14" i="1" s="1"/>
  <c r="AA15" i="1"/>
  <c r="AC15" i="1" s="1"/>
  <c r="AE15" i="1" s="1"/>
  <c r="I17" i="1"/>
  <c r="J16" i="1"/>
  <c r="K16" i="1" s="1"/>
  <c r="T16" i="1" s="1"/>
  <c r="U16" i="1" s="1"/>
  <c r="V16" i="1" s="1"/>
  <c r="W16" i="1" s="1"/>
  <c r="Y16" i="1" l="1"/>
  <c r="AG14" i="1"/>
  <c r="AH14" i="1" s="1"/>
  <c r="AF15" i="1" a="1"/>
  <c r="AF15" i="1" s="1"/>
  <c r="AD16" i="1"/>
  <c r="AF16" i="1" s="1" a="1"/>
  <c r="AF16" i="1" s="1"/>
  <c r="AB15" i="1" a="1"/>
  <c r="AB15" i="1" s="1"/>
  <c r="AA16" i="1"/>
  <c r="AB16" i="1" s="1" a="1"/>
  <c r="AB16" i="1" s="1"/>
  <c r="I18" i="1"/>
  <c r="J17" i="1"/>
  <c r="K17" i="1" s="1"/>
  <c r="T17" i="1" s="1"/>
  <c r="U17" i="1" s="1"/>
  <c r="V17" i="1" s="1"/>
  <c r="W17" i="1" s="1"/>
  <c r="Y17" i="1" l="1"/>
  <c r="AG15" i="1"/>
  <c r="AG16" i="1"/>
  <c r="AH16" i="1" s="1"/>
  <c r="AH15" i="1"/>
  <c r="AD17" i="1"/>
  <c r="AA17" i="1"/>
  <c r="AC17" i="1" s="1"/>
  <c r="AE17" i="1" s="1"/>
  <c r="I19" i="1"/>
  <c r="J18" i="1"/>
  <c r="K18" i="1" s="1"/>
  <c r="T18" i="1" s="1"/>
  <c r="U18" i="1" s="1"/>
  <c r="V18" i="1" s="1"/>
  <c r="W18" i="1" s="1"/>
  <c r="Y18" i="1" l="1"/>
  <c r="AB17" i="1" a="1"/>
  <c r="AB17" i="1" s="1"/>
  <c r="AF17" i="1" a="1"/>
  <c r="AF17" i="1" s="1"/>
  <c r="AD18" i="1"/>
  <c r="AA18" i="1"/>
  <c r="AC18" i="1" s="1"/>
  <c r="AE18" i="1" s="1"/>
  <c r="AF18" i="1" s="1" a="1"/>
  <c r="AF18" i="1" s="1"/>
  <c r="I20" i="1"/>
  <c r="J19" i="1"/>
  <c r="K19" i="1" s="1"/>
  <c r="T19" i="1" s="1"/>
  <c r="U19" i="1" s="1"/>
  <c r="V19" i="1" s="1"/>
  <c r="W19" i="1" s="1"/>
  <c r="Y19" i="1" l="1"/>
  <c r="AG17" i="1"/>
  <c r="AH17" i="1" s="1"/>
  <c r="AG18" i="1"/>
  <c r="AH18" i="1" s="1"/>
  <c r="AD19" i="1"/>
  <c r="AB18" i="1" a="1"/>
  <c r="AB18" i="1" s="1"/>
  <c r="AA19" i="1"/>
  <c r="AC19" i="1" s="1"/>
  <c r="AE19" i="1" s="1"/>
  <c r="AF19" i="1" s="1" a="1"/>
  <c r="AF19" i="1" s="1"/>
  <c r="I21" i="1"/>
  <c r="J20" i="1"/>
  <c r="K20" i="1" s="1"/>
  <c r="T20" i="1" s="1"/>
  <c r="U20" i="1" s="1"/>
  <c r="V20" i="1" s="1"/>
  <c r="W20" i="1" s="1"/>
  <c r="Y20" i="1" l="1"/>
  <c r="AB19" i="1" a="1"/>
  <c r="AB19" i="1" s="1"/>
  <c r="AG19" i="1"/>
  <c r="AH19" i="1" s="1"/>
  <c r="AD20" i="1"/>
  <c r="AA20" i="1"/>
  <c r="AB20" i="1" s="1" a="1"/>
  <c r="AB20" i="1" s="1"/>
  <c r="I22" i="1"/>
  <c r="J21" i="1"/>
  <c r="K21" i="1" s="1"/>
  <c r="T21" i="1" s="1"/>
  <c r="U21" i="1" s="1"/>
  <c r="V21" i="1" s="1"/>
  <c r="W21" i="1" s="1"/>
  <c r="Y21" i="1" l="1"/>
  <c r="AD21" i="1"/>
  <c r="AC20" i="1"/>
  <c r="AE20" i="1" s="1"/>
  <c r="AF20" i="1" s="1" a="1"/>
  <c r="AF20" i="1" s="1"/>
  <c r="AA21" i="1"/>
  <c r="AB21" i="1" s="1" a="1"/>
  <c r="AB21" i="1" s="1"/>
  <c r="I23" i="1"/>
  <c r="J22" i="1"/>
  <c r="K22" i="1" s="1"/>
  <c r="T22" i="1" s="1"/>
  <c r="U22" i="1" s="1"/>
  <c r="V22" i="1" s="1"/>
  <c r="W22" i="1" s="1"/>
  <c r="Y22" i="1" l="1"/>
  <c r="AC21" i="1"/>
  <c r="AE21" i="1" s="1"/>
  <c r="AF21" i="1" s="1" a="1"/>
  <c r="AF21" i="1" s="1"/>
  <c r="AG21" i="1" s="1"/>
  <c r="AH21" i="1" s="1"/>
  <c r="AG20" i="1"/>
  <c r="AH20" i="1" s="1"/>
  <c r="AD22" i="1"/>
  <c r="AA22" i="1"/>
  <c r="AB22" i="1" s="1" a="1"/>
  <c r="AB22" i="1" s="1"/>
  <c r="I24" i="1"/>
  <c r="J23" i="1"/>
  <c r="K23" i="1" s="1"/>
  <c r="T23" i="1" s="1"/>
  <c r="U23" i="1" s="1"/>
  <c r="V23" i="1" s="1"/>
  <c r="W23" i="1" s="1"/>
  <c r="Y23" i="1" l="1"/>
  <c r="AC22" i="1"/>
  <c r="AE22" i="1" s="1"/>
  <c r="AF22" i="1" s="1" a="1"/>
  <c r="AF22" i="1" s="1"/>
  <c r="AD23" i="1"/>
  <c r="AA23" i="1"/>
  <c r="AB23" i="1" s="1" a="1"/>
  <c r="AB23" i="1" s="1"/>
  <c r="AC23" i="1"/>
  <c r="AE23" i="1" s="1"/>
  <c r="AF23" i="1" s="1" a="1"/>
  <c r="AF23" i="1" s="1"/>
  <c r="I25" i="1"/>
  <c r="J24" i="1"/>
  <c r="K24" i="1" s="1"/>
  <c r="T24" i="1" s="1"/>
  <c r="U24" i="1" s="1"/>
  <c r="V24" i="1" s="1"/>
  <c r="W24" i="1" s="1"/>
  <c r="Y24" i="1" l="1"/>
  <c r="AG22" i="1"/>
  <c r="AH22" i="1" s="1"/>
  <c r="AG23" i="1"/>
  <c r="AH23" i="1" s="1"/>
  <c r="AD24" i="1"/>
  <c r="AA24" i="1"/>
  <c r="AC24" i="1" s="1"/>
  <c r="AE24" i="1" s="1"/>
  <c r="I26" i="1"/>
  <c r="J25" i="1"/>
  <c r="K25" i="1" s="1"/>
  <c r="T25" i="1" s="1"/>
  <c r="U25" i="1" s="1"/>
  <c r="V25" i="1" s="1"/>
  <c r="W25" i="1" s="1"/>
  <c r="Y25" i="1" l="1"/>
  <c r="AB24" i="1" a="1"/>
  <c r="AB24" i="1" s="1"/>
  <c r="AF24" i="1" a="1"/>
  <c r="AF24" i="1" s="1"/>
  <c r="AD25" i="1"/>
  <c r="AA25" i="1"/>
  <c r="AB25" i="1" s="1" a="1"/>
  <c r="AB25" i="1" s="1"/>
  <c r="I27" i="1"/>
  <c r="J26" i="1"/>
  <c r="K26" i="1" s="1"/>
  <c r="T26" i="1" s="1"/>
  <c r="U26" i="1" s="1"/>
  <c r="V26" i="1" s="1"/>
  <c r="W26" i="1" s="1"/>
  <c r="Y26" i="1" l="1"/>
  <c r="AG24" i="1"/>
  <c r="AH24" i="1" s="1"/>
  <c r="AC25" i="1"/>
  <c r="AE25" i="1" s="1"/>
  <c r="AF25" i="1" s="1" a="1"/>
  <c r="AF25" i="1" s="1"/>
  <c r="AD26" i="1"/>
  <c r="AA26" i="1"/>
  <c r="AB26" i="1" s="1" a="1"/>
  <c r="AB26" i="1" s="1"/>
  <c r="I28" i="1"/>
  <c r="J27" i="1"/>
  <c r="K27" i="1" s="1"/>
  <c r="T27" i="1" s="1"/>
  <c r="U27" i="1" s="1"/>
  <c r="V27" i="1" s="1"/>
  <c r="W27" i="1" s="1"/>
  <c r="Y27" i="1" l="1"/>
  <c r="AG25" i="1"/>
  <c r="AH25" i="1" s="1"/>
  <c r="AD27" i="1"/>
  <c r="AC26" i="1"/>
  <c r="AE26" i="1" s="1"/>
  <c r="AF26" i="1" s="1" a="1"/>
  <c r="AF26" i="1" s="1"/>
  <c r="AA27" i="1"/>
  <c r="AC27" i="1" s="1"/>
  <c r="AE27" i="1" s="1"/>
  <c r="I29" i="1"/>
  <c r="J28" i="1"/>
  <c r="K28" i="1" s="1"/>
  <c r="T28" i="1" s="1"/>
  <c r="U28" i="1" s="1"/>
  <c r="V28" i="1" s="1"/>
  <c r="W28" i="1" s="1"/>
  <c r="Y28" i="1" l="1"/>
  <c r="AG26" i="1"/>
  <c r="AF27" i="1" a="1"/>
  <c r="AF27" i="1" s="1"/>
  <c r="AH26" i="1"/>
  <c r="AB27" i="1" a="1"/>
  <c r="AB27" i="1" s="1"/>
  <c r="AD28" i="1"/>
  <c r="AA28" i="1"/>
  <c r="AC28" i="1" s="1"/>
  <c r="AE28" i="1" s="1"/>
  <c r="I30" i="1"/>
  <c r="J29" i="1"/>
  <c r="K29" i="1" s="1"/>
  <c r="T29" i="1" s="1"/>
  <c r="U29" i="1" s="1"/>
  <c r="V29" i="1" s="1"/>
  <c r="W29" i="1" s="1"/>
  <c r="AF28" i="1" l="1" a="1"/>
  <c r="AF28" i="1" s="1"/>
  <c r="Y29" i="1"/>
  <c r="AG27" i="1"/>
  <c r="AH27" i="1" s="1"/>
  <c r="AG28" i="1"/>
  <c r="AH28" i="1" s="1"/>
  <c r="AD29" i="1"/>
  <c r="AB28" i="1" a="1"/>
  <c r="AB28" i="1" s="1"/>
  <c r="AA29" i="1"/>
  <c r="AB29" i="1" s="1" a="1"/>
  <c r="AB29" i="1" s="1"/>
  <c r="AC29" i="1"/>
  <c r="AE29" i="1" s="1"/>
  <c r="AF29" i="1" s="1" a="1"/>
  <c r="AF29" i="1" s="1"/>
  <c r="I31" i="1"/>
  <c r="J30" i="1"/>
  <c r="K30" i="1" s="1"/>
  <c r="T30" i="1" s="1"/>
  <c r="U30" i="1" s="1"/>
  <c r="V30" i="1" s="1"/>
  <c r="W30" i="1" s="1"/>
  <c r="Y30" i="1" l="1"/>
  <c r="AG29" i="1"/>
  <c r="AH29" i="1" s="1"/>
  <c r="AD30" i="1"/>
  <c r="AA30" i="1"/>
  <c r="AC30" i="1" s="1"/>
  <c r="AE30" i="1" s="1"/>
  <c r="I32" i="1"/>
  <c r="J31" i="1"/>
  <c r="K31" i="1" s="1"/>
  <c r="T31" i="1" s="1"/>
  <c r="U31" i="1" s="1"/>
  <c r="V31" i="1" s="1"/>
  <c r="W31" i="1" s="1"/>
  <c r="Y31" i="1" l="1"/>
  <c r="AF30" i="1" a="1"/>
  <c r="AF30" i="1" s="1"/>
  <c r="AB30" i="1" a="1"/>
  <c r="AB30" i="1" s="1"/>
  <c r="AD31" i="1"/>
  <c r="AA31" i="1"/>
  <c r="AC31" i="1" s="1"/>
  <c r="AE31" i="1" s="1"/>
  <c r="I33" i="1"/>
  <c r="J32" i="1"/>
  <c r="K32" i="1" s="1"/>
  <c r="T32" i="1" s="1"/>
  <c r="U32" i="1" s="1"/>
  <c r="V32" i="1" s="1"/>
  <c r="W32" i="1" s="1"/>
  <c r="AF31" i="1" l="1" a="1"/>
  <c r="AF31" i="1" s="1"/>
  <c r="AG31" i="1" s="1"/>
  <c r="AH31" i="1" s="1"/>
  <c r="Y32" i="1"/>
  <c r="AB31" i="1" a="1"/>
  <c r="AB31" i="1" s="1"/>
  <c r="AG30" i="1"/>
  <c r="AH30" i="1" s="1"/>
  <c r="AD32" i="1"/>
  <c r="AA32" i="1"/>
  <c r="AC32" i="1" s="1"/>
  <c r="AE32" i="1" s="1"/>
  <c r="AF32" i="1" s="1" a="1"/>
  <c r="AF32" i="1" s="1"/>
  <c r="I34" i="1"/>
  <c r="J33" i="1"/>
  <c r="K33" i="1" s="1"/>
  <c r="T33" i="1" s="1"/>
  <c r="U33" i="1" s="1"/>
  <c r="V33" i="1" s="1"/>
  <c r="W33" i="1" s="1"/>
  <c r="Y33" i="1" l="1"/>
  <c r="AG32" i="1"/>
  <c r="AH32" i="1" s="1"/>
  <c r="AB32" i="1" a="1"/>
  <c r="AB32" i="1" s="1"/>
  <c r="AD33" i="1"/>
  <c r="AA33" i="1"/>
  <c r="AB33" i="1" s="1" a="1"/>
  <c r="AB33" i="1" s="1"/>
  <c r="I35" i="1"/>
  <c r="J34" i="1"/>
  <c r="K34" i="1" s="1"/>
  <c r="T34" i="1" s="1"/>
  <c r="U34" i="1" s="1"/>
  <c r="V34" i="1" s="1"/>
  <c r="W34" i="1" s="1"/>
  <c r="Y34" i="1" l="1"/>
  <c r="AC33" i="1"/>
  <c r="AE33" i="1" s="1"/>
  <c r="AF33" i="1" s="1" a="1"/>
  <c r="AF33" i="1" s="1"/>
  <c r="AG33" i="1" s="1"/>
  <c r="AH33" i="1" s="1"/>
  <c r="AD34" i="1"/>
  <c r="AA34" i="1"/>
  <c r="AB34" i="1" s="1" a="1"/>
  <c r="AB34" i="1" s="1"/>
  <c r="I36" i="1"/>
  <c r="J35" i="1"/>
  <c r="K35" i="1" s="1"/>
  <c r="T35" i="1" s="1"/>
  <c r="U35" i="1" s="1"/>
  <c r="V35" i="1" s="1"/>
  <c r="W35" i="1" s="1"/>
  <c r="Y35" i="1" l="1"/>
  <c r="AD35" i="1"/>
  <c r="AC34" i="1"/>
  <c r="AE34" i="1" s="1"/>
  <c r="AF34" i="1" s="1" a="1"/>
  <c r="AF34" i="1" s="1"/>
  <c r="AA35" i="1"/>
  <c r="AC35" i="1" s="1"/>
  <c r="AE35" i="1" s="1"/>
  <c r="AF35" i="1" s="1" a="1"/>
  <c r="AF35" i="1" s="1"/>
  <c r="I37" i="1"/>
  <c r="J36" i="1"/>
  <c r="K36" i="1" s="1"/>
  <c r="T36" i="1" s="1"/>
  <c r="U36" i="1" s="1"/>
  <c r="V36" i="1" s="1"/>
  <c r="W36" i="1" s="1"/>
  <c r="AB35" i="1" l="1" a="1"/>
  <c r="AB35" i="1" s="1"/>
  <c r="Y36" i="1"/>
  <c r="AG34" i="1"/>
  <c r="AH34" i="1" s="1"/>
  <c r="AG35" i="1"/>
  <c r="AH35" i="1" s="1"/>
  <c r="AD36" i="1"/>
  <c r="AA36" i="1"/>
  <c r="AC36" i="1" s="1"/>
  <c r="AE36" i="1" s="1"/>
  <c r="AF36" i="1" s="1" a="1"/>
  <c r="AF36" i="1" s="1"/>
  <c r="I38" i="1"/>
  <c r="J37" i="1"/>
  <c r="K37" i="1" s="1"/>
  <c r="T37" i="1" s="1"/>
  <c r="U37" i="1" s="1"/>
  <c r="V37" i="1" s="1"/>
  <c r="W37" i="1" s="1"/>
  <c r="Y37" i="1" l="1"/>
  <c r="AG36" i="1"/>
  <c r="AH36" i="1" s="1"/>
  <c r="AD37" i="1"/>
  <c r="AB36" i="1" a="1"/>
  <c r="AB36" i="1" s="1"/>
  <c r="AA37" i="1"/>
  <c r="AB37" i="1" s="1" a="1"/>
  <c r="AB37" i="1" s="1"/>
  <c r="I39" i="1"/>
  <c r="J38" i="1"/>
  <c r="K38" i="1" s="1"/>
  <c r="T38" i="1" s="1"/>
  <c r="U38" i="1" s="1"/>
  <c r="V38" i="1" s="1"/>
  <c r="W38" i="1" s="1"/>
  <c r="Y38" i="1" l="1"/>
  <c r="AC37" i="1"/>
  <c r="AE37" i="1" s="1"/>
  <c r="AF37" i="1" s="1" a="1"/>
  <c r="AF37" i="1" s="1"/>
  <c r="AG37" i="1" s="1"/>
  <c r="AH37" i="1" s="1"/>
  <c r="AD38" i="1"/>
  <c r="AA38" i="1"/>
  <c r="AB38" i="1" s="1" a="1"/>
  <c r="AB38" i="1" s="1"/>
  <c r="I40" i="1"/>
  <c r="J39" i="1"/>
  <c r="K39" i="1" s="1"/>
  <c r="T39" i="1" s="1"/>
  <c r="U39" i="1" s="1"/>
  <c r="V39" i="1" s="1"/>
  <c r="W39" i="1" s="1"/>
  <c r="Y39" i="1" l="1"/>
  <c r="AD39" i="1"/>
  <c r="AC38" i="1"/>
  <c r="AE38" i="1" s="1"/>
  <c r="AF38" i="1" s="1" a="1"/>
  <c r="AF38" i="1" s="1"/>
  <c r="AA39" i="1"/>
  <c r="AC39" i="1" s="1"/>
  <c r="AE39" i="1" s="1"/>
  <c r="AF39" i="1" s="1" a="1"/>
  <c r="AF39" i="1" s="1"/>
  <c r="I41" i="1"/>
  <c r="J40" i="1"/>
  <c r="K40" i="1" s="1"/>
  <c r="T40" i="1" s="1"/>
  <c r="U40" i="1" s="1"/>
  <c r="V40" i="1" s="1"/>
  <c r="W40" i="1" s="1"/>
  <c r="Y40" i="1" l="1"/>
  <c r="AG38" i="1"/>
  <c r="AG39" i="1"/>
  <c r="AH39" i="1" s="1"/>
  <c r="AH38" i="1"/>
  <c r="AB39" i="1" a="1"/>
  <c r="AB39" i="1" s="1"/>
  <c r="AD40" i="1"/>
  <c r="AA40" i="1"/>
  <c r="AC40" i="1" s="1"/>
  <c r="AE40" i="1" s="1"/>
  <c r="AF40" i="1" s="1" a="1"/>
  <c r="AF40" i="1" s="1"/>
  <c r="I42" i="1"/>
  <c r="J41" i="1"/>
  <c r="K41" i="1" s="1"/>
  <c r="T41" i="1" s="1"/>
  <c r="U41" i="1" s="1"/>
  <c r="V41" i="1" s="1"/>
  <c r="W41" i="1" s="1"/>
  <c r="Y41" i="1" l="1"/>
  <c r="AB40" i="1" a="1"/>
  <c r="AB40" i="1" s="1"/>
  <c r="AG40" i="1"/>
  <c r="AH40" i="1" s="1"/>
  <c r="AD41" i="1"/>
  <c r="AA41" i="1"/>
  <c r="AB41" i="1" s="1" a="1"/>
  <c r="AB41" i="1" s="1"/>
  <c r="I43" i="1"/>
  <c r="J42" i="1"/>
  <c r="K42" i="1" s="1"/>
  <c r="T42" i="1" s="1"/>
  <c r="U42" i="1" s="1"/>
  <c r="V42" i="1" s="1"/>
  <c r="W42" i="1" s="1"/>
  <c r="Y42" i="1" l="1"/>
  <c r="AC41" i="1"/>
  <c r="AE41" i="1" s="1"/>
  <c r="AF41" i="1" s="1" a="1"/>
  <c r="AF41" i="1" s="1"/>
  <c r="AG41" i="1" s="1"/>
  <c r="AH41" i="1" s="1"/>
  <c r="AD42" i="1"/>
  <c r="AA42" i="1"/>
  <c r="AC42" i="1" s="1"/>
  <c r="AE42" i="1" s="1"/>
  <c r="AF42" i="1" s="1" a="1"/>
  <c r="AF42" i="1" s="1"/>
  <c r="I44" i="1"/>
  <c r="J43" i="1"/>
  <c r="K43" i="1" s="1"/>
  <c r="T43" i="1" s="1"/>
  <c r="U43" i="1" s="1"/>
  <c r="V43" i="1" s="1"/>
  <c r="W43" i="1" s="1"/>
  <c r="Y43" i="1" l="1"/>
  <c r="AB42" i="1" a="1"/>
  <c r="AB42" i="1" s="1"/>
  <c r="AG42" i="1"/>
  <c r="AH42" i="1" s="1"/>
  <c r="AD43" i="1"/>
  <c r="AA43" i="1"/>
  <c r="AC43" i="1" s="1"/>
  <c r="AE43" i="1" s="1"/>
  <c r="AF43" i="1" s="1" a="1"/>
  <c r="AF43" i="1" s="1"/>
  <c r="I45" i="1"/>
  <c r="J44" i="1"/>
  <c r="K44" i="1" s="1"/>
  <c r="T44" i="1" s="1"/>
  <c r="U44" i="1" s="1"/>
  <c r="V44" i="1" s="1"/>
  <c r="W44" i="1" s="1"/>
  <c r="Y44" i="1" l="1"/>
  <c r="AG43" i="1"/>
  <c r="AH43" i="1" s="1"/>
  <c r="AD44" i="1"/>
  <c r="AB43" i="1" a="1"/>
  <c r="AB43" i="1" s="1"/>
  <c r="AA44" i="1"/>
  <c r="AC44" i="1" s="1"/>
  <c r="AE44" i="1" s="1"/>
  <c r="AF44" i="1" s="1" a="1"/>
  <c r="AF44" i="1" s="1"/>
  <c r="I46" i="1"/>
  <c r="J45" i="1"/>
  <c r="K45" i="1" s="1"/>
  <c r="T45" i="1" s="1"/>
  <c r="U45" i="1" s="1"/>
  <c r="V45" i="1" s="1"/>
  <c r="W45" i="1" s="1"/>
  <c r="Y45" i="1" l="1"/>
  <c r="AB44" i="1" a="1"/>
  <c r="AB44" i="1" s="1"/>
  <c r="AG44" i="1"/>
  <c r="AH44" i="1" s="1"/>
  <c r="AD45" i="1"/>
  <c r="AA45" i="1"/>
  <c r="AB45" i="1" s="1" a="1"/>
  <c r="AB45" i="1" s="1"/>
  <c r="I47" i="1"/>
  <c r="J46" i="1"/>
  <c r="K46" i="1" s="1"/>
  <c r="T46" i="1" s="1"/>
  <c r="U46" i="1" s="1"/>
  <c r="V46" i="1" s="1"/>
  <c r="W46" i="1" s="1"/>
  <c r="Y46" i="1" l="1"/>
  <c r="AD46" i="1"/>
  <c r="AC45" i="1"/>
  <c r="AE45" i="1" s="1"/>
  <c r="AF45" i="1" s="1" a="1"/>
  <c r="AF45" i="1" s="1"/>
  <c r="AA46" i="1"/>
  <c r="AB46" i="1" s="1" a="1"/>
  <c r="AB46" i="1" s="1"/>
  <c r="I48" i="1"/>
  <c r="J47" i="1"/>
  <c r="K47" i="1" s="1"/>
  <c r="T47" i="1" s="1"/>
  <c r="U47" i="1" s="1"/>
  <c r="V47" i="1" s="1"/>
  <c r="W47" i="1" s="1"/>
  <c r="Y47" i="1" l="1"/>
  <c r="AC46" i="1"/>
  <c r="AE46" i="1" s="1"/>
  <c r="AF46" i="1" s="1" a="1"/>
  <c r="AF46" i="1" s="1"/>
  <c r="AG45" i="1"/>
  <c r="AH45" i="1" s="1"/>
  <c r="AD47" i="1"/>
  <c r="AA47" i="1"/>
  <c r="AB47" i="1" s="1" a="1"/>
  <c r="AB47" i="1" s="1"/>
  <c r="I49" i="1"/>
  <c r="J48" i="1"/>
  <c r="K48" i="1" s="1"/>
  <c r="T48" i="1" s="1"/>
  <c r="U48" i="1" s="1"/>
  <c r="V48" i="1" s="1"/>
  <c r="W48" i="1" s="1"/>
  <c r="Y48" i="1" l="1"/>
  <c r="AG46" i="1"/>
  <c r="AH46" i="1" s="1"/>
  <c r="AC47" i="1"/>
  <c r="AE47" i="1" s="1"/>
  <c r="AF47" i="1" s="1" a="1"/>
  <c r="AF47" i="1" s="1"/>
  <c r="AD48" i="1"/>
  <c r="AA48" i="1"/>
  <c r="AC48" i="1" s="1"/>
  <c r="AE48" i="1" s="1"/>
  <c r="AF48" i="1" s="1" a="1"/>
  <c r="AF48" i="1" s="1"/>
  <c r="AG48" i="1" s="1"/>
  <c r="I50" i="1"/>
  <c r="J49" i="1"/>
  <c r="K49" i="1" s="1"/>
  <c r="T49" i="1" s="1"/>
  <c r="U49" i="1" s="1"/>
  <c r="V49" i="1" s="1"/>
  <c r="W49" i="1" s="1"/>
  <c r="Y49" i="1" l="1"/>
  <c r="AG47" i="1"/>
  <c r="AH47" i="1" s="1"/>
  <c r="AH48" i="1"/>
  <c r="AB48" i="1" a="1"/>
  <c r="AB48" i="1" s="1"/>
  <c r="AD49" i="1"/>
  <c r="AA49" i="1"/>
  <c r="AB49" i="1" s="1" a="1"/>
  <c r="AB49" i="1" s="1"/>
  <c r="I51" i="1"/>
  <c r="J50" i="1"/>
  <c r="K50" i="1" s="1"/>
  <c r="T50" i="1" s="1"/>
  <c r="U50" i="1" s="1"/>
  <c r="V50" i="1" s="1"/>
  <c r="W50" i="1" s="1"/>
  <c r="Y50" i="1" l="1"/>
  <c r="AC49" i="1"/>
  <c r="AE49" i="1" s="1"/>
  <c r="AF49" i="1" s="1" a="1"/>
  <c r="AF49" i="1" s="1"/>
  <c r="AD50" i="1"/>
  <c r="AA50" i="1"/>
  <c r="AB50" i="1" a="1"/>
  <c r="AB50" i="1" s="1"/>
  <c r="AC50" i="1"/>
  <c r="AE50" i="1" s="1"/>
  <c r="AF50" i="1" s="1" a="1"/>
  <c r="AF50" i="1" s="1"/>
  <c r="I52" i="1"/>
  <c r="J51" i="1"/>
  <c r="K51" i="1" s="1"/>
  <c r="T51" i="1" s="1"/>
  <c r="U51" i="1" s="1"/>
  <c r="V51" i="1" s="1"/>
  <c r="W51" i="1" s="1"/>
  <c r="Y51" i="1" l="1"/>
  <c r="AG50" i="1"/>
  <c r="AH50" i="1" s="1"/>
  <c r="AG49" i="1"/>
  <c r="AH49" i="1" s="1"/>
  <c r="AD51" i="1"/>
  <c r="AA51" i="1"/>
  <c r="AC51" i="1" s="1"/>
  <c r="AE51" i="1" s="1"/>
  <c r="I53" i="1"/>
  <c r="J52" i="1"/>
  <c r="K52" i="1" s="1"/>
  <c r="T52" i="1" s="1"/>
  <c r="U52" i="1" s="1"/>
  <c r="V52" i="1" s="1"/>
  <c r="W52" i="1" s="1"/>
  <c r="AF51" i="1" l="1" a="1"/>
  <c r="AF51" i="1" s="1"/>
  <c r="AG51" i="1" s="1"/>
  <c r="AH51" i="1" s="1"/>
  <c r="Y52" i="1"/>
  <c r="AB51" i="1" a="1"/>
  <c r="AB51" i="1" s="1"/>
  <c r="AD52" i="1"/>
  <c r="AA52" i="1"/>
  <c r="AB52" i="1" s="1" a="1"/>
  <c r="AB52" i="1" s="1"/>
  <c r="I54" i="1"/>
  <c r="J53" i="1"/>
  <c r="AC52" i="1" l="1"/>
  <c r="AE52" i="1" s="1"/>
  <c r="AF52" i="1" s="1" a="1"/>
  <c r="AF52" i="1" s="1"/>
  <c r="K53" i="1"/>
  <c r="T53" i="1" s="1"/>
  <c r="U53" i="1" s="1"/>
  <c r="V53" i="1" s="1"/>
  <c r="W53" i="1" s="1"/>
  <c r="I55" i="1"/>
  <c r="J54" i="1"/>
  <c r="Y53" i="1" l="1"/>
  <c r="AG52" i="1"/>
  <c r="AH52" i="1" s="1"/>
  <c r="AD53" i="1"/>
  <c r="AA53" i="1"/>
  <c r="AC53" i="1" s="1"/>
  <c r="AE53" i="1" s="1"/>
  <c r="AF53" i="1" s="1" a="1"/>
  <c r="AF53" i="1" s="1"/>
  <c r="K54" i="1"/>
  <c r="T54" i="1" s="1"/>
  <c r="U54" i="1" s="1"/>
  <c r="V54" i="1" s="1"/>
  <c r="W54" i="1" s="1"/>
  <c r="I56" i="1"/>
  <c r="J55" i="1"/>
  <c r="Y54" i="1" l="1"/>
  <c r="AG53" i="1"/>
  <c r="AH53" i="1" s="1"/>
  <c r="AD54" i="1"/>
  <c r="AB53" i="1" a="1"/>
  <c r="AB53" i="1" s="1"/>
  <c r="AA54" i="1"/>
  <c r="AB54" i="1" s="1" a="1"/>
  <c r="AB54" i="1" s="1"/>
  <c r="K55" i="1"/>
  <c r="T55" i="1" s="1"/>
  <c r="U55" i="1" s="1"/>
  <c r="V55" i="1" s="1"/>
  <c r="W55" i="1" s="1"/>
  <c r="I57" i="1"/>
  <c r="J56" i="1"/>
  <c r="Y55" i="1" l="1"/>
  <c r="AD55" i="1"/>
  <c r="AC54" i="1"/>
  <c r="AE54" i="1" s="1"/>
  <c r="AF54" i="1" s="1" a="1"/>
  <c r="AF54" i="1" s="1"/>
  <c r="AA55" i="1"/>
  <c r="AC55" i="1" s="1"/>
  <c r="AE55" i="1" s="1"/>
  <c r="AF55" i="1" s="1" a="1"/>
  <c r="AF55" i="1" s="1"/>
  <c r="K56" i="1"/>
  <c r="T56" i="1" s="1"/>
  <c r="U56" i="1" s="1"/>
  <c r="V56" i="1" s="1"/>
  <c r="W56" i="1" s="1"/>
  <c r="I58" i="1"/>
  <c r="J57" i="1"/>
  <c r="Y56" i="1" l="1"/>
  <c r="AG54" i="1"/>
  <c r="AG55" i="1"/>
  <c r="AH55" i="1" s="1"/>
  <c r="AH54" i="1"/>
  <c r="AD56" i="1"/>
  <c r="AB55" i="1" a="1"/>
  <c r="AB55" i="1" s="1"/>
  <c r="AA56" i="1"/>
  <c r="AC56" i="1" s="1"/>
  <c r="AE56" i="1" s="1"/>
  <c r="AF56" i="1" s="1" a="1"/>
  <c r="AF56" i="1" s="1"/>
  <c r="K57" i="1"/>
  <c r="T57" i="1" s="1"/>
  <c r="U57" i="1" s="1"/>
  <c r="V57" i="1" s="1"/>
  <c r="W57" i="1" s="1"/>
  <c r="I59" i="1"/>
  <c r="J58" i="1"/>
  <c r="Y57" i="1" l="1"/>
  <c r="AB56" i="1" a="1"/>
  <c r="AB56" i="1" s="1"/>
  <c r="AG56" i="1"/>
  <c r="AH56" i="1" s="1"/>
  <c r="AD57" i="1"/>
  <c r="AA57" i="1"/>
  <c r="AB57" i="1" s="1" a="1"/>
  <c r="AB57" i="1" s="1"/>
  <c r="K58" i="1"/>
  <c r="T58" i="1" s="1"/>
  <c r="U58" i="1" s="1"/>
  <c r="V58" i="1" s="1"/>
  <c r="W58" i="1" s="1"/>
  <c r="I60" i="1"/>
  <c r="J59" i="1"/>
  <c r="AC57" i="1" l="1"/>
  <c r="AE57" i="1" s="1"/>
  <c r="AF57" i="1" s="1" a="1"/>
  <c r="AF57" i="1" s="1"/>
  <c r="AG57" i="1" s="1"/>
  <c r="AH57" i="1" s="1"/>
  <c r="Y58" i="1"/>
  <c r="AD58" i="1"/>
  <c r="AA58" i="1"/>
  <c r="AB58" i="1" s="1" a="1"/>
  <c r="AB58" i="1" s="1"/>
  <c r="K59" i="1"/>
  <c r="T59" i="1" s="1"/>
  <c r="U59" i="1" s="1"/>
  <c r="V59" i="1" s="1"/>
  <c r="W59" i="1" s="1"/>
  <c r="I61" i="1"/>
  <c r="J60" i="1"/>
  <c r="Y59" i="1" l="1"/>
  <c r="AD59" i="1"/>
  <c r="AC58" i="1"/>
  <c r="AE58" i="1" s="1"/>
  <c r="AF58" i="1" s="1" a="1"/>
  <c r="AF58" i="1" s="1"/>
  <c r="AA59" i="1"/>
  <c r="AC59" i="1" s="1"/>
  <c r="AE59" i="1" s="1"/>
  <c r="AF59" i="1" s="1" a="1"/>
  <c r="AF59" i="1" s="1"/>
  <c r="K60" i="1"/>
  <c r="T60" i="1" s="1"/>
  <c r="U60" i="1" s="1"/>
  <c r="V60" i="1" s="1"/>
  <c r="W60" i="1" s="1"/>
  <c r="I62" i="1"/>
  <c r="J61" i="1"/>
  <c r="Y60" i="1" l="1"/>
  <c r="AG58" i="1"/>
  <c r="AG59" i="1"/>
  <c r="AH59" i="1" s="1"/>
  <c r="AB59" i="1" a="1"/>
  <c r="AB59" i="1" s="1"/>
  <c r="AH58" i="1"/>
  <c r="AD60" i="1"/>
  <c r="AA60" i="1"/>
  <c r="AC60" i="1" s="1"/>
  <c r="AE60" i="1" s="1"/>
  <c r="AF60" i="1" s="1" a="1"/>
  <c r="AF60" i="1" s="1"/>
  <c r="K61" i="1"/>
  <c r="T61" i="1" s="1"/>
  <c r="U61" i="1" s="1"/>
  <c r="V61" i="1" s="1"/>
  <c r="W61" i="1" s="1"/>
  <c r="I63" i="1"/>
  <c r="J62" i="1"/>
  <c r="Y61" i="1" l="1"/>
  <c r="AB60" i="1" a="1"/>
  <c r="AB60" i="1" s="1"/>
  <c r="AG60" i="1"/>
  <c r="AH60" i="1" s="1"/>
  <c r="AD61" i="1"/>
  <c r="AA61" i="1"/>
  <c r="AB61" i="1" s="1" a="1"/>
  <c r="AB61" i="1" s="1"/>
  <c r="K62" i="1"/>
  <c r="T62" i="1" s="1"/>
  <c r="U62" i="1" s="1"/>
  <c r="V62" i="1" s="1"/>
  <c r="W62" i="1" s="1"/>
  <c r="I64" i="1"/>
  <c r="J63" i="1"/>
  <c r="Y62" i="1" l="1"/>
  <c r="AC61" i="1"/>
  <c r="AE61" i="1" s="1"/>
  <c r="AF61" i="1" s="1" a="1"/>
  <c r="AF61" i="1" s="1"/>
  <c r="AD62" i="1"/>
  <c r="AA62" i="1"/>
  <c r="AB62" i="1" s="1" a="1"/>
  <c r="AB62" i="1" s="1"/>
  <c r="K63" i="1"/>
  <c r="T63" i="1" s="1"/>
  <c r="U63" i="1" s="1"/>
  <c r="V63" i="1" s="1"/>
  <c r="W63" i="1" s="1"/>
  <c r="I65" i="1"/>
  <c r="J64" i="1"/>
  <c r="Y63" i="1" l="1"/>
  <c r="AG61" i="1"/>
  <c r="AH61" i="1" s="1"/>
  <c r="AD63" i="1"/>
  <c r="AC62" i="1"/>
  <c r="AE62" i="1" s="1"/>
  <c r="AF62" i="1" s="1" a="1"/>
  <c r="AF62" i="1" s="1"/>
  <c r="AA63" i="1"/>
  <c r="AC63" i="1" s="1"/>
  <c r="AE63" i="1" s="1"/>
  <c r="AF63" i="1" s="1" a="1"/>
  <c r="AF63" i="1" s="1"/>
  <c r="K64" i="1"/>
  <c r="T64" i="1" s="1"/>
  <c r="U64" i="1" s="1"/>
  <c r="V64" i="1" s="1"/>
  <c r="W64" i="1" s="1"/>
  <c r="I66" i="1"/>
  <c r="J65" i="1"/>
  <c r="Y64" i="1" l="1"/>
  <c r="AB63" i="1" a="1"/>
  <c r="AB63" i="1" s="1"/>
  <c r="AG62" i="1"/>
  <c r="AH62" i="1" s="1"/>
  <c r="AG63" i="1"/>
  <c r="AH63" i="1" s="1"/>
  <c r="AD64" i="1"/>
  <c r="AA64" i="1"/>
  <c r="AC64" i="1" s="1"/>
  <c r="AE64" i="1" s="1"/>
  <c r="K65" i="1"/>
  <c r="T65" i="1" s="1"/>
  <c r="U65" i="1" s="1"/>
  <c r="V65" i="1" s="1"/>
  <c r="W65" i="1" s="1"/>
  <c r="I67" i="1"/>
  <c r="J66" i="1"/>
  <c r="AF64" i="1" l="1" a="1"/>
  <c r="AF64" i="1" s="1"/>
  <c r="AG64" i="1" s="1"/>
  <c r="AH64" i="1" s="1"/>
  <c r="Y65" i="1"/>
  <c r="AB64" i="1" a="1"/>
  <c r="AB64" i="1" s="1"/>
  <c r="AD65" i="1"/>
  <c r="AA65" i="1"/>
  <c r="AB65" i="1" s="1" a="1"/>
  <c r="AB65" i="1" s="1"/>
  <c r="K66" i="1"/>
  <c r="T66" i="1" s="1"/>
  <c r="U66" i="1" s="1"/>
  <c r="V66" i="1" s="1"/>
  <c r="W66" i="1" s="1"/>
  <c r="I68" i="1"/>
  <c r="J67" i="1"/>
  <c r="Y66" i="1" l="1"/>
  <c r="AC65" i="1"/>
  <c r="AE65" i="1" s="1"/>
  <c r="AF65" i="1" s="1" a="1"/>
  <c r="AF65" i="1" s="1"/>
  <c r="AD66" i="1"/>
  <c r="AA66" i="1"/>
  <c r="AC66" i="1" s="1"/>
  <c r="AE66" i="1" s="1"/>
  <c r="AF66" i="1" s="1" a="1"/>
  <c r="AF66" i="1" s="1"/>
  <c r="K67" i="1"/>
  <c r="T67" i="1" s="1"/>
  <c r="U67" i="1" s="1"/>
  <c r="V67" i="1" s="1"/>
  <c r="W67" i="1" s="1"/>
  <c r="I69" i="1"/>
  <c r="J68" i="1"/>
  <c r="Y67" i="1" l="1"/>
  <c r="AG65" i="1"/>
  <c r="AH65" i="1" s="1"/>
  <c r="AB66" i="1" a="1"/>
  <c r="AB66" i="1" s="1"/>
  <c r="AG66" i="1"/>
  <c r="AH66" i="1" s="1"/>
  <c r="AD67" i="1"/>
  <c r="AA67" i="1"/>
  <c r="AB67" i="1" s="1" a="1"/>
  <c r="AB67" i="1" s="1"/>
  <c r="K68" i="1"/>
  <c r="T68" i="1" s="1"/>
  <c r="U68" i="1" s="1"/>
  <c r="V68" i="1" s="1"/>
  <c r="W68" i="1" s="1"/>
  <c r="I70" i="1"/>
  <c r="J69" i="1"/>
  <c r="Y68" i="1" l="1"/>
  <c r="AC67" i="1"/>
  <c r="AE67" i="1" s="1"/>
  <c r="AF67" i="1" s="1" a="1"/>
  <c r="AF67" i="1" s="1"/>
  <c r="AD68" i="1"/>
  <c r="AA68" i="1"/>
  <c r="AC68" i="1" s="1"/>
  <c r="AE68" i="1" s="1"/>
  <c r="AF68" i="1" s="1" a="1"/>
  <c r="AF68" i="1" s="1"/>
  <c r="K69" i="1"/>
  <c r="T69" i="1" s="1"/>
  <c r="U69" i="1" s="1"/>
  <c r="V69" i="1" s="1"/>
  <c r="W69" i="1" s="1"/>
  <c r="I71" i="1"/>
  <c r="J70" i="1"/>
  <c r="Y69" i="1" l="1"/>
  <c r="AG68" i="1"/>
  <c r="AH68" i="1" s="1"/>
  <c r="AG67" i="1"/>
  <c r="AH67" i="1" s="1"/>
  <c r="AD69" i="1"/>
  <c r="AB68" i="1" a="1"/>
  <c r="AB68" i="1" s="1"/>
  <c r="AA69" i="1"/>
  <c r="AB69" i="1" s="1" a="1"/>
  <c r="AB69" i="1" s="1"/>
  <c r="K70" i="1"/>
  <c r="T70" i="1" s="1"/>
  <c r="U70" i="1" s="1"/>
  <c r="V70" i="1" s="1"/>
  <c r="W70" i="1" s="1"/>
  <c r="I72" i="1"/>
  <c r="J71" i="1"/>
  <c r="Y70" i="1" l="1"/>
  <c r="AD70" i="1"/>
  <c r="AC69" i="1"/>
  <c r="AE69" i="1" s="1"/>
  <c r="AF69" i="1" s="1" a="1"/>
  <c r="AF69" i="1" s="1"/>
  <c r="AA70" i="1"/>
  <c r="AB70" i="1" s="1" a="1"/>
  <c r="AB70" i="1" s="1"/>
  <c r="K71" i="1"/>
  <c r="T71" i="1" s="1"/>
  <c r="U71" i="1" s="1"/>
  <c r="V71" i="1" s="1"/>
  <c r="W71" i="1" s="1"/>
  <c r="I73" i="1"/>
  <c r="J72" i="1"/>
  <c r="Y71" i="1" l="1"/>
  <c r="AG69" i="1"/>
  <c r="AH69" i="1" s="1"/>
  <c r="AD71" i="1"/>
  <c r="AC70" i="1"/>
  <c r="AE70" i="1" s="1"/>
  <c r="AF70" i="1" s="1" a="1"/>
  <c r="AF70" i="1" s="1"/>
  <c r="AA71" i="1"/>
  <c r="AB71" i="1" s="1" a="1"/>
  <c r="AB71" i="1" s="1"/>
  <c r="K72" i="1"/>
  <c r="T72" i="1" s="1"/>
  <c r="U72" i="1" s="1"/>
  <c r="V72" i="1" s="1"/>
  <c r="W72" i="1" s="1"/>
  <c r="I74" i="1"/>
  <c r="J73" i="1"/>
  <c r="Y72" i="1" l="1"/>
  <c r="AG70" i="1"/>
  <c r="AH70" i="1" s="1"/>
  <c r="AD72" i="1"/>
  <c r="AC71" i="1"/>
  <c r="AE71" i="1" s="1"/>
  <c r="AF71" i="1" s="1" a="1"/>
  <c r="AF71" i="1" s="1"/>
  <c r="AA72" i="1"/>
  <c r="AC72" i="1" s="1"/>
  <c r="AE72" i="1" s="1"/>
  <c r="AF72" i="1" s="1" a="1"/>
  <c r="AF72" i="1" s="1"/>
  <c r="K73" i="1"/>
  <c r="T73" i="1" s="1"/>
  <c r="U73" i="1" s="1"/>
  <c r="V73" i="1" s="1"/>
  <c r="W73" i="1" s="1"/>
  <c r="I75" i="1"/>
  <c r="J74" i="1"/>
  <c r="Y73" i="1" l="1"/>
  <c r="AG71" i="1"/>
  <c r="AH71" i="1" s="1"/>
  <c r="AB72" i="1" a="1"/>
  <c r="AB72" i="1" s="1"/>
  <c r="AG72" i="1"/>
  <c r="AH72" i="1" s="1"/>
  <c r="AD73" i="1"/>
  <c r="AA73" i="1"/>
  <c r="AB73" i="1" s="1" a="1"/>
  <c r="AB73" i="1" s="1"/>
  <c r="K74" i="1"/>
  <c r="T74" i="1" s="1"/>
  <c r="U74" i="1" s="1"/>
  <c r="V74" i="1" s="1"/>
  <c r="W74" i="1" s="1"/>
  <c r="I76" i="1"/>
  <c r="J75" i="1"/>
  <c r="Y74" i="1" l="1"/>
  <c r="AD74" i="1"/>
  <c r="AC73" i="1"/>
  <c r="AE73" i="1" s="1"/>
  <c r="AF73" i="1" s="1" a="1"/>
  <c r="AF73" i="1" s="1"/>
  <c r="AA74" i="1"/>
  <c r="AB74" i="1" s="1" a="1"/>
  <c r="AB74" i="1" s="1"/>
  <c r="AC74" i="1"/>
  <c r="AE74" i="1" s="1"/>
  <c r="AF74" i="1" s="1" a="1"/>
  <c r="AF74" i="1" s="1"/>
  <c r="K75" i="1"/>
  <c r="T75" i="1" s="1"/>
  <c r="U75" i="1" s="1"/>
  <c r="V75" i="1" s="1"/>
  <c r="W75" i="1" s="1"/>
  <c r="I77" i="1"/>
  <c r="J76" i="1"/>
  <c r="Y75" i="1" l="1"/>
  <c r="AG73" i="1"/>
  <c r="AH73" i="1" s="1"/>
  <c r="AG74" i="1"/>
  <c r="AH74" i="1" s="1"/>
  <c r="AD75" i="1"/>
  <c r="AA75" i="1"/>
  <c r="AC75" i="1" s="1"/>
  <c r="AE75" i="1" s="1"/>
  <c r="AF75" i="1" s="1" a="1"/>
  <c r="AF75" i="1" s="1"/>
  <c r="K76" i="1"/>
  <c r="T76" i="1" s="1"/>
  <c r="U76" i="1" s="1"/>
  <c r="V76" i="1" s="1"/>
  <c r="W76" i="1" s="1"/>
  <c r="I78" i="1"/>
  <c r="J77" i="1"/>
  <c r="Y76" i="1" l="1"/>
  <c r="AG75" i="1"/>
  <c r="AH75" i="1" s="1"/>
  <c r="AB75" i="1" a="1"/>
  <c r="AB75" i="1" s="1"/>
  <c r="AD76" i="1"/>
  <c r="AA76" i="1"/>
  <c r="AC76" i="1" s="1"/>
  <c r="AE76" i="1" s="1"/>
  <c r="K77" i="1"/>
  <c r="T77" i="1" s="1"/>
  <c r="U77" i="1" s="1"/>
  <c r="V77" i="1" s="1"/>
  <c r="W77" i="1" s="1"/>
  <c r="I79" i="1"/>
  <c r="J78" i="1"/>
  <c r="Y77" i="1" l="1"/>
  <c r="AF76" i="1" a="1"/>
  <c r="AF76" i="1" s="1"/>
  <c r="AG76" i="1" s="1"/>
  <c r="AH76" i="1" s="1"/>
  <c r="AB76" i="1" a="1"/>
  <c r="AB76" i="1" s="1"/>
  <c r="AD77" i="1"/>
  <c r="AA77" i="1"/>
  <c r="AB77" i="1" s="1" a="1"/>
  <c r="AB77" i="1" s="1"/>
  <c r="K78" i="1"/>
  <c r="T78" i="1" s="1"/>
  <c r="U78" i="1" s="1"/>
  <c r="V78" i="1" s="1"/>
  <c r="W78" i="1" s="1"/>
  <c r="I80" i="1"/>
  <c r="J79" i="1"/>
  <c r="Y78" i="1" l="1"/>
  <c r="AC77" i="1"/>
  <c r="AE77" i="1" s="1"/>
  <c r="AF77" i="1" s="1" a="1"/>
  <c r="AF77" i="1" s="1"/>
  <c r="AD78" i="1"/>
  <c r="AA78" i="1"/>
  <c r="AC78" i="1" s="1"/>
  <c r="AE78" i="1" s="1"/>
  <c r="AF78" i="1" s="1" a="1"/>
  <c r="AF78" i="1" s="1"/>
  <c r="K79" i="1"/>
  <c r="T79" i="1" s="1"/>
  <c r="U79" i="1" s="1"/>
  <c r="V79" i="1" s="1"/>
  <c r="W79" i="1" s="1"/>
  <c r="I81" i="1"/>
  <c r="J80" i="1"/>
  <c r="Y79" i="1" l="1"/>
  <c r="AG77" i="1"/>
  <c r="AH77" i="1" s="1"/>
  <c r="AG78" i="1"/>
  <c r="AH78" i="1" s="1"/>
  <c r="AD79" i="1"/>
  <c r="AB78" i="1" a="1"/>
  <c r="AB78" i="1" s="1"/>
  <c r="AA79" i="1"/>
  <c r="AC79" i="1" s="1"/>
  <c r="AE79" i="1" s="1"/>
  <c r="AF79" i="1" s="1" a="1"/>
  <c r="AF79" i="1" s="1"/>
  <c r="K80" i="1"/>
  <c r="T80" i="1" s="1"/>
  <c r="U80" i="1" s="1"/>
  <c r="V80" i="1" s="1"/>
  <c r="W80" i="1" s="1"/>
  <c r="I82" i="1"/>
  <c r="J81" i="1"/>
  <c r="Y80" i="1" l="1"/>
  <c r="AB79" i="1" a="1"/>
  <c r="AB79" i="1" s="1"/>
  <c r="AG79" i="1"/>
  <c r="AH79" i="1" s="1"/>
  <c r="AD80" i="1"/>
  <c r="AA80" i="1"/>
  <c r="AC80" i="1" s="1"/>
  <c r="AE80" i="1" s="1"/>
  <c r="K81" i="1"/>
  <c r="T81" i="1" s="1"/>
  <c r="U81" i="1" s="1"/>
  <c r="V81" i="1" s="1"/>
  <c r="W81" i="1" s="1"/>
  <c r="I83" i="1"/>
  <c r="J82" i="1"/>
  <c r="AB80" i="1" l="1" a="1"/>
  <c r="AB80" i="1" s="1"/>
  <c r="Y81" i="1"/>
  <c r="AF80" i="1" a="1"/>
  <c r="AF80" i="1" s="1"/>
  <c r="AD81" i="1"/>
  <c r="AA81" i="1"/>
  <c r="AB81" i="1" s="1" a="1"/>
  <c r="AB81" i="1" s="1"/>
  <c r="K82" i="1"/>
  <c r="T82" i="1" s="1"/>
  <c r="U82" i="1" s="1"/>
  <c r="V82" i="1" s="1"/>
  <c r="W82" i="1" s="1"/>
  <c r="I84" i="1"/>
  <c r="J83" i="1"/>
  <c r="Y82" i="1" l="1"/>
  <c r="AG80" i="1"/>
  <c r="AH80" i="1" s="1"/>
  <c r="AC81" i="1"/>
  <c r="AE81" i="1" s="1"/>
  <c r="AF81" i="1" s="1" a="1"/>
  <c r="AF81" i="1" s="1"/>
  <c r="AD82" i="1"/>
  <c r="AA82" i="1"/>
  <c r="AB82" i="1" s="1" a="1"/>
  <c r="AB82" i="1" s="1"/>
  <c r="K83" i="1"/>
  <c r="T83" i="1" s="1"/>
  <c r="U83" i="1" s="1"/>
  <c r="V83" i="1" s="1"/>
  <c r="W83" i="1" s="1"/>
  <c r="I85" i="1"/>
  <c r="J84" i="1"/>
  <c r="Y83" i="1" l="1"/>
  <c r="AG81" i="1"/>
  <c r="AH81" i="1" s="1"/>
  <c r="AC82" i="1"/>
  <c r="AE82" i="1" s="1"/>
  <c r="AF82" i="1" s="1" a="1"/>
  <c r="AF82" i="1" s="1"/>
  <c r="AD83" i="1"/>
  <c r="AA83" i="1"/>
  <c r="AC83" i="1" s="1"/>
  <c r="AE83" i="1" s="1"/>
  <c r="K84" i="1"/>
  <c r="T84" i="1" s="1"/>
  <c r="U84" i="1" s="1"/>
  <c r="V84" i="1" s="1"/>
  <c r="W84" i="1" s="1"/>
  <c r="I86" i="1"/>
  <c r="J85" i="1"/>
  <c r="Y84" i="1" l="1"/>
  <c r="AF83" i="1" a="1"/>
  <c r="AF83" i="1" s="1"/>
  <c r="AG83" i="1" s="1"/>
  <c r="AH83" i="1" s="1"/>
  <c r="AB83" i="1" a="1"/>
  <c r="AB83" i="1" s="1"/>
  <c r="AG82" i="1"/>
  <c r="AH82" i="1" s="1"/>
  <c r="AD84" i="1"/>
  <c r="AA84" i="1"/>
  <c r="AB84" i="1" s="1" a="1"/>
  <c r="AB84" i="1" s="1"/>
  <c r="K85" i="1"/>
  <c r="T85" i="1" s="1"/>
  <c r="U85" i="1" s="1"/>
  <c r="V85" i="1" s="1"/>
  <c r="W85" i="1" s="1"/>
  <c r="I87" i="1"/>
  <c r="J86" i="1"/>
  <c r="AC84" i="1" l="1"/>
  <c r="AE84" i="1" s="1"/>
  <c r="AF84" i="1" s="1" a="1"/>
  <c r="AF84" i="1" s="1"/>
  <c r="AG84" i="1" s="1"/>
  <c r="AH84" i="1" s="1"/>
  <c r="Y85" i="1"/>
  <c r="AD85" i="1"/>
  <c r="AA85" i="1"/>
  <c r="AB85" i="1" s="1" a="1"/>
  <c r="AB85" i="1" s="1"/>
  <c r="K86" i="1"/>
  <c r="T86" i="1" s="1"/>
  <c r="U86" i="1" s="1"/>
  <c r="V86" i="1" s="1"/>
  <c r="W86" i="1" s="1"/>
  <c r="I88" i="1"/>
  <c r="J87" i="1"/>
  <c r="AC85" i="1" l="1"/>
  <c r="AE85" i="1" s="1"/>
  <c r="AF85" i="1" s="1" a="1"/>
  <c r="AF85" i="1" s="1"/>
  <c r="AG85" i="1" s="1"/>
  <c r="AH85" i="1" s="1"/>
  <c r="Y86" i="1"/>
  <c r="AD86" i="1"/>
  <c r="AA86" i="1"/>
  <c r="AB86" i="1" s="1" a="1"/>
  <c r="AB86" i="1" s="1"/>
  <c r="K87" i="1"/>
  <c r="T87" i="1" s="1"/>
  <c r="U87" i="1" s="1"/>
  <c r="V87" i="1" s="1"/>
  <c r="W87" i="1" s="1"/>
  <c r="I89" i="1"/>
  <c r="J88" i="1"/>
  <c r="Y87" i="1" l="1"/>
  <c r="AC86" i="1"/>
  <c r="AE86" i="1" s="1"/>
  <c r="AF86" i="1" s="1" a="1"/>
  <c r="AF86" i="1" s="1"/>
  <c r="AD87" i="1"/>
  <c r="AA87" i="1"/>
  <c r="AC87" i="1" s="1"/>
  <c r="AE87" i="1" s="1"/>
  <c r="AF87" i="1" s="1" a="1"/>
  <c r="AF87" i="1" s="1"/>
  <c r="K88" i="1"/>
  <c r="T88" i="1" s="1"/>
  <c r="U88" i="1" s="1"/>
  <c r="V88" i="1" s="1"/>
  <c r="W88" i="1" s="1"/>
  <c r="I90" i="1"/>
  <c r="J89" i="1"/>
  <c r="Y88" i="1" l="1"/>
  <c r="AG86" i="1"/>
  <c r="AH86" i="1" s="1"/>
  <c r="AG87" i="1"/>
  <c r="AH87" i="1" s="1"/>
  <c r="AD88" i="1"/>
  <c r="AB87" i="1" a="1"/>
  <c r="AB87" i="1" s="1"/>
  <c r="AA88" i="1"/>
  <c r="AC88" i="1" s="1"/>
  <c r="AE88" i="1" s="1"/>
  <c r="AF88" i="1" s="1" a="1"/>
  <c r="AF88" i="1" s="1"/>
  <c r="K89" i="1"/>
  <c r="T89" i="1" s="1"/>
  <c r="U89" i="1" s="1"/>
  <c r="V89" i="1" s="1"/>
  <c r="W89" i="1" s="1"/>
  <c r="I91" i="1"/>
  <c r="J90" i="1"/>
  <c r="Y89" i="1" l="1"/>
  <c r="AG88" i="1"/>
  <c r="AH88" i="1" s="1"/>
  <c r="AB88" i="1" a="1"/>
  <c r="AB88" i="1" s="1"/>
  <c r="AD89" i="1"/>
  <c r="AA89" i="1"/>
  <c r="AB89" i="1" s="1" a="1"/>
  <c r="AB89" i="1" s="1"/>
  <c r="K90" i="1"/>
  <c r="T90" i="1" s="1"/>
  <c r="U90" i="1" s="1"/>
  <c r="V90" i="1" s="1"/>
  <c r="W90" i="1" s="1"/>
  <c r="I92" i="1"/>
  <c r="J91" i="1"/>
  <c r="Y90" i="1" l="1"/>
  <c r="AD90" i="1"/>
  <c r="AC89" i="1"/>
  <c r="AE89" i="1" s="1"/>
  <c r="AF89" i="1" s="1" a="1"/>
  <c r="AF89" i="1" s="1"/>
  <c r="AA90" i="1"/>
  <c r="AB90" i="1" s="1" a="1"/>
  <c r="AB90" i="1" s="1"/>
  <c r="K91" i="1"/>
  <c r="T91" i="1" s="1"/>
  <c r="U91" i="1" s="1"/>
  <c r="V91" i="1" s="1"/>
  <c r="W91" i="1" s="1"/>
  <c r="I93" i="1"/>
  <c r="J92" i="1"/>
  <c r="Y91" i="1" l="1"/>
  <c r="AG89" i="1"/>
  <c r="AC90" i="1"/>
  <c r="AE90" i="1" s="1"/>
  <c r="AF90" i="1" s="1" a="1"/>
  <c r="AF90" i="1" s="1"/>
  <c r="AH89" i="1"/>
  <c r="AD91" i="1"/>
  <c r="AA91" i="1"/>
  <c r="AC91" i="1" s="1"/>
  <c r="AE91" i="1" s="1"/>
  <c r="K92" i="1"/>
  <c r="T92" i="1" s="1"/>
  <c r="U92" i="1" s="1"/>
  <c r="V92" i="1" s="1"/>
  <c r="W92" i="1" s="1"/>
  <c r="I94" i="1"/>
  <c r="J93" i="1"/>
  <c r="AB91" i="1" l="1" a="1"/>
  <c r="AB91" i="1" s="1"/>
  <c r="Y92" i="1"/>
  <c r="AF91" i="1" a="1"/>
  <c r="AF91" i="1" s="1"/>
  <c r="AG91" i="1" s="1"/>
  <c r="AH91" i="1" s="1"/>
  <c r="AG90" i="1"/>
  <c r="AH90" i="1" s="1"/>
  <c r="AD92" i="1"/>
  <c r="AA92" i="1"/>
  <c r="AC92" i="1" s="1"/>
  <c r="AE92" i="1" s="1"/>
  <c r="K93" i="1"/>
  <c r="T93" i="1" s="1"/>
  <c r="U93" i="1" s="1"/>
  <c r="V93" i="1" s="1"/>
  <c r="W93" i="1" s="1"/>
  <c r="I95" i="1"/>
  <c r="J94" i="1"/>
  <c r="Y93" i="1" l="1"/>
  <c r="AF92" i="1" a="1"/>
  <c r="AF92" i="1" s="1"/>
  <c r="AB92" i="1" a="1"/>
  <c r="AB92" i="1" s="1"/>
  <c r="AD93" i="1"/>
  <c r="AA93" i="1"/>
  <c r="AB93" i="1" s="1" a="1"/>
  <c r="AB93" i="1" s="1"/>
  <c r="K94" i="1"/>
  <c r="T94" i="1" s="1"/>
  <c r="U94" i="1" s="1"/>
  <c r="V94" i="1" s="1"/>
  <c r="W94" i="1" s="1"/>
  <c r="I96" i="1"/>
  <c r="J95" i="1"/>
  <c r="Y94" i="1" l="1"/>
  <c r="AG92" i="1"/>
  <c r="AH92" i="1" s="1"/>
  <c r="AD94" i="1"/>
  <c r="AC93" i="1"/>
  <c r="AE93" i="1" s="1"/>
  <c r="AF93" i="1" s="1" a="1"/>
  <c r="AF93" i="1" s="1"/>
  <c r="AA94" i="1"/>
  <c r="AB94" i="1" s="1" a="1"/>
  <c r="AB94" i="1" s="1"/>
  <c r="AC94" i="1"/>
  <c r="AE94" i="1" s="1"/>
  <c r="AF94" i="1" s="1" a="1"/>
  <c r="AF94" i="1" s="1"/>
  <c r="K95" i="1"/>
  <c r="T95" i="1" s="1"/>
  <c r="U95" i="1" s="1"/>
  <c r="V95" i="1" s="1"/>
  <c r="W95" i="1" s="1"/>
  <c r="I97" i="1"/>
  <c r="J96" i="1"/>
  <c r="Y95" i="1" l="1"/>
  <c r="AG93" i="1"/>
  <c r="AG94" i="1"/>
  <c r="AH94" i="1" s="1"/>
  <c r="AH93" i="1"/>
  <c r="AD95" i="1"/>
  <c r="AA95" i="1"/>
  <c r="AB95" i="1" s="1" a="1"/>
  <c r="AB95" i="1" s="1"/>
  <c r="K96" i="1"/>
  <c r="T96" i="1" s="1"/>
  <c r="U96" i="1" s="1"/>
  <c r="V96" i="1" s="1"/>
  <c r="W96" i="1" s="1"/>
  <c r="I98" i="1"/>
  <c r="J97" i="1"/>
  <c r="Y96" i="1" l="1"/>
  <c r="AC95" i="1"/>
  <c r="AE95" i="1" s="1"/>
  <c r="AF95" i="1" s="1" a="1"/>
  <c r="AF95" i="1" s="1"/>
  <c r="AD96" i="1"/>
  <c r="AA96" i="1"/>
  <c r="AC96" i="1" s="1"/>
  <c r="AE96" i="1" s="1"/>
  <c r="AF96" i="1" s="1" a="1"/>
  <c r="AF96" i="1" s="1"/>
  <c r="K97" i="1"/>
  <c r="T97" i="1" s="1"/>
  <c r="U97" i="1" s="1"/>
  <c r="V97" i="1" s="1"/>
  <c r="W97" i="1" s="1"/>
  <c r="I99" i="1"/>
  <c r="J98" i="1"/>
  <c r="AB96" i="1" l="1" a="1"/>
  <c r="AB96" i="1" s="1"/>
  <c r="Y97" i="1"/>
  <c r="AG95" i="1"/>
  <c r="AG96" i="1"/>
  <c r="AH96" i="1" s="1"/>
  <c r="AH95" i="1"/>
  <c r="AD97" i="1"/>
  <c r="AA97" i="1"/>
  <c r="AB97" i="1" s="1" a="1"/>
  <c r="AB97" i="1" s="1"/>
  <c r="K98" i="1"/>
  <c r="T98" i="1" s="1"/>
  <c r="U98" i="1" s="1"/>
  <c r="V98" i="1" s="1"/>
  <c r="W98" i="1" s="1"/>
  <c r="I100" i="1"/>
  <c r="J99" i="1"/>
  <c r="Y98" i="1" l="1"/>
  <c r="AC97" i="1"/>
  <c r="AE97" i="1" s="1"/>
  <c r="AF97" i="1" s="1" a="1"/>
  <c r="AF97" i="1" s="1"/>
  <c r="AD98" i="1"/>
  <c r="AA98" i="1"/>
  <c r="AB98" i="1" s="1" a="1"/>
  <c r="AB98" i="1" s="1"/>
  <c r="K99" i="1"/>
  <c r="T99" i="1" s="1"/>
  <c r="U99" i="1" s="1"/>
  <c r="V99" i="1" s="1"/>
  <c r="W99" i="1" s="1"/>
  <c r="I101" i="1"/>
  <c r="J100" i="1"/>
  <c r="Y99" i="1" l="1"/>
  <c r="AG97" i="1"/>
  <c r="AH97" i="1" s="1"/>
  <c r="AC98" i="1"/>
  <c r="AE98" i="1" s="1"/>
  <c r="AF98" i="1" s="1" a="1"/>
  <c r="AF98" i="1" s="1"/>
  <c r="AD99" i="1"/>
  <c r="AA99" i="1"/>
  <c r="AC99" i="1" s="1"/>
  <c r="AE99" i="1" s="1"/>
  <c r="AF99" i="1" s="1" a="1"/>
  <c r="AF99" i="1" s="1"/>
  <c r="AB99" i="1" a="1"/>
  <c r="AB99" i="1" s="1"/>
  <c r="K100" i="1"/>
  <c r="T100" i="1" s="1"/>
  <c r="U100" i="1" s="1"/>
  <c r="V100" i="1" s="1"/>
  <c r="W100" i="1" s="1"/>
  <c r="I102" i="1"/>
  <c r="J101" i="1"/>
  <c r="Y100" i="1" l="1"/>
  <c r="AG98" i="1"/>
  <c r="AG99" i="1"/>
  <c r="AH99" i="1" s="1"/>
  <c r="AH98" i="1"/>
  <c r="AD100" i="1"/>
  <c r="AA100" i="1"/>
  <c r="AB100" i="1" s="1" a="1"/>
  <c r="AB100" i="1" s="1"/>
  <c r="K101" i="1"/>
  <c r="T101" i="1" s="1"/>
  <c r="U101" i="1" s="1"/>
  <c r="V101" i="1" s="1"/>
  <c r="W101" i="1" s="1"/>
  <c r="I103" i="1"/>
  <c r="J102" i="1"/>
  <c r="Y101" i="1" l="1"/>
  <c r="AC100" i="1"/>
  <c r="AE100" i="1" s="1"/>
  <c r="AF100" i="1" s="1" a="1"/>
  <c r="AF100" i="1" s="1"/>
  <c r="AD101" i="1"/>
  <c r="AA101" i="1"/>
  <c r="AB101" i="1" s="1" a="1"/>
  <c r="AB101" i="1" s="1"/>
  <c r="K102" i="1"/>
  <c r="T102" i="1" s="1"/>
  <c r="U102" i="1" s="1"/>
  <c r="V102" i="1" s="1"/>
  <c r="W102" i="1" s="1"/>
  <c r="I104" i="1"/>
  <c r="J103" i="1"/>
  <c r="Y102" i="1" l="1"/>
  <c r="AG100" i="1"/>
  <c r="AH100" i="1" s="1"/>
  <c r="AC101" i="1"/>
  <c r="AE101" i="1" s="1"/>
  <c r="AF101" i="1" s="1" a="1"/>
  <c r="AF101" i="1" s="1"/>
  <c r="AD102" i="1"/>
  <c r="AA102" i="1"/>
  <c r="AC102" i="1" s="1"/>
  <c r="AE102" i="1" s="1"/>
  <c r="AF102" i="1" s="1" a="1"/>
  <c r="AF102" i="1" s="1"/>
  <c r="K103" i="1"/>
  <c r="T103" i="1" s="1"/>
  <c r="U103" i="1" s="1"/>
  <c r="V103" i="1" s="1"/>
  <c r="W103" i="1" s="1"/>
  <c r="I105" i="1"/>
  <c r="J104" i="1"/>
  <c r="Y103" i="1" l="1"/>
  <c r="AG102" i="1"/>
  <c r="AH102" i="1" s="1"/>
  <c r="AG101" i="1"/>
  <c r="AH101" i="1" s="1"/>
  <c r="AB102" i="1" a="1"/>
  <c r="AB102" i="1" s="1"/>
  <c r="AD103" i="1"/>
  <c r="AA103" i="1"/>
  <c r="AC103" i="1" s="1"/>
  <c r="AE103" i="1" s="1"/>
  <c r="AF103" i="1" s="1" a="1"/>
  <c r="AF103" i="1" s="1"/>
  <c r="K104" i="1"/>
  <c r="T104" i="1" s="1"/>
  <c r="U104" i="1" s="1"/>
  <c r="V104" i="1" s="1"/>
  <c r="W104" i="1" s="1"/>
  <c r="I106" i="1"/>
  <c r="J105" i="1"/>
  <c r="Y104" i="1" l="1"/>
  <c r="AG103" i="1"/>
  <c r="AH103" i="1" s="1"/>
  <c r="AD104" i="1"/>
  <c r="AB103" i="1" a="1"/>
  <c r="AB103" i="1" s="1"/>
  <c r="AA104" i="1"/>
  <c r="AC104" i="1" s="1"/>
  <c r="AE104" i="1" s="1"/>
  <c r="AF104" i="1" s="1" a="1"/>
  <c r="AF104" i="1" s="1"/>
  <c r="K105" i="1"/>
  <c r="T105" i="1" s="1"/>
  <c r="U105" i="1" s="1"/>
  <c r="V105" i="1" s="1"/>
  <c r="W105" i="1" s="1"/>
  <c r="I107" i="1"/>
  <c r="J106" i="1"/>
  <c r="Y105" i="1" l="1"/>
  <c r="AG104" i="1"/>
  <c r="AH104" i="1" s="1"/>
  <c r="AB104" i="1" a="1"/>
  <c r="AB104" i="1" s="1"/>
  <c r="AD105" i="1"/>
  <c r="AA105" i="1"/>
  <c r="AB105" i="1" s="1" a="1"/>
  <c r="AB105" i="1" s="1"/>
  <c r="K106" i="1"/>
  <c r="T106" i="1" s="1"/>
  <c r="U106" i="1" s="1"/>
  <c r="V106" i="1" s="1"/>
  <c r="W106" i="1" s="1"/>
  <c r="I108" i="1"/>
  <c r="J107" i="1"/>
  <c r="Y106" i="1" l="1"/>
  <c r="AD106" i="1"/>
  <c r="AC105" i="1"/>
  <c r="AE105" i="1" s="1"/>
  <c r="AF105" i="1" s="1" a="1"/>
  <c r="AF105" i="1" s="1"/>
  <c r="AA106" i="1"/>
  <c r="AB106" i="1" s="1" a="1"/>
  <c r="AB106" i="1" s="1"/>
  <c r="K107" i="1"/>
  <c r="T107" i="1" s="1"/>
  <c r="U107" i="1" s="1"/>
  <c r="V107" i="1" s="1"/>
  <c r="W107" i="1" s="1"/>
  <c r="I109" i="1"/>
  <c r="J108" i="1"/>
  <c r="AC106" i="1" l="1"/>
  <c r="AE106" i="1" s="1"/>
  <c r="AF106" i="1" s="1" a="1"/>
  <c r="AF106" i="1" s="1"/>
  <c r="AG106" i="1" s="1"/>
  <c r="AH106" i="1" s="1"/>
  <c r="Y107" i="1"/>
  <c r="AG105" i="1"/>
  <c r="AH105" i="1" s="1"/>
  <c r="AD107" i="1"/>
  <c r="AA107" i="1"/>
  <c r="AC107" i="1" s="1"/>
  <c r="AE107" i="1" s="1"/>
  <c r="K108" i="1"/>
  <c r="T108" i="1" s="1"/>
  <c r="U108" i="1" s="1"/>
  <c r="V108" i="1" s="1"/>
  <c r="W108" i="1" s="1"/>
  <c r="I110" i="1"/>
  <c r="J109" i="1"/>
  <c r="AF107" i="1" l="1" a="1"/>
  <c r="AF107" i="1" s="1"/>
  <c r="AG107" i="1" s="1"/>
  <c r="AH107" i="1" s="1"/>
  <c r="Y108" i="1"/>
  <c r="AD108" i="1"/>
  <c r="AB107" i="1" a="1"/>
  <c r="AB107" i="1" s="1"/>
  <c r="AA108" i="1"/>
  <c r="AC108" i="1" s="1"/>
  <c r="AE108" i="1" s="1"/>
  <c r="AF108" i="1" s="1" a="1"/>
  <c r="AF108" i="1" s="1"/>
  <c r="K109" i="1"/>
  <c r="T109" i="1" s="1"/>
  <c r="U109" i="1" s="1"/>
  <c r="V109" i="1" s="1"/>
  <c r="W109" i="1" s="1"/>
  <c r="I111" i="1"/>
  <c r="J110" i="1"/>
  <c r="AB108" i="1" l="1" a="1"/>
  <c r="AB108" i="1" s="1"/>
  <c r="Y109" i="1"/>
  <c r="AG108" i="1"/>
  <c r="AH108" i="1" s="1"/>
  <c r="AD109" i="1"/>
  <c r="AA109" i="1"/>
  <c r="AC109" i="1" s="1"/>
  <c r="AE109" i="1" s="1"/>
  <c r="K110" i="1"/>
  <c r="T110" i="1" s="1"/>
  <c r="U110" i="1" s="1"/>
  <c r="V110" i="1" s="1"/>
  <c r="W110" i="1" s="1"/>
  <c r="I112" i="1"/>
  <c r="J111" i="1"/>
  <c r="Y110" i="1" l="1"/>
  <c r="AF109" i="1" a="1"/>
  <c r="AF109" i="1" s="1"/>
  <c r="AD110" i="1"/>
  <c r="AB109" i="1" a="1"/>
  <c r="AB109" i="1" s="1"/>
  <c r="AA110" i="1"/>
  <c r="AB110" i="1" s="1" a="1"/>
  <c r="AB110" i="1" s="1"/>
  <c r="K111" i="1"/>
  <c r="T111" i="1" s="1"/>
  <c r="U111" i="1" s="1"/>
  <c r="V111" i="1" s="1"/>
  <c r="W111" i="1" s="1"/>
  <c r="I113" i="1"/>
  <c r="J112" i="1"/>
  <c r="Y111" i="1" l="1"/>
  <c r="AG109" i="1"/>
  <c r="AH109" i="1" s="1"/>
  <c r="AC110" i="1"/>
  <c r="AE110" i="1" s="1"/>
  <c r="AF110" i="1" s="1" a="1"/>
  <c r="AF110" i="1" s="1"/>
  <c r="AD111" i="1"/>
  <c r="AA111" i="1"/>
  <c r="AB111" i="1" s="1" a="1"/>
  <c r="AB111" i="1" s="1"/>
  <c r="K112" i="1"/>
  <c r="T112" i="1" s="1"/>
  <c r="U112" i="1" s="1"/>
  <c r="V112" i="1" s="1"/>
  <c r="W112" i="1" s="1"/>
  <c r="I114" i="1"/>
  <c r="J113" i="1"/>
  <c r="Y112" i="1" l="1"/>
  <c r="AG110" i="1"/>
  <c r="AH110" i="1" s="1"/>
  <c r="AD112" i="1"/>
  <c r="AC111" i="1"/>
  <c r="AE111" i="1" s="1"/>
  <c r="AF111" i="1" s="1" a="1"/>
  <c r="AF111" i="1" s="1"/>
  <c r="AA112" i="1"/>
  <c r="AB112" i="1" s="1" a="1"/>
  <c r="AB112" i="1" s="1"/>
  <c r="K113" i="1"/>
  <c r="T113" i="1" s="1"/>
  <c r="U113" i="1" s="1"/>
  <c r="V113" i="1" s="1"/>
  <c r="W113" i="1" s="1"/>
  <c r="I115" i="1"/>
  <c r="J114" i="1"/>
  <c r="Y113" i="1" l="1"/>
  <c r="AG111" i="1"/>
  <c r="AC112" i="1"/>
  <c r="AE112" i="1" s="1"/>
  <c r="AF112" i="1" s="1" a="1"/>
  <c r="AF112" i="1" s="1"/>
  <c r="AH111" i="1"/>
  <c r="AD113" i="1"/>
  <c r="AA113" i="1"/>
  <c r="AB113" i="1" s="1" a="1"/>
  <c r="AB113" i="1" s="1"/>
  <c r="K114" i="1"/>
  <c r="T114" i="1" s="1"/>
  <c r="U114" i="1" s="1"/>
  <c r="V114" i="1" s="1"/>
  <c r="W114" i="1" s="1"/>
  <c r="I116" i="1"/>
  <c r="J115" i="1"/>
  <c r="Y114" i="1" l="1"/>
  <c r="AG112" i="1"/>
  <c r="AH112" i="1" s="1"/>
  <c r="AD114" i="1"/>
  <c r="AC113" i="1"/>
  <c r="AE113" i="1" s="1"/>
  <c r="AF113" i="1" s="1" a="1"/>
  <c r="AF113" i="1" s="1"/>
  <c r="AA114" i="1"/>
  <c r="AC114" i="1" s="1"/>
  <c r="AE114" i="1" s="1"/>
  <c r="AF114" i="1" s="1" a="1"/>
  <c r="AF114" i="1" s="1"/>
  <c r="K115" i="1"/>
  <c r="T115" i="1" s="1"/>
  <c r="U115" i="1" s="1"/>
  <c r="V115" i="1" s="1"/>
  <c r="W115" i="1" s="1"/>
  <c r="I117" i="1"/>
  <c r="J116" i="1"/>
  <c r="Y115" i="1" l="1"/>
  <c r="AG114" i="1"/>
  <c r="AH114" i="1" s="1"/>
  <c r="AG113" i="1"/>
  <c r="AH113" i="1" s="1"/>
  <c r="AB114" i="1" a="1"/>
  <c r="AB114" i="1" s="1"/>
  <c r="AD115" i="1"/>
  <c r="AA115" i="1"/>
  <c r="AC115" i="1" s="1"/>
  <c r="AE115" i="1" s="1"/>
  <c r="K116" i="1"/>
  <c r="T116" i="1" s="1"/>
  <c r="U116" i="1" s="1"/>
  <c r="V116" i="1" s="1"/>
  <c r="W116" i="1" s="1"/>
  <c r="I118" i="1"/>
  <c r="J117" i="1"/>
  <c r="AF115" i="1" l="1" a="1"/>
  <c r="AF115" i="1" s="1"/>
  <c r="AG115" i="1" s="1"/>
  <c r="AH115" i="1" s="1"/>
  <c r="Y116" i="1"/>
  <c r="AD116" i="1"/>
  <c r="AB115" i="1" a="1"/>
  <c r="AB115" i="1" s="1"/>
  <c r="AA116" i="1"/>
  <c r="AC116" i="1" s="1"/>
  <c r="AE116" i="1" s="1"/>
  <c r="K117" i="1"/>
  <c r="T117" i="1" s="1"/>
  <c r="U117" i="1" s="1"/>
  <c r="V117" i="1" s="1"/>
  <c r="W117" i="1" s="1"/>
  <c r="I119" i="1"/>
  <c r="J118" i="1"/>
  <c r="AF116" i="1" l="1" a="1"/>
  <c r="AF116" i="1" s="1"/>
  <c r="AG116" i="1" s="1"/>
  <c r="AH116" i="1" s="1"/>
  <c r="Y117" i="1"/>
  <c r="AD117" i="1"/>
  <c r="AB116" i="1" a="1"/>
  <c r="AB116" i="1" s="1"/>
  <c r="AA117" i="1"/>
  <c r="AB117" i="1" s="1" a="1"/>
  <c r="AB117" i="1" s="1"/>
  <c r="K118" i="1"/>
  <c r="T118" i="1" s="1"/>
  <c r="U118" i="1" s="1"/>
  <c r="V118" i="1" s="1"/>
  <c r="W118" i="1" s="1"/>
  <c r="I120" i="1"/>
  <c r="J119" i="1"/>
  <c r="Y118" i="1" l="1"/>
  <c r="AD118" i="1"/>
  <c r="AC117" i="1"/>
  <c r="AE117" i="1" s="1"/>
  <c r="AF117" i="1" s="1" a="1"/>
  <c r="AF117" i="1" s="1"/>
  <c r="AA118" i="1"/>
  <c r="AB118" i="1" s="1" a="1"/>
  <c r="AB118" i="1" s="1"/>
  <c r="K119" i="1"/>
  <c r="T119" i="1" s="1"/>
  <c r="U119" i="1" s="1"/>
  <c r="V119" i="1" s="1"/>
  <c r="W119" i="1" s="1"/>
  <c r="I121" i="1"/>
  <c r="J120" i="1"/>
  <c r="Y119" i="1" l="1"/>
  <c r="AC118" i="1"/>
  <c r="AE118" i="1" s="1"/>
  <c r="AF118" i="1" s="1" a="1"/>
  <c r="AF118" i="1" s="1"/>
  <c r="AG117" i="1"/>
  <c r="AH117" i="1" s="1"/>
  <c r="AD119" i="1"/>
  <c r="AA119" i="1"/>
  <c r="AC119" i="1" s="1"/>
  <c r="AE119" i="1" s="1"/>
  <c r="AF119" i="1" s="1" a="1"/>
  <c r="AF119" i="1" s="1"/>
  <c r="K120" i="1"/>
  <c r="T120" i="1" s="1"/>
  <c r="U120" i="1" s="1"/>
  <c r="V120" i="1" s="1"/>
  <c r="W120" i="1" s="1"/>
  <c r="I122" i="1"/>
  <c r="J121" i="1"/>
  <c r="Y120" i="1" l="1"/>
  <c r="AG118" i="1"/>
  <c r="AH118" i="1" s="1"/>
  <c r="AG119" i="1"/>
  <c r="AH119" i="1" s="1"/>
  <c r="AD120" i="1"/>
  <c r="AB119" i="1" a="1"/>
  <c r="AB119" i="1" s="1"/>
  <c r="AA120" i="1"/>
  <c r="AC120" i="1" s="1"/>
  <c r="AE120" i="1" s="1"/>
  <c r="AF120" i="1" s="1" a="1"/>
  <c r="AF120" i="1" s="1"/>
  <c r="K121" i="1"/>
  <c r="T121" i="1" s="1"/>
  <c r="U121" i="1" s="1"/>
  <c r="V121" i="1" s="1"/>
  <c r="W121" i="1" s="1"/>
  <c r="I123" i="1"/>
  <c r="J122" i="1"/>
  <c r="Y121" i="1" l="1"/>
  <c r="AB120" i="1" a="1"/>
  <c r="AB120" i="1" s="1"/>
  <c r="AG120" i="1"/>
  <c r="AH120" i="1" s="1"/>
  <c r="AD121" i="1"/>
  <c r="AA121" i="1"/>
  <c r="AC121" i="1" s="1"/>
  <c r="AE121" i="1" s="1"/>
  <c r="K122" i="1"/>
  <c r="T122" i="1" s="1"/>
  <c r="U122" i="1" s="1"/>
  <c r="V122" i="1" s="1"/>
  <c r="W122" i="1" s="1"/>
  <c r="I124" i="1"/>
  <c r="J123" i="1"/>
  <c r="AB121" i="1" l="1" a="1"/>
  <c r="AB121" i="1" s="1"/>
  <c r="Y122" i="1"/>
  <c r="AF121" i="1" a="1"/>
  <c r="AF121" i="1" s="1"/>
  <c r="AD122" i="1"/>
  <c r="AA122" i="1"/>
  <c r="AC122" i="1" s="1"/>
  <c r="AE122" i="1" s="1"/>
  <c r="K123" i="1"/>
  <c r="T123" i="1" s="1"/>
  <c r="U123" i="1" s="1"/>
  <c r="V123" i="1" s="1"/>
  <c r="W123" i="1" s="1"/>
  <c r="I125" i="1"/>
  <c r="J124" i="1"/>
  <c r="AF122" i="1" l="1" a="1"/>
  <c r="AF122" i="1" s="1"/>
  <c r="AG122" i="1" s="1"/>
  <c r="AH122" i="1" s="1"/>
  <c r="Y123" i="1"/>
  <c r="AB122" i="1" a="1"/>
  <c r="AB122" i="1" s="1"/>
  <c r="AG121" i="1"/>
  <c r="AH121" i="1" s="1"/>
  <c r="AD123" i="1"/>
  <c r="AA123" i="1"/>
  <c r="AC123" i="1" s="1"/>
  <c r="AE123" i="1" s="1"/>
  <c r="AF123" i="1" s="1" a="1"/>
  <c r="AF123" i="1" s="1"/>
  <c r="K124" i="1"/>
  <c r="T124" i="1" s="1"/>
  <c r="U124" i="1" s="1"/>
  <c r="V124" i="1" s="1"/>
  <c r="W124" i="1" s="1"/>
  <c r="I126" i="1"/>
  <c r="J125" i="1"/>
  <c r="Y124" i="1" l="1"/>
  <c r="AG123" i="1"/>
  <c r="AH123" i="1" s="1"/>
  <c r="AB123" i="1" a="1"/>
  <c r="AB123" i="1" s="1"/>
  <c r="AD124" i="1"/>
  <c r="AA124" i="1"/>
  <c r="AB124" i="1" s="1" a="1"/>
  <c r="AB124" i="1" s="1"/>
  <c r="K125" i="1"/>
  <c r="T125" i="1" s="1"/>
  <c r="U125" i="1" s="1"/>
  <c r="V125" i="1" s="1"/>
  <c r="W125" i="1" s="1"/>
  <c r="I127" i="1"/>
  <c r="J126" i="1"/>
  <c r="Y125" i="1" l="1"/>
  <c r="AC124" i="1"/>
  <c r="AE124" i="1" s="1"/>
  <c r="AF124" i="1" s="1" a="1"/>
  <c r="AF124" i="1" s="1"/>
  <c r="AD125" i="1"/>
  <c r="AA125" i="1"/>
  <c r="AB125" i="1" s="1" a="1"/>
  <c r="AB125" i="1" s="1"/>
  <c r="AC125" i="1"/>
  <c r="AE125" i="1" s="1"/>
  <c r="AF125" i="1" s="1" a="1"/>
  <c r="AF125" i="1" s="1"/>
  <c r="K126" i="1"/>
  <c r="T126" i="1" s="1"/>
  <c r="U126" i="1" s="1"/>
  <c r="V126" i="1" s="1"/>
  <c r="W126" i="1" s="1"/>
  <c r="I128" i="1"/>
  <c r="J127" i="1"/>
  <c r="Y126" i="1" l="1"/>
  <c r="AG125" i="1"/>
  <c r="AH125" i="1" s="1"/>
  <c r="AG124" i="1"/>
  <c r="AH124" i="1" s="1"/>
  <c r="AD126" i="1"/>
  <c r="AA126" i="1"/>
  <c r="AC126" i="1" s="1"/>
  <c r="AE126" i="1" s="1"/>
  <c r="K127" i="1"/>
  <c r="T127" i="1" s="1"/>
  <c r="U127" i="1" s="1"/>
  <c r="V127" i="1" s="1"/>
  <c r="W127" i="1" s="1"/>
  <c r="I129" i="1"/>
  <c r="J128" i="1"/>
  <c r="Y127" i="1" l="1"/>
  <c r="AF126" i="1" a="1"/>
  <c r="AF126" i="1" s="1"/>
  <c r="AG126" i="1" s="1"/>
  <c r="AH126" i="1" s="1"/>
  <c r="AB126" i="1" a="1"/>
  <c r="AB126" i="1" s="1"/>
  <c r="AD127" i="1"/>
  <c r="AA127" i="1"/>
  <c r="AC127" i="1" s="1"/>
  <c r="AE127" i="1" s="1"/>
  <c r="K128" i="1"/>
  <c r="T128" i="1" s="1"/>
  <c r="U128" i="1" s="1"/>
  <c r="V128" i="1" s="1"/>
  <c r="W128" i="1" s="1"/>
  <c r="I130" i="1"/>
  <c r="J129" i="1"/>
  <c r="Y128" i="1" l="1"/>
  <c r="AF127" i="1" a="1"/>
  <c r="AF127" i="1" s="1"/>
  <c r="AG127" i="1" s="1"/>
  <c r="AH127" i="1" s="1"/>
  <c r="AB127" i="1" a="1"/>
  <c r="AB127" i="1" s="1"/>
  <c r="AD128" i="1"/>
  <c r="AA128" i="1"/>
  <c r="AC128" i="1" s="1"/>
  <c r="AE128" i="1" s="1"/>
  <c r="K129" i="1"/>
  <c r="T129" i="1" s="1"/>
  <c r="U129" i="1" s="1"/>
  <c r="V129" i="1" s="1"/>
  <c r="W129" i="1" s="1"/>
  <c r="I131" i="1"/>
  <c r="J130" i="1"/>
  <c r="AB128" i="1" l="1" a="1"/>
  <c r="AB128" i="1" s="1"/>
  <c r="Y129" i="1"/>
  <c r="AF128" i="1" a="1"/>
  <c r="AF128" i="1" s="1"/>
  <c r="AD129" i="1"/>
  <c r="AA129" i="1"/>
  <c r="AB129" i="1" s="1" a="1"/>
  <c r="AB129" i="1" s="1"/>
  <c r="K130" i="1"/>
  <c r="T130" i="1" s="1"/>
  <c r="U130" i="1" s="1"/>
  <c r="V130" i="1" s="1"/>
  <c r="W130" i="1" s="1"/>
  <c r="I132" i="1"/>
  <c r="J131" i="1"/>
  <c r="Y130" i="1" l="1"/>
  <c r="AC129" i="1"/>
  <c r="AE129" i="1" s="1"/>
  <c r="AF129" i="1" s="1" a="1"/>
  <c r="AF129" i="1" s="1"/>
  <c r="AG128" i="1"/>
  <c r="AH128" i="1" s="1"/>
  <c r="AD130" i="1"/>
  <c r="AA130" i="1"/>
  <c r="AB130" i="1" s="1" a="1"/>
  <c r="AB130" i="1" s="1"/>
  <c r="K131" i="1"/>
  <c r="T131" i="1" s="1"/>
  <c r="U131" i="1" s="1"/>
  <c r="V131" i="1" s="1"/>
  <c r="W131" i="1" s="1"/>
  <c r="I133" i="1"/>
  <c r="J132" i="1"/>
  <c r="Y131" i="1" l="1"/>
  <c r="AC130" i="1"/>
  <c r="AE130" i="1" s="1"/>
  <c r="AF130" i="1" s="1" a="1"/>
  <c r="AF130" i="1" s="1"/>
  <c r="AG130" i="1" s="1"/>
  <c r="AH130" i="1" s="1"/>
  <c r="AG129" i="1"/>
  <c r="AH129" i="1" s="1"/>
  <c r="AD131" i="1"/>
  <c r="AA131" i="1"/>
  <c r="AC131" i="1" s="1"/>
  <c r="AE131" i="1" s="1"/>
  <c r="AF131" i="1" s="1" a="1"/>
  <c r="AF131" i="1" s="1"/>
  <c r="K132" i="1"/>
  <c r="T132" i="1" s="1"/>
  <c r="U132" i="1" s="1"/>
  <c r="V132" i="1" s="1"/>
  <c r="W132" i="1" s="1"/>
  <c r="I134" i="1"/>
  <c r="J133" i="1"/>
  <c r="Y132" i="1" l="1"/>
  <c r="AG131" i="1"/>
  <c r="AH131" i="1" s="1"/>
  <c r="AB131" i="1" a="1"/>
  <c r="AB131" i="1" s="1"/>
  <c r="AD132" i="1"/>
  <c r="AA132" i="1"/>
  <c r="AC132" i="1" s="1"/>
  <c r="AE132" i="1" s="1"/>
  <c r="AF132" i="1" s="1" a="1"/>
  <c r="AF132" i="1" s="1"/>
  <c r="K133" i="1"/>
  <c r="T133" i="1" s="1"/>
  <c r="U133" i="1" s="1"/>
  <c r="V133" i="1" s="1"/>
  <c r="W133" i="1" s="1"/>
  <c r="I135" i="1"/>
  <c r="J134" i="1"/>
  <c r="Y133" i="1" l="1"/>
  <c r="AG132" i="1"/>
  <c r="AH132" i="1" s="1"/>
  <c r="AB132" i="1" a="1"/>
  <c r="AB132" i="1" s="1"/>
  <c r="AD133" i="1"/>
  <c r="AA133" i="1"/>
  <c r="AB133" i="1" s="1" a="1"/>
  <c r="AB133" i="1" s="1"/>
  <c r="K134" i="1"/>
  <c r="T134" i="1" s="1"/>
  <c r="U134" i="1" s="1"/>
  <c r="V134" i="1" s="1"/>
  <c r="W134" i="1" s="1"/>
  <c r="I136" i="1"/>
  <c r="J135" i="1"/>
  <c r="Y134" i="1" l="1"/>
  <c r="AC133" i="1"/>
  <c r="AE133" i="1" s="1"/>
  <c r="AF133" i="1" s="1" a="1"/>
  <c r="AF133" i="1" s="1"/>
  <c r="AD134" i="1"/>
  <c r="AA134" i="1"/>
  <c r="AB134" i="1" a="1"/>
  <c r="AB134" i="1" s="1"/>
  <c r="AC134" i="1"/>
  <c r="AE134" i="1" s="1"/>
  <c r="K135" i="1"/>
  <c r="T135" i="1" s="1"/>
  <c r="U135" i="1" s="1"/>
  <c r="V135" i="1" s="1"/>
  <c r="W135" i="1" s="1"/>
  <c r="I137" i="1"/>
  <c r="J136" i="1"/>
  <c r="Y135" i="1" l="1"/>
  <c r="AG133" i="1"/>
  <c r="AH133" i="1" s="1"/>
  <c r="AD135" i="1"/>
  <c r="AF134" i="1" a="1"/>
  <c r="AF134" i="1" s="1"/>
  <c r="AA135" i="1"/>
  <c r="AC135" i="1" s="1"/>
  <c r="AE135" i="1" s="1"/>
  <c r="AF135" i="1" s="1" a="1"/>
  <c r="AF135" i="1" s="1"/>
  <c r="K136" i="1"/>
  <c r="T136" i="1" s="1"/>
  <c r="U136" i="1" s="1"/>
  <c r="V136" i="1" s="1"/>
  <c r="W136" i="1" s="1"/>
  <c r="I138" i="1"/>
  <c r="J137" i="1"/>
  <c r="Y136" i="1" l="1"/>
  <c r="AG134" i="1"/>
  <c r="AG135" i="1"/>
  <c r="AH135" i="1" s="1"/>
  <c r="AB135" i="1" a="1"/>
  <c r="AB135" i="1" s="1"/>
  <c r="AH134" i="1"/>
  <c r="AD136" i="1"/>
  <c r="AA136" i="1"/>
  <c r="AB136" i="1" s="1" a="1"/>
  <c r="AB136" i="1" s="1"/>
  <c r="K137" i="1"/>
  <c r="T137" i="1" s="1"/>
  <c r="U137" i="1" s="1"/>
  <c r="V137" i="1" s="1"/>
  <c r="W137" i="1" s="1"/>
  <c r="I139" i="1"/>
  <c r="J138" i="1"/>
  <c r="Y137" i="1" l="1"/>
  <c r="AC136" i="1"/>
  <c r="AE136" i="1" s="1"/>
  <c r="AF136" i="1" s="1" a="1"/>
  <c r="AF136" i="1" s="1"/>
  <c r="AD137" i="1"/>
  <c r="AA137" i="1"/>
  <c r="AB137" i="1" s="1" a="1"/>
  <c r="AB137" i="1" s="1"/>
  <c r="K138" i="1"/>
  <c r="T138" i="1" s="1"/>
  <c r="U138" i="1" s="1"/>
  <c r="V138" i="1" s="1"/>
  <c r="W138" i="1" s="1"/>
  <c r="I140" i="1"/>
  <c r="J139" i="1"/>
  <c r="Y138" i="1" l="1"/>
  <c r="AC137" i="1"/>
  <c r="AE137" i="1" s="1"/>
  <c r="AF137" i="1" s="1" a="1"/>
  <c r="AF137" i="1" s="1"/>
  <c r="AG136" i="1"/>
  <c r="AH136" i="1" s="1"/>
  <c r="AD138" i="1"/>
  <c r="AA138" i="1"/>
  <c r="AC138" i="1" s="1"/>
  <c r="AE138" i="1" s="1"/>
  <c r="K139" i="1"/>
  <c r="T139" i="1" s="1"/>
  <c r="U139" i="1" s="1"/>
  <c r="V139" i="1" s="1"/>
  <c r="W139" i="1" s="1"/>
  <c r="I141" i="1"/>
  <c r="J140" i="1"/>
  <c r="Y139" i="1" l="1"/>
  <c r="AF138" i="1" a="1"/>
  <c r="AF138" i="1" s="1"/>
  <c r="AG138" i="1" s="1"/>
  <c r="AH138" i="1" s="1"/>
  <c r="AG137" i="1"/>
  <c r="AH137" i="1" s="1"/>
  <c r="AB138" i="1" a="1"/>
  <c r="AB138" i="1" s="1"/>
  <c r="AD139" i="1"/>
  <c r="AA139" i="1"/>
  <c r="AC139" i="1" s="1"/>
  <c r="AE139" i="1" s="1"/>
  <c r="AF139" i="1" s="1" a="1"/>
  <c r="AF139" i="1" s="1"/>
  <c r="K140" i="1"/>
  <c r="T140" i="1" s="1"/>
  <c r="U140" i="1" s="1"/>
  <c r="V140" i="1" s="1"/>
  <c r="W140" i="1" s="1"/>
  <c r="I142" i="1"/>
  <c r="J141" i="1"/>
  <c r="Y140" i="1" l="1"/>
  <c r="AG139" i="1"/>
  <c r="AH139" i="1" s="1"/>
  <c r="AB139" i="1" a="1"/>
  <c r="AB139" i="1" s="1"/>
  <c r="AD140" i="1"/>
  <c r="AA140" i="1"/>
  <c r="AC140" i="1" s="1"/>
  <c r="AE140" i="1" s="1"/>
  <c r="AF140" i="1" s="1" a="1"/>
  <c r="AF140" i="1" s="1"/>
  <c r="K141" i="1"/>
  <c r="T141" i="1" s="1"/>
  <c r="U141" i="1" s="1"/>
  <c r="V141" i="1" s="1"/>
  <c r="W141" i="1" s="1"/>
  <c r="I143" i="1"/>
  <c r="J142" i="1"/>
  <c r="Y141" i="1" l="1"/>
  <c r="AG140" i="1"/>
  <c r="AH140" i="1" s="1"/>
  <c r="AB140" i="1" a="1"/>
  <c r="AB140" i="1" s="1"/>
  <c r="AD141" i="1"/>
  <c r="AA141" i="1"/>
  <c r="AB141" i="1" s="1" a="1"/>
  <c r="AB141" i="1" s="1"/>
  <c r="K142" i="1"/>
  <c r="T142" i="1" s="1"/>
  <c r="U142" i="1" s="1"/>
  <c r="V142" i="1" s="1"/>
  <c r="W142" i="1" s="1"/>
  <c r="I144" i="1"/>
  <c r="J143" i="1"/>
  <c r="Y142" i="1" l="1"/>
  <c r="AC141" i="1"/>
  <c r="AE141" i="1" s="1"/>
  <c r="AF141" i="1" s="1" a="1"/>
  <c r="AF141" i="1" s="1"/>
  <c r="AD142" i="1"/>
  <c r="AA142" i="1"/>
  <c r="AB142" i="1" s="1" a="1"/>
  <c r="AB142" i="1" s="1"/>
  <c r="K143" i="1"/>
  <c r="T143" i="1" s="1"/>
  <c r="U143" i="1" s="1"/>
  <c r="V143" i="1" s="1"/>
  <c r="W143" i="1" s="1"/>
  <c r="I145" i="1"/>
  <c r="J144" i="1"/>
  <c r="AC142" i="1" l="1"/>
  <c r="AE142" i="1" s="1"/>
  <c r="AF142" i="1" s="1" a="1"/>
  <c r="AF142" i="1" s="1"/>
  <c r="AG142" i="1" s="1"/>
  <c r="AH142" i="1" s="1"/>
  <c r="Y143" i="1"/>
  <c r="AG141" i="1"/>
  <c r="AH141" i="1" s="1"/>
  <c r="AD143" i="1"/>
  <c r="AA143" i="1"/>
  <c r="AB143" i="1" s="1" a="1"/>
  <c r="AB143" i="1" s="1"/>
  <c r="K144" i="1"/>
  <c r="T144" i="1" s="1"/>
  <c r="U144" i="1" s="1"/>
  <c r="V144" i="1" s="1"/>
  <c r="W144" i="1" s="1"/>
  <c r="I146" i="1"/>
  <c r="J145" i="1"/>
  <c r="Y144" i="1" l="1"/>
  <c r="AC143" i="1"/>
  <c r="AE143" i="1" s="1"/>
  <c r="AF143" i="1" s="1" a="1"/>
  <c r="AF143" i="1" s="1"/>
  <c r="AD144" i="1"/>
  <c r="AA144" i="1"/>
  <c r="AC144" i="1" s="1"/>
  <c r="AE144" i="1" s="1"/>
  <c r="AF144" i="1" s="1" a="1"/>
  <c r="AF144" i="1" s="1"/>
  <c r="K145" i="1"/>
  <c r="T145" i="1" s="1"/>
  <c r="U145" i="1" s="1"/>
  <c r="V145" i="1" s="1"/>
  <c r="W145" i="1" s="1"/>
  <c r="I147" i="1"/>
  <c r="J146" i="1"/>
  <c r="Y145" i="1" l="1"/>
  <c r="AG143" i="1"/>
  <c r="AH143" i="1" s="1"/>
  <c r="AG144" i="1"/>
  <c r="AH144" i="1" s="1"/>
  <c r="AB144" i="1" a="1"/>
  <c r="AB144" i="1" s="1"/>
  <c r="AD145" i="1"/>
  <c r="AA145" i="1"/>
  <c r="AC145" i="1" s="1"/>
  <c r="AE145" i="1" s="1"/>
  <c r="K146" i="1"/>
  <c r="T146" i="1" s="1"/>
  <c r="U146" i="1" s="1"/>
  <c r="V146" i="1" s="1"/>
  <c r="W146" i="1" s="1"/>
  <c r="I148" i="1"/>
  <c r="J147" i="1"/>
  <c r="AB145" i="1" l="1" a="1"/>
  <c r="AB145" i="1" s="1"/>
  <c r="Y146" i="1"/>
  <c r="AF145" i="1" a="1"/>
  <c r="AF145" i="1" s="1"/>
  <c r="AG145" i="1" s="1"/>
  <c r="AH145" i="1" s="1"/>
  <c r="AD146" i="1"/>
  <c r="AA146" i="1"/>
  <c r="AB146" i="1" s="1" a="1"/>
  <c r="AB146" i="1" s="1"/>
  <c r="K147" i="1"/>
  <c r="T147" i="1" s="1"/>
  <c r="U147" i="1" s="1"/>
  <c r="V147" i="1" s="1"/>
  <c r="W147" i="1" s="1"/>
  <c r="I149" i="1"/>
  <c r="J148" i="1"/>
  <c r="Y147" i="1" l="1"/>
  <c r="AD147" i="1"/>
  <c r="AC146" i="1"/>
  <c r="AE146" i="1" s="1"/>
  <c r="AF146" i="1" s="1" a="1"/>
  <c r="AF146" i="1" s="1"/>
  <c r="AA147" i="1"/>
  <c r="AB147" i="1" s="1" a="1"/>
  <c r="AB147" i="1" s="1"/>
  <c r="K148" i="1"/>
  <c r="T148" i="1" s="1"/>
  <c r="U148" i="1" s="1"/>
  <c r="V148" i="1" s="1"/>
  <c r="W148" i="1" s="1"/>
  <c r="I150" i="1"/>
  <c r="J149" i="1"/>
  <c r="AC147" i="1" l="1"/>
  <c r="AE147" i="1" s="1"/>
  <c r="AF147" i="1" s="1" a="1"/>
  <c r="AF147" i="1" s="1"/>
  <c r="AG147" i="1" s="1"/>
  <c r="AH147" i="1" s="1"/>
  <c r="Y148" i="1"/>
  <c r="AG146" i="1"/>
  <c r="AH146" i="1" s="1"/>
  <c r="AD148" i="1"/>
  <c r="AA148" i="1"/>
  <c r="AB148" i="1" s="1" a="1"/>
  <c r="AB148" i="1" s="1"/>
  <c r="K149" i="1"/>
  <c r="T149" i="1" s="1"/>
  <c r="U149" i="1" s="1"/>
  <c r="V149" i="1" s="1"/>
  <c r="W149" i="1" s="1"/>
  <c r="I151" i="1"/>
  <c r="J150" i="1"/>
  <c r="Y149" i="1" l="1"/>
  <c r="AC148" i="1"/>
  <c r="AE148" i="1" s="1"/>
  <c r="AF148" i="1" s="1" a="1"/>
  <c r="AF148" i="1" s="1"/>
  <c r="AD149" i="1"/>
  <c r="AF149" i="1" s="1" a="1"/>
  <c r="AF149" i="1" s="1"/>
  <c r="AA149" i="1"/>
  <c r="AB149" i="1" s="1" a="1"/>
  <c r="AB149" i="1" s="1"/>
  <c r="K150" i="1"/>
  <c r="T150" i="1" s="1"/>
  <c r="U150" i="1" s="1"/>
  <c r="V150" i="1" s="1"/>
  <c r="W150" i="1" s="1"/>
  <c r="I152" i="1"/>
  <c r="J151" i="1"/>
  <c r="Y150" i="1" l="1"/>
  <c r="AG149" i="1"/>
  <c r="AH149" i="1" s="1"/>
  <c r="AG148" i="1"/>
  <c r="AH148" i="1" s="1"/>
  <c r="AD150" i="1"/>
  <c r="AA150" i="1"/>
  <c r="AB150" i="1" s="1" a="1"/>
  <c r="AB150" i="1" s="1"/>
  <c r="K151" i="1"/>
  <c r="T151" i="1" s="1"/>
  <c r="U151" i="1" s="1"/>
  <c r="V151" i="1" s="1"/>
  <c r="W151" i="1" s="1"/>
  <c r="I153" i="1"/>
  <c r="J152" i="1"/>
  <c r="Y151" i="1" l="1"/>
  <c r="AD151" i="1"/>
  <c r="AC150" i="1"/>
  <c r="AE150" i="1" s="1"/>
  <c r="AF150" i="1" s="1" a="1"/>
  <c r="AF150" i="1" s="1"/>
  <c r="AA151" i="1"/>
  <c r="AC151" i="1" s="1"/>
  <c r="AE151" i="1" s="1"/>
  <c r="AF151" i="1" s="1" a="1"/>
  <c r="AF151" i="1" s="1"/>
  <c r="AB151" i="1" a="1"/>
  <c r="AB151" i="1" s="1"/>
  <c r="K152" i="1"/>
  <c r="T152" i="1" s="1"/>
  <c r="U152" i="1" s="1"/>
  <c r="V152" i="1" s="1"/>
  <c r="W152" i="1" s="1"/>
  <c r="I154" i="1"/>
  <c r="J153" i="1"/>
  <c r="Y152" i="1" l="1"/>
  <c r="AG150" i="1"/>
  <c r="AG151" i="1"/>
  <c r="AH151" i="1" s="1"/>
  <c r="AH150" i="1"/>
  <c r="AD152" i="1"/>
  <c r="AA152" i="1"/>
  <c r="AC152" i="1" s="1"/>
  <c r="AE152" i="1" s="1"/>
  <c r="K153" i="1"/>
  <c r="T153" i="1" s="1"/>
  <c r="U153" i="1" s="1"/>
  <c r="V153" i="1" s="1"/>
  <c r="W153" i="1" s="1"/>
  <c r="J154" i="1"/>
  <c r="I155" i="1"/>
  <c r="Y153" i="1" l="1"/>
  <c r="AB152" i="1" a="1"/>
  <c r="AB152" i="1" s="1"/>
  <c r="AF152" i="1" a="1"/>
  <c r="AF152" i="1" s="1"/>
  <c r="AD153" i="1"/>
  <c r="AA153" i="1"/>
  <c r="AB153" i="1" s="1" a="1"/>
  <c r="AB153" i="1" s="1"/>
  <c r="K154" i="1"/>
  <c r="T154" i="1" s="1"/>
  <c r="U154" i="1" s="1"/>
  <c r="V154" i="1" s="1"/>
  <c r="W154" i="1" s="1"/>
  <c r="I156" i="1"/>
  <c r="J155" i="1"/>
  <c r="Y154" i="1" l="1"/>
  <c r="AC153" i="1"/>
  <c r="AE153" i="1" s="1"/>
  <c r="AF153" i="1" s="1" a="1"/>
  <c r="AF153" i="1" s="1"/>
  <c r="AG152" i="1"/>
  <c r="AH152" i="1" s="1"/>
  <c r="AD154" i="1"/>
  <c r="AA154" i="1"/>
  <c r="AB154" i="1" s="1" a="1"/>
  <c r="AB154" i="1" s="1"/>
  <c r="AC154" i="1"/>
  <c r="AE154" i="1" s="1"/>
  <c r="K155" i="1"/>
  <c r="T155" i="1" s="1"/>
  <c r="U155" i="1" s="1"/>
  <c r="V155" i="1" s="1"/>
  <c r="W155" i="1" s="1"/>
  <c r="J156" i="1"/>
  <c r="I157" i="1"/>
  <c r="Y155" i="1" l="1"/>
  <c r="AF154" i="1" a="1"/>
  <c r="AF154" i="1" s="1"/>
  <c r="AG154" i="1" s="1"/>
  <c r="AH154" i="1" s="1"/>
  <c r="AG153" i="1"/>
  <c r="AH153" i="1" s="1"/>
  <c r="AD155" i="1"/>
  <c r="AA155" i="1"/>
  <c r="AC155" i="1" s="1"/>
  <c r="AE155" i="1" s="1"/>
  <c r="K156" i="1"/>
  <c r="T156" i="1" s="1"/>
  <c r="U156" i="1" s="1"/>
  <c r="V156" i="1" s="1"/>
  <c r="W156" i="1" s="1"/>
  <c r="J157" i="1"/>
  <c r="I158" i="1"/>
  <c r="AB155" i="1" l="1" a="1"/>
  <c r="AB155" i="1" s="1"/>
  <c r="Y156" i="1"/>
  <c r="AF155" i="1" a="1"/>
  <c r="AF155" i="1" s="1"/>
  <c r="AD156" i="1"/>
  <c r="AA156" i="1"/>
  <c r="AB156" i="1" s="1" a="1"/>
  <c r="AB156" i="1" s="1"/>
  <c r="K157" i="1"/>
  <c r="T157" i="1" s="1"/>
  <c r="U157" i="1" s="1"/>
  <c r="V157" i="1" s="1"/>
  <c r="W157" i="1" s="1"/>
  <c r="I159" i="1"/>
  <c r="J158" i="1"/>
  <c r="Y157" i="1" l="1"/>
  <c r="AG155" i="1"/>
  <c r="AH155" i="1" s="1"/>
  <c r="AC156" i="1"/>
  <c r="AE156" i="1" s="1"/>
  <c r="AF156" i="1" s="1" a="1"/>
  <c r="AF156" i="1" s="1"/>
  <c r="AD157" i="1"/>
  <c r="AA157" i="1"/>
  <c r="AC157" i="1" s="1"/>
  <c r="AE157" i="1" s="1"/>
  <c r="AF157" i="1" s="1" a="1"/>
  <c r="AF157" i="1" s="1"/>
  <c r="K158" i="1"/>
  <c r="T158" i="1" s="1"/>
  <c r="U158" i="1" s="1"/>
  <c r="V158" i="1" s="1"/>
  <c r="W158" i="1" s="1"/>
  <c r="J159" i="1"/>
  <c r="I160" i="1"/>
  <c r="AB157" i="1" l="1" a="1"/>
  <c r="AB157" i="1" s="1"/>
  <c r="Y158" i="1"/>
  <c r="AG157" i="1"/>
  <c r="AH157" i="1" s="1"/>
  <c r="AG156" i="1"/>
  <c r="AH156" i="1" s="1"/>
  <c r="AD158" i="1"/>
  <c r="AA158" i="1"/>
  <c r="AB158" i="1" s="1" a="1"/>
  <c r="AB158" i="1" s="1"/>
  <c r="K159" i="1"/>
  <c r="T159" i="1" s="1"/>
  <c r="U159" i="1" s="1"/>
  <c r="V159" i="1" s="1"/>
  <c r="W159" i="1" s="1"/>
  <c r="I161" i="1"/>
  <c r="J160" i="1"/>
  <c r="Y159" i="1" l="1"/>
  <c r="AC158" i="1"/>
  <c r="AE158" i="1" s="1"/>
  <c r="AF158" i="1" s="1" a="1"/>
  <c r="AF158" i="1" s="1"/>
  <c r="AD159" i="1"/>
  <c r="AA159" i="1"/>
  <c r="AC159" i="1" s="1"/>
  <c r="AE159" i="1" s="1"/>
  <c r="AF159" i="1" s="1" a="1"/>
  <c r="AF159" i="1" s="1"/>
  <c r="K160" i="1"/>
  <c r="T160" i="1" s="1"/>
  <c r="U160" i="1" s="1"/>
  <c r="V160" i="1" s="1"/>
  <c r="W160" i="1" s="1"/>
  <c r="I162" i="1"/>
  <c r="J161" i="1"/>
  <c r="Y160" i="1" l="1"/>
  <c r="AG159" i="1"/>
  <c r="AH159" i="1" s="1"/>
  <c r="AG158" i="1"/>
  <c r="AH158" i="1" s="1"/>
  <c r="AB159" i="1" a="1"/>
  <c r="AB159" i="1" s="1"/>
  <c r="AD160" i="1"/>
  <c r="AA160" i="1"/>
  <c r="AB160" i="1" s="1" a="1"/>
  <c r="AB160" i="1" s="1"/>
  <c r="K161" i="1"/>
  <c r="T161" i="1" s="1"/>
  <c r="U161" i="1" s="1"/>
  <c r="V161" i="1" s="1"/>
  <c r="W161" i="1" s="1"/>
  <c r="I163" i="1"/>
  <c r="J162" i="1"/>
  <c r="Y161" i="1" l="1"/>
  <c r="AC160" i="1"/>
  <c r="AE160" i="1" s="1"/>
  <c r="AF160" i="1" s="1" a="1"/>
  <c r="AF160" i="1" s="1"/>
  <c r="AD161" i="1"/>
  <c r="AA161" i="1"/>
  <c r="AB161" i="1" s="1" a="1"/>
  <c r="AB161" i="1" s="1"/>
  <c r="K162" i="1"/>
  <c r="T162" i="1" s="1"/>
  <c r="U162" i="1" s="1"/>
  <c r="V162" i="1" s="1"/>
  <c r="W162" i="1" s="1"/>
  <c r="I164" i="1"/>
  <c r="J163" i="1"/>
  <c r="L6" i="1"/>
  <c r="T6" i="1" s="1"/>
  <c r="U6" i="1" s="1"/>
  <c r="V6" i="1" s="1"/>
  <c r="J7" i="1"/>
  <c r="K7" i="1" s="1"/>
  <c r="T7" i="1" s="1"/>
  <c r="U7" i="1" s="1"/>
  <c r="V7" i="1" s="1"/>
  <c r="W7" i="1" s="1"/>
  <c r="Y6" i="1" l="1"/>
  <c r="W6" i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Y7" i="1"/>
  <c r="Y162" i="1"/>
  <c r="J164" i="1"/>
  <c r="K164" i="1" s="1"/>
  <c r="AG160" i="1"/>
  <c r="AH160" i="1" s="1"/>
  <c r="AD7" i="1"/>
  <c r="AD6" i="1"/>
  <c r="AD162" i="1"/>
  <c r="AC161" i="1"/>
  <c r="AE161" i="1" s="1"/>
  <c r="AF161" i="1" s="1" a="1"/>
  <c r="AF161" i="1" s="1"/>
  <c r="AA7" i="1"/>
  <c r="AB7" i="1" s="1" a="1"/>
  <c r="AB7" i="1" s="1"/>
  <c r="AA162" i="1"/>
  <c r="AB162" i="1" s="1" a="1"/>
  <c r="AB162" i="1" s="1"/>
  <c r="AA6" i="1"/>
  <c r="AC6" i="1" s="1"/>
  <c r="K163" i="1"/>
  <c r="T163" i="1" s="1"/>
  <c r="U163" i="1" s="1"/>
  <c r="V163" i="1" s="1"/>
  <c r="W163" i="1" s="1"/>
  <c r="AE6" i="1" l="1"/>
  <c r="AF6" i="1" s="1" a="1"/>
  <c r="AF6" i="1" s="1"/>
  <c r="Z6" i="1"/>
  <c r="Z7" i="1" s="1"/>
  <c r="Z8" i="1" s="1"/>
  <c r="Z9" i="1" s="1"/>
  <c r="Z10" i="1" s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Y163" i="1"/>
  <c r="AC7" i="1"/>
  <c r="AE7" i="1" s="1"/>
  <c r="AF7" i="1" s="1" a="1"/>
  <c r="AF7" i="1" s="1"/>
  <c r="AG161" i="1"/>
  <c r="AH161" i="1" s="1"/>
  <c r="AD163" i="1"/>
  <c r="AC162" i="1"/>
  <c r="AE162" i="1" s="1"/>
  <c r="AF162" i="1" s="1" a="1"/>
  <c r="AF162" i="1" s="1"/>
  <c r="AB6" i="1" a="1"/>
  <c r="AB6" i="1" s="1"/>
  <c r="AA163" i="1"/>
  <c r="AB163" i="1" s="1" a="1"/>
  <c r="AB163" i="1" s="1"/>
  <c r="T164" i="1"/>
  <c r="U164" i="1" s="1"/>
  <c r="AG6" i="1" l="1"/>
  <c r="AH6" i="1" s="1"/>
  <c r="AI6" i="1" s="1"/>
  <c r="AG162" i="1"/>
  <c r="AC163" i="1"/>
  <c r="AE163" i="1" s="1"/>
  <c r="AF163" i="1" s="1" a="1"/>
  <c r="AF163" i="1" s="1"/>
  <c r="AG7" i="1"/>
  <c r="AH7" i="1" s="1"/>
  <c r="AI7" i="1" s="1"/>
  <c r="AH162" i="1"/>
  <c r="V164" i="1"/>
  <c r="W164" i="1" s="1"/>
  <c r="X164" i="1" s="1"/>
  <c r="Y164" i="1" l="1"/>
  <c r="AI8" i="1"/>
  <c r="AG163" i="1"/>
  <c r="AH163" i="1" s="1"/>
  <c r="AD164" i="1"/>
  <c r="X2" i="1"/>
  <c r="AA164" i="1"/>
  <c r="AC164" i="1" s="1"/>
  <c r="AE164" i="1" s="1"/>
  <c r="AF164" i="1" s="1" a="1"/>
  <c r="AF164" i="1" s="1"/>
  <c r="AB164" i="1" l="1" a="1"/>
  <c r="AB164" i="1" s="1"/>
  <c r="Y2" i="1"/>
  <c r="Z164" i="1"/>
  <c r="AI9" i="1"/>
  <c r="AG164" i="1"/>
  <c r="AH164" i="1" s="1"/>
  <c r="AI10" i="1" l="1"/>
  <c r="AI11" i="1" l="1"/>
  <c r="AI12" i="1" l="1"/>
  <c r="AI13" i="1" l="1"/>
  <c r="AI14" i="1" l="1"/>
  <c r="AI15" i="1" l="1"/>
  <c r="AI16" i="1" l="1"/>
  <c r="AI17" i="1" l="1"/>
  <c r="AI18" i="1" l="1"/>
  <c r="AI19" i="1" l="1"/>
  <c r="AI20" i="1" l="1"/>
  <c r="AI21" i="1" l="1"/>
  <c r="AI22" i="1" l="1"/>
  <c r="AI23" i="1" l="1"/>
  <c r="AI24" i="1" l="1"/>
  <c r="AI25" i="1" l="1"/>
  <c r="AI26" i="1" l="1"/>
  <c r="AI27" i="1" l="1"/>
  <c r="AI28" i="1" l="1"/>
  <c r="AI29" i="1" l="1"/>
  <c r="AI30" i="1" l="1"/>
  <c r="AI31" i="1" l="1"/>
  <c r="AI32" i="1" l="1"/>
  <c r="AI33" i="1" l="1"/>
  <c r="AI34" i="1" l="1"/>
  <c r="AI35" i="1" l="1"/>
  <c r="AI36" i="1" l="1"/>
  <c r="AI37" i="1" l="1"/>
  <c r="AI38" i="1" l="1"/>
  <c r="AI39" i="1" l="1"/>
  <c r="AI40" i="1" l="1"/>
  <c r="AI41" i="1" l="1"/>
  <c r="AI42" i="1" l="1"/>
  <c r="AI43" i="1" l="1"/>
  <c r="AI44" i="1" l="1"/>
  <c r="AI45" i="1" l="1"/>
  <c r="AI46" i="1" l="1"/>
  <c r="AI47" i="1" l="1"/>
  <c r="AI48" i="1" l="1"/>
  <c r="AI49" i="1" l="1"/>
  <c r="AI50" i="1" l="1"/>
  <c r="AI51" i="1" l="1"/>
  <c r="AI52" i="1" l="1"/>
  <c r="AI53" i="1" l="1"/>
  <c r="AI54" i="1" l="1"/>
  <c r="AI55" i="1" l="1"/>
  <c r="AI56" i="1" l="1"/>
  <c r="AI57" i="1" l="1"/>
  <c r="AI58" i="1" l="1"/>
  <c r="AI59" i="1" l="1"/>
  <c r="AI60" i="1" l="1"/>
  <c r="AI61" i="1" l="1"/>
  <c r="AI62" i="1" l="1"/>
  <c r="AI63" i="1" l="1"/>
  <c r="AI64" i="1" l="1"/>
  <c r="AI65" i="1" l="1"/>
  <c r="AI66" i="1" l="1"/>
  <c r="AI67" i="1" l="1"/>
  <c r="AI68" i="1" l="1"/>
  <c r="AI69" i="1" l="1"/>
  <c r="AI70" i="1" l="1"/>
  <c r="AI71" i="1" l="1"/>
  <c r="AI72" i="1" l="1"/>
  <c r="AI73" i="1" l="1"/>
  <c r="AI74" i="1" l="1"/>
  <c r="AI75" i="1" l="1"/>
  <c r="AI76" i="1" l="1"/>
  <c r="AI77" i="1" l="1"/>
  <c r="AI78" i="1" l="1"/>
  <c r="AI79" i="1" l="1"/>
  <c r="AI80" i="1" l="1"/>
  <c r="AI81" i="1" l="1"/>
  <c r="AI82" i="1" l="1"/>
  <c r="AI83" i="1" l="1"/>
  <c r="AI84" i="1" l="1"/>
  <c r="AI85" i="1" l="1"/>
  <c r="AI86" i="1" l="1"/>
  <c r="AI87" i="1" l="1"/>
  <c r="AI88" i="1" l="1"/>
  <c r="AI89" i="1" l="1"/>
  <c r="AI90" i="1" l="1"/>
  <c r="AI91" i="1" l="1"/>
  <c r="AI92" i="1" l="1"/>
  <c r="AI93" i="1" l="1"/>
  <c r="AI94" i="1" l="1"/>
  <c r="AI95" i="1" l="1"/>
  <c r="AI96" i="1" l="1"/>
  <c r="AI97" i="1" l="1"/>
  <c r="AI98" i="1" l="1"/>
  <c r="AI99" i="1" l="1"/>
  <c r="AI100" i="1" l="1"/>
  <c r="AI101" i="1" l="1"/>
  <c r="AI102" i="1" l="1"/>
  <c r="AI103" i="1" l="1"/>
  <c r="AI104" i="1" l="1"/>
  <c r="AI105" i="1" l="1"/>
  <c r="AI106" i="1" l="1"/>
  <c r="AI107" i="1" l="1"/>
  <c r="AI108" i="1" l="1"/>
  <c r="AI109" i="1" l="1"/>
  <c r="AI110" i="1" l="1"/>
  <c r="AI111" i="1" l="1"/>
  <c r="AI112" i="1" l="1"/>
  <c r="AI113" i="1" l="1"/>
  <c r="AI114" i="1" l="1"/>
  <c r="AI115" i="1" l="1"/>
  <c r="AI116" i="1" l="1"/>
  <c r="AI117" i="1" l="1"/>
  <c r="AI118" i="1" l="1"/>
  <c r="AI119" i="1" l="1"/>
  <c r="AI120" i="1" l="1"/>
  <c r="AI121" i="1" l="1"/>
  <c r="AI122" i="1" l="1"/>
  <c r="AI123" i="1" l="1"/>
  <c r="AI124" i="1" l="1"/>
  <c r="AI125" i="1" l="1"/>
  <c r="AI126" i="1" l="1"/>
  <c r="AI127" i="1" l="1"/>
  <c r="AI128" i="1" l="1"/>
  <c r="AI129" i="1" l="1"/>
  <c r="AI130" i="1" l="1"/>
  <c r="AI131" i="1" l="1"/>
  <c r="AI132" i="1" l="1"/>
  <c r="AI133" i="1" l="1"/>
  <c r="AI134" i="1" l="1"/>
  <c r="AI135" i="1" l="1"/>
  <c r="AI136" i="1" l="1"/>
  <c r="AI137" i="1" l="1"/>
  <c r="AI138" i="1" l="1"/>
  <c r="AI139" i="1" l="1"/>
  <c r="AI140" i="1" l="1"/>
  <c r="AI141" i="1" l="1"/>
  <c r="AI142" i="1" l="1"/>
  <c r="AI143" i="1" l="1"/>
  <c r="AI144" i="1" l="1"/>
  <c r="AI145" i="1" l="1"/>
  <c r="AI146" i="1" l="1"/>
  <c r="AI147" i="1" l="1"/>
  <c r="AI148" i="1" l="1"/>
  <c r="AI149" i="1" l="1"/>
  <c r="AI150" i="1" l="1"/>
  <c r="AI151" i="1" l="1"/>
  <c r="AI152" i="1" l="1"/>
  <c r="AI153" i="1" l="1"/>
  <c r="AI154" i="1" l="1"/>
  <c r="AI155" i="1" l="1"/>
  <c r="AI156" i="1" l="1"/>
  <c r="AI157" i="1" l="1"/>
  <c r="AI158" i="1" l="1"/>
  <c r="AI159" i="1" l="1"/>
  <c r="AI160" i="1" l="1"/>
  <c r="AI161" i="1" l="1"/>
  <c r="AI162" i="1" l="1"/>
  <c r="AI163" i="1" l="1"/>
  <c r="AI16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<sst xmlns="http://schemas.openxmlformats.org/spreadsheetml/2006/main" count="83" uniqueCount="75">
  <si>
    <t>Latitude</t>
  </si>
  <si>
    <t>Longitude</t>
  </si>
  <si>
    <t>Distance (m)</t>
  </si>
  <si>
    <t>Distance Between Data Points (m):</t>
  </si>
  <si>
    <t>Velocity (KM/H)</t>
  </si>
  <si>
    <t>CD:</t>
  </si>
  <si>
    <t>Frontal Area (m2):</t>
  </si>
  <si>
    <t>Velocity (ms)</t>
  </si>
  <si>
    <t>Air Density</t>
  </si>
  <si>
    <t>Aerodynamic Resistance (N)</t>
  </si>
  <si>
    <t>Elevation Above Sea</t>
  </si>
  <si>
    <t>Baseline Elevation</t>
  </si>
  <si>
    <t>Gravity</t>
  </si>
  <si>
    <t>Mass of vehicle</t>
  </si>
  <si>
    <t>Potential Energy (KJ)</t>
  </si>
  <si>
    <t>Kinetic Energy (KJ)</t>
  </si>
  <si>
    <t>Gradient</t>
  </si>
  <si>
    <t>Angle (Radians)</t>
  </si>
  <si>
    <t>Angle (Degrees)</t>
  </si>
  <si>
    <t>Rolling Resistance</t>
  </si>
  <si>
    <t>RR  Loose Gravel</t>
  </si>
  <si>
    <t>RR Loose Sand</t>
  </si>
  <si>
    <t>RR Hard Soil/Mud</t>
  </si>
  <si>
    <t>Time (s)</t>
  </si>
  <si>
    <t>Total Time (s)</t>
  </si>
  <si>
    <t>Acceleration (m/s/s)</t>
  </si>
  <si>
    <t>Acceleration Resistance (N)</t>
  </si>
  <si>
    <t>Mu Loose Gravel</t>
  </si>
  <si>
    <t>Mu Hard Soil/Mud</t>
  </si>
  <si>
    <t>Mu Loose Sand</t>
  </si>
  <si>
    <t>Power (KW)</t>
  </si>
  <si>
    <t>Soil</t>
  </si>
  <si>
    <t>Gravel</t>
  </si>
  <si>
    <t>Sand</t>
  </si>
  <si>
    <t>Weight Bias Rear</t>
  </si>
  <si>
    <t>Tractive Force (N)</t>
  </si>
  <si>
    <t>RPM</t>
  </si>
  <si>
    <t>Torque (NM)</t>
  </si>
  <si>
    <t>Power (hp)</t>
  </si>
  <si>
    <t>Torque (Nm)</t>
  </si>
  <si>
    <t>KW</t>
  </si>
  <si>
    <t>BSFC</t>
  </si>
  <si>
    <t>Total Mass of Vehicle</t>
  </si>
  <si>
    <t>Max Power (Kw)</t>
  </si>
  <si>
    <t>Average Power (Kw)</t>
  </si>
  <si>
    <t>Gradient Restistance (N)</t>
  </si>
  <si>
    <t>Corrected speed:</t>
  </si>
  <si>
    <t>Gears:</t>
  </si>
  <si>
    <t>RPM:</t>
  </si>
  <si>
    <t>Power (NM)</t>
  </si>
  <si>
    <t>Power Lookup BSFC</t>
  </si>
  <si>
    <t>RPM Lookup BSFC</t>
  </si>
  <si>
    <t>Fuel Usage (L/Hour</t>
  </si>
  <si>
    <t>Fuel Usage Per Sec</t>
  </si>
  <si>
    <t>Cum fuel Usage (L/S)</t>
  </si>
  <si>
    <t>Fuel usage g/s</t>
  </si>
  <si>
    <t>Tractive Power</t>
  </si>
  <si>
    <t>Braking Power:</t>
  </si>
  <si>
    <t>Brakingf Power Cum.:</t>
  </si>
  <si>
    <t>Tractive Power Cum.</t>
  </si>
  <si>
    <t>Total Power Corrected:</t>
  </si>
  <si>
    <t>Mass of Occupants</t>
  </si>
  <si>
    <t>Mass of Fuel Tank</t>
  </si>
  <si>
    <t>Total Resistance (KW)</t>
  </si>
  <si>
    <t>Maximum Acceleration (m/s)</t>
  </si>
  <si>
    <t>Rolling Resistance Coefficients</t>
  </si>
  <si>
    <t>Surface Mu's</t>
  </si>
  <si>
    <t>Speed (ms)</t>
  </si>
  <si>
    <t>Units</t>
  </si>
  <si>
    <t>Metres</t>
  </si>
  <si>
    <t>Miles</t>
  </si>
  <si>
    <t>Value</t>
  </si>
  <si>
    <t>Total Fuel used (Litres)</t>
  </si>
  <si>
    <t>Litres in a Gallon</t>
  </si>
  <si>
    <t>MPG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</si>
</sst>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000"/>
  </numFmts>
  <fonts count="3" x14ac:knownFonts="1">
    <font>
      <sz val="10"/>
      <name val="Arial"/>
    </font>
    <font>
      <sz val="10"/>
      <name val="Arial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Font="0" applyFill="0" applyBorder="0" applyAlignment="0" applyProtection="0"/>
    <xf numFmtId="43" fontId="1" fillId="0" borderId="0" applyNumberFormat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 applyNumberFormat="1" applyFont="1" applyFill="1" applyBorder="1" applyAlignment="1"/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2" fontId="2" fillId="4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5" borderId="2" xfId="1" applyNumberFormat="1" applyFont="1" applyFill="1" applyBorder="1" applyAlignment="1">
      <alignment horizontal="center" vertical="center"/>
    </xf>
    <xf numFmtId="0" fontId="2" fillId="5" borderId="3" xfId="1" applyNumberFormat="1" applyFont="1" applyFill="1" applyBorder="1" applyAlignment="1">
      <alignment horizontal="center" vertical="center"/>
    </xf>
    <xf numFmtId="0" fontId="2" fillId="5" borderId="4" xfId="1" applyNumberFormat="1" applyFont="1" applyFill="1" applyBorder="1" applyAlignment="1">
      <alignment horizontal="center" vertical="center"/>
    </xf>
    <xf numFmtId="0" fontId="2" fillId="6" borderId="1" xfId="1" applyNumberFormat="1" applyFont="1" applyFill="1" applyBorder="1" applyAlignment="1">
      <alignment horizontal="center" vertical="center"/>
    </xf>
    <xf numFmtId="0" fontId="2" fillId="7" borderId="1" xfId="1" applyNumberFormat="1" applyFont="1" applyFill="1" applyBorder="1" applyAlignment="1">
      <alignment horizontal="center" vertical="center"/>
    </xf>
    <xf numFmtId="1" fontId="2" fillId="8" borderId="1" xfId="1" applyNumberFormat="1" applyFont="1" applyFill="1" applyBorder="1" applyAlignment="1">
      <alignment horizontal="center" vertic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center" vertical="center"/>
    </xf>
    <xf numFmtId="165" fontId="2" fillId="9" borderId="1" xfId="1" applyNumberFormat="1" applyFont="1" applyFill="1" applyBorder="1" applyAlignment="1">
      <alignment horizontal="center" vertical="center"/>
    </xf>
    <xf numFmtId="0" fontId="2" fillId="9" borderId="1" xfId="1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7899177363686068E-2"/>
          <c:y val="0.1496899467827984"/>
          <c:w val="0.92024601677954287"/>
          <c:h val="0.83100902946467081"/>
        </c:manualLayout>
      </c:layout>
      <c:scatterChart>
        <c:scatterStyle val="smoothMarker"/>
        <c:varyColors val="0"/>
        <c:ser>
          <c:idx val="0"/>
          <c:order val="0"/>
          <c:tx>
            <c:v>Elevation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Data!$E$6:$E$164</c:f>
              <c:numCache>
                <c:formatCode>General</c:formatCode>
                <c:ptCount val="159"/>
                <c:pt idx="0">
                  <c:v>5</c:v>
                </c:pt>
                <c:pt idx="1">
                  <c:v>3</c:v>
                </c:pt>
                <c:pt idx="2">
                  <c:v>8</c:v>
                </c:pt>
                <c:pt idx="3">
                  <c:v>14</c:v>
                </c:pt>
                <c:pt idx="4">
                  <c:v>19</c:v>
                </c:pt>
                <c:pt idx="5">
                  <c:v>22</c:v>
                </c:pt>
                <c:pt idx="6">
                  <c:v>21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  <c:pt idx="13">
                  <c:v>25</c:v>
                </c:pt>
                <c:pt idx="14">
                  <c:v>27</c:v>
                </c:pt>
                <c:pt idx="15">
                  <c:v>29</c:v>
                </c:pt>
                <c:pt idx="16">
                  <c:v>32</c:v>
                </c:pt>
                <c:pt idx="17">
                  <c:v>33</c:v>
                </c:pt>
                <c:pt idx="18">
                  <c:v>35</c:v>
                </c:pt>
                <c:pt idx="19">
                  <c:v>34</c:v>
                </c:pt>
                <c:pt idx="20">
                  <c:v>34</c:v>
                </c:pt>
                <c:pt idx="21">
                  <c:v>31</c:v>
                </c:pt>
                <c:pt idx="22">
                  <c:v>30</c:v>
                </c:pt>
                <c:pt idx="23">
                  <c:v>29</c:v>
                </c:pt>
                <c:pt idx="24">
                  <c:v>28</c:v>
                </c:pt>
                <c:pt idx="25">
                  <c:v>27</c:v>
                </c:pt>
                <c:pt idx="26">
                  <c:v>26</c:v>
                </c:pt>
                <c:pt idx="27">
                  <c:v>25</c:v>
                </c:pt>
                <c:pt idx="28">
                  <c:v>24</c:v>
                </c:pt>
                <c:pt idx="29">
                  <c:v>23</c:v>
                </c:pt>
                <c:pt idx="30">
                  <c:v>21</c:v>
                </c:pt>
                <c:pt idx="31">
                  <c:v>22</c:v>
                </c:pt>
                <c:pt idx="32">
                  <c:v>24</c:v>
                </c:pt>
                <c:pt idx="33">
                  <c:v>29</c:v>
                </c:pt>
                <c:pt idx="34">
                  <c:v>34</c:v>
                </c:pt>
                <c:pt idx="35">
                  <c:v>34</c:v>
                </c:pt>
                <c:pt idx="36">
                  <c:v>37</c:v>
                </c:pt>
                <c:pt idx="37">
                  <c:v>39</c:v>
                </c:pt>
                <c:pt idx="38">
                  <c:v>40</c:v>
                </c:pt>
                <c:pt idx="39">
                  <c:v>37</c:v>
                </c:pt>
                <c:pt idx="40">
                  <c:v>38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43</c:v>
                </c:pt>
                <c:pt idx="46">
                  <c:v>42</c:v>
                </c:pt>
                <c:pt idx="47">
                  <c:v>42</c:v>
                </c:pt>
                <c:pt idx="48">
                  <c:v>43</c:v>
                </c:pt>
                <c:pt idx="49">
                  <c:v>41</c:v>
                </c:pt>
                <c:pt idx="50">
                  <c:v>40</c:v>
                </c:pt>
                <c:pt idx="51">
                  <c:v>40</c:v>
                </c:pt>
                <c:pt idx="52">
                  <c:v>39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39</c:v>
                </c:pt>
                <c:pt idx="57">
                  <c:v>40</c:v>
                </c:pt>
                <c:pt idx="58">
                  <c:v>38</c:v>
                </c:pt>
                <c:pt idx="59">
                  <c:v>34</c:v>
                </c:pt>
                <c:pt idx="60">
                  <c:v>33</c:v>
                </c:pt>
                <c:pt idx="61">
                  <c:v>32</c:v>
                </c:pt>
                <c:pt idx="62">
                  <c:v>32</c:v>
                </c:pt>
                <c:pt idx="63">
                  <c:v>32</c:v>
                </c:pt>
                <c:pt idx="64">
                  <c:v>32</c:v>
                </c:pt>
                <c:pt idx="65">
                  <c:v>31</c:v>
                </c:pt>
                <c:pt idx="66">
                  <c:v>28</c:v>
                </c:pt>
                <c:pt idx="67">
                  <c:v>27</c:v>
                </c:pt>
                <c:pt idx="68">
                  <c:v>25</c:v>
                </c:pt>
                <c:pt idx="69">
                  <c:v>23</c:v>
                </c:pt>
                <c:pt idx="70">
                  <c:v>21</c:v>
                </c:pt>
                <c:pt idx="71">
                  <c:v>20</c:v>
                </c:pt>
                <c:pt idx="72">
                  <c:v>19</c:v>
                </c:pt>
                <c:pt idx="73">
                  <c:v>19</c:v>
                </c:pt>
                <c:pt idx="74">
                  <c:v>19</c:v>
                </c:pt>
                <c:pt idx="75">
                  <c:v>19</c:v>
                </c:pt>
                <c:pt idx="76">
                  <c:v>18</c:v>
                </c:pt>
                <c:pt idx="77">
                  <c:v>17</c:v>
                </c:pt>
                <c:pt idx="78">
                  <c:v>16</c:v>
                </c:pt>
                <c:pt idx="79">
                  <c:v>16</c:v>
                </c:pt>
                <c:pt idx="80">
                  <c:v>18</c:v>
                </c:pt>
                <c:pt idx="81">
                  <c:v>19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21</c:v>
                </c:pt>
                <c:pt idx="86">
                  <c:v>21</c:v>
                </c:pt>
                <c:pt idx="87">
                  <c:v>20</c:v>
                </c:pt>
                <c:pt idx="88">
                  <c:v>20</c:v>
                </c:pt>
                <c:pt idx="89">
                  <c:v>21</c:v>
                </c:pt>
                <c:pt idx="90">
                  <c:v>22</c:v>
                </c:pt>
                <c:pt idx="91">
                  <c:v>21</c:v>
                </c:pt>
                <c:pt idx="92">
                  <c:v>16</c:v>
                </c:pt>
                <c:pt idx="93">
                  <c:v>12</c:v>
                </c:pt>
                <c:pt idx="94">
                  <c:v>10</c:v>
                </c:pt>
                <c:pt idx="95">
                  <c:v>8</c:v>
                </c:pt>
                <c:pt idx="96">
                  <c:v>7</c:v>
                </c:pt>
                <c:pt idx="97">
                  <c:v>7</c:v>
                </c:pt>
                <c:pt idx="98">
                  <c:v>8</c:v>
                </c:pt>
                <c:pt idx="99">
                  <c:v>10</c:v>
                </c:pt>
                <c:pt idx="100">
                  <c:v>11</c:v>
                </c:pt>
                <c:pt idx="101">
                  <c:v>14</c:v>
                </c:pt>
                <c:pt idx="102">
                  <c:v>17</c:v>
                </c:pt>
                <c:pt idx="103">
                  <c:v>19</c:v>
                </c:pt>
                <c:pt idx="104">
                  <c:v>19</c:v>
                </c:pt>
                <c:pt idx="105">
                  <c:v>17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19</c:v>
                </c:pt>
                <c:pt idx="114">
                  <c:v>17</c:v>
                </c:pt>
                <c:pt idx="115">
                  <c:v>17</c:v>
                </c:pt>
                <c:pt idx="116">
                  <c:v>20</c:v>
                </c:pt>
                <c:pt idx="117">
                  <c:v>22</c:v>
                </c:pt>
                <c:pt idx="118">
                  <c:v>23</c:v>
                </c:pt>
                <c:pt idx="119">
                  <c:v>23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23</c:v>
                </c:pt>
                <c:pt idx="124">
                  <c:v>19</c:v>
                </c:pt>
                <c:pt idx="125">
                  <c:v>18</c:v>
                </c:pt>
                <c:pt idx="126">
                  <c:v>16</c:v>
                </c:pt>
                <c:pt idx="127">
                  <c:v>14</c:v>
                </c:pt>
                <c:pt idx="128">
                  <c:v>15</c:v>
                </c:pt>
                <c:pt idx="129">
                  <c:v>14</c:v>
                </c:pt>
                <c:pt idx="130">
                  <c:v>14</c:v>
                </c:pt>
                <c:pt idx="131">
                  <c:v>12</c:v>
                </c:pt>
                <c:pt idx="132">
                  <c:v>12</c:v>
                </c:pt>
                <c:pt idx="133">
                  <c:v>12</c:v>
                </c:pt>
                <c:pt idx="134">
                  <c:v>10</c:v>
                </c:pt>
                <c:pt idx="135">
                  <c:v>10</c:v>
                </c:pt>
                <c:pt idx="136">
                  <c:v>9</c:v>
                </c:pt>
                <c:pt idx="137">
                  <c:v>8</c:v>
                </c:pt>
                <c:pt idx="138">
                  <c:v>8</c:v>
                </c:pt>
                <c:pt idx="139">
                  <c:v>6</c:v>
                </c:pt>
                <c:pt idx="140">
                  <c:v>5</c:v>
                </c:pt>
                <c:pt idx="141">
                  <c:v>5</c:v>
                </c:pt>
                <c:pt idx="142">
                  <c:v>4</c:v>
                </c:pt>
                <c:pt idx="143">
                  <c:v>4</c:v>
                </c:pt>
                <c:pt idx="144">
                  <c:v>4</c:v>
                </c:pt>
                <c:pt idx="145">
                  <c:v>3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1</c:v>
                </c:pt>
                <c:pt idx="152">
                  <c:v>2</c:v>
                </c:pt>
                <c:pt idx="153">
                  <c:v>4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CA-4A77-B549-AFD618196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928448"/>
        <c:axId val="729928776"/>
      </c:scatterChart>
      <c:valAx>
        <c:axId val="729928448"/>
        <c:scaling>
          <c:orientation val="minMax"/>
          <c:max val="19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928776"/>
        <c:crosses val="autoZero"/>
        <c:crossBetween val="midCat"/>
      </c:valAx>
      <c:valAx>
        <c:axId val="729928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928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472754764350108E-2"/>
          <c:y val="3.7306198703976785E-2"/>
          <c:w val="0.91445666438434325"/>
          <c:h val="0.92538760259204644"/>
        </c:manualLayout>
      </c:layout>
      <c:scatterChart>
        <c:scatterStyle val="smooth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Data!$K$6:$K$164</c:f>
              <c:numCache>
                <c:formatCode>0.00</c:formatCode>
                <c:ptCount val="159"/>
                <c:pt idx="0">
                  <c:v>0</c:v>
                </c:pt>
                <c:pt idx="1">
                  <c:v>63.617499507723629</c:v>
                </c:pt>
                <c:pt idx="2">
                  <c:v>65.522215061847902</c:v>
                </c:pt>
                <c:pt idx="3">
                  <c:v>282.65369314215127</c:v>
                </c:pt>
                <c:pt idx="4">
                  <c:v>705.3710376900633</c:v>
                </c:pt>
                <c:pt idx="5">
                  <c:v>0</c:v>
                </c:pt>
                <c:pt idx="6">
                  <c:v>0</c:v>
                </c:pt>
                <c:pt idx="7">
                  <c:v>-769.31979313678164</c:v>
                </c:pt>
                <c:pt idx="8">
                  <c:v>-575.98598356694004</c:v>
                </c:pt>
                <c:pt idx="9">
                  <c:v>-1005.6898125771971</c:v>
                </c:pt>
                <c:pt idx="10">
                  <c:v>735.98209011331323</c:v>
                </c:pt>
                <c:pt idx="11">
                  <c:v>874.64538245350286</c:v>
                </c:pt>
                <c:pt idx="12">
                  <c:v>831.97975404113663</c:v>
                </c:pt>
                <c:pt idx="13">
                  <c:v>437.69449170291665</c:v>
                </c:pt>
                <c:pt idx="14">
                  <c:v>259.68588329448795</c:v>
                </c:pt>
                <c:pt idx="15">
                  <c:v>0</c:v>
                </c:pt>
                <c:pt idx="16">
                  <c:v>-485.44342498612667</c:v>
                </c:pt>
                <c:pt idx="17">
                  <c:v>-571.41466623704491</c:v>
                </c:pt>
                <c:pt idx="18">
                  <c:v>-571.41466623704491</c:v>
                </c:pt>
                <c:pt idx="19">
                  <c:v>647.6032884019819</c:v>
                </c:pt>
                <c:pt idx="20">
                  <c:v>714.25309507187262</c:v>
                </c:pt>
                <c:pt idx="21">
                  <c:v>546.82631830084222</c:v>
                </c:pt>
                <c:pt idx="22">
                  <c:v>-245.04698924153726</c:v>
                </c:pt>
                <c:pt idx="23">
                  <c:v>-280.37412956697642</c:v>
                </c:pt>
                <c:pt idx="24">
                  <c:v>291.79632780194356</c:v>
                </c:pt>
                <c:pt idx="25">
                  <c:v>259.68588329448841</c:v>
                </c:pt>
                <c:pt idx="26">
                  <c:v>0</c:v>
                </c:pt>
                <c:pt idx="27">
                  <c:v>0</c:v>
                </c:pt>
                <c:pt idx="28">
                  <c:v>-242.38343501065054</c:v>
                </c:pt>
                <c:pt idx="29">
                  <c:v>-411.41855969067177</c:v>
                </c:pt>
                <c:pt idx="30">
                  <c:v>271.23149490718288</c:v>
                </c:pt>
                <c:pt idx="31">
                  <c:v>-380.56216771387187</c:v>
                </c:pt>
                <c:pt idx="32">
                  <c:v>-348.84865373771652</c:v>
                </c:pt>
                <c:pt idx="33">
                  <c:v>368.75293127830571</c:v>
                </c:pt>
                <c:pt idx="34">
                  <c:v>280.37412956697642</c:v>
                </c:pt>
                <c:pt idx="35">
                  <c:v>291.79632780194464</c:v>
                </c:pt>
                <c:pt idx="36">
                  <c:v>259.6858832944875</c:v>
                </c:pt>
                <c:pt idx="37">
                  <c:v>0</c:v>
                </c:pt>
                <c:pt idx="38">
                  <c:v>0</c:v>
                </c:pt>
                <c:pt idx="39">
                  <c:v>-308.407885469809</c:v>
                </c:pt>
                <c:pt idx="40">
                  <c:v>-852.82496106545921</c:v>
                </c:pt>
                <c:pt idx="41">
                  <c:v>742.82321887474222</c:v>
                </c:pt>
                <c:pt idx="42">
                  <c:v>556.80931955820324</c:v>
                </c:pt>
                <c:pt idx="43">
                  <c:v>0</c:v>
                </c:pt>
                <c:pt idx="44">
                  <c:v>0</c:v>
                </c:pt>
                <c:pt idx="45">
                  <c:v>-255.02999049889763</c:v>
                </c:pt>
                <c:pt idx="46">
                  <c:v>249.7028820371246</c:v>
                </c:pt>
                <c:pt idx="47">
                  <c:v>-474.02122675115697</c:v>
                </c:pt>
                <c:pt idx="48">
                  <c:v>-863.97897535040784</c:v>
                </c:pt>
                <c:pt idx="49">
                  <c:v>678.07873726795776</c:v>
                </c:pt>
                <c:pt idx="50">
                  <c:v>433.12317437301579</c:v>
                </c:pt>
                <c:pt idx="51">
                  <c:v>408.24760142634585</c:v>
                </c:pt>
                <c:pt idx="52">
                  <c:v>0</c:v>
                </c:pt>
                <c:pt idx="53">
                  <c:v>0</c:v>
                </c:pt>
                <c:pt idx="54">
                  <c:v>-622.1989542273044</c:v>
                </c:pt>
                <c:pt idx="55">
                  <c:v>-252.94622558759718</c:v>
                </c:pt>
                <c:pt idx="56">
                  <c:v>-131.04443012369464</c:v>
                </c:pt>
                <c:pt idx="57">
                  <c:v>571.40247605749369</c:v>
                </c:pt>
                <c:pt idx="58">
                  <c:v>556.80931955820324</c:v>
                </c:pt>
                <c:pt idx="59">
                  <c:v>0</c:v>
                </c:pt>
                <c:pt idx="60">
                  <c:v>0</c:v>
                </c:pt>
                <c:pt idx="61">
                  <c:v>-485.44342498612201</c:v>
                </c:pt>
                <c:pt idx="62">
                  <c:v>-571.41466623704002</c:v>
                </c:pt>
                <c:pt idx="63">
                  <c:v>-497.740268603544</c:v>
                </c:pt>
                <c:pt idx="64">
                  <c:v>-464.88941087571004</c:v>
                </c:pt>
                <c:pt idx="65">
                  <c:v>533.70129826539528</c:v>
                </c:pt>
                <c:pt idx="66">
                  <c:v>647.60328840197769</c:v>
                </c:pt>
                <c:pt idx="67">
                  <c:v>714.25309507186762</c:v>
                </c:pt>
                <c:pt idx="68">
                  <c:v>549.68186785958449</c:v>
                </c:pt>
                <c:pt idx="69">
                  <c:v>-175.9042908544117</c:v>
                </c:pt>
                <c:pt idx="70">
                  <c:v>-335.22993752573018</c:v>
                </c:pt>
                <c:pt idx="71">
                  <c:v>-272.75526735048203</c:v>
                </c:pt>
                <c:pt idx="72">
                  <c:v>507.97697187762628</c:v>
                </c:pt>
                <c:pt idx="73">
                  <c:v>333.96674236041667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-665.65694431018335</c:v>
                </c:pt>
                <c:pt idx="78">
                  <c:v>-807.59939494835999</c:v>
                </c:pt>
                <c:pt idx="79">
                  <c:v>-653.69837817517475</c:v>
                </c:pt>
                <c:pt idx="80">
                  <c:v>-330.65862019583432</c:v>
                </c:pt>
                <c:pt idx="81">
                  <c:v>327.61107530923778</c:v>
                </c:pt>
                <c:pt idx="82">
                  <c:v>618.65161197930365</c:v>
                </c:pt>
                <c:pt idx="83">
                  <c:v>889.8831068864863</c:v>
                </c:pt>
                <c:pt idx="84">
                  <c:v>906.64460376276861</c:v>
                </c:pt>
                <c:pt idx="85">
                  <c:v>700.93532391743668</c:v>
                </c:pt>
                <c:pt idx="86">
                  <c:v>291.79632780194254</c:v>
                </c:pt>
                <c:pt idx="87">
                  <c:v>249.7028820371246</c:v>
                </c:pt>
                <c:pt idx="88">
                  <c:v>-486.75697778314441</c:v>
                </c:pt>
                <c:pt idx="89">
                  <c:v>-619.4852678830315</c:v>
                </c:pt>
                <c:pt idx="90">
                  <c:v>681.39745269856201</c:v>
                </c:pt>
                <c:pt idx="91">
                  <c:v>556.80931955820324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-485.44342498612201</c:v>
                </c:pt>
                <c:pt idx="96">
                  <c:v>-571.41466623704002</c:v>
                </c:pt>
                <c:pt idx="97">
                  <c:v>-495.2260440721036</c:v>
                </c:pt>
                <c:pt idx="98">
                  <c:v>-438.0845774483966</c:v>
                </c:pt>
                <c:pt idx="99">
                  <c:v>-226.66115094069394</c:v>
                </c:pt>
                <c:pt idx="100">
                  <c:v>473.13134364426998</c:v>
                </c:pt>
                <c:pt idx="101">
                  <c:v>601.89011510301464</c:v>
                </c:pt>
                <c:pt idx="102">
                  <c:v>677.3168510463031</c:v>
                </c:pt>
                <c:pt idx="103">
                  <c:v>714.1543546175468</c:v>
                </c:pt>
                <c:pt idx="104">
                  <c:v>274.54205510767366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-485.44342498612201</c:v>
                </c:pt>
                <c:pt idx="113">
                  <c:v>-571.41466623704002</c:v>
                </c:pt>
                <c:pt idx="114">
                  <c:v>-495.22604407209872</c:v>
                </c:pt>
                <c:pt idx="115">
                  <c:v>-438.08457744840041</c:v>
                </c:pt>
                <c:pt idx="116">
                  <c:v>-238.08944426543542</c:v>
                </c:pt>
                <c:pt idx="117">
                  <c:v>685.69759948444619</c:v>
                </c:pt>
                <c:pt idx="118">
                  <c:v>-746.64849721640337</c:v>
                </c:pt>
                <c:pt idx="119">
                  <c:v>-82.283711938133635</c:v>
                </c:pt>
                <c:pt idx="120">
                  <c:v>594.27125288651871</c:v>
                </c:pt>
                <c:pt idx="121">
                  <c:v>571.41466623704571</c:v>
                </c:pt>
                <c:pt idx="122">
                  <c:v>647.60328840198599</c:v>
                </c:pt>
                <c:pt idx="123">
                  <c:v>714.25309507187774</c:v>
                </c:pt>
                <c:pt idx="124">
                  <c:v>556.80931955819517</c:v>
                </c:pt>
                <c:pt idx="125">
                  <c:v>0</c:v>
                </c:pt>
                <c:pt idx="126">
                  <c:v>0</c:v>
                </c:pt>
                <c:pt idx="127">
                  <c:v>-522.56556924977099</c:v>
                </c:pt>
                <c:pt idx="128">
                  <c:v>214.16621690564173</c:v>
                </c:pt>
                <c:pt idx="129">
                  <c:v>95.144351359577001</c:v>
                </c:pt>
                <c:pt idx="130">
                  <c:v>-611.70320963786594</c:v>
                </c:pt>
                <c:pt idx="131">
                  <c:v>-748.11131876196055</c:v>
                </c:pt>
                <c:pt idx="132">
                  <c:v>209.82346544223944</c:v>
                </c:pt>
                <c:pt idx="133">
                  <c:v>310.46863532212842</c:v>
                </c:pt>
                <c:pt idx="134">
                  <c:v>312.37335087625161</c:v>
                </c:pt>
                <c:pt idx="135">
                  <c:v>-213.32814206183085</c:v>
                </c:pt>
                <c:pt idx="136">
                  <c:v>-685.69759948445221</c:v>
                </c:pt>
                <c:pt idx="137">
                  <c:v>-799.98053273185769</c:v>
                </c:pt>
                <c:pt idx="138">
                  <c:v>358.08652417521523</c:v>
                </c:pt>
                <c:pt idx="139">
                  <c:v>629.31801908239731</c:v>
                </c:pt>
                <c:pt idx="140">
                  <c:v>525.70149293807754</c:v>
                </c:pt>
                <c:pt idx="141">
                  <c:v>556.17694180405965</c:v>
                </c:pt>
                <c:pt idx="142">
                  <c:v>-100.72135850204816</c:v>
                </c:pt>
                <c:pt idx="143">
                  <c:v>-585.26575774663354</c:v>
                </c:pt>
                <c:pt idx="144">
                  <c:v>545.05340296797885</c:v>
                </c:pt>
                <c:pt idx="145">
                  <c:v>356.56275173191682</c:v>
                </c:pt>
                <c:pt idx="146">
                  <c:v>252.64147109893997</c:v>
                </c:pt>
                <c:pt idx="147">
                  <c:v>366.33013309346296</c:v>
                </c:pt>
                <c:pt idx="148">
                  <c:v>-363.2368750335649</c:v>
                </c:pt>
                <c:pt idx="149">
                  <c:v>282.26360739666524</c:v>
                </c:pt>
                <c:pt idx="150">
                  <c:v>-22.978488444945974</c:v>
                </c:pt>
                <c:pt idx="151">
                  <c:v>-791.50835794712339</c:v>
                </c:pt>
                <c:pt idx="152">
                  <c:v>-458.35075094427538</c:v>
                </c:pt>
                <c:pt idx="153">
                  <c:v>-518.3873852102472</c:v>
                </c:pt>
                <c:pt idx="154">
                  <c:v>820.33813257432882</c:v>
                </c:pt>
                <c:pt idx="155">
                  <c:v>592.44272595457016</c:v>
                </c:pt>
                <c:pt idx="156">
                  <c:v>481.51209208241784</c:v>
                </c:pt>
                <c:pt idx="157">
                  <c:v>374.84802105150209</c:v>
                </c:pt>
                <c:pt idx="1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3D-4FAF-97CF-2169600C1B42}"/>
            </c:ext>
          </c:extLst>
        </c:ser>
        <c:ser>
          <c:idx val="1"/>
          <c:order val="1"/>
          <c:tx>
            <c:v>Aerodynamic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Data!$L$6:$L$164</c:f>
              <c:numCache>
                <c:formatCode>0.00</c:formatCode>
                <c:ptCount val="159"/>
                <c:pt idx="0">
                  <c:v>64.403312500000013</c:v>
                </c:pt>
                <c:pt idx="1">
                  <c:v>65.983703124999991</c:v>
                </c:pt>
                <c:pt idx="2">
                  <c:v>67.583249999999992</c:v>
                </c:pt>
                <c:pt idx="3">
                  <c:v>74.173000000000002</c:v>
                </c:pt>
                <c:pt idx="4">
                  <c:v>91.044579996999985</c:v>
                </c:pt>
                <c:pt idx="5">
                  <c:v>91.044579996999985</c:v>
                </c:pt>
                <c:pt idx="6">
                  <c:v>91.044579996999985</c:v>
                </c:pt>
                <c:pt idx="7">
                  <c:v>68.552173124999996</c:v>
                </c:pt>
                <c:pt idx="8">
                  <c:v>49.652999999999999</c:v>
                </c:pt>
                <c:pt idx="9">
                  <c:v>22.067999999999998</c:v>
                </c:pt>
                <c:pt idx="10">
                  <c:v>36.818312499999998</c:v>
                </c:pt>
                <c:pt idx="11">
                  <c:v>55.323250000000002</c:v>
                </c:pt>
                <c:pt idx="12">
                  <c:v>74.173000000000002</c:v>
                </c:pt>
                <c:pt idx="13">
                  <c:v>84.632312499999998</c:v>
                </c:pt>
                <c:pt idx="14">
                  <c:v>91.044579996999985</c:v>
                </c:pt>
                <c:pt idx="15">
                  <c:v>91.044579996999985</c:v>
                </c:pt>
                <c:pt idx="16">
                  <c:v>77.582812500000003</c:v>
                </c:pt>
                <c:pt idx="17">
                  <c:v>61.3</c:v>
                </c:pt>
                <c:pt idx="18">
                  <c:v>46.932812499999997</c:v>
                </c:pt>
                <c:pt idx="19">
                  <c:v>61.3</c:v>
                </c:pt>
                <c:pt idx="20">
                  <c:v>77.582812500000003</c:v>
                </c:pt>
                <c:pt idx="21">
                  <c:v>91.044579996999985</c:v>
                </c:pt>
                <c:pt idx="22">
                  <c:v>84.632312499999998</c:v>
                </c:pt>
                <c:pt idx="23">
                  <c:v>77.582812500000003</c:v>
                </c:pt>
                <c:pt idx="24">
                  <c:v>84.632312499999998</c:v>
                </c:pt>
                <c:pt idx="25">
                  <c:v>91.044579996999985</c:v>
                </c:pt>
                <c:pt idx="26">
                  <c:v>91.044579996999985</c:v>
                </c:pt>
                <c:pt idx="27">
                  <c:v>91.044579996999985</c:v>
                </c:pt>
                <c:pt idx="28">
                  <c:v>84.632312499999998</c:v>
                </c:pt>
                <c:pt idx="29">
                  <c:v>74.173000000000002</c:v>
                </c:pt>
                <c:pt idx="30">
                  <c:v>81.069249999999997</c:v>
                </c:pt>
                <c:pt idx="31">
                  <c:v>70.839812500000008</c:v>
                </c:pt>
                <c:pt idx="32">
                  <c:v>62.068644531249994</c:v>
                </c:pt>
                <c:pt idx="33">
                  <c:v>70.839812500000008</c:v>
                </c:pt>
                <c:pt idx="34">
                  <c:v>77.582812500000003</c:v>
                </c:pt>
                <c:pt idx="35">
                  <c:v>84.632312499999998</c:v>
                </c:pt>
                <c:pt idx="36">
                  <c:v>91.044579996999985</c:v>
                </c:pt>
                <c:pt idx="37">
                  <c:v>91.044579996999985</c:v>
                </c:pt>
                <c:pt idx="38">
                  <c:v>91.044579996999985</c:v>
                </c:pt>
                <c:pt idx="39">
                  <c:v>82.485279999999975</c:v>
                </c:pt>
                <c:pt idx="40">
                  <c:v>60.688532499999994</c:v>
                </c:pt>
                <c:pt idx="41">
                  <c:v>77.582812500000003</c:v>
                </c:pt>
                <c:pt idx="42">
                  <c:v>91.044579996999985</c:v>
                </c:pt>
                <c:pt idx="43">
                  <c:v>91.044579996999985</c:v>
                </c:pt>
                <c:pt idx="44">
                  <c:v>91.044579996999985</c:v>
                </c:pt>
                <c:pt idx="45">
                  <c:v>84.632312499999998</c:v>
                </c:pt>
                <c:pt idx="46">
                  <c:v>91.044579996999985</c:v>
                </c:pt>
                <c:pt idx="47">
                  <c:v>77.582812500000003</c:v>
                </c:pt>
                <c:pt idx="48">
                  <c:v>55.323250000000002</c:v>
                </c:pt>
                <c:pt idx="49">
                  <c:v>70.839812500000008</c:v>
                </c:pt>
                <c:pt idx="50">
                  <c:v>81.069249999999997</c:v>
                </c:pt>
                <c:pt idx="51">
                  <c:v>91.044579996999985</c:v>
                </c:pt>
                <c:pt idx="52">
                  <c:v>91.044579996999985</c:v>
                </c:pt>
                <c:pt idx="53">
                  <c:v>91.044579996999985</c:v>
                </c:pt>
                <c:pt idx="54">
                  <c:v>74.173000000000002</c:v>
                </c:pt>
                <c:pt idx="55">
                  <c:v>67.583249999999992</c:v>
                </c:pt>
                <c:pt idx="56">
                  <c:v>64.403312500000013</c:v>
                </c:pt>
                <c:pt idx="57">
                  <c:v>77.582812500000003</c:v>
                </c:pt>
                <c:pt idx="58">
                  <c:v>91.044579996999985</c:v>
                </c:pt>
                <c:pt idx="59">
                  <c:v>91.044579996999985</c:v>
                </c:pt>
                <c:pt idx="60">
                  <c:v>91.044579996999985</c:v>
                </c:pt>
                <c:pt idx="61">
                  <c:v>77.582812500000003</c:v>
                </c:pt>
                <c:pt idx="62">
                  <c:v>61.3</c:v>
                </c:pt>
                <c:pt idx="63">
                  <c:v>46.932812499999997</c:v>
                </c:pt>
                <c:pt idx="64">
                  <c:v>35.244009731249989</c:v>
                </c:pt>
                <c:pt idx="65">
                  <c:v>46.932812499999997</c:v>
                </c:pt>
                <c:pt idx="66">
                  <c:v>61.3</c:v>
                </c:pt>
                <c:pt idx="67">
                  <c:v>77.582812500000003</c:v>
                </c:pt>
                <c:pt idx="68">
                  <c:v>91.044579996999985</c:v>
                </c:pt>
                <c:pt idx="69">
                  <c:v>86.442578124999997</c:v>
                </c:pt>
                <c:pt idx="70">
                  <c:v>77.582812500000003</c:v>
                </c:pt>
                <c:pt idx="71">
                  <c:v>70.839812500000008</c:v>
                </c:pt>
                <c:pt idx="72">
                  <c:v>82.841203124999993</c:v>
                </c:pt>
                <c:pt idx="73">
                  <c:v>91.044579996999985</c:v>
                </c:pt>
                <c:pt idx="74">
                  <c:v>91.044579996999985</c:v>
                </c:pt>
                <c:pt idx="75">
                  <c:v>91.044579996999985</c:v>
                </c:pt>
                <c:pt idx="76">
                  <c:v>91.044579996999985</c:v>
                </c:pt>
                <c:pt idx="77">
                  <c:v>70.839812500000008</c:v>
                </c:pt>
                <c:pt idx="78">
                  <c:v>41.722312500000001</c:v>
                </c:pt>
                <c:pt idx="79">
                  <c:v>15.324999999999999</c:v>
                </c:pt>
                <c:pt idx="80">
                  <c:v>6.4748125000000005</c:v>
                </c:pt>
                <c:pt idx="81">
                  <c:v>12.41325</c:v>
                </c:pt>
                <c:pt idx="82">
                  <c:v>23.945312500000004</c:v>
                </c:pt>
                <c:pt idx="83">
                  <c:v>41.722312500000001</c:v>
                </c:pt>
                <c:pt idx="84">
                  <c:v>61.3</c:v>
                </c:pt>
                <c:pt idx="85">
                  <c:v>77.582812500000003</c:v>
                </c:pt>
                <c:pt idx="86">
                  <c:v>84.632312499999998</c:v>
                </c:pt>
                <c:pt idx="87">
                  <c:v>91.044579996999985</c:v>
                </c:pt>
                <c:pt idx="88">
                  <c:v>77.582812500000003</c:v>
                </c:pt>
                <c:pt idx="89">
                  <c:v>62.006976731249985</c:v>
                </c:pt>
                <c:pt idx="90">
                  <c:v>77.582812500000003</c:v>
                </c:pt>
                <c:pt idx="91">
                  <c:v>91.044579996999985</c:v>
                </c:pt>
                <c:pt idx="92">
                  <c:v>91.044579996999985</c:v>
                </c:pt>
                <c:pt idx="93">
                  <c:v>91.044579996999985</c:v>
                </c:pt>
                <c:pt idx="94">
                  <c:v>91.044579996999985</c:v>
                </c:pt>
                <c:pt idx="95">
                  <c:v>77.582812500000003</c:v>
                </c:pt>
                <c:pt idx="96">
                  <c:v>61.3</c:v>
                </c:pt>
                <c:pt idx="97">
                  <c:v>46.932812499999997</c:v>
                </c:pt>
                <c:pt idx="98">
                  <c:v>34.481250000000003</c:v>
                </c:pt>
                <c:pt idx="99">
                  <c:v>28.973828124999997</c:v>
                </c:pt>
                <c:pt idx="100">
                  <c:v>39.231999999999999</c:v>
                </c:pt>
                <c:pt idx="101">
                  <c:v>52.449812499999993</c:v>
                </c:pt>
                <c:pt idx="102">
                  <c:v>67.583249999999992</c:v>
                </c:pt>
                <c:pt idx="103">
                  <c:v>84.272558124999989</c:v>
                </c:pt>
                <c:pt idx="104">
                  <c:v>91.044579996999985</c:v>
                </c:pt>
                <c:pt idx="105">
                  <c:v>91.044579996999985</c:v>
                </c:pt>
                <c:pt idx="106">
                  <c:v>91.044579996999985</c:v>
                </c:pt>
                <c:pt idx="107">
                  <c:v>91.044579996999985</c:v>
                </c:pt>
                <c:pt idx="108">
                  <c:v>91.044579996999985</c:v>
                </c:pt>
                <c:pt idx="109">
                  <c:v>91.044579996999985</c:v>
                </c:pt>
                <c:pt idx="110">
                  <c:v>91.044579996999985</c:v>
                </c:pt>
                <c:pt idx="111">
                  <c:v>91.044579996999985</c:v>
                </c:pt>
                <c:pt idx="112">
                  <c:v>77.582812500000003</c:v>
                </c:pt>
                <c:pt idx="113">
                  <c:v>61.3</c:v>
                </c:pt>
                <c:pt idx="114">
                  <c:v>46.932812499999997</c:v>
                </c:pt>
                <c:pt idx="115">
                  <c:v>34.481250000000003</c:v>
                </c:pt>
                <c:pt idx="116">
                  <c:v>28.973828124999997</c:v>
                </c:pt>
                <c:pt idx="117">
                  <c:v>46.932812499999997</c:v>
                </c:pt>
                <c:pt idx="118">
                  <c:v>23.945312500000004</c:v>
                </c:pt>
                <c:pt idx="119">
                  <c:v>22.067999999999998</c:v>
                </c:pt>
                <c:pt idx="120">
                  <c:v>34.481250000000003</c:v>
                </c:pt>
                <c:pt idx="121">
                  <c:v>46.932812499999997</c:v>
                </c:pt>
                <c:pt idx="122">
                  <c:v>61.3</c:v>
                </c:pt>
                <c:pt idx="123">
                  <c:v>77.582812500000003</c:v>
                </c:pt>
                <c:pt idx="124">
                  <c:v>91.044579996999985</c:v>
                </c:pt>
                <c:pt idx="125">
                  <c:v>91.044579996999985</c:v>
                </c:pt>
                <c:pt idx="126">
                  <c:v>91.044579996999985</c:v>
                </c:pt>
                <c:pt idx="127">
                  <c:v>77.582812500000003</c:v>
                </c:pt>
                <c:pt idx="128">
                  <c:v>82.841203124999993</c:v>
                </c:pt>
                <c:pt idx="129">
                  <c:v>85.35411999999998</c:v>
                </c:pt>
                <c:pt idx="130">
                  <c:v>67.583249999999992</c:v>
                </c:pt>
                <c:pt idx="131">
                  <c:v>47.47072</c:v>
                </c:pt>
                <c:pt idx="132">
                  <c:v>52.449812499999993</c:v>
                </c:pt>
                <c:pt idx="133">
                  <c:v>59.777078124999996</c:v>
                </c:pt>
                <c:pt idx="134">
                  <c:v>67.583249999999992</c:v>
                </c:pt>
                <c:pt idx="135">
                  <c:v>61.3</c:v>
                </c:pt>
                <c:pt idx="136">
                  <c:v>34.481250000000003</c:v>
                </c:pt>
                <c:pt idx="137">
                  <c:v>8.6203125000000007</c:v>
                </c:pt>
                <c:pt idx="138">
                  <c:v>15.324999999999999</c:v>
                </c:pt>
                <c:pt idx="139">
                  <c:v>27.929812500000004</c:v>
                </c:pt>
                <c:pt idx="140">
                  <c:v>39.231999999999999</c:v>
                </c:pt>
                <c:pt idx="141">
                  <c:v>52.449812499999993</c:v>
                </c:pt>
                <c:pt idx="142">
                  <c:v>49.652999999999999</c:v>
                </c:pt>
                <c:pt idx="143">
                  <c:v>34.711508125000002</c:v>
                </c:pt>
                <c:pt idx="144">
                  <c:v>46.932812499999997</c:v>
                </c:pt>
                <c:pt idx="145">
                  <c:v>55.323250000000002</c:v>
                </c:pt>
                <c:pt idx="146">
                  <c:v>61.3</c:v>
                </c:pt>
                <c:pt idx="147">
                  <c:v>70.510708124999994</c:v>
                </c:pt>
                <c:pt idx="148">
                  <c:v>61.3</c:v>
                </c:pt>
                <c:pt idx="149">
                  <c:v>68.228432500000011</c:v>
                </c:pt>
                <c:pt idx="150">
                  <c:v>67.583249999999992</c:v>
                </c:pt>
                <c:pt idx="151">
                  <c:v>42.739892499999989</c:v>
                </c:pt>
                <c:pt idx="152">
                  <c:v>27.929812500000004</c:v>
                </c:pt>
                <c:pt idx="153">
                  <c:v>15.324999999999999</c:v>
                </c:pt>
                <c:pt idx="154">
                  <c:v>31.338092500000002</c:v>
                </c:pt>
                <c:pt idx="155">
                  <c:v>44.289250000000003</c:v>
                </c:pt>
                <c:pt idx="156">
                  <c:v>55.323250000000002</c:v>
                </c:pt>
                <c:pt idx="157">
                  <c:v>64.403312500000013</c:v>
                </c:pt>
                <c:pt idx="158">
                  <c:v>64.403312500000013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93D-4FAF-97CF-2169600C1B42}"/>
            </c:ext>
          </c:extLst>
        </c:ser>
        <c:ser>
          <c:idx val="2"/>
          <c:order val="2"/>
          <c:tx>
            <c:v>Gradient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Data!$R$6:$R$164</c:f>
              <c:numCache>
                <c:formatCode>0.00</c:formatCode>
                <c:ptCount val="159"/>
                <c:pt idx="0">
                  <c:v>-3425.1045539960332</c:v>
                </c:pt>
                <c:pt idx="1">
                  <c:v>4505.3951804553253</c:v>
                </c:pt>
                <c:pt idx="2">
                  <c:v>-2502.7492919511924</c:v>
                </c:pt>
                <c:pt idx="3">
                  <c:v>4505.3951804553253</c:v>
                </c:pt>
                <c:pt idx="4">
                  <c:v>1678.6291874694264</c:v>
                </c:pt>
                <c:pt idx="5">
                  <c:v>4773.9921601452697</c:v>
                </c:pt>
                <c:pt idx="6">
                  <c:v>4773.9921601452697</c:v>
                </c:pt>
                <c:pt idx="7">
                  <c:v>0</c:v>
                </c:pt>
                <c:pt idx="8">
                  <c:v>0</c:v>
                </c:pt>
                <c:pt idx="9">
                  <c:v>3425.1045539960332</c:v>
                </c:pt>
                <c:pt idx="10">
                  <c:v>-4773.9921601452697</c:v>
                </c:pt>
                <c:pt idx="11">
                  <c:v>-4773.9921601452697</c:v>
                </c:pt>
                <c:pt idx="12">
                  <c:v>-4773.9921601452697</c:v>
                </c:pt>
                <c:pt idx="13">
                  <c:v>3425.1045539960332</c:v>
                </c:pt>
                <c:pt idx="14">
                  <c:v>3425.1045539960332</c:v>
                </c:pt>
                <c:pt idx="15">
                  <c:v>1678.6291874694264</c:v>
                </c:pt>
                <c:pt idx="16">
                  <c:v>-4773.9921601452697</c:v>
                </c:pt>
                <c:pt idx="17">
                  <c:v>3425.1045539960332</c:v>
                </c:pt>
                <c:pt idx="18">
                  <c:v>4773.9921601452697</c:v>
                </c:pt>
                <c:pt idx="19">
                  <c:v>0</c:v>
                </c:pt>
                <c:pt idx="20">
                  <c:v>-1678.6291874694264</c:v>
                </c:pt>
                <c:pt idx="21">
                  <c:v>4773.9921601452697</c:v>
                </c:pt>
                <c:pt idx="22">
                  <c:v>4773.9921601452697</c:v>
                </c:pt>
                <c:pt idx="23">
                  <c:v>4773.9921601452697</c:v>
                </c:pt>
                <c:pt idx="24">
                  <c:v>4773.9921601452697</c:v>
                </c:pt>
                <c:pt idx="25">
                  <c:v>4773.9921601452697</c:v>
                </c:pt>
                <c:pt idx="26">
                  <c:v>4773.9921601452697</c:v>
                </c:pt>
                <c:pt idx="27">
                  <c:v>4773.9921601452697</c:v>
                </c:pt>
                <c:pt idx="28">
                  <c:v>4773.9921601452697</c:v>
                </c:pt>
                <c:pt idx="29">
                  <c:v>-3425.1045539960332</c:v>
                </c:pt>
                <c:pt idx="30">
                  <c:v>-4773.9921601452697</c:v>
                </c:pt>
                <c:pt idx="31">
                  <c:v>3425.1045539960332</c:v>
                </c:pt>
                <c:pt idx="32">
                  <c:v>4505.3951804553253</c:v>
                </c:pt>
                <c:pt idx="33">
                  <c:v>4505.3951804553253</c:v>
                </c:pt>
                <c:pt idx="34">
                  <c:v>0</c:v>
                </c:pt>
                <c:pt idx="35">
                  <c:v>1678.6291874694264</c:v>
                </c:pt>
                <c:pt idx="36">
                  <c:v>3425.1045539960332</c:v>
                </c:pt>
                <c:pt idx="37">
                  <c:v>-4773.9921601452697</c:v>
                </c:pt>
                <c:pt idx="38">
                  <c:v>-1678.6291874694264</c:v>
                </c:pt>
                <c:pt idx="39">
                  <c:v>-4773.9921601452697</c:v>
                </c:pt>
                <c:pt idx="40">
                  <c:v>3425.1045539960332</c:v>
                </c:pt>
                <c:pt idx="41">
                  <c:v>-4773.9921601452697</c:v>
                </c:pt>
                <c:pt idx="42">
                  <c:v>-4773.9921601452697</c:v>
                </c:pt>
                <c:pt idx="43">
                  <c:v>-4773.9921601452697</c:v>
                </c:pt>
                <c:pt idx="44">
                  <c:v>0</c:v>
                </c:pt>
                <c:pt idx="45">
                  <c:v>4773.9921601452697</c:v>
                </c:pt>
                <c:pt idx="46">
                  <c:v>0</c:v>
                </c:pt>
                <c:pt idx="47">
                  <c:v>-4773.9921601452697</c:v>
                </c:pt>
                <c:pt idx="48">
                  <c:v>-3425.1045539960332</c:v>
                </c:pt>
                <c:pt idx="49">
                  <c:v>4773.9921601452697</c:v>
                </c:pt>
                <c:pt idx="50">
                  <c:v>0</c:v>
                </c:pt>
                <c:pt idx="51">
                  <c:v>4773.9921601452697</c:v>
                </c:pt>
                <c:pt idx="52">
                  <c:v>4773.9921601452697</c:v>
                </c:pt>
                <c:pt idx="53">
                  <c:v>0</c:v>
                </c:pt>
                <c:pt idx="54">
                  <c:v>0</c:v>
                </c:pt>
                <c:pt idx="55">
                  <c:v>-4773.9921601452697</c:v>
                </c:pt>
                <c:pt idx="56">
                  <c:v>-4773.9921601452697</c:v>
                </c:pt>
                <c:pt idx="57">
                  <c:v>-3425.1045539960332</c:v>
                </c:pt>
                <c:pt idx="58">
                  <c:v>4857.7014449689023</c:v>
                </c:pt>
                <c:pt idx="59">
                  <c:v>4773.9921601452697</c:v>
                </c:pt>
                <c:pt idx="60">
                  <c:v>4773.9921601452697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4773.9921601452697</c:v>
                </c:pt>
                <c:pt idx="65">
                  <c:v>-1678.6291874694264</c:v>
                </c:pt>
                <c:pt idx="66">
                  <c:v>4773.9921601452697</c:v>
                </c:pt>
                <c:pt idx="67">
                  <c:v>-3425.1045539960332</c:v>
                </c:pt>
                <c:pt idx="68">
                  <c:v>-3425.1045539960332</c:v>
                </c:pt>
                <c:pt idx="69">
                  <c:v>-3425.1045539960332</c:v>
                </c:pt>
                <c:pt idx="70">
                  <c:v>4773.9921601452697</c:v>
                </c:pt>
                <c:pt idx="71">
                  <c:v>4773.9921601452697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4773.9921601452697</c:v>
                </c:pt>
                <c:pt idx="76">
                  <c:v>4773.9921601452697</c:v>
                </c:pt>
                <c:pt idx="77">
                  <c:v>4773.9921601452697</c:v>
                </c:pt>
                <c:pt idx="78">
                  <c:v>0</c:v>
                </c:pt>
                <c:pt idx="79">
                  <c:v>3425.1045539960332</c:v>
                </c:pt>
                <c:pt idx="80">
                  <c:v>-4773.9921601452697</c:v>
                </c:pt>
                <c:pt idx="81">
                  <c:v>-4773.9921601452697</c:v>
                </c:pt>
                <c:pt idx="82">
                  <c:v>0</c:v>
                </c:pt>
                <c:pt idx="83">
                  <c:v>0</c:v>
                </c:pt>
                <c:pt idx="84">
                  <c:v>-4773.9921601452697</c:v>
                </c:pt>
                <c:pt idx="85">
                  <c:v>0</c:v>
                </c:pt>
                <c:pt idx="86">
                  <c:v>4773.9921601452697</c:v>
                </c:pt>
                <c:pt idx="87">
                  <c:v>0</c:v>
                </c:pt>
                <c:pt idx="88">
                  <c:v>-4773.9921601452697</c:v>
                </c:pt>
                <c:pt idx="89">
                  <c:v>-4773.9921601452697</c:v>
                </c:pt>
                <c:pt idx="90">
                  <c:v>4773.9921601452697</c:v>
                </c:pt>
                <c:pt idx="91">
                  <c:v>-4505.3951804553253</c:v>
                </c:pt>
                <c:pt idx="92">
                  <c:v>4857.7014449689023</c:v>
                </c:pt>
                <c:pt idx="93">
                  <c:v>-3425.1045539960332</c:v>
                </c:pt>
                <c:pt idx="94">
                  <c:v>-3425.1045539960332</c:v>
                </c:pt>
                <c:pt idx="95">
                  <c:v>4773.9921601452697</c:v>
                </c:pt>
                <c:pt idx="96">
                  <c:v>0</c:v>
                </c:pt>
                <c:pt idx="97">
                  <c:v>-4773.9921601452697</c:v>
                </c:pt>
                <c:pt idx="98">
                  <c:v>3425.1045539960332</c:v>
                </c:pt>
                <c:pt idx="99">
                  <c:v>-4773.9921601452697</c:v>
                </c:pt>
                <c:pt idx="100">
                  <c:v>1678.6291874694264</c:v>
                </c:pt>
                <c:pt idx="101">
                  <c:v>1678.6291874694264</c:v>
                </c:pt>
                <c:pt idx="102">
                  <c:v>3425.1045539960332</c:v>
                </c:pt>
                <c:pt idx="103">
                  <c:v>0</c:v>
                </c:pt>
                <c:pt idx="104">
                  <c:v>-3425.1045539960332</c:v>
                </c:pt>
                <c:pt idx="105">
                  <c:v>4773.9921601452697</c:v>
                </c:pt>
                <c:pt idx="106">
                  <c:v>-4773.9921601452697</c:v>
                </c:pt>
                <c:pt idx="107">
                  <c:v>-4773.9921601452697</c:v>
                </c:pt>
                <c:pt idx="108">
                  <c:v>3425.1045539960332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4773.9921601452697</c:v>
                </c:pt>
                <c:pt idx="113">
                  <c:v>-3425.1045539960332</c:v>
                </c:pt>
                <c:pt idx="114">
                  <c:v>0</c:v>
                </c:pt>
                <c:pt idx="115">
                  <c:v>1678.6291874694264</c:v>
                </c:pt>
                <c:pt idx="116">
                  <c:v>3425.1045539960332</c:v>
                </c:pt>
                <c:pt idx="117">
                  <c:v>-4773.9921601452697</c:v>
                </c:pt>
                <c:pt idx="118">
                  <c:v>0</c:v>
                </c:pt>
                <c:pt idx="119">
                  <c:v>-4773.9921601452697</c:v>
                </c:pt>
                <c:pt idx="120">
                  <c:v>0</c:v>
                </c:pt>
                <c:pt idx="121">
                  <c:v>0</c:v>
                </c:pt>
                <c:pt idx="122">
                  <c:v>4773.9921601452697</c:v>
                </c:pt>
                <c:pt idx="123">
                  <c:v>4857.7014449689023</c:v>
                </c:pt>
                <c:pt idx="124">
                  <c:v>4773.9921601452697</c:v>
                </c:pt>
                <c:pt idx="125">
                  <c:v>-3425.1045539960332</c:v>
                </c:pt>
                <c:pt idx="126">
                  <c:v>-3425.1045539960332</c:v>
                </c:pt>
                <c:pt idx="127">
                  <c:v>-4773.9921601452697</c:v>
                </c:pt>
                <c:pt idx="128">
                  <c:v>4773.9921601452697</c:v>
                </c:pt>
                <c:pt idx="129">
                  <c:v>0</c:v>
                </c:pt>
                <c:pt idx="130">
                  <c:v>-3425.1045539960332</c:v>
                </c:pt>
                <c:pt idx="131">
                  <c:v>0</c:v>
                </c:pt>
                <c:pt idx="132">
                  <c:v>0</c:v>
                </c:pt>
                <c:pt idx="133">
                  <c:v>-3425.1045539960332</c:v>
                </c:pt>
                <c:pt idx="134">
                  <c:v>0</c:v>
                </c:pt>
                <c:pt idx="135">
                  <c:v>4773.9921601452697</c:v>
                </c:pt>
                <c:pt idx="136">
                  <c:v>4773.9921601452697</c:v>
                </c:pt>
                <c:pt idx="137">
                  <c:v>0</c:v>
                </c:pt>
                <c:pt idx="138">
                  <c:v>-3425.1045539960332</c:v>
                </c:pt>
                <c:pt idx="139">
                  <c:v>4773.9921601452697</c:v>
                </c:pt>
                <c:pt idx="140">
                  <c:v>0</c:v>
                </c:pt>
                <c:pt idx="141">
                  <c:v>4773.9921601452697</c:v>
                </c:pt>
                <c:pt idx="142">
                  <c:v>0</c:v>
                </c:pt>
                <c:pt idx="143">
                  <c:v>0</c:v>
                </c:pt>
                <c:pt idx="144">
                  <c:v>4773.9921601452697</c:v>
                </c:pt>
                <c:pt idx="145">
                  <c:v>-3425.1045539960332</c:v>
                </c:pt>
                <c:pt idx="146">
                  <c:v>0</c:v>
                </c:pt>
                <c:pt idx="147">
                  <c:v>0</c:v>
                </c:pt>
                <c:pt idx="148">
                  <c:v>4773.9921601452697</c:v>
                </c:pt>
                <c:pt idx="149">
                  <c:v>0</c:v>
                </c:pt>
                <c:pt idx="150">
                  <c:v>-4773.9921601452697</c:v>
                </c:pt>
                <c:pt idx="151">
                  <c:v>-4773.9921601452697</c:v>
                </c:pt>
                <c:pt idx="152">
                  <c:v>3425.1045539960332</c:v>
                </c:pt>
                <c:pt idx="153">
                  <c:v>-4773.9921601452697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-4505.3951804553253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93D-4FAF-97CF-2169600C1B42}"/>
            </c:ext>
          </c:extLst>
        </c:ser>
        <c:ser>
          <c:idx val="3"/>
          <c:order val="3"/>
          <c:tx>
            <c:v>Rolling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Data!$S$6:$S$164</c:f>
              <c:numCache>
                <c:formatCode>General</c:formatCode>
                <c:ptCount val="159"/>
                <c:pt idx="0">
                  <c:v>304.42392000000007</c:v>
                </c:pt>
                <c:pt idx="1">
                  <c:v>304.42392000000007</c:v>
                </c:pt>
                <c:pt idx="2">
                  <c:v>304.42392000000007</c:v>
                </c:pt>
                <c:pt idx="3">
                  <c:v>304.42392000000007</c:v>
                </c:pt>
                <c:pt idx="4">
                  <c:v>304.42392000000007</c:v>
                </c:pt>
                <c:pt idx="5">
                  <c:v>304.42392000000007</c:v>
                </c:pt>
                <c:pt idx="6">
                  <c:v>304.42392000000007</c:v>
                </c:pt>
                <c:pt idx="7">
                  <c:v>304.42392000000007</c:v>
                </c:pt>
                <c:pt idx="8">
                  <c:v>304.42392000000007</c:v>
                </c:pt>
                <c:pt idx="9">
                  <c:v>304.42392000000007</c:v>
                </c:pt>
                <c:pt idx="10">
                  <c:v>304.42392000000007</c:v>
                </c:pt>
                <c:pt idx="11">
                  <c:v>304.42392000000007</c:v>
                </c:pt>
                <c:pt idx="12">
                  <c:v>304.42392000000007</c:v>
                </c:pt>
                <c:pt idx="13">
                  <c:v>304.42392000000007</c:v>
                </c:pt>
                <c:pt idx="14">
                  <c:v>304.42392000000007</c:v>
                </c:pt>
                <c:pt idx="15">
                  <c:v>304.42392000000007</c:v>
                </c:pt>
                <c:pt idx="16">
                  <c:v>304.42392000000007</c:v>
                </c:pt>
                <c:pt idx="17">
                  <c:v>304.42392000000007</c:v>
                </c:pt>
                <c:pt idx="18">
                  <c:v>304.42392000000007</c:v>
                </c:pt>
                <c:pt idx="19">
                  <c:v>304.42392000000007</c:v>
                </c:pt>
                <c:pt idx="20">
                  <c:v>304.42392000000007</c:v>
                </c:pt>
                <c:pt idx="21">
                  <c:v>304.42392000000007</c:v>
                </c:pt>
                <c:pt idx="22">
                  <c:v>304.42392000000007</c:v>
                </c:pt>
                <c:pt idx="23">
                  <c:v>304.42392000000007</c:v>
                </c:pt>
                <c:pt idx="24">
                  <c:v>304.42392000000007</c:v>
                </c:pt>
                <c:pt idx="25">
                  <c:v>304.42392000000007</c:v>
                </c:pt>
                <c:pt idx="26">
                  <c:v>304.42392000000007</c:v>
                </c:pt>
                <c:pt idx="27">
                  <c:v>304.42392000000007</c:v>
                </c:pt>
                <c:pt idx="28">
                  <c:v>304.42392000000007</c:v>
                </c:pt>
                <c:pt idx="29">
                  <c:v>304.42392000000007</c:v>
                </c:pt>
                <c:pt idx="30">
                  <c:v>304.42392000000007</c:v>
                </c:pt>
                <c:pt idx="31">
                  <c:v>304.42392000000007</c:v>
                </c:pt>
                <c:pt idx="32">
                  <c:v>304.42392000000007</c:v>
                </c:pt>
                <c:pt idx="33">
                  <c:v>304.42392000000007</c:v>
                </c:pt>
                <c:pt idx="34">
                  <c:v>304.42392000000007</c:v>
                </c:pt>
                <c:pt idx="35">
                  <c:v>304.42392000000007</c:v>
                </c:pt>
                <c:pt idx="36">
                  <c:v>304.42392000000007</c:v>
                </c:pt>
                <c:pt idx="37">
                  <c:v>304.42392000000007</c:v>
                </c:pt>
                <c:pt idx="38">
                  <c:v>304.42392000000007</c:v>
                </c:pt>
                <c:pt idx="39">
                  <c:v>304.42392000000007</c:v>
                </c:pt>
                <c:pt idx="40">
                  <c:v>304.42392000000007</c:v>
                </c:pt>
                <c:pt idx="41">
                  <c:v>304.42392000000007</c:v>
                </c:pt>
                <c:pt idx="42">
                  <c:v>304.42392000000007</c:v>
                </c:pt>
                <c:pt idx="43">
                  <c:v>304.42392000000007</c:v>
                </c:pt>
                <c:pt idx="44">
                  <c:v>304.42392000000007</c:v>
                </c:pt>
                <c:pt idx="45">
                  <c:v>304.42392000000007</c:v>
                </c:pt>
                <c:pt idx="46">
                  <c:v>304.42392000000007</c:v>
                </c:pt>
                <c:pt idx="47">
                  <c:v>304.42392000000007</c:v>
                </c:pt>
                <c:pt idx="48">
                  <c:v>304.42392000000007</c:v>
                </c:pt>
                <c:pt idx="49">
                  <c:v>304.42392000000007</c:v>
                </c:pt>
                <c:pt idx="50">
                  <c:v>304.42392000000007</c:v>
                </c:pt>
                <c:pt idx="51">
                  <c:v>304.42392000000007</c:v>
                </c:pt>
                <c:pt idx="52">
                  <c:v>304.42392000000007</c:v>
                </c:pt>
                <c:pt idx="53">
                  <c:v>304.42392000000007</c:v>
                </c:pt>
                <c:pt idx="54">
                  <c:v>304.42392000000007</c:v>
                </c:pt>
                <c:pt idx="55">
                  <c:v>304.42392000000007</c:v>
                </c:pt>
                <c:pt idx="56">
                  <c:v>304.42392000000007</c:v>
                </c:pt>
                <c:pt idx="57">
                  <c:v>304.42392000000007</c:v>
                </c:pt>
                <c:pt idx="58">
                  <c:v>304.42392000000007</c:v>
                </c:pt>
                <c:pt idx="59">
                  <c:v>304.42392000000007</c:v>
                </c:pt>
                <c:pt idx="60">
                  <c:v>304.42392000000007</c:v>
                </c:pt>
                <c:pt idx="61">
                  <c:v>304.42392000000007</c:v>
                </c:pt>
                <c:pt idx="62">
                  <c:v>304.42392000000007</c:v>
                </c:pt>
                <c:pt idx="63">
                  <c:v>304.42392000000007</c:v>
                </c:pt>
                <c:pt idx="64">
                  <c:v>304.42392000000007</c:v>
                </c:pt>
                <c:pt idx="65">
                  <c:v>304.42392000000007</c:v>
                </c:pt>
                <c:pt idx="66">
                  <c:v>304.42392000000007</c:v>
                </c:pt>
                <c:pt idx="67">
                  <c:v>304.42392000000007</c:v>
                </c:pt>
                <c:pt idx="68">
                  <c:v>304.42392000000007</c:v>
                </c:pt>
                <c:pt idx="69">
                  <c:v>304.42392000000007</c:v>
                </c:pt>
                <c:pt idx="70">
                  <c:v>304.42392000000007</c:v>
                </c:pt>
                <c:pt idx="71">
                  <c:v>304.42392000000007</c:v>
                </c:pt>
                <c:pt idx="72">
                  <c:v>304.42392000000007</c:v>
                </c:pt>
                <c:pt idx="73">
                  <c:v>304.42392000000007</c:v>
                </c:pt>
                <c:pt idx="74">
                  <c:v>304.42392000000007</c:v>
                </c:pt>
                <c:pt idx="75">
                  <c:v>304.42392000000007</c:v>
                </c:pt>
                <c:pt idx="76">
                  <c:v>304.42392000000007</c:v>
                </c:pt>
                <c:pt idx="77">
                  <c:v>304.42392000000007</c:v>
                </c:pt>
                <c:pt idx="78">
                  <c:v>304.42392000000007</c:v>
                </c:pt>
                <c:pt idx="79">
                  <c:v>304.42392000000007</c:v>
                </c:pt>
                <c:pt idx="80">
                  <c:v>304.42392000000007</c:v>
                </c:pt>
                <c:pt idx="81">
                  <c:v>304.42392000000007</c:v>
                </c:pt>
                <c:pt idx="82">
                  <c:v>304.42392000000007</c:v>
                </c:pt>
                <c:pt idx="83">
                  <c:v>304.42392000000007</c:v>
                </c:pt>
                <c:pt idx="84">
                  <c:v>304.42392000000007</c:v>
                </c:pt>
                <c:pt idx="85">
                  <c:v>304.42392000000007</c:v>
                </c:pt>
                <c:pt idx="86">
                  <c:v>304.42392000000007</c:v>
                </c:pt>
                <c:pt idx="87">
                  <c:v>304.42392000000007</c:v>
                </c:pt>
                <c:pt idx="88">
                  <c:v>304.42392000000007</c:v>
                </c:pt>
                <c:pt idx="89">
                  <c:v>304.42392000000007</c:v>
                </c:pt>
                <c:pt idx="90">
                  <c:v>304.42392000000007</c:v>
                </c:pt>
                <c:pt idx="91">
                  <c:v>304.42392000000007</c:v>
                </c:pt>
                <c:pt idx="92">
                  <c:v>304.42392000000007</c:v>
                </c:pt>
                <c:pt idx="93">
                  <c:v>304.42392000000007</c:v>
                </c:pt>
                <c:pt idx="94">
                  <c:v>304.42392000000007</c:v>
                </c:pt>
                <c:pt idx="95">
                  <c:v>304.42392000000007</c:v>
                </c:pt>
                <c:pt idx="96">
                  <c:v>304.42392000000007</c:v>
                </c:pt>
                <c:pt idx="97">
                  <c:v>304.42392000000007</c:v>
                </c:pt>
                <c:pt idx="98">
                  <c:v>304.42392000000007</c:v>
                </c:pt>
                <c:pt idx="99">
                  <c:v>304.42392000000007</c:v>
                </c:pt>
                <c:pt idx="100">
                  <c:v>304.42392000000007</c:v>
                </c:pt>
                <c:pt idx="101">
                  <c:v>304.42392000000007</c:v>
                </c:pt>
                <c:pt idx="102">
                  <c:v>304.42392000000007</c:v>
                </c:pt>
                <c:pt idx="103">
                  <c:v>304.42392000000007</c:v>
                </c:pt>
                <c:pt idx="104">
                  <c:v>304.42392000000007</c:v>
                </c:pt>
                <c:pt idx="105">
                  <c:v>304.42392000000007</c:v>
                </c:pt>
                <c:pt idx="106">
                  <c:v>304.42392000000007</c:v>
                </c:pt>
                <c:pt idx="107">
                  <c:v>304.42392000000007</c:v>
                </c:pt>
                <c:pt idx="108">
                  <c:v>304.42392000000007</c:v>
                </c:pt>
                <c:pt idx="109">
                  <c:v>304.42392000000007</c:v>
                </c:pt>
                <c:pt idx="110">
                  <c:v>304.42392000000007</c:v>
                </c:pt>
                <c:pt idx="111">
                  <c:v>304.42392000000007</c:v>
                </c:pt>
                <c:pt idx="112">
                  <c:v>304.42392000000007</c:v>
                </c:pt>
                <c:pt idx="113">
                  <c:v>304.42392000000007</c:v>
                </c:pt>
                <c:pt idx="114">
                  <c:v>304.42392000000007</c:v>
                </c:pt>
                <c:pt idx="115">
                  <c:v>304.42392000000007</c:v>
                </c:pt>
                <c:pt idx="116">
                  <c:v>304.42392000000007</c:v>
                </c:pt>
                <c:pt idx="117">
                  <c:v>304.42392000000007</c:v>
                </c:pt>
                <c:pt idx="118">
                  <c:v>304.42392000000007</c:v>
                </c:pt>
                <c:pt idx="119">
                  <c:v>304.42392000000007</c:v>
                </c:pt>
                <c:pt idx="120">
                  <c:v>304.42392000000007</c:v>
                </c:pt>
                <c:pt idx="121">
                  <c:v>304.42392000000007</c:v>
                </c:pt>
                <c:pt idx="122">
                  <c:v>304.42392000000007</c:v>
                </c:pt>
                <c:pt idx="123">
                  <c:v>304.42392000000007</c:v>
                </c:pt>
                <c:pt idx="124">
                  <c:v>304.42392000000007</c:v>
                </c:pt>
                <c:pt idx="125">
                  <c:v>304.42392000000007</c:v>
                </c:pt>
                <c:pt idx="126">
                  <c:v>304.42392000000007</c:v>
                </c:pt>
                <c:pt idx="127">
                  <c:v>304.42392000000007</c:v>
                </c:pt>
                <c:pt idx="128">
                  <c:v>304.42392000000007</c:v>
                </c:pt>
                <c:pt idx="129">
                  <c:v>304.42392000000007</c:v>
                </c:pt>
                <c:pt idx="130">
                  <c:v>304.42392000000007</c:v>
                </c:pt>
                <c:pt idx="131">
                  <c:v>304.42392000000007</c:v>
                </c:pt>
                <c:pt idx="132">
                  <c:v>304.42392000000007</c:v>
                </c:pt>
                <c:pt idx="133">
                  <c:v>304.42392000000007</c:v>
                </c:pt>
                <c:pt idx="134">
                  <c:v>304.42392000000007</c:v>
                </c:pt>
                <c:pt idx="135">
                  <c:v>304.42392000000007</c:v>
                </c:pt>
                <c:pt idx="136">
                  <c:v>304.42392000000007</c:v>
                </c:pt>
                <c:pt idx="137">
                  <c:v>304.42392000000007</c:v>
                </c:pt>
                <c:pt idx="138">
                  <c:v>304.42392000000007</c:v>
                </c:pt>
                <c:pt idx="139">
                  <c:v>304.42392000000007</c:v>
                </c:pt>
                <c:pt idx="140">
                  <c:v>304.42392000000007</c:v>
                </c:pt>
                <c:pt idx="141">
                  <c:v>304.42392000000007</c:v>
                </c:pt>
                <c:pt idx="142">
                  <c:v>304.42392000000007</c:v>
                </c:pt>
                <c:pt idx="143">
                  <c:v>304.42392000000007</c:v>
                </c:pt>
                <c:pt idx="144">
                  <c:v>304.42392000000007</c:v>
                </c:pt>
                <c:pt idx="145">
                  <c:v>304.42392000000007</c:v>
                </c:pt>
                <c:pt idx="146">
                  <c:v>304.42392000000007</c:v>
                </c:pt>
                <c:pt idx="147">
                  <c:v>304.42392000000007</c:v>
                </c:pt>
                <c:pt idx="148">
                  <c:v>304.42392000000007</c:v>
                </c:pt>
                <c:pt idx="149">
                  <c:v>304.42392000000007</c:v>
                </c:pt>
                <c:pt idx="150">
                  <c:v>304.42392000000007</c:v>
                </c:pt>
                <c:pt idx="151">
                  <c:v>304.42392000000007</c:v>
                </c:pt>
                <c:pt idx="152">
                  <c:v>304.42392000000007</c:v>
                </c:pt>
                <c:pt idx="153">
                  <c:v>304.42392000000007</c:v>
                </c:pt>
                <c:pt idx="154">
                  <c:v>304.42392000000007</c:v>
                </c:pt>
                <c:pt idx="155">
                  <c:v>304.42392000000007</c:v>
                </c:pt>
                <c:pt idx="156">
                  <c:v>304.42392000000007</c:v>
                </c:pt>
                <c:pt idx="157">
                  <c:v>304.42392000000007</c:v>
                </c:pt>
                <c:pt idx="158">
                  <c:v>304.42392000000007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93D-4FAF-97CF-2169600C1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0463560"/>
        <c:axId val="751131456"/>
      </c:scatterChart>
      <c:valAx>
        <c:axId val="720463560"/>
        <c:scaling>
          <c:orientation val="minMax"/>
          <c:max val="19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131456"/>
        <c:crosses val="autoZero"/>
        <c:crossBetween val="midCat"/>
      </c:valAx>
      <c:valAx>
        <c:axId val="75113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463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Fuel Usage (L/s)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Data!$AI$6:$AI$164</c:f>
              <c:numCache>
                <c:formatCode>0.0000</c:formatCode>
                <c:ptCount val="159"/>
                <c:pt idx="0">
                  <c:v>0</c:v>
                </c:pt>
                <c:pt idx="1">
                  <c:v>1.7170443469785575E-3</c:v>
                </c:pt>
                <c:pt idx="2">
                  <c:v>1.7170443469785575E-3</c:v>
                </c:pt>
                <c:pt idx="3">
                  <c:v>3.5422149122807016E-3</c:v>
                </c:pt>
                <c:pt idx="4">
                  <c:v>6.0446211013645227E-3</c:v>
                </c:pt>
                <c:pt idx="5">
                  <c:v>8.0989774204028586E-3</c:v>
                </c:pt>
                <c:pt idx="6">
                  <c:v>1.0153333739441195E-2</c:v>
                </c:pt>
                <c:pt idx="7">
                  <c:v>1.0153333739441195E-2</c:v>
                </c:pt>
                <c:pt idx="8">
                  <c:v>1.0153333739441195E-2</c:v>
                </c:pt>
                <c:pt idx="9">
                  <c:v>1.1158572530864197E-2</c:v>
                </c:pt>
                <c:pt idx="10">
                  <c:v>1.1158572530864197E-2</c:v>
                </c:pt>
                <c:pt idx="11">
                  <c:v>1.1158572530864197E-2</c:v>
                </c:pt>
                <c:pt idx="12">
                  <c:v>1.1158572530864197E-2</c:v>
                </c:pt>
                <c:pt idx="13">
                  <c:v>1.3063015350877193E-2</c:v>
                </c:pt>
                <c:pt idx="14">
                  <c:v>1.4941011614684859E-2</c:v>
                </c:pt>
                <c:pt idx="15">
                  <c:v>1.7081164717348926E-2</c:v>
                </c:pt>
                <c:pt idx="16">
                  <c:v>1.7081164717348926E-2</c:v>
                </c:pt>
                <c:pt idx="17">
                  <c:v>1.8609226770630278E-2</c:v>
                </c:pt>
                <c:pt idx="18">
                  <c:v>2.004851364522417E-2</c:v>
                </c:pt>
                <c:pt idx="19">
                  <c:v>2.1863317490680937E-2</c:v>
                </c:pt>
                <c:pt idx="20">
                  <c:v>2.1863317490680937E-2</c:v>
                </c:pt>
                <c:pt idx="21">
                  <c:v>2.3951039225573723E-2</c:v>
                </c:pt>
                <c:pt idx="22">
                  <c:v>2.5873838120960339E-2</c:v>
                </c:pt>
                <c:pt idx="23">
                  <c:v>2.7711557419205952E-2</c:v>
                </c:pt>
                <c:pt idx="24">
                  <c:v>2.9666479446496401E-2</c:v>
                </c:pt>
                <c:pt idx="25">
                  <c:v>3.1720835765534736E-2</c:v>
                </c:pt>
                <c:pt idx="26">
                  <c:v>3.3775192084573073E-2</c:v>
                </c:pt>
                <c:pt idx="27">
                  <c:v>3.5829548403611411E-2</c:v>
                </c:pt>
                <c:pt idx="28">
                  <c:v>3.7752347298998026E-2</c:v>
                </c:pt>
                <c:pt idx="29">
                  <c:v>3.7752347298998026E-2</c:v>
                </c:pt>
                <c:pt idx="30">
                  <c:v>3.7752347298998026E-2</c:v>
                </c:pt>
                <c:pt idx="31">
                  <c:v>3.9400414225573728E-2</c:v>
                </c:pt>
                <c:pt idx="32">
                  <c:v>4.1032165768783602E-2</c:v>
                </c:pt>
                <c:pt idx="33">
                  <c:v>4.2814085846756313E-2</c:v>
                </c:pt>
                <c:pt idx="34">
                  <c:v>4.4082075526974074E-2</c:v>
                </c:pt>
                <c:pt idx="35">
                  <c:v>4.6312338684868809E-2</c:v>
                </c:pt>
                <c:pt idx="36">
                  <c:v>4.8190334948676479E-2</c:v>
                </c:pt>
                <c:pt idx="37">
                  <c:v>4.8190334948676479E-2</c:v>
                </c:pt>
                <c:pt idx="38">
                  <c:v>4.8190334948676479E-2</c:v>
                </c:pt>
                <c:pt idx="39">
                  <c:v>4.8190334948676479E-2</c:v>
                </c:pt>
                <c:pt idx="40">
                  <c:v>4.9710396677071542E-2</c:v>
                </c:pt>
                <c:pt idx="41">
                  <c:v>4.9710396677071542E-2</c:v>
                </c:pt>
                <c:pt idx="42">
                  <c:v>4.9710396677071542E-2</c:v>
                </c:pt>
                <c:pt idx="43">
                  <c:v>4.9710396677071542E-2</c:v>
                </c:pt>
                <c:pt idx="44">
                  <c:v>5.0550064280815779E-2</c:v>
                </c:pt>
                <c:pt idx="45">
                  <c:v>5.2472863176202394E-2</c:v>
                </c:pt>
                <c:pt idx="46">
                  <c:v>5.3730946847150594E-2</c:v>
                </c:pt>
                <c:pt idx="47">
                  <c:v>5.3730946847150594E-2</c:v>
                </c:pt>
                <c:pt idx="48">
                  <c:v>5.3730946847150594E-2</c:v>
                </c:pt>
                <c:pt idx="49">
                  <c:v>5.553796439101024E-2</c:v>
                </c:pt>
                <c:pt idx="50">
                  <c:v>5.7074864715911333E-2</c:v>
                </c:pt>
                <c:pt idx="51">
                  <c:v>5.9129221034949671E-2</c:v>
                </c:pt>
                <c:pt idx="52">
                  <c:v>6.1183577353988008E-2</c:v>
                </c:pt>
                <c:pt idx="53">
                  <c:v>6.2023244957732246E-2</c:v>
                </c:pt>
                <c:pt idx="54">
                  <c:v>6.2023244957732246E-2</c:v>
                </c:pt>
                <c:pt idx="55">
                  <c:v>6.2023244957732246E-2</c:v>
                </c:pt>
                <c:pt idx="56">
                  <c:v>6.2023244957732246E-2</c:v>
                </c:pt>
                <c:pt idx="57">
                  <c:v>6.2023244957732246E-2</c:v>
                </c:pt>
                <c:pt idx="58">
                  <c:v>6.4110966692625032E-2</c:v>
                </c:pt>
                <c:pt idx="59">
                  <c:v>6.6165323011663363E-2</c:v>
                </c:pt>
                <c:pt idx="60">
                  <c:v>6.8219679330701694E-2</c:v>
                </c:pt>
                <c:pt idx="61">
                  <c:v>6.8219679330701694E-2</c:v>
                </c:pt>
                <c:pt idx="62">
                  <c:v>6.8219679330701694E-2</c:v>
                </c:pt>
                <c:pt idx="63">
                  <c:v>6.8219679330701694E-2</c:v>
                </c:pt>
                <c:pt idx="64">
                  <c:v>6.9531822971052565E-2</c:v>
                </c:pt>
                <c:pt idx="65">
                  <c:v>6.9531822971052565E-2</c:v>
                </c:pt>
                <c:pt idx="66">
                  <c:v>7.1215018227712729E-2</c:v>
                </c:pt>
                <c:pt idx="67">
                  <c:v>7.1215018227712729E-2</c:v>
                </c:pt>
                <c:pt idx="68">
                  <c:v>7.1215018227712729E-2</c:v>
                </c:pt>
                <c:pt idx="69">
                  <c:v>7.1215018227712729E-2</c:v>
                </c:pt>
                <c:pt idx="70">
                  <c:v>7.3052737525958339E-2</c:v>
                </c:pt>
                <c:pt idx="71">
                  <c:v>7.4805377227062958E-2</c:v>
                </c:pt>
                <c:pt idx="72">
                  <c:v>7.6559350416665908E-2</c:v>
                </c:pt>
                <c:pt idx="73">
                  <c:v>7.7981748546804092E-2</c:v>
                </c:pt>
                <c:pt idx="74">
                  <c:v>7.8821416150548329E-2</c:v>
                </c:pt>
                <c:pt idx="75">
                  <c:v>8.087577246958666E-2</c:v>
                </c:pt>
                <c:pt idx="76">
                  <c:v>8.293012878862499E-2</c:v>
                </c:pt>
                <c:pt idx="77">
                  <c:v>8.468276848972961E-2</c:v>
                </c:pt>
                <c:pt idx="78">
                  <c:v>8.468276848972961E-2</c:v>
                </c:pt>
                <c:pt idx="79">
                  <c:v>8.5614055039437212E-2</c:v>
                </c:pt>
                <c:pt idx="80">
                  <c:v>8.5614055039437212E-2</c:v>
                </c:pt>
                <c:pt idx="81">
                  <c:v>8.5614055039437212E-2</c:v>
                </c:pt>
                <c:pt idx="82">
                  <c:v>8.6642840272941973E-2</c:v>
                </c:pt>
                <c:pt idx="83">
                  <c:v>8.8663736195769297E-2</c:v>
                </c:pt>
                <c:pt idx="84">
                  <c:v>8.8663736195769297E-2</c:v>
                </c:pt>
                <c:pt idx="85">
                  <c:v>9.0597946722085085E-2</c:v>
                </c:pt>
                <c:pt idx="86">
                  <c:v>9.255286874937553E-2</c:v>
                </c:pt>
                <c:pt idx="87">
                  <c:v>9.3810952420323737E-2</c:v>
                </c:pt>
                <c:pt idx="88">
                  <c:v>9.3810952420323737E-2</c:v>
                </c:pt>
                <c:pt idx="89">
                  <c:v>9.3810952420323737E-2</c:v>
                </c:pt>
                <c:pt idx="90">
                  <c:v>9.5679373472955312E-2</c:v>
                </c:pt>
                <c:pt idx="91">
                  <c:v>9.5679373472955312E-2</c:v>
                </c:pt>
                <c:pt idx="92">
                  <c:v>9.7733729791993643E-2</c:v>
                </c:pt>
                <c:pt idx="93">
                  <c:v>9.7733729791993643E-2</c:v>
                </c:pt>
                <c:pt idx="94">
                  <c:v>9.7733729791993643E-2</c:v>
                </c:pt>
                <c:pt idx="95">
                  <c:v>9.9571449090239253E-2</c:v>
                </c:pt>
                <c:pt idx="96">
                  <c:v>9.9571449090239253E-2</c:v>
                </c:pt>
                <c:pt idx="97">
                  <c:v>9.9571449090239253E-2</c:v>
                </c:pt>
                <c:pt idx="98">
                  <c:v>0.10079683895378701</c:v>
                </c:pt>
                <c:pt idx="99">
                  <c:v>0.10079683895378701</c:v>
                </c:pt>
                <c:pt idx="100">
                  <c:v>0.10200488801161676</c:v>
                </c:pt>
                <c:pt idx="101">
                  <c:v>0.10341294519160377</c:v>
                </c:pt>
                <c:pt idx="102">
                  <c:v>0.10512304509413788</c:v>
                </c:pt>
                <c:pt idx="103">
                  <c:v>0.10710111526957647</c:v>
                </c:pt>
                <c:pt idx="104">
                  <c:v>0.10710111526957647</c:v>
                </c:pt>
                <c:pt idx="105">
                  <c:v>0.1091554715886148</c:v>
                </c:pt>
                <c:pt idx="106">
                  <c:v>0.1091554715886148</c:v>
                </c:pt>
                <c:pt idx="107">
                  <c:v>0.1091554715886148</c:v>
                </c:pt>
                <c:pt idx="108">
                  <c:v>0.11103346785242246</c:v>
                </c:pt>
                <c:pt idx="109">
                  <c:v>0.1118731354561667</c:v>
                </c:pt>
                <c:pt idx="110">
                  <c:v>0.11271280305991094</c:v>
                </c:pt>
                <c:pt idx="111">
                  <c:v>0.11355247066365518</c:v>
                </c:pt>
                <c:pt idx="112">
                  <c:v>0.11539018996190079</c:v>
                </c:pt>
                <c:pt idx="113">
                  <c:v>0.11539018996190079</c:v>
                </c:pt>
                <c:pt idx="114">
                  <c:v>0.11539018996190079</c:v>
                </c:pt>
                <c:pt idx="115">
                  <c:v>0.11738663141751947</c:v>
                </c:pt>
                <c:pt idx="116">
                  <c:v>0.1185190428860055</c:v>
                </c:pt>
                <c:pt idx="117">
                  <c:v>0.1185190428860055</c:v>
                </c:pt>
                <c:pt idx="118">
                  <c:v>0.1185190428860055</c:v>
                </c:pt>
                <c:pt idx="119">
                  <c:v>0.1185190428860055</c:v>
                </c:pt>
                <c:pt idx="120">
                  <c:v>0.11969290333511652</c:v>
                </c:pt>
                <c:pt idx="121">
                  <c:v>0.12135536459959313</c:v>
                </c:pt>
                <c:pt idx="122">
                  <c:v>0.1230385598562533</c:v>
                </c:pt>
                <c:pt idx="123">
                  <c:v>0.12490698090888487</c:v>
                </c:pt>
                <c:pt idx="124">
                  <c:v>0.12699470264377766</c:v>
                </c:pt>
                <c:pt idx="125">
                  <c:v>0.12699470264377766</c:v>
                </c:pt>
                <c:pt idx="126">
                  <c:v>0.12699470264377766</c:v>
                </c:pt>
                <c:pt idx="127">
                  <c:v>0.12699470264377766</c:v>
                </c:pt>
                <c:pt idx="128">
                  <c:v>0.12892799942740338</c:v>
                </c:pt>
                <c:pt idx="129">
                  <c:v>0.12991328358450629</c:v>
                </c:pt>
                <c:pt idx="130">
                  <c:v>0.12991328358450629</c:v>
                </c:pt>
                <c:pt idx="131">
                  <c:v>0.12991328358450629</c:v>
                </c:pt>
                <c:pt idx="132">
                  <c:v>0.1310181290901192</c:v>
                </c:pt>
                <c:pt idx="133">
                  <c:v>0.1310181290901192</c:v>
                </c:pt>
                <c:pt idx="134">
                  <c:v>0.13234011412404867</c:v>
                </c:pt>
                <c:pt idx="135">
                  <c:v>0.13398840440994861</c:v>
                </c:pt>
                <c:pt idx="136">
                  <c:v>0.13528537078421762</c:v>
                </c:pt>
                <c:pt idx="137">
                  <c:v>0.13528537078421762</c:v>
                </c:pt>
                <c:pt idx="138">
                  <c:v>0.13528537078421762</c:v>
                </c:pt>
                <c:pt idx="139">
                  <c:v>0.13655949359123518</c:v>
                </c:pt>
                <c:pt idx="140">
                  <c:v>0.13808468203498619</c:v>
                </c:pt>
                <c:pt idx="141">
                  <c:v>0.13963568918248456</c:v>
                </c:pt>
                <c:pt idx="142">
                  <c:v>0.14015703121875411</c:v>
                </c:pt>
                <c:pt idx="143">
                  <c:v>0.14015703121875411</c:v>
                </c:pt>
                <c:pt idx="144">
                  <c:v>0.14174799937989771</c:v>
                </c:pt>
                <c:pt idx="145">
                  <c:v>0.14174799937989771</c:v>
                </c:pt>
                <c:pt idx="146">
                  <c:v>0.14295590123629223</c:v>
                </c:pt>
                <c:pt idx="147">
                  <c:v>0.14433450648680274</c:v>
                </c:pt>
                <c:pt idx="148">
                  <c:v>0.14598279677270268</c:v>
                </c:pt>
                <c:pt idx="149">
                  <c:v>0.14720057767977662</c:v>
                </c:pt>
                <c:pt idx="150">
                  <c:v>0.14720057767977662</c:v>
                </c:pt>
                <c:pt idx="151">
                  <c:v>0.14720057767977662</c:v>
                </c:pt>
                <c:pt idx="152">
                  <c:v>0.1483109577967357</c:v>
                </c:pt>
                <c:pt idx="153">
                  <c:v>0.1483109577967357</c:v>
                </c:pt>
                <c:pt idx="154">
                  <c:v>0.14963359007365615</c:v>
                </c:pt>
                <c:pt idx="155">
                  <c:v>0.151368444935473</c:v>
                </c:pt>
                <c:pt idx="156">
                  <c:v>0.15293931485386764</c:v>
                </c:pt>
                <c:pt idx="157">
                  <c:v>0.15431067751126043</c:v>
                </c:pt>
                <c:pt idx="158">
                  <c:v>0.15431067751126043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1A-4059-975E-B6B3E9D322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ax val="19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Usage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6685160370889895E-2"/>
          <c:y val="1.7708616747816271E-2"/>
          <c:w val="0.83305652530485486"/>
          <c:h val="0.90547500160040972"/>
        </c:manualLayout>
      </c:layout>
      <c:scatterChart>
        <c:scatterStyle val="smooth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Data!$K$6:$K$164</c:f>
              <c:numCache>
                <c:formatCode>0.00</c:formatCode>
                <c:ptCount val="159"/>
                <c:pt idx="0">
                  <c:v>0</c:v>
                </c:pt>
                <c:pt idx="1">
                  <c:v>63.617499507723629</c:v>
                </c:pt>
                <c:pt idx="2">
                  <c:v>65.522215061847902</c:v>
                </c:pt>
                <c:pt idx="3">
                  <c:v>282.65369314215127</c:v>
                </c:pt>
                <c:pt idx="4">
                  <c:v>705.3710376900633</c:v>
                </c:pt>
                <c:pt idx="5">
                  <c:v>0</c:v>
                </c:pt>
                <c:pt idx="6">
                  <c:v>0</c:v>
                </c:pt>
                <c:pt idx="7">
                  <c:v>-769.31979313678164</c:v>
                </c:pt>
                <c:pt idx="8">
                  <c:v>-575.98598356694004</c:v>
                </c:pt>
                <c:pt idx="9">
                  <c:v>-1005.6898125771971</c:v>
                </c:pt>
                <c:pt idx="10">
                  <c:v>735.98209011331323</c:v>
                </c:pt>
                <c:pt idx="11">
                  <c:v>874.64538245350286</c:v>
                </c:pt>
                <c:pt idx="12">
                  <c:v>831.97975404113663</c:v>
                </c:pt>
                <c:pt idx="13">
                  <c:v>437.69449170291665</c:v>
                </c:pt>
                <c:pt idx="14">
                  <c:v>259.68588329448795</c:v>
                </c:pt>
                <c:pt idx="15">
                  <c:v>0</c:v>
                </c:pt>
                <c:pt idx="16">
                  <c:v>-485.44342498612667</c:v>
                </c:pt>
                <c:pt idx="17">
                  <c:v>-571.41466623704491</c:v>
                </c:pt>
                <c:pt idx="18">
                  <c:v>-571.41466623704491</c:v>
                </c:pt>
                <c:pt idx="19">
                  <c:v>647.6032884019819</c:v>
                </c:pt>
                <c:pt idx="20">
                  <c:v>714.25309507187262</c:v>
                </c:pt>
                <c:pt idx="21">
                  <c:v>546.82631830084222</c:v>
                </c:pt>
                <c:pt idx="22">
                  <c:v>-245.04698924153726</c:v>
                </c:pt>
                <c:pt idx="23">
                  <c:v>-280.37412956697642</c:v>
                </c:pt>
                <c:pt idx="24">
                  <c:v>291.79632780194356</c:v>
                </c:pt>
                <c:pt idx="25">
                  <c:v>259.68588329448841</c:v>
                </c:pt>
                <c:pt idx="26">
                  <c:v>0</c:v>
                </c:pt>
                <c:pt idx="27">
                  <c:v>0</c:v>
                </c:pt>
                <c:pt idx="28">
                  <c:v>-242.38343501065054</c:v>
                </c:pt>
                <c:pt idx="29">
                  <c:v>-411.41855969067177</c:v>
                </c:pt>
                <c:pt idx="30">
                  <c:v>271.23149490718288</c:v>
                </c:pt>
                <c:pt idx="31">
                  <c:v>-380.56216771387187</c:v>
                </c:pt>
                <c:pt idx="32">
                  <c:v>-348.84865373771652</c:v>
                </c:pt>
                <c:pt idx="33">
                  <c:v>368.75293127830571</c:v>
                </c:pt>
                <c:pt idx="34">
                  <c:v>280.37412956697642</c:v>
                </c:pt>
                <c:pt idx="35">
                  <c:v>291.79632780194464</c:v>
                </c:pt>
                <c:pt idx="36">
                  <c:v>259.6858832944875</c:v>
                </c:pt>
                <c:pt idx="37">
                  <c:v>0</c:v>
                </c:pt>
                <c:pt idx="38">
                  <c:v>0</c:v>
                </c:pt>
                <c:pt idx="39">
                  <c:v>-308.407885469809</c:v>
                </c:pt>
                <c:pt idx="40">
                  <c:v>-852.82496106545921</c:v>
                </c:pt>
                <c:pt idx="41">
                  <c:v>742.82321887474222</c:v>
                </c:pt>
                <c:pt idx="42">
                  <c:v>556.80931955820324</c:v>
                </c:pt>
                <c:pt idx="43">
                  <c:v>0</c:v>
                </c:pt>
                <c:pt idx="44">
                  <c:v>0</c:v>
                </c:pt>
                <c:pt idx="45">
                  <c:v>-255.02999049889763</c:v>
                </c:pt>
                <c:pt idx="46">
                  <c:v>249.7028820371246</c:v>
                </c:pt>
                <c:pt idx="47">
                  <c:v>-474.02122675115697</c:v>
                </c:pt>
                <c:pt idx="48">
                  <c:v>-863.97897535040784</c:v>
                </c:pt>
                <c:pt idx="49">
                  <c:v>678.07873726795776</c:v>
                </c:pt>
                <c:pt idx="50">
                  <c:v>433.12317437301579</c:v>
                </c:pt>
                <c:pt idx="51">
                  <c:v>408.24760142634585</c:v>
                </c:pt>
                <c:pt idx="52">
                  <c:v>0</c:v>
                </c:pt>
                <c:pt idx="53">
                  <c:v>0</c:v>
                </c:pt>
                <c:pt idx="54">
                  <c:v>-622.1989542273044</c:v>
                </c:pt>
                <c:pt idx="55">
                  <c:v>-252.94622558759718</c:v>
                </c:pt>
                <c:pt idx="56">
                  <c:v>-131.04443012369464</c:v>
                </c:pt>
                <c:pt idx="57">
                  <c:v>571.40247605749369</c:v>
                </c:pt>
                <c:pt idx="58">
                  <c:v>556.80931955820324</c:v>
                </c:pt>
                <c:pt idx="59">
                  <c:v>0</c:v>
                </c:pt>
                <c:pt idx="60">
                  <c:v>0</c:v>
                </c:pt>
                <c:pt idx="61">
                  <c:v>-485.44342498612201</c:v>
                </c:pt>
                <c:pt idx="62">
                  <c:v>-571.41466623704002</c:v>
                </c:pt>
                <c:pt idx="63">
                  <c:v>-497.740268603544</c:v>
                </c:pt>
                <c:pt idx="64">
                  <c:v>-464.88941087571004</c:v>
                </c:pt>
                <c:pt idx="65">
                  <c:v>533.70129826539528</c:v>
                </c:pt>
                <c:pt idx="66">
                  <c:v>647.60328840197769</c:v>
                </c:pt>
                <c:pt idx="67">
                  <c:v>714.25309507186762</c:v>
                </c:pt>
                <c:pt idx="68">
                  <c:v>549.68186785958449</c:v>
                </c:pt>
                <c:pt idx="69">
                  <c:v>-175.9042908544117</c:v>
                </c:pt>
                <c:pt idx="70">
                  <c:v>-335.22993752573018</c:v>
                </c:pt>
                <c:pt idx="71">
                  <c:v>-272.75526735048203</c:v>
                </c:pt>
                <c:pt idx="72">
                  <c:v>507.97697187762628</c:v>
                </c:pt>
                <c:pt idx="73">
                  <c:v>333.96674236041667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-665.65694431018335</c:v>
                </c:pt>
                <c:pt idx="78">
                  <c:v>-807.59939494835999</c:v>
                </c:pt>
                <c:pt idx="79">
                  <c:v>-653.69837817517475</c:v>
                </c:pt>
                <c:pt idx="80">
                  <c:v>-330.65862019583432</c:v>
                </c:pt>
                <c:pt idx="81">
                  <c:v>327.61107530923778</c:v>
                </c:pt>
                <c:pt idx="82">
                  <c:v>618.65161197930365</c:v>
                </c:pt>
                <c:pt idx="83">
                  <c:v>889.8831068864863</c:v>
                </c:pt>
                <c:pt idx="84">
                  <c:v>906.64460376276861</c:v>
                </c:pt>
                <c:pt idx="85">
                  <c:v>700.93532391743668</c:v>
                </c:pt>
                <c:pt idx="86">
                  <c:v>291.79632780194254</c:v>
                </c:pt>
                <c:pt idx="87">
                  <c:v>249.7028820371246</c:v>
                </c:pt>
                <c:pt idx="88">
                  <c:v>-486.75697778314441</c:v>
                </c:pt>
                <c:pt idx="89">
                  <c:v>-619.4852678830315</c:v>
                </c:pt>
                <c:pt idx="90">
                  <c:v>681.39745269856201</c:v>
                </c:pt>
                <c:pt idx="91">
                  <c:v>556.80931955820324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-485.44342498612201</c:v>
                </c:pt>
                <c:pt idx="96">
                  <c:v>-571.41466623704002</c:v>
                </c:pt>
                <c:pt idx="97">
                  <c:v>-495.2260440721036</c:v>
                </c:pt>
                <c:pt idx="98">
                  <c:v>-438.0845774483966</c:v>
                </c:pt>
                <c:pt idx="99">
                  <c:v>-226.66115094069394</c:v>
                </c:pt>
                <c:pt idx="100">
                  <c:v>473.13134364426998</c:v>
                </c:pt>
                <c:pt idx="101">
                  <c:v>601.89011510301464</c:v>
                </c:pt>
                <c:pt idx="102">
                  <c:v>677.3168510463031</c:v>
                </c:pt>
                <c:pt idx="103">
                  <c:v>714.1543546175468</c:v>
                </c:pt>
                <c:pt idx="104">
                  <c:v>274.54205510767366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-485.44342498612201</c:v>
                </c:pt>
                <c:pt idx="113">
                  <c:v>-571.41466623704002</c:v>
                </c:pt>
                <c:pt idx="114">
                  <c:v>-495.22604407209872</c:v>
                </c:pt>
                <c:pt idx="115">
                  <c:v>-438.08457744840041</c:v>
                </c:pt>
                <c:pt idx="116">
                  <c:v>-238.08944426543542</c:v>
                </c:pt>
                <c:pt idx="117">
                  <c:v>685.69759948444619</c:v>
                </c:pt>
                <c:pt idx="118">
                  <c:v>-746.64849721640337</c:v>
                </c:pt>
                <c:pt idx="119">
                  <c:v>-82.283711938133635</c:v>
                </c:pt>
                <c:pt idx="120">
                  <c:v>594.27125288651871</c:v>
                </c:pt>
                <c:pt idx="121">
                  <c:v>571.41466623704571</c:v>
                </c:pt>
                <c:pt idx="122">
                  <c:v>647.60328840198599</c:v>
                </c:pt>
                <c:pt idx="123">
                  <c:v>714.25309507187774</c:v>
                </c:pt>
                <c:pt idx="124">
                  <c:v>556.80931955819517</c:v>
                </c:pt>
                <c:pt idx="125">
                  <c:v>0</c:v>
                </c:pt>
                <c:pt idx="126">
                  <c:v>0</c:v>
                </c:pt>
                <c:pt idx="127">
                  <c:v>-522.56556924977099</c:v>
                </c:pt>
                <c:pt idx="128">
                  <c:v>214.16621690564173</c:v>
                </c:pt>
                <c:pt idx="129">
                  <c:v>95.144351359577001</c:v>
                </c:pt>
                <c:pt idx="130">
                  <c:v>-611.70320963786594</c:v>
                </c:pt>
                <c:pt idx="131">
                  <c:v>-748.11131876196055</c:v>
                </c:pt>
                <c:pt idx="132">
                  <c:v>209.82346544223944</c:v>
                </c:pt>
                <c:pt idx="133">
                  <c:v>310.46863532212842</c:v>
                </c:pt>
                <c:pt idx="134">
                  <c:v>312.37335087625161</c:v>
                </c:pt>
                <c:pt idx="135">
                  <c:v>-213.32814206183085</c:v>
                </c:pt>
                <c:pt idx="136">
                  <c:v>-685.69759948445221</c:v>
                </c:pt>
                <c:pt idx="137">
                  <c:v>-799.98053273185769</c:v>
                </c:pt>
                <c:pt idx="138">
                  <c:v>358.08652417521523</c:v>
                </c:pt>
                <c:pt idx="139">
                  <c:v>629.31801908239731</c:v>
                </c:pt>
                <c:pt idx="140">
                  <c:v>525.70149293807754</c:v>
                </c:pt>
                <c:pt idx="141">
                  <c:v>556.17694180405965</c:v>
                </c:pt>
                <c:pt idx="142">
                  <c:v>-100.72135850204816</c:v>
                </c:pt>
                <c:pt idx="143">
                  <c:v>-585.26575774663354</c:v>
                </c:pt>
                <c:pt idx="144">
                  <c:v>545.05340296797885</c:v>
                </c:pt>
                <c:pt idx="145">
                  <c:v>356.56275173191682</c:v>
                </c:pt>
                <c:pt idx="146">
                  <c:v>252.64147109893997</c:v>
                </c:pt>
                <c:pt idx="147">
                  <c:v>366.33013309346296</c:v>
                </c:pt>
                <c:pt idx="148">
                  <c:v>-363.2368750335649</c:v>
                </c:pt>
                <c:pt idx="149">
                  <c:v>282.26360739666524</c:v>
                </c:pt>
                <c:pt idx="150">
                  <c:v>-22.978488444945974</c:v>
                </c:pt>
                <c:pt idx="151">
                  <c:v>-791.50835794712339</c:v>
                </c:pt>
                <c:pt idx="152">
                  <c:v>-458.35075094427538</c:v>
                </c:pt>
                <c:pt idx="153">
                  <c:v>-518.3873852102472</c:v>
                </c:pt>
                <c:pt idx="154">
                  <c:v>820.33813257432882</c:v>
                </c:pt>
                <c:pt idx="155">
                  <c:v>592.44272595457016</c:v>
                </c:pt>
                <c:pt idx="156">
                  <c:v>481.51209208241784</c:v>
                </c:pt>
                <c:pt idx="157">
                  <c:v>374.84802105150209</c:v>
                </c:pt>
                <c:pt idx="1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09-47CA-9667-3305F81A7795}"/>
            </c:ext>
          </c:extLst>
        </c:ser>
        <c:ser>
          <c:idx val="1"/>
          <c:order val="1"/>
          <c:tx>
            <c:v>Aerodynamic Resistance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Data!$L$6:$L$164</c:f>
              <c:numCache>
                <c:formatCode>0.00</c:formatCode>
                <c:ptCount val="159"/>
                <c:pt idx="0">
                  <c:v>64.403312500000013</c:v>
                </c:pt>
                <c:pt idx="1">
                  <c:v>65.983703124999991</c:v>
                </c:pt>
                <c:pt idx="2">
                  <c:v>67.583249999999992</c:v>
                </c:pt>
                <c:pt idx="3">
                  <c:v>74.173000000000002</c:v>
                </c:pt>
                <c:pt idx="4">
                  <c:v>91.044579996999985</c:v>
                </c:pt>
                <c:pt idx="5">
                  <c:v>91.044579996999985</c:v>
                </c:pt>
                <c:pt idx="6">
                  <c:v>91.044579996999985</c:v>
                </c:pt>
                <c:pt idx="7">
                  <c:v>68.552173124999996</c:v>
                </c:pt>
                <c:pt idx="8">
                  <c:v>49.652999999999999</c:v>
                </c:pt>
                <c:pt idx="9">
                  <c:v>22.067999999999998</c:v>
                </c:pt>
                <c:pt idx="10">
                  <c:v>36.818312499999998</c:v>
                </c:pt>
                <c:pt idx="11">
                  <c:v>55.323250000000002</c:v>
                </c:pt>
                <c:pt idx="12">
                  <c:v>74.173000000000002</c:v>
                </c:pt>
                <c:pt idx="13">
                  <c:v>84.632312499999998</c:v>
                </c:pt>
                <c:pt idx="14">
                  <c:v>91.044579996999985</c:v>
                </c:pt>
                <c:pt idx="15">
                  <c:v>91.044579996999985</c:v>
                </c:pt>
                <c:pt idx="16">
                  <c:v>77.582812500000003</c:v>
                </c:pt>
                <c:pt idx="17">
                  <c:v>61.3</c:v>
                </c:pt>
                <c:pt idx="18">
                  <c:v>46.932812499999997</c:v>
                </c:pt>
                <c:pt idx="19">
                  <c:v>61.3</c:v>
                </c:pt>
                <c:pt idx="20">
                  <c:v>77.582812500000003</c:v>
                </c:pt>
                <c:pt idx="21">
                  <c:v>91.044579996999985</c:v>
                </c:pt>
                <c:pt idx="22">
                  <c:v>84.632312499999998</c:v>
                </c:pt>
                <c:pt idx="23">
                  <c:v>77.582812500000003</c:v>
                </c:pt>
                <c:pt idx="24">
                  <c:v>84.632312499999998</c:v>
                </c:pt>
                <c:pt idx="25">
                  <c:v>91.044579996999985</c:v>
                </c:pt>
                <c:pt idx="26">
                  <c:v>91.044579996999985</c:v>
                </c:pt>
                <c:pt idx="27">
                  <c:v>91.044579996999985</c:v>
                </c:pt>
                <c:pt idx="28">
                  <c:v>84.632312499999998</c:v>
                </c:pt>
                <c:pt idx="29">
                  <c:v>74.173000000000002</c:v>
                </c:pt>
                <c:pt idx="30">
                  <c:v>81.069249999999997</c:v>
                </c:pt>
                <c:pt idx="31">
                  <c:v>70.839812500000008</c:v>
                </c:pt>
                <c:pt idx="32">
                  <c:v>62.068644531249994</c:v>
                </c:pt>
                <c:pt idx="33">
                  <c:v>70.839812500000008</c:v>
                </c:pt>
                <c:pt idx="34">
                  <c:v>77.582812500000003</c:v>
                </c:pt>
                <c:pt idx="35">
                  <c:v>84.632312499999998</c:v>
                </c:pt>
                <c:pt idx="36">
                  <c:v>91.044579996999985</c:v>
                </c:pt>
                <c:pt idx="37">
                  <c:v>91.044579996999985</c:v>
                </c:pt>
                <c:pt idx="38">
                  <c:v>91.044579996999985</c:v>
                </c:pt>
                <c:pt idx="39">
                  <c:v>82.485279999999975</c:v>
                </c:pt>
                <c:pt idx="40">
                  <c:v>60.688532499999994</c:v>
                </c:pt>
                <c:pt idx="41">
                  <c:v>77.582812500000003</c:v>
                </c:pt>
                <c:pt idx="42">
                  <c:v>91.044579996999985</c:v>
                </c:pt>
                <c:pt idx="43">
                  <c:v>91.044579996999985</c:v>
                </c:pt>
                <c:pt idx="44">
                  <c:v>91.044579996999985</c:v>
                </c:pt>
                <c:pt idx="45">
                  <c:v>84.632312499999998</c:v>
                </c:pt>
                <c:pt idx="46">
                  <c:v>91.044579996999985</c:v>
                </c:pt>
                <c:pt idx="47">
                  <c:v>77.582812500000003</c:v>
                </c:pt>
                <c:pt idx="48">
                  <c:v>55.323250000000002</c:v>
                </c:pt>
                <c:pt idx="49">
                  <c:v>70.839812500000008</c:v>
                </c:pt>
                <c:pt idx="50">
                  <c:v>81.069249999999997</c:v>
                </c:pt>
                <c:pt idx="51">
                  <c:v>91.044579996999985</c:v>
                </c:pt>
                <c:pt idx="52">
                  <c:v>91.044579996999985</c:v>
                </c:pt>
                <c:pt idx="53">
                  <c:v>91.044579996999985</c:v>
                </c:pt>
                <c:pt idx="54">
                  <c:v>74.173000000000002</c:v>
                </c:pt>
                <c:pt idx="55">
                  <c:v>67.583249999999992</c:v>
                </c:pt>
                <c:pt idx="56">
                  <c:v>64.403312500000013</c:v>
                </c:pt>
                <c:pt idx="57">
                  <c:v>77.582812500000003</c:v>
                </c:pt>
                <c:pt idx="58">
                  <c:v>91.044579996999985</c:v>
                </c:pt>
                <c:pt idx="59">
                  <c:v>91.044579996999985</c:v>
                </c:pt>
                <c:pt idx="60">
                  <c:v>91.044579996999985</c:v>
                </c:pt>
                <c:pt idx="61">
                  <c:v>77.582812500000003</c:v>
                </c:pt>
                <c:pt idx="62">
                  <c:v>61.3</c:v>
                </c:pt>
                <c:pt idx="63">
                  <c:v>46.932812499999997</c:v>
                </c:pt>
                <c:pt idx="64">
                  <c:v>35.244009731249989</c:v>
                </c:pt>
                <c:pt idx="65">
                  <c:v>46.932812499999997</c:v>
                </c:pt>
                <c:pt idx="66">
                  <c:v>61.3</c:v>
                </c:pt>
                <c:pt idx="67">
                  <c:v>77.582812500000003</c:v>
                </c:pt>
                <c:pt idx="68">
                  <c:v>91.044579996999985</c:v>
                </c:pt>
                <c:pt idx="69">
                  <c:v>86.442578124999997</c:v>
                </c:pt>
                <c:pt idx="70">
                  <c:v>77.582812500000003</c:v>
                </c:pt>
                <c:pt idx="71">
                  <c:v>70.839812500000008</c:v>
                </c:pt>
                <c:pt idx="72">
                  <c:v>82.841203124999993</c:v>
                </c:pt>
                <c:pt idx="73">
                  <c:v>91.044579996999985</c:v>
                </c:pt>
                <c:pt idx="74">
                  <c:v>91.044579996999985</c:v>
                </c:pt>
                <c:pt idx="75">
                  <c:v>91.044579996999985</c:v>
                </c:pt>
                <c:pt idx="76">
                  <c:v>91.044579996999985</c:v>
                </c:pt>
                <c:pt idx="77">
                  <c:v>70.839812500000008</c:v>
                </c:pt>
                <c:pt idx="78">
                  <c:v>41.722312500000001</c:v>
                </c:pt>
                <c:pt idx="79">
                  <c:v>15.324999999999999</c:v>
                </c:pt>
                <c:pt idx="80">
                  <c:v>6.4748125000000005</c:v>
                </c:pt>
                <c:pt idx="81">
                  <c:v>12.41325</c:v>
                </c:pt>
                <c:pt idx="82">
                  <c:v>23.945312500000004</c:v>
                </c:pt>
                <c:pt idx="83">
                  <c:v>41.722312500000001</c:v>
                </c:pt>
                <c:pt idx="84">
                  <c:v>61.3</c:v>
                </c:pt>
                <c:pt idx="85">
                  <c:v>77.582812500000003</c:v>
                </c:pt>
                <c:pt idx="86">
                  <c:v>84.632312499999998</c:v>
                </c:pt>
                <c:pt idx="87">
                  <c:v>91.044579996999985</c:v>
                </c:pt>
                <c:pt idx="88">
                  <c:v>77.582812500000003</c:v>
                </c:pt>
                <c:pt idx="89">
                  <c:v>62.006976731249985</c:v>
                </c:pt>
                <c:pt idx="90">
                  <c:v>77.582812500000003</c:v>
                </c:pt>
                <c:pt idx="91">
                  <c:v>91.044579996999985</c:v>
                </c:pt>
                <c:pt idx="92">
                  <c:v>91.044579996999985</c:v>
                </c:pt>
                <c:pt idx="93">
                  <c:v>91.044579996999985</c:v>
                </c:pt>
                <c:pt idx="94">
                  <c:v>91.044579996999985</c:v>
                </c:pt>
                <c:pt idx="95">
                  <c:v>77.582812500000003</c:v>
                </c:pt>
                <c:pt idx="96">
                  <c:v>61.3</c:v>
                </c:pt>
                <c:pt idx="97">
                  <c:v>46.932812499999997</c:v>
                </c:pt>
                <c:pt idx="98">
                  <c:v>34.481250000000003</c:v>
                </c:pt>
                <c:pt idx="99">
                  <c:v>28.973828124999997</c:v>
                </c:pt>
                <c:pt idx="100">
                  <c:v>39.231999999999999</c:v>
                </c:pt>
                <c:pt idx="101">
                  <c:v>52.449812499999993</c:v>
                </c:pt>
                <c:pt idx="102">
                  <c:v>67.583249999999992</c:v>
                </c:pt>
                <c:pt idx="103">
                  <c:v>84.272558124999989</c:v>
                </c:pt>
                <c:pt idx="104">
                  <c:v>91.044579996999985</c:v>
                </c:pt>
                <c:pt idx="105">
                  <c:v>91.044579996999985</c:v>
                </c:pt>
                <c:pt idx="106">
                  <c:v>91.044579996999985</c:v>
                </c:pt>
                <c:pt idx="107">
                  <c:v>91.044579996999985</c:v>
                </c:pt>
                <c:pt idx="108">
                  <c:v>91.044579996999985</c:v>
                </c:pt>
                <c:pt idx="109">
                  <c:v>91.044579996999985</c:v>
                </c:pt>
                <c:pt idx="110">
                  <c:v>91.044579996999985</c:v>
                </c:pt>
                <c:pt idx="111">
                  <c:v>91.044579996999985</c:v>
                </c:pt>
                <c:pt idx="112">
                  <c:v>77.582812500000003</c:v>
                </c:pt>
                <c:pt idx="113">
                  <c:v>61.3</c:v>
                </c:pt>
                <c:pt idx="114">
                  <c:v>46.932812499999997</c:v>
                </c:pt>
                <c:pt idx="115">
                  <c:v>34.481250000000003</c:v>
                </c:pt>
                <c:pt idx="116">
                  <c:v>28.973828124999997</c:v>
                </c:pt>
                <c:pt idx="117">
                  <c:v>46.932812499999997</c:v>
                </c:pt>
                <c:pt idx="118">
                  <c:v>23.945312500000004</c:v>
                </c:pt>
                <c:pt idx="119">
                  <c:v>22.067999999999998</c:v>
                </c:pt>
                <c:pt idx="120">
                  <c:v>34.481250000000003</c:v>
                </c:pt>
                <c:pt idx="121">
                  <c:v>46.932812499999997</c:v>
                </c:pt>
                <c:pt idx="122">
                  <c:v>61.3</c:v>
                </c:pt>
                <c:pt idx="123">
                  <c:v>77.582812500000003</c:v>
                </c:pt>
                <c:pt idx="124">
                  <c:v>91.044579996999985</c:v>
                </c:pt>
                <c:pt idx="125">
                  <c:v>91.044579996999985</c:v>
                </c:pt>
                <c:pt idx="126">
                  <c:v>91.044579996999985</c:v>
                </c:pt>
                <c:pt idx="127">
                  <c:v>77.582812500000003</c:v>
                </c:pt>
                <c:pt idx="128">
                  <c:v>82.841203124999993</c:v>
                </c:pt>
                <c:pt idx="129">
                  <c:v>85.35411999999998</c:v>
                </c:pt>
                <c:pt idx="130">
                  <c:v>67.583249999999992</c:v>
                </c:pt>
                <c:pt idx="131">
                  <c:v>47.47072</c:v>
                </c:pt>
                <c:pt idx="132">
                  <c:v>52.449812499999993</c:v>
                </c:pt>
                <c:pt idx="133">
                  <c:v>59.777078124999996</c:v>
                </c:pt>
                <c:pt idx="134">
                  <c:v>67.583249999999992</c:v>
                </c:pt>
                <c:pt idx="135">
                  <c:v>61.3</c:v>
                </c:pt>
                <c:pt idx="136">
                  <c:v>34.481250000000003</c:v>
                </c:pt>
                <c:pt idx="137">
                  <c:v>8.6203125000000007</c:v>
                </c:pt>
                <c:pt idx="138">
                  <c:v>15.324999999999999</c:v>
                </c:pt>
                <c:pt idx="139">
                  <c:v>27.929812500000004</c:v>
                </c:pt>
                <c:pt idx="140">
                  <c:v>39.231999999999999</c:v>
                </c:pt>
                <c:pt idx="141">
                  <c:v>52.449812499999993</c:v>
                </c:pt>
                <c:pt idx="142">
                  <c:v>49.652999999999999</c:v>
                </c:pt>
                <c:pt idx="143">
                  <c:v>34.711508125000002</c:v>
                </c:pt>
                <c:pt idx="144">
                  <c:v>46.932812499999997</c:v>
                </c:pt>
                <c:pt idx="145">
                  <c:v>55.323250000000002</c:v>
                </c:pt>
                <c:pt idx="146">
                  <c:v>61.3</c:v>
                </c:pt>
                <c:pt idx="147">
                  <c:v>70.510708124999994</c:v>
                </c:pt>
                <c:pt idx="148">
                  <c:v>61.3</c:v>
                </c:pt>
                <c:pt idx="149">
                  <c:v>68.228432500000011</c:v>
                </c:pt>
                <c:pt idx="150">
                  <c:v>67.583249999999992</c:v>
                </c:pt>
                <c:pt idx="151">
                  <c:v>42.739892499999989</c:v>
                </c:pt>
                <c:pt idx="152">
                  <c:v>27.929812500000004</c:v>
                </c:pt>
                <c:pt idx="153">
                  <c:v>15.324999999999999</c:v>
                </c:pt>
                <c:pt idx="154">
                  <c:v>31.338092500000002</c:v>
                </c:pt>
                <c:pt idx="155">
                  <c:v>44.289250000000003</c:v>
                </c:pt>
                <c:pt idx="156">
                  <c:v>55.323250000000002</c:v>
                </c:pt>
                <c:pt idx="157">
                  <c:v>64.403312500000013</c:v>
                </c:pt>
                <c:pt idx="158">
                  <c:v>64.403312500000013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709-47CA-9667-3305F81A7795}"/>
            </c:ext>
          </c:extLst>
        </c:ser>
        <c:ser>
          <c:idx val="2"/>
          <c:order val="2"/>
          <c:tx>
            <c:v>Gradient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Data!$R$6:$R$164</c:f>
              <c:numCache>
                <c:formatCode>0.00</c:formatCode>
                <c:ptCount val="159"/>
                <c:pt idx="0">
                  <c:v>-3425.1045539960332</c:v>
                </c:pt>
                <c:pt idx="1">
                  <c:v>4505.3951804553253</c:v>
                </c:pt>
                <c:pt idx="2">
                  <c:v>-2502.7492919511924</c:v>
                </c:pt>
                <c:pt idx="3">
                  <c:v>4505.3951804553253</c:v>
                </c:pt>
                <c:pt idx="4">
                  <c:v>1678.6291874694264</c:v>
                </c:pt>
                <c:pt idx="5">
                  <c:v>4773.9921601452697</c:v>
                </c:pt>
                <c:pt idx="6">
                  <c:v>4773.9921601452697</c:v>
                </c:pt>
                <c:pt idx="7">
                  <c:v>0</c:v>
                </c:pt>
                <c:pt idx="8">
                  <c:v>0</c:v>
                </c:pt>
                <c:pt idx="9">
                  <c:v>3425.1045539960332</c:v>
                </c:pt>
                <c:pt idx="10">
                  <c:v>-4773.9921601452697</c:v>
                </c:pt>
                <c:pt idx="11">
                  <c:v>-4773.9921601452697</c:v>
                </c:pt>
                <c:pt idx="12">
                  <c:v>-4773.9921601452697</c:v>
                </c:pt>
                <c:pt idx="13">
                  <c:v>3425.1045539960332</c:v>
                </c:pt>
                <c:pt idx="14">
                  <c:v>3425.1045539960332</c:v>
                </c:pt>
                <c:pt idx="15">
                  <c:v>1678.6291874694264</c:v>
                </c:pt>
                <c:pt idx="16">
                  <c:v>-4773.9921601452697</c:v>
                </c:pt>
                <c:pt idx="17">
                  <c:v>3425.1045539960332</c:v>
                </c:pt>
                <c:pt idx="18">
                  <c:v>4773.9921601452697</c:v>
                </c:pt>
                <c:pt idx="19">
                  <c:v>0</c:v>
                </c:pt>
                <c:pt idx="20">
                  <c:v>-1678.6291874694264</c:v>
                </c:pt>
                <c:pt idx="21">
                  <c:v>4773.9921601452697</c:v>
                </c:pt>
                <c:pt idx="22">
                  <c:v>4773.9921601452697</c:v>
                </c:pt>
                <c:pt idx="23">
                  <c:v>4773.9921601452697</c:v>
                </c:pt>
                <c:pt idx="24">
                  <c:v>4773.9921601452697</c:v>
                </c:pt>
                <c:pt idx="25">
                  <c:v>4773.9921601452697</c:v>
                </c:pt>
                <c:pt idx="26">
                  <c:v>4773.9921601452697</c:v>
                </c:pt>
                <c:pt idx="27">
                  <c:v>4773.9921601452697</c:v>
                </c:pt>
                <c:pt idx="28">
                  <c:v>4773.9921601452697</c:v>
                </c:pt>
                <c:pt idx="29">
                  <c:v>-3425.1045539960332</c:v>
                </c:pt>
                <c:pt idx="30">
                  <c:v>-4773.9921601452697</c:v>
                </c:pt>
                <c:pt idx="31">
                  <c:v>3425.1045539960332</c:v>
                </c:pt>
                <c:pt idx="32">
                  <c:v>4505.3951804553253</c:v>
                </c:pt>
                <c:pt idx="33">
                  <c:v>4505.3951804553253</c:v>
                </c:pt>
                <c:pt idx="34">
                  <c:v>0</c:v>
                </c:pt>
                <c:pt idx="35">
                  <c:v>1678.6291874694264</c:v>
                </c:pt>
                <c:pt idx="36">
                  <c:v>3425.1045539960332</c:v>
                </c:pt>
                <c:pt idx="37">
                  <c:v>-4773.9921601452697</c:v>
                </c:pt>
                <c:pt idx="38">
                  <c:v>-1678.6291874694264</c:v>
                </c:pt>
                <c:pt idx="39">
                  <c:v>-4773.9921601452697</c:v>
                </c:pt>
                <c:pt idx="40">
                  <c:v>3425.1045539960332</c:v>
                </c:pt>
                <c:pt idx="41">
                  <c:v>-4773.9921601452697</c:v>
                </c:pt>
                <c:pt idx="42">
                  <c:v>-4773.9921601452697</c:v>
                </c:pt>
                <c:pt idx="43">
                  <c:v>-4773.9921601452697</c:v>
                </c:pt>
                <c:pt idx="44">
                  <c:v>0</c:v>
                </c:pt>
                <c:pt idx="45">
                  <c:v>4773.9921601452697</c:v>
                </c:pt>
                <c:pt idx="46">
                  <c:v>0</c:v>
                </c:pt>
                <c:pt idx="47">
                  <c:v>-4773.9921601452697</c:v>
                </c:pt>
                <c:pt idx="48">
                  <c:v>-3425.1045539960332</c:v>
                </c:pt>
                <c:pt idx="49">
                  <c:v>4773.9921601452697</c:v>
                </c:pt>
                <c:pt idx="50">
                  <c:v>0</c:v>
                </c:pt>
                <c:pt idx="51">
                  <c:v>4773.9921601452697</c:v>
                </c:pt>
                <c:pt idx="52">
                  <c:v>4773.9921601452697</c:v>
                </c:pt>
                <c:pt idx="53">
                  <c:v>0</c:v>
                </c:pt>
                <c:pt idx="54">
                  <c:v>0</c:v>
                </c:pt>
                <c:pt idx="55">
                  <c:v>-4773.9921601452697</c:v>
                </c:pt>
                <c:pt idx="56">
                  <c:v>-4773.9921601452697</c:v>
                </c:pt>
                <c:pt idx="57">
                  <c:v>-3425.1045539960332</c:v>
                </c:pt>
                <c:pt idx="58">
                  <c:v>4857.7014449689023</c:v>
                </c:pt>
                <c:pt idx="59">
                  <c:v>4773.9921601452697</c:v>
                </c:pt>
                <c:pt idx="60">
                  <c:v>4773.9921601452697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4773.9921601452697</c:v>
                </c:pt>
                <c:pt idx="65">
                  <c:v>-1678.6291874694264</c:v>
                </c:pt>
                <c:pt idx="66">
                  <c:v>4773.9921601452697</c:v>
                </c:pt>
                <c:pt idx="67">
                  <c:v>-3425.1045539960332</c:v>
                </c:pt>
                <c:pt idx="68">
                  <c:v>-3425.1045539960332</c:v>
                </c:pt>
                <c:pt idx="69">
                  <c:v>-3425.1045539960332</c:v>
                </c:pt>
                <c:pt idx="70">
                  <c:v>4773.9921601452697</c:v>
                </c:pt>
                <c:pt idx="71">
                  <c:v>4773.9921601452697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4773.9921601452697</c:v>
                </c:pt>
                <c:pt idx="76">
                  <c:v>4773.9921601452697</c:v>
                </c:pt>
                <c:pt idx="77">
                  <c:v>4773.9921601452697</c:v>
                </c:pt>
                <c:pt idx="78">
                  <c:v>0</c:v>
                </c:pt>
                <c:pt idx="79">
                  <c:v>3425.1045539960332</c:v>
                </c:pt>
                <c:pt idx="80">
                  <c:v>-4773.9921601452697</c:v>
                </c:pt>
                <c:pt idx="81">
                  <c:v>-4773.9921601452697</c:v>
                </c:pt>
                <c:pt idx="82">
                  <c:v>0</c:v>
                </c:pt>
                <c:pt idx="83">
                  <c:v>0</c:v>
                </c:pt>
                <c:pt idx="84">
                  <c:v>-4773.9921601452697</c:v>
                </c:pt>
                <c:pt idx="85">
                  <c:v>0</c:v>
                </c:pt>
                <c:pt idx="86">
                  <c:v>4773.9921601452697</c:v>
                </c:pt>
                <c:pt idx="87">
                  <c:v>0</c:v>
                </c:pt>
                <c:pt idx="88">
                  <c:v>-4773.9921601452697</c:v>
                </c:pt>
                <c:pt idx="89">
                  <c:v>-4773.9921601452697</c:v>
                </c:pt>
                <c:pt idx="90">
                  <c:v>4773.9921601452697</c:v>
                </c:pt>
                <c:pt idx="91">
                  <c:v>-4505.3951804553253</c:v>
                </c:pt>
                <c:pt idx="92">
                  <c:v>4857.7014449689023</c:v>
                </c:pt>
                <c:pt idx="93">
                  <c:v>-3425.1045539960332</c:v>
                </c:pt>
                <c:pt idx="94">
                  <c:v>-3425.1045539960332</c:v>
                </c:pt>
                <c:pt idx="95">
                  <c:v>4773.9921601452697</c:v>
                </c:pt>
                <c:pt idx="96">
                  <c:v>0</c:v>
                </c:pt>
                <c:pt idx="97">
                  <c:v>-4773.9921601452697</c:v>
                </c:pt>
                <c:pt idx="98">
                  <c:v>3425.1045539960332</c:v>
                </c:pt>
                <c:pt idx="99">
                  <c:v>-4773.9921601452697</c:v>
                </c:pt>
                <c:pt idx="100">
                  <c:v>1678.6291874694264</c:v>
                </c:pt>
                <c:pt idx="101">
                  <c:v>1678.6291874694264</c:v>
                </c:pt>
                <c:pt idx="102">
                  <c:v>3425.1045539960332</c:v>
                </c:pt>
                <c:pt idx="103">
                  <c:v>0</c:v>
                </c:pt>
                <c:pt idx="104">
                  <c:v>-3425.1045539960332</c:v>
                </c:pt>
                <c:pt idx="105">
                  <c:v>4773.9921601452697</c:v>
                </c:pt>
                <c:pt idx="106">
                  <c:v>-4773.9921601452697</c:v>
                </c:pt>
                <c:pt idx="107">
                  <c:v>-4773.9921601452697</c:v>
                </c:pt>
                <c:pt idx="108">
                  <c:v>3425.1045539960332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4773.9921601452697</c:v>
                </c:pt>
                <c:pt idx="113">
                  <c:v>-3425.1045539960332</c:v>
                </c:pt>
                <c:pt idx="114">
                  <c:v>0</c:v>
                </c:pt>
                <c:pt idx="115">
                  <c:v>1678.6291874694264</c:v>
                </c:pt>
                <c:pt idx="116">
                  <c:v>3425.1045539960332</c:v>
                </c:pt>
                <c:pt idx="117">
                  <c:v>-4773.9921601452697</c:v>
                </c:pt>
                <c:pt idx="118">
                  <c:v>0</c:v>
                </c:pt>
                <c:pt idx="119">
                  <c:v>-4773.9921601452697</c:v>
                </c:pt>
                <c:pt idx="120">
                  <c:v>0</c:v>
                </c:pt>
                <c:pt idx="121">
                  <c:v>0</c:v>
                </c:pt>
                <c:pt idx="122">
                  <c:v>4773.9921601452697</c:v>
                </c:pt>
                <c:pt idx="123">
                  <c:v>4857.7014449689023</c:v>
                </c:pt>
                <c:pt idx="124">
                  <c:v>4773.9921601452697</c:v>
                </c:pt>
                <c:pt idx="125">
                  <c:v>-3425.1045539960332</c:v>
                </c:pt>
                <c:pt idx="126">
                  <c:v>-3425.1045539960332</c:v>
                </c:pt>
                <c:pt idx="127">
                  <c:v>-4773.9921601452697</c:v>
                </c:pt>
                <c:pt idx="128">
                  <c:v>4773.9921601452697</c:v>
                </c:pt>
                <c:pt idx="129">
                  <c:v>0</c:v>
                </c:pt>
                <c:pt idx="130">
                  <c:v>-3425.1045539960332</c:v>
                </c:pt>
                <c:pt idx="131">
                  <c:v>0</c:v>
                </c:pt>
                <c:pt idx="132">
                  <c:v>0</c:v>
                </c:pt>
                <c:pt idx="133">
                  <c:v>-3425.1045539960332</c:v>
                </c:pt>
                <c:pt idx="134">
                  <c:v>0</c:v>
                </c:pt>
                <c:pt idx="135">
                  <c:v>4773.9921601452697</c:v>
                </c:pt>
                <c:pt idx="136">
                  <c:v>4773.9921601452697</c:v>
                </c:pt>
                <c:pt idx="137">
                  <c:v>0</c:v>
                </c:pt>
                <c:pt idx="138">
                  <c:v>-3425.1045539960332</c:v>
                </c:pt>
                <c:pt idx="139">
                  <c:v>4773.9921601452697</c:v>
                </c:pt>
                <c:pt idx="140">
                  <c:v>0</c:v>
                </c:pt>
                <c:pt idx="141">
                  <c:v>4773.9921601452697</c:v>
                </c:pt>
                <c:pt idx="142">
                  <c:v>0</c:v>
                </c:pt>
                <c:pt idx="143">
                  <c:v>0</c:v>
                </c:pt>
                <c:pt idx="144">
                  <c:v>4773.9921601452697</c:v>
                </c:pt>
                <c:pt idx="145">
                  <c:v>-3425.1045539960332</c:v>
                </c:pt>
                <c:pt idx="146">
                  <c:v>0</c:v>
                </c:pt>
                <c:pt idx="147">
                  <c:v>0</c:v>
                </c:pt>
                <c:pt idx="148">
                  <c:v>4773.9921601452697</c:v>
                </c:pt>
                <c:pt idx="149">
                  <c:v>0</c:v>
                </c:pt>
                <c:pt idx="150">
                  <c:v>-4773.9921601452697</c:v>
                </c:pt>
                <c:pt idx="151">
                  <c:v>-4773.9921601452697</c:v>
                </c:pt>
                <c:pt idx="152">
                  <c:v>3425.1045539960332</c:v>
                </c:pt>
                <c:pt idx="153">
                  <c:v>-4773.9921601452697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-4505.3951804553253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709-47CA-9667-3305F81A7795}"/>
            </c:ext>
          </c:extLst>
        </c:ser>
        <c:ser>
          <c:idx val="3"/>
          <c:order val="3"/>
          <c:tx>
            <c:v>Rolling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Data!$S$6:$S$164</c:f>
              <c:numCache>
                <c:formatCode>General</c:formatCode>
                <c:ptCount val="159"/>
                <c:pt idx="0">
                  <c:v>304.42392000000007</c:v>
                </c:pt>
                <c:pt idx="1">
                  <c:v>304.42392000000007</c:v>
                </c:pt>
                <c:pt idx="2">
                  <c:v>304.42392000000007</c:v>
                </c:pt>
                <c:pt idx="3">
                  <c:v>304.42392000000007</c:v>
                </c:pt>
                <c:pt idx="4">
                  <c:v>304.42392000000007</c:v>
                </c:pt>
                <c:pt idx="5">
                  <c:v>304.42392000000007</c:v>
                </c:pt>
                <c:pt idx="6">
                  <c:v>304.42392000000007</c:v>
                </c:pt>
                <c:pt idx="7">
                  <c:v>304.42392000000007</c:v>
                </c:pt>
                <c:pt idx="8">
                  <c:v>304.42392000000007</c:v>
                </c:pt>
                <c:pt idx="9">
                  <c:v>304.42392000000007</c:v>
                </c:pt>
                <c:pt idx="10">
                  <c:v>304.42392000000007</c:v>
                </c:pt>
                <c:pt idx="11">
                  <c:v>304.42392000000007</c:v>
                </c:pt>
                <c:pt idx="12">
                  <c:v>304.42392000000007</c:v>
                </c:pt>
                <c:pt idx="13">
                  <c:v>304.42392000000007</c:v>
                </c:pt>
                <c:pt idx="14">
                  <c:v>304.42392000000007</c:v>
                </c:pt>
                <c:pt idx="15">
                  <c:v>304.42392000000007</c:v>
                </c:pt>
                <c:pt idx="16">
                  <c:v>304.42392000000007</c:v>
                </c:pt>
                <c:pt idx="17">
                  <c:v>304.42392000000007</c:v>
                </c:pt>
                <c:pt idx="18">
                  <c:v>304.42392000000007</c:v>
                </c:pt>
                <c:pt idx="19">
                  <c:v>304.42392000000007</c:v>
                </c:pt>
                <c:pt idx="20">
                  <c:v>304.42392000000007</c:v>
                </c:pt>
                <c:pt idx="21">
                  <c:v>304.42392000000007</c:v>
                </c:pt>
                <c:pt idx="22">
                  <c:v>304.42392000000007</c:v>
                </c:pt>
                <c:pt idx="23">
                  <c:v>304.42392000000007</c:v>
                </c:pt>
                <c:pt idx="24">
                  <c:v>304.42392000000007</c:v>
                </c:pt>
                <c:pt idx="25">
                  <c:v>304.42392000000007</c:v>
                </c:pt>
                <c:pt idx="26">
                  <c:v>304.42392000000007</c:v>
                </c:pt>
                <c:pt idx="27">
                  <c:v>304.42392000000007</c:v>
                </c:pt>
                <c:pt idx="28">
                  <c:v>304.42392000000007</c:v>
                </c:pt>
                <c:pt idx="29">
                  <c:v>304.42392000000007</c:v>
                </c:pt>
                <c:pt idx="30">
                  <c:v>304.42392000000007</c:v>
                </c:pt>
                <c:pt idx="31">
                  <c:v>304.42392000000007</c:v>
                </c:pt>
                <c:pt idx="32">
                  <c:v>304.42392000000007</c:v>
                </c:pt>
                <c:pt idx="33">
                  <c:v>304.42392000000007</c:v>
                </c:pt>
                <c:pt idx="34">
                  <c:v>304.42392000000007</c:v>
                </c:pt>
                <c:pt idx="35">
                  <c:v>304.42392000000007</c:v>
                </c:pt>
                <c:pt idx="36">
                  <c:v>304.42392000000007</c:v>
                </c:pt>
                <c:pt idx="37">
                  <c:v>304.42392000000007</c:v>
                </c:pt>
                <c:pt idx="38">
                  <c:v>304.42392000000007</c:v>
                </c:pt>
                <c:pt idx="39">
                  <c:v>304.42392000000007</c:v>
                </c:pt>
                <c:pt idx="40">
                  <c:v>304.42392000000007</c:v>
                </c:pt>
                <c:pt idx="41">
                  <c:v>304.42392000000007</c:v>
                </c:pt>
                <c:pt idx="42">
                  <c:v>304.42392000000007</c:v>
                </c:pt>
                <c:pt idx="43">
                  <c:v>304.42392000000007</c:v>
                </c:pt>
                <c:pt idx="44">
                  <c:v>304.42392000000007</c:v>
                </c:pt>
                <c:pt idx="45">
                  <c:v>304.42392000000007</c:v>
                </c:pt>
                <c:pt idx="46">
                  <c:v>304.42392000000007</c:v>
                </c:pt>
                <c:pt idx="47">
                  <c:v>304.42392000000007</c:v>
                </c:pt>
                <c:pt idx="48">
                  <c:v>304.42392000000007</c:v>
                </c:pt>
                <c:pt idx="49">
                  <c:v>304.42392000000007</c:v>
                </c:pt>
                <c:pt idx="50">
                  <c:v>304.42392000000007</c:v>
                </c:pt>
                <c:pt idx="51">
                  <c:v>304.42392000000007</c:v>
                </c:pt>
                <c:pt idx="52">
                  <c:v>304.42392000000007</c:v>
                </c:pt>
                <c:pt idx="53">
                  <c:v>304.42392000000007</c:v>
                </c:pt>
                <c:pt idx="54">
                  <c:v>304.42392000000007</c:v>
                </c:pt>
                <c:pt idx="55">
                  <c:v>304.42392000000007</c:v>
                </c:pt>
                <c:pt idx="56">
                  <c:v>304.42392000000007</c:v>
                </c:pt>
                <c:pt idx="57">
                  <c:v>304.42392000000007</c:v>
                </c:pt>
                <c:pt idx="58">
                  <c:v>304.42392000000007</c:v>
                </c:pt>
                <c:pt idx="59">
                  <c:v>304.42392000000007</c:v>
                </c:pt>
                <c:pt idx="60">
                  <c:v>304.42392000000007</c:v>
                </c:pt>
                <c:pt idx="61">
                  <c:v>304.42392000000007</c:v>
                </c:pt>
                <c:pt idx="62">
                  <c:v>304.42392000000007</c:v>
                </c:pt>
                <c:pt idx="63">
                  <c:v>304.42392000000007</c:v>
                </c:pt>
                <c:pt idx="64">
                  <c:v>304.42392000000007</c:v>
                </c:pt>
                <c:pt idx="65">
                  <c:v>304.42392000000007</c:v>
                </c:pt>
                <c:pt idx="66">
                  <c:v>304.42392000000007</c:v>
                </c:pt>
                <c:pt idx="67">
                  <c:v>304.42392000000007</c:v>
                </c:pt>
                <c:pt idx="68">
                  <c:v>304.42392000000007</c:v>
                </c:pt>
                <c:pt idx="69">
                  <c:v>304.42392000000007</c:v>
                </c:pt>
                <c:pt idx="70">
                  <c:v>304.42392000000007</c:v>
                </c:pt>
                <c:pt idx="71">
                  <c:v>304.42392000000007</c:v>
                </c:pt>
                <c:pt idx="72">
                  <c:v>304.42392000000007</c:v>
                </c:pt>
                <c:pt idx="73">
                  <c:v>304.42392000000007</c:v>
                </c:pt>
                <c:pt idx="74">
                  <c:v>304.42392000000007</c:v>
                </c:pt>
                <c:pt idx="75">
                  <c:v>304.42392000000007</c:v>
                </c:pt>
                <c:pt idx="76">
                  <c:v>304.42392000000007</c:v>
                </c:pt>
                <c:pt idx="77">
                  <c:v>304.42392000000007</c:v>
                </c:pt>
                <c:pt idx="78">
                  <c:v>304.42392000000007</c:v>
                </c:pt>
                <c:pt idx="79">
                  <c:v>304.42392000000007</c:v>
                </c:pt>
                <c:pt idx="80">
                  <c:v>304.42392000000007</c:v>
                </c:pt>
                <c:pt idx="81">
                  <c:v>304.42392000000007</c:v>
                </c:pt>
                <c:pt idx="82">
                  <c:v>304.42392000000007</c:v>
                </c:pt>
                <c:pt idx="83">
                  <c:v>304.42392000000007</c:v>
                </c:pt>
                <c:pt idx="84">
                  <c:v>304.42392000000007</c:v>
                </c:pt>
                <c:pt idx="85">
                  <c:v>304.42392000000007</c:v>
                </c:pt>
                <c:pt idx="86">
                  <c:v>304.42392000000007</c:v>
                </c:pt>
                <c:pt idx="87">
                  <c:v>304.42392000000007</c:v>
                </c:pt>
                <c:pt idx="88">
                  <c:v>304.42392000000007</c:v>
                </c:pt>
                <c:pt idx="89">
                  <c:v>304.42392000000007</c:v>
                </c:pt>
                <c:pt idx="90">
                  <c:v>304.42392000000007</c:v>
                </c:pt>
                <c:pt idx="91">
                  <c:v>304.42392000000007</c:v>
                </c:pt>
                <c:pt idx="92">
                  <c:v>304.42392000000007</c:v>
                </c:pt>
                <c:pt idx="93">
                  <c:v>304.42392000000007</c:v>
                </c:pt>
                <c:pt idx="94">
                  <c:v>304.42392000000007</c:v>
                </c:pt>
                <c:pt idx="95">
                  <c:v>304.42392000000007</c:v>
                </c:pt>
                <c:pt idx="96">
                  <c:v>304.42392000000007</c:v>
                </c:pt>
                <c:pt idx="97">
                  <c:v>304.42392000000007</c:v>
                </c:pt>
                <c:pt idx="98">
                  <c:v>304.42392000000007</c:v>
                </c:pt>
                <c:pt idx="99">
                  <c:v>304.42392000000007</c:v>
                </c:pt>
                <c:pt idx="100">
                  <c:v>304.42392000000007</c:v>
                </c:pt>
                <c:pt idx="101">
                  <c:v>304.42392000000007</c:v>
                </c:pt>
                <c:pt idx="102">
                  <c:v>304.42392000000007</c:v>
                </c:pt>
                <c:pt idx="103">
                  <c:v>304.42392000000007</c:v>
                </c:pt>
                <c:pt idx="104">
                  <c:v>304.42392000000007</c:v>
                </c:pt>
                <c:pt idx="105">
                  <c:v>304.42392000000007</c:v>
                </c:pt>
                <c:pt idx="106">
                  <c:v>304.42392000000007</c:v>
                </c:pt>
                <c:pt idx="107">
                  <c:v>304.42392000000007</c:v>
                </c:pt>
                <c:pt idx="108">
                  <c:v>304.42392000000007</c:v>
                </c:pt>
                <c:pt idx="109">
                  <c:v>304.42392000000007</c:v>
                </c:pt>
                <c:pt idx="110">
                  <c:v>304.42392000000007</c:v>
                </c:pt>
                <c:pt idx="111">
                  <c:v>304.42392000000007</c:v>
                </c:pt>
                <c:pt idx="112">
                  <c:v>304.42392000000007</c:v>
                </c:pt>
                <c:pt idx="113">
                  <c:v>304.42392000000007</c:v>
                </c:pt>
                <c:pt idx="114">
                  <c:v>304.42392000000007</c:v>
                </c:pt>
                <c:pt idx="115">
                  <c:v>304.42392000000007</c:v>
                </c:pt>
                <c:pt idx="116">
                  <c:v>304.42392000000007</c:v>
                </c:pt>
                <c:pt idx="117">
                  <c:v>304.42392000000007</c:v>
                </c:pt>
                <c:pt idx="118">
                  <c:v>304.42392000000007</c:v>
                </c:pt>
                <c:pt idx="119">
                  <c:v>304.42392000000007</c:v>
                </c:pt>
                <c:pt idx="120">
                  <c:v>304.42392000000007</c:v>
                </c:pt>
                <c:pt idx="121">
                  <c:v>304.42392000000007</c:v>
                </c:pt>
                <c:pt idx="122">
                  <c:v>304.42392000000007</c:v>
                </c:pt>
                <c:pt idx="123">
                  <c:v>304.42392000000007</c:v>
                </c:pt>
                <c:pt idx="124">
                  <c:v>304.42392000000007</c:v>
                </c:pt>
                <c:pt idx="125">
                  <c:v>304.42392000000007</c:v>
                </c:pt>
                <c:pt idx="126">
                  <c:v>304.42392000000007</c:v>
                </c:pt>
                <c:pt idx="127">
                  <c:v>304.42392000000007</c:v>
                </c:pt>
                <c:pt idx="128">
                  <c:v>304.42392000000007</c:v>
                </c:pt>
                <c:pt idx="129">
                  <c:v>304.42392000000007</c:v>
                </c:pt>
                <c:pt idx="130">
                  <c:v>304.42392000000007</c:v>
                </c:pt>
                <c:pt idx="131">
                  <c:v>304.42392000000007</c:v>
                </c:pt>
                <c:pt idx="132">
                  <c:v>304.42392000000007</c:v>
                </c:pt>
                <c:pt idx="133">
                  <c:v>304.42392000000007</c:v>
                </c:pt>
                <c:pt idx="134">
                  <c:v>304.42392000000007</c:v>
                </c:pt>
                <c:pt idx="135">
                  <c:v>304.42392000000007</c:v>
                </c:pt>
                <c:pt idx="136">
                  <c:v>304.42392000000007</c:v>
                </c:pt>
                <c:pt idx="137">
                  <c:v>304.42392000000007</c:v>
                </c:pt>
                <c:pt idx="138">
                  <c:v>304.42392000000007</c:v>
                </c:pt>
                <c:pt idx="139">
                  <c:v>304.42392000000007</c:v>
                </c:pt>
                <c:pt idx="140">
                  <c:v>304.42392000000007</c:v>
                </c:pt>
                <c:pt idx="141">
                  <c:v>304.42392000000007</c:v>
                </c:pt>
                <c:pt idx="142">
                  <c:v>304.42392000000007</c:v>
                </c:pt>
                <c:pt idx="143">
                  <c:v>304.42392000000007</c:v>
                </c:pt>
                <c:pt idx="144">
                  <c:v>304.42392000000007</c:v>
                </c:pt>
                <c:pt idx="145">
                  <c:v>304.42392000000007</c:v>
                </c:pt>
                <c:pt idx="146">
                  <c:v>304.42392000000007</c:v>
                </c:pt>
                <c:pt idx="147">
                  <c:v>304.42392000000007</c:v>
                </c:pt>
                <c:pt idx="148">
                  <c:v>304.42392000000007</c:v>
                </c:pt>
                <c:pt idx="149">
                  <c:v>304.42392000000007</c:v>
                </c:pt>
                <c:pt idx="150">
                  <c:v>304.42392000000007</c:v>
                </c:pt>
                <c:pt idx="151">
                  <c:v>304.42392000000007</c:v>
                </c:pt>
                <c:pt idx="152">
                  <c:v>304.42392000000007</c:v>
                </c:pt>
                <c:pt idx="153">
                  <c:v>304.42392000000007</c:v>
                </c:pt>
                <c:pt idx="154">
                  <c:v>304.42392000000007</c:v>
                </c:pt>
                <c:pt idx="155">
                  <c:v>304.42392000000007</c:v>
                </c:pt>
                <c:pt idx="156">
                  <c:v>304.42392000000007</c:v>
                </c:pt>
                <c:pt idx="157">
                  <c:v>304.42392000000007</c:v>
                </c:pt>
                <c:pt idx="158">
                  <c:v>304.42392000000007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709-47CA-9667-3305F81A7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0463560"/>
        <c:axId val="751131456"/>
      </c:scatterChart>
      <c:valAx>
        <c:axId val="720463560"/>
        <c:scaling>
          <c:orientation val="minMax"/>
          <c:max val="19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131456"/>
        <c:crosses val="autoZero"/>
        <c:crossBetween val="midCat"/>
      </c:valAx>
      <c:valAx>
        <c:axId val="75113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4635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Data!$G$6:$G$164</c:f>
              <c:numCache>
                <c:formatCode>0.00</c:formatCode>
                <c:ptCount val="159"/>
                <c:pt idx="0">
                  <c:v>11.388888888888889</c:v>
                </c:pt>
                <c:pt idx="1">
                  <c:v>11.527777777777777</c:v>
                </c:pt>
                <c:pt idx="2">
                  <c:v>11.666666666666666</c:v>
                </c:pt>
                <c:pt idx="3">
                  <c:v>12.222222222222221</c:v>
                </c:pt>
                <c:pt idx="4">
                  <c:v>13.54111111111111</c:v>
                </c:pt>
                <c:pt idx="5">
                  <c:v>13.54111111111111</c:v>
                </c:pt>
                <c:pt idx="6">
                  <c:v>13.54111111111111</c:v>
                </c:pt>
                <c:pt idx="7">
                  <c:v>11.749999999999998</c:v>
                </c:pt>
                <c:pt idx="8">
                  <c:v>10</c:v>
                </c:pt>
                <c:pt idx="9">
                  <c:v>6.6666666666666661</c:v>
                </c:pt>
                <c:pt idx="10">
                  <c:v>8.6111111111111107</c:v>
                </c:pt>
                <c:pt idx="11">
                  <c:v>10.555555555555555</c:v>
                </c:pt>
                <c:pt idx="12">
                  <c:v>12.222222222222221</c:v>
                </c:pt>
                <c:pt idx="13">
                  <c:v>13.055555555555555</c:v>
                </c:pt>
                <c:pt idx="14">
                  <c:v>13.54111111111111</c:v>
                </c:pt>
                <c:pt idx="15">
                  <c:v>13.54111111111111</c:v>
                </c:pt>
                <c:pt idx="16">
                  <c:v>12.5</c:v>
                </c:pt>
                <c:pt idx="17">
                  <c:v>11.111111111111111</c:v>
                </c:pt>
                <c:pt idx="18">
                  <c:v>9.7222222222222214</c:v>
                </c:pt>
                <c:pt idx="19">
                  <c:v>11.111111111111111</c:v>
                </c:pt>
                <c:pt idx="20">
                  <c:v>12.5</c:v>
                </c:pt>
                <c:pt idx="21">
                  <c:v>13.54111111111111</c:v>
                </c:pt>
                <c:pt idx="22">
                  <c:v>13.055555555555555</c:v>
                </c:pt>
                <c:pt idx="23">
                  <c:v>12.5</c:v>
                </c:pt>
                <c:pt idx="24">
                  <c:v>13.055555555555555</c:v>
                </c:pt>
                <c:pt idx="25">
                  <c:v>13.54111111111111</c:v>
                </c:pt>
                <c:pt idx="26">
                  <c:v>13.54111111111111</c:v>
                </c:pt>
                <c:pt idx="27">
                  <c:v>13.54111111111111</c:v>
                </c:pt>
                <c:pt idx="28">
                  <c:v>13.055555555555555</c:v>
                </c:pt>
                <c:pt idx="29">
                  <c:v>12.222222222222221</c:v>
                </c:pt>
                <c:pt idx="30">
                  <c:v>12.777777777777777</c:v>
                </c:pt>
                <c:pt idx="31">
                  <c:v>11.944444444444445</c:v>
                </c:pt>
                <c:pt idx="32">
                  <c:v>11.180555555555555</c:v>
                </c:pt>
                <c:pt idx="33">
                  <c:v>11.944444444444445</c:v>
                </c:pt>
                <c:pt idx="34">
                  <c:v>12.5</c:v>
                </c:pt>
                <c:pt idx="35">
                  <c:v>13.055555555555555</c:v>
                </c:pt>
                <c:pt idx="36">
                  <c:v>13.54111111111111</c:v>
                </c:pt>
                <c:pt idx="37">
                  <c:v>13.54111111111111</c:v>
                </c:pt>
                <c:pt idx="38">
                  <c:v>13.54111111111111</c:v>
                </c:pt>
                <c:pt idx="39">
                  <c:v>12.888888888888888</c:v>
                </c:pt>
                <c:pt idx="40">
                  <c:v>11.055555555555555</c:v>
                </c:pt>
                <c:pt idx="41">
                  <c:v>12.5</c:v>
                </c:pt>
                <c:pt idx="42">
                  <c:v>13.54111111111111</c:v>
                </c:pt>
                <c:pt idx="43">
                  <c:v>13.54111111111111</c:v>
                </c:pt>
                <c:pt idx="44">
                  <c:v>13.54111111111111</c:v>
                </c:pt>
                <c:pt idx="45">
                  <c:v>13.055555555555555</c:v>
                </c:pt>
                <c:pt idx="46">
                  <c:v>13.54111111111111</c:v>
                </c:pt>
                <c:pt idx="47">
                  <c:v>12.5</c:v>
                </c:pt>
                <c:pt idx="48">
                  <c:v>10.555555555555555</c:v>
                </c:pt>
                <c:pt idx="49">
                  <c:v>11.944444444444445</c:v>
                </c:pt>
                <c:pt idx="50">
                  <c:v>12.777777777777777</c:v>
                </c:pt>
                <c:pt idx="51">
                  <c:v>13.54111111111111</c:v>
                </c:pt>
                <c:pt idx="52">
                  <c:v>13.54111111111111</c:v>
                </c:pt>
                <c:pt idx="53">
                  <c:v>13.54111111111111</c:v>
                </c:pt>
                <c:pt idx="54">
                  <c:v>12.222222222222221</c:v>
                </c:pt>
                <c:pt idx="55">
                  <c:v>11.666666666666666</c:v>
                </c:pt>
                <c:pt idx="56">
                  <c:v>11.388888888888889</c:v>
                </c:pt>
                <c:pt idx="57">
                  <c:v>12.5</c:v>
                </c:pt>
                <c:pt idx="58">
                  <c:v>13.54111111111111</c:v>
                </c:pt>
                <c:pt idx="59">
                  <c:v>13.54111111111111</c:v>
                </c:pt>
                <c:pt idx="60">
                  <c:v>13.54111111111111</c:v>
                </c:pt>
                <c:pt idx="61">
                  <c:v>12.5</c:v>
                </c:pt>
                <c:pt idx="62">
                  <c:v>11.111111111111111</c:v>
                </c:pt>
                <c:pt idx="63">
                  <c:v>9.7222222222222214</c:v>
                </c:pt>
                <c:pt idx="64">
                  <c:v>8.4249999999999989</c:v>
                </c:pt>
                <c:pt idx="65">
                  <c:v>9.7222222222222214</c:v>
                </c:pt>
                <c:pt idx="66">
                  <c:v>11.111111111111111</c:v>
                </c:pt>
                <c:pt idx="67">
                  <c:v>12.5</c:v>
                </c:pt>
                <c:pt idx="68">
                  <c:v>13.54111111111111</c:v>
                </c:pt>
                <c:pt idx="69">
                  <c:v>13.194444444444445</c:v>
                </c:pt>
                <c:pt idx="70">
                  <c:v>12.5</c:v>
                </c:pt>
                <c:pt idx="71">
                  <c:v>11.944444444444445</c:v>
                </c:pt>
                <c:pt idx="72">
                  <c:v>12.916666666666666</c:v>
                </c:pt>
                <c:pt idx="73">
                  <c:v>13.54111111111111</c:v>
                </c:pt>
                <c:pt idx="74">
                  <c:v>13.54111111111111</c:v>
                </c:pt>
                <c:pt idx="75">
                  <c:v>13.54111111111111</c:v>
                </c:pt>
                <c:pt idx="76">
                  <c:v>13.54111111111111</c:v>
                </c:pt>
                <c:pt idx="77">
                  <c:v>11.944444444444445</c:v>
                </c:pt>
                <c:pt idx="78">
                  <c:v>9.1666666666666661</c:v>
                </c:pt>
                <c:pt idx="79">
                  <c:v>5.5555555555555554</c:v>
                </c:pt>
                <c:pt idx="80">
                  <c:v>3.6111111111111112</c:v>
                </c:pt>
                <c:pt idx="81">
                  <c:v>5</c:v>
                </c:pt>
                <c:pt idx="82">
                  <c:v>6.9444444444444446</c:v>
                </c:pt>
                <c:pt idx="83">
                  <c:v>9.1666666666666661</c:v>
                </c:pt>
                <c:pt idx="84">
                  <c:v>11.111111111111111</c:v>
                </c:pt>
                <c:pt idx="85">
                  <c:v>12.5</c:v>
                </c:pt>
                <c:pt idx="86">
                  <c:v>13.055555555555555</c:v>
                </c:pt>
                <c:pt idx="87">
                  <c:v>13.54111111111111</c:v>
                </c:pt>
                <c:pt idx="88">
                  <c:v>12.5</c:v>
                </c:pt>
                <c:pt idx="89">
                  <c:v>11.174999999999999</c:v>
                </c:pt>
                <c:pt idx="90">
                  <c:v>12.5</c:v>
                </c:pt>
                <c:pt idx="91">
                  <c:v>13.54111111111111</c:v>
                </c:pt>
                <c:pt idx="92">
                  <c:v>13.54111111111111</c:v>
                </c:pt>
                <c:pt idx="93">
                  <c:v>13.54111111111111</c:v>
                </c:pt>
                <c:pt idx="94">
                  <c:v>13.54111111111111</c:v>
                </c:pt>
                <c:pt idx="95">
                  <c:v>12.5</c:v>
                </c:pt>
                <c:pt idx="96">
                  <c:v>11.111111111111111</c:v>
                </c:pt>
                <c:pt idx="97">
                  <c:v>9.7222222222222214</c:v>
                </c:pt>
                <c:pt idx="98">
                  <c:v>8.3333333333333339</c:v>
                </c:pt>
                <c:pt idx="99">
                  <c:v>7.6388888888888884</c:v>
                </c:pt>
                <c:pt idx="100">
                  <c:v>8.8888888888888893</c:v>
                </c:pt>
                <c:pt idx="101">
                  <c:v>10.277777777777777</c:v>
                </c:pt>
                <c:pt idx="102">
                  <c:v>11.666666666666666</c:v>
                </c:pt>
                <c:pt idx="103">
                  <c:v>13.027777777777777</c:v>
                </c:pt>
                <c:pt idx="104">
                  <c:v>13.54111111111111</c:v>
                </c:pt>
                <c:pt idx="105">
                  <c:v>13.54111111111111</c:v>
                </c:pt>
                <c:pt idx="106">
                  <c:v>13.54111111111111</c:v>
                </c:pt>
                <c:pt idx="107">
                  <c:v>13.54111111111111</c:v>
                </c:pt>
                <c:pt idx="108">
                  <c:v>13.54111111111111</c:v>
                </c:pt>
                <c:pt idx="109">
                  <c:v>13.54111111111111</c:v>
                </c:pt>
                <c:pt idx="110">
                  <c:v>13.54111111111111</c:v>
                </c:pt>
                <c:pt idx="111">
                  <c:v>13.54111111111111</c:v>
                </c:pt>
                <c:pt idx="112">
                  <c:v>12.5</c:v>
                </c:pt>
                <c:pt idx="113">
                  <c:v>11.111111111111111</c:v>
                </c:pt>
                <c:pt idx="114">
                  <c:v>9.7222222222222214</c:v>
                </c:pt>
                <c:pt idx="115">
                  <c:v>8.3333333333333339</c:v>
                </c:pt>
                <c:pt idx="116">
                  <c:v>7.6388888888888884</c:v>
                </c:pt>
                <c:pt idx="117">
                  <c:v>9.7222222222222214</c:v>
                </c:pt>
                <c:pt idx="118">
                  <c:v>6.9444444444444446</c:v>
                </c:pt>
                <c:pt idx="119">
                  <c:v>6.6666666666666661</c:v>
                </c:pt>
                <c:pt idx="120">
                  <c:v>8.3333333333333339</c:v>
                </c:pt>
                <c:pt idx="121">
                  <c:v>9.7222222222222214</c:v>
                </c:pt>
                <c:pt idx="122">
                  <c:v>11.111111111111111</c:v>
                </c:pt>
                <c:pt idx="123">
                  <c:v>12.5</c:v>
                </c:pt>
                <c:pt idx="124">
                  <c:v>13.54111111111111</c:v>
                </c:pt>
                <c:pt idx="125">
                  <c:v>13.54111111111111</c:v>
                </c:pt>
                <c:pt idx="126">
                  <c:v>13.54111111111111</c:v>
                </c:pt>
                <c:pt idx="127">
                  <c:v>12.5</c:v>
                </c:pt>
                <c:pt idx="128">
                  <c:v>12.916666666666666</c:v>
                </c:pt>
                <c:pt idx="129">
                  <c:v>13.111111111111111</c:v>
                </c:pt>
                <c:pt idx="130">
                  <c:v>11.666666666666666</c:v>
                </c:pt>
                <c:pt idx="131">
                  <c:v>9.7777777777777786</c:v>
                </c:pt>
                <c:pt idx="132">
                  <c:v>10.277777777777777</c:v>
                </c:pt>
                <c:pt idx="133">
                  <c:v>10.972222222222221</c:v>
                </c:pt>
                <c:pt idx="134">
                  <c:v>11.666666666666666</c:v>
                </c:pt>
                <c:pt idx="135">
                  <c:v>11.111111111111111</c:v>
                </c:pt>
                <c:pt idx="136">
                  <c:v>8.3333333333333339</c:v>
                </c:pt>
                <c:pt idx="137">
                  <c:v>4.166666666666667</c:v>
                </c:pt>
                <c:pt idx="138">
                  <c:v>5.5555555555555554</c:v>
                </c:pt>
                <c:pt idx="139">
                  <c:v>7.5</c:v>
                </c:pt>
                <c:pt idx="140">
                  <c:v>8.8888888888888893</c:v>
                </c:pt>
                <c:pt idx="141">
                  <c:v>10.277777777777777</c:v>
                </c:pt>
                <c:pt idx="142">
                  <c:v>10</c:v>
                </c:pt>
                <c:pt idx="143">
                  <c:v>8.3611111111111107</c:v>
                </c:pt>
                <c:pt idx="144">
                  <c:v>9.7222222222222214</c:v>
                </c:pt>
                <c:pt idx="145">
                  <c:v>10.555555555555555</c:v>
                </c:pt>
                <c:pt idx="146">
                  <c:v>11.111111111111111</c:v>
                </c:pt>
                <c:pt idx="147">
                  <c:v>11.916666666666666</c:v>
                </c:pt>
                <c:pt idx="148">
                  <c:v>11.111111111111111</c:v>
                </c:pt>
                <c:pt idx="149">
                  <c:v>11.722222222222223</c:v>
                </c:pt>
                <c:pt idx="150">
                  <c:v>11.666666666666666</c:v>
                </c:pt>
                <c:pt idx="151">
                  <c:v>9.2777777777777768</c:v>
                </c:pt>
                <c:pt idx="152">
                  <c:v>7.5</c:v>
                </c:pt>
                <c:pt idx="153">
                  <c:v>5.5555555555555554</c:v>
                </c:pt>
                <c:pt idx="154">
                  <c:v>7.9444444444444446</c:v>
                </c:pt>
                <c:pt idx="155">
                  <c:v>9.4444444444444446</c:v>
                </c:pt>
                <c:pt idx="156">
                  <c:v>10.555555555555555</c:v>
                </c:pt>
                <c:pt idx="157">
                  <c:v>11.388888888888889</c:v>
                </c:pt>
                <c:pt idx="158">
                  <c:v>11.388888888888889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B2-47A6-8F69-191120112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ax val="19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15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Data!$E$6:$E$164</c:f>
              <c:numCache>
                <c:formatCode>General</c:formatCode>
                <c:ptCount val="159"/>
                <c:pt idx="0">
                  <c:v>5</c:v>
                </c:pt>
                <c:pt idx="1">
                  <c:v>3</c:v>
                </c:pt>
                <c:pt idx="2">
                  <c:v>8</c:v>
                </c:pt>
                <c:pt idx="3">
                  <c:v>14</c:v>
                </c:pt>
                <c:pt idx="4">
                  <c:v>19</c:v>
                </c:pt>
                <c:pt idx="5">
                  <c:v>22</c:v>
                </c:pt>
                <c:pt idx="6">
                  <c:v>21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22</c:v>
                </c:pt>
                <c:pt idx="11">
                  <c:v>23</c:v>
                </c:pt>
                <c:pt idx="12">
                  <c:v>24</c:v>
                </c:pt>
                <c:pt idx="13">
                  <c:v>25</c:v>
                </c:pt>
                <c:pt idx="14">
                  <c:v>27</c:v>
                </c:pt>
                <c:pt idx="15">
                  <c:v>29</c:v>
                </c:pt>
                <c:pt idx="16">
                  <c:v>32</c:v>
                </c:pt>
                <c:pt idx="17">
                  <c:v>33</c:v>
                </c:pt>
                <c:pt idx="18">
                  <c:v>35</c:v>
                </c:pt>
                <c:pt idx="19">
                  <c:v>34</c:v>
                </c:pt>
                <c:pt idx="20">
                  <c:v>34</c:v>
                </c:pt>
                <c:pt idx="21">
                  <c:v>31</c:v>
                </c:pt>
                <c:pt idx="22">
                  <c:v>30</c:v>
                </c:pt>
                <c:pt idx="23">
                  <c:v>29</c:v>
                </c:pt>
                <c:pt idx="24">
                  <c:v>28</c:v>
                </c:pt>
                <c:pt idx="25">
                  <c:v>27</c:v>
                </c:pt>
                <c:pt idx="26">
                  <c:v>26</c:v>
                </c:pt>
                <c:pt idx="27">
                  <c:v>25</c:v>
                </c:pt>
                <c:pt idx="28">
                  <c:v>24</c:v>
                </c:pt>
                <c:pt idx="29">
                  <c:v>23</c:v>
                </c:pt>
                <c:pt idx="30">
                  <c:v>21</c:v>
                </c:pt>
                <c:pt idx="31">
                  <c:v>22</c:v>
                </c:pt>
                <c:pt idx="32">
                  <c:v>24</c:v>
                </c:pt>
                <c:pt idx="33">
                  <c:v>29</c:v>
                </c:pt>
                <c:pt idx="34">
                  <c:v>34</c:v>
                </c:pt>
                <c:pt idx="35">
                  <c:v>34</c:v>
                </c:pt>
                <c:pt idx="36">
                  <c:v>37</c:v>
                </c:pt>
                <c:pt idx="37">
                  <c:v>39</c:v>
                </c:pt>
                <c:pt idx="38">
                  <c:v>40</c:v>
                </c:pt>
                <c:pt idx="39">
                  <c:v>37</c:v>
                </c:pt>
                <c:pt idx="40">
                  <c:v>38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43</c:v>
                </c:pt>
                <c:pt idx="46">
                  <c:v>42</c:v>
                </c:pt>
                <c:pt idx="47">
                  <c:v>42</c:v>
                </c:pt>
                <c:pt idx="48">
                  <c:v>43</c:v>
                </c:pt>
                <c:pt idx="49">
                  <c:v>41</c:v>
                </c:pt>
                <c:pt idx="50">
                  <c:v>40</c:v>
                </c:pt>
                <c:pt idx="51">
                  <c:v>40</c:v>
                </c:pt>
                <c:pt idx="52">
                  <c:v>39</c:v>
                </c:pt>
                <c:pt idx="53">
                  <c:v>38</c:v>
                </c:pt>
                <c:pt idx="54">
                  <c:v>38</c:v>
                </c:pt>
                <c:pt idx="55">
                  <c:v>38</c:v>
                </c:pt>
                <c:pt idx="56">
                  <c:v>39</c:v>
                </c:pt>
                <c:pt idx="57">
                  <c:v>40</c:v>
                </c:pt>
                <c:pt idx="58">
                  <c:v>38</c:v>
                </c:pt>
                <c:pt idx="59">
                  <c:v>34</c:v>
                </c:pt>
                <c:pt idx="60">
                  <c:v>33</c:v>
                </c:pt>
                <c:pt idx="61">
                  <c:v>32</c:v>
                </c:pt>
                <c:pt idx="62">
                  <c:v>32</c:v>
                </c:pt>
                <c:pt idx="63">
                  <c:v>32</c:v>
                </c:pt>
                <c:pt idx="64">
                  <c:v>32</c:v>
                </c:pt>
                <c:pt idx="65">
                  <c:v>31</c:v>
                </c:pt>
                <c:pt idx="66">
                  <c:v>28</c:v>
                </c:pt>
                <c:pt idx="67">
                  <c:v>27</c:v>
                </c:pt>
                <c:pt idx="68">
                  <c:v>25</c:v>
                </c:pt>
                <c:pt idx="69">
                  <c:v>23</c:v>
                </c:pt>
                <c:pt idx="70">
                  <c:v>21</c:v>
                </c:pt>
                <c:pt idx="71">
                  <c:v>20</c:v>
                </c:pt>
                <c:pt idx="72">
                  <c:v>19</c:v>
                </c:pt>
                <c:pt idx="73">
                  <c:v>19</c:v>
                </c:pt>
                <c:pt idx="74">
                  <c:v>19</c:v>
                </c:pt>
                <c:pt idx="75">
                  <c:v>19</c:v>
                </c:pt>
                <c:pt idx="76">
                  <c:v>18</c:v>
                </c:pt>
                <c:pt idx="77">
                  <c:v>17</c:v>
                </c:pt>
                <c:pt idx="78">
                  <c:v>16</c:v>
                </c:pt>
                <c:pt idx="79">
                  <c:v>16</c:v>
                </c:pt>
                <c:pt idx="80">
                  <c:v>18</c:v>
                </c:pt>
                <c:pt idx="81">
                  <c:v>19</c:v>
                </c:pt>
                <c:pt idx="82">
                  <c:v>20</c:v>
                </c:pt>
                <c:pt idx="83">
                  <c:v>20</c:v>
                </c:pt>
                <c:pt idx="84">
                  <c:v>20</c:v>
                </c:pt>
                <c:pt idx="85">
                  <c:v>21</c:v>
                </c:pt>
                <c:pt idx="86">
                  <c:v>21</c:v>
                </c:pt>
                <c:pt idx="87">
                  <c:v>20</c:v>
                </c:pt>
                <c:pt idx="88">
                  <c:v>20</c:v>
                </c:pt>
                <c:pt idx="89">
                  <c:v>21</c:v>
                </c:pt>
                <c:pt idx="90">
                  <c:v>22</c:v>
                </c:pt>
                <c:pt idx="91">
                  <c:v>21</c:v>
                </c:pt>
                <c:pt idx="92">
                  <c:v>16</c:v>
                </c:pt>
                <c:pt idx="93">
                  <c:v>12</c:v>
                </c:pt>
                <c:pt idx="94">
                  <c:v>10</c:v>
                </c:pt>
                <c:pt idx="95">
                  <c:v>8</c:v>
                </c:pt>
                <c:pt idx="96">
                  <c:v>7</c:v>
                </c:pt>
                <c:pt idx="97">
                  <c:v>7</c:v>
                </c:pt>
                <c:pt idx="98">
                  <c:v>8</c:v>
                </c:pt>
                <c:pt idx="99">
                  <c:v>10</c:v>
                </c:pt>
                <c:pt idx="100">
                  <c:v>11</c:v>
                </c:pt>
                <c:pt idx="101">
                  <c:v>14</c:v>
                </c:pt>
                <c:pt idx="102">
                  <c:v>17</c:v>
                </c:pt>
                <c:pt idx="103">
                  <c:v>19</c:v>
                </c:pt>
                <c:pt idx="104">
                  <c:v>19</c:v>
                </c:pt>
                <c:pt idx="105">
                  <c:v>17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19</c:v>
                </c:pt>
                <c:pt idx="114">
                  <c:v>17</c:v>
                </c:pt>
                <c:pt idx="115">
                  <c:v>17</c:v>
                </c:pt>
                <c:pt idx="116">
                  <c:v>20</c:v>
                </c:pt>
                <c:pt idx="117">
                  <c:v>22</c:v>
                </c:pt>
                <c:pt idx="118">
                  <c:v>23</c:v>
                </c:pt>
                <c:pt idx="119">
                  <c:v>23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23</c:v>
                </c:pt>
                <c:pt idx="124">
                  <c:v>19</c:v>
                </c:pt>
                <c:pt idx="125">
                  <c:v>18</c:v>
                </c:pt>
                <c:pt idx="126">
                  <c:v>16</c:v>
                </c:pt>
                <c:pt idx="127">
                  <c:v>14</c:v>
                </c:pt>
                <c:pt idx="128">
                  <c:v>15</c:v>
                </c:pt>
                <c:pt idx="129">
                  <c:v>14</c:v>
                </c:pt>
                <c:pt idx="130">
                  <c:v>14</c:v>
                </c:pt>
                <c:pt idx="131">
                  <c:v>12</c:v>
                </c:pt>
                <c:pt idx="132">
                  <c:v>12</c:v>
                </c:pt>
                <c:pt idx="133">
                  <c:v>12</c:v>
                </c:pt>
                <c:pt idx="134">
                  <c:v>10</c:v>
                </c:pt>
                <c:pt idx="135">
                  <c:v>10</c:v>
                </c:pt>
                <c:pt idx="136">
                  <c:v>9</c:v>
                </c:pt>
                <c:pt idx="137">
                  <c:v>8</c:v>
                </c:pt>
                <c:pt idx="138">
                  <c:v>8</c:v>
                </c:pt>
                <c:pt idx="139">
                  <c:v>6</c:v>
                </c:pt>
                <c:pt idx="140">
                  <c:v>5</c:v>
                </c:pt>
                <c:pt idx="141">
                  <c:v>5</c:v>
                </c:pt>
                <c:pt idx="142">
                  <c:v>4</c:v>
                </c:pt>
                <c:pt idx="143">
                  <c:v>4</c:v>
                </c:pt>
                <c:pt idx="144">
                  <c:v>4</c:v>
                </c:pt>
                <c:pt idx="145">
                  <c:v>3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0</c:v>
                </c:pt>
                <c:pt idx="150">
                  <c:v>0</c:v>
                </c:pt>
                <c:pt idx="151">
                  <c:v>1</c:v>
                </c:pt>
                <c:pt idx="152">
                  <c:v>2</c:v>
                </c:pt>
                <c:pt idx="153">
                  <c:v>4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F4-4CE2-9372-C3EA3F7503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ax val="19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4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Data!$V$6:$V$164</c:f>
              <c:numCache>
                <c:formatCode>0.0</c:formatCode>
                <c:ptCount val="159"/>
                <c:pt idx="0">
                  <c:v>-34.807602828149264</c:v>
                </c:pt>
                <c:pt idx="1">
                  <c:v>11.027777777777777</c:v>
                </c:pt>
                <c:pt idx="2">
                  <c:v>-24.094232247042346</c:v>
                </c:pt>
                <c:pt idx="3">
                  <c:v>11.722222222222221</c:v>
                </c:pt>
                <c:pt idx="4">
                  <c:v>13.04111111111111</c:v>
                </c:pt>
                <c:pt idx="5">
                  <c:v>13.04111111111111</c:v>
                </c:pt>
                <c:pt idx="6">
                  <c:v>13.04111111111111</c:v>
                </c:pt>
                <c:pt idx="7">
                  <c:v>-4.6570384751384335</c:v>
                </c:pt>
                <c:pt idx="8">
                  <c:v>-2.2190906356693993</c:v>
                </c:pt>
                <c:pt idx="9">
                  <c:v>6.1666666666666661</c:v>
                </c:pt>
                <c:pt idx="10">
                  <c:v>-31.833278600969624</c:v>
                </c:pt>
                <c:pt idx="11">
                  <c:v>-37.362440303413088</c:v>
                </c:pt>
                <c:pt idx="12">
                  <c:v>-43.552855941272739</c:v>
                </c:pt>
                <c:pt idx="13">
                  <c:v>12.555555555555555</c:v>
                </c:pt>
                <c:pt idx="14">
                  <c:v>13.04111111111111</c:v>
                </c:pt>
                <c:pt idx="15">
                  <c:v>13.04111111111111</c:v>
                </c:pt>
                <c:pt idx="16">
                  <c:v>-60.967860657892459</c:v>
                </c:pt>
                <c:pt idx="17">
                  <c:v>10.611111111111111</c:v>
                </c:pt>
                <c:pt idx="18">
                  <c:v>9.2222222222222214</c:v>
                </c:pt>
                <c:pt idx="19">
                  <c:v>11.259191204466466</c:v>
                </c:pt>
                <c:pt idx="20">
                  <c:v>-7.2796169987194226</c:v>
                </c:pt>
                <c:pt idx="21">
                  <c:v>13.04111111111111</c:v>
                </c:pt>
                <c:pt idx="22">
                  <c:v>12.555555555555555</c:v>
                </c:pt>
                <c:pt idx="23">
                  <c:v>12</c:v>
                </c:pt>
                <c:pt idx="24">
                  <c:v>12.555555555555555</c:v>
                </c:pt>
                <c:pt idx="25">
                  <c:v>13.04111111111111</c:v>
                </c:pt>
                <c:pt idx="26">
                  <c:v>13.04111111111111</c:v>
                </c:pt>
                <c:pt idx="27">
                  <c:v>13.04111111111111</c:v>
                </c:pt>
                <c:pt idx="28">
                  <c:v>12.555555555555555</c:v>
                </c:pt>
                <c:pt idx="29">
                  <c:v>-42.26354236728195</c:v>
                </c:pt>
                <c:pt idx="30">
                  <c:v>-52.609529105820009</c:v>
                </c:pt>
                <c:pt idx="31">
                  <c:v>11.444444444444445</c:v>
                </c:pt>
                <c:pt idx="32">
                  <c:v>10.680555555555555</c:v>
                </c:pt>
                <c:pt idx="33">
                  <c:v>11.444444444444445</c:v>
                </c:pt>
                <c:pt idx="34">
                  <c:v>8.2797607758372074</c:v>
                </c:pt>
                <c:pt idx="35">
                  <c:v>12.555555555555555</c:v>
                </c:pt>
                <c:pt idx="36">
                  <c:v>13.04111111111111</c:v>
                </c:pt>
                <c:pt idx="37">
                  <c:v>-59.290075384696614</c:v>
                </c:pt>
                <c:pt idx="38">
                  <c:v>-17.375421442473844</c:v>
                </c:pt>
                <c:pt idx="39">
                  <c:v>-60.519659787927672</c:v>
                </c:pt>
                <c:pt idx="40">
                  <c:v>10.555555555555555</c:v>
                </c:pt>
                <c:pt idx="41">
                  <c:v>-45.614527609631587</c:v>
                </c:pt>
                <c:pt idx="42">
                  <c:v>-51.750258520856811</c:v>
                </c:pt>
                <c:pt idx="43">
                  <c:v>-59.290075384696614</c:v>
                </c:pt>
                <c:pt idx="44">
                  <c:v>5.3550828994038211</c:v>
                </c:pt>
                <c:pt idx="45">
                  <c:v>12.555555555555555</c:v>
                </c:pt>
                <c:pt idx="46">
                  <c:v>8.7363373698331976</c:v>
                </c:pt>
                <c:pt idx="47">
                  <c:v>-60.825083179955328</c:v>
                </c:pt>
                <c:pt idx="48">
                  <c:v>-41.476328237545765</c:v>
                </c:pt>
                <c:pt idx="49">
                  <c:v>11.444444444444445</c:v>
                </c:pt>
                <c:pt idx="50">
                  <c:v>10.460097733655202</c:v>
                </c:pt>
                <c:pt idx="51">
                  <c:v>13.04111111111111</c:v>
                </c:pt>
                <c:pt idx="52">
                  <c:v>13.04111111111111</c:v>
                </c:pt>
                <c:pt idx="53">
                  <c:v>5.3550828994038211</c:v>
                </c:pt>
                <c:pt idx="54">
                  <c:v>-2.9773581961114974</c:v>
                </c:pt>
                <c:pt idx="55">
                  <c:v>-54.307530850216772</c:v>
                </c:pt>
                <c:pt idx="56">
                  <c:v>-51.662384352368768</c:v>
                </c:pt>
                <c:pt idx="57">
                  <c:v>-30.896191817981745</c:v>
                </c:pt>
                <c:pt idx="58">
                  <c:v>13.04111111111111</c:v>
                </c:pt>
                <c:pt idx="59">
                  <c:v>13.04111111111111</c:v>
                </c:pt>
                <c:pt idx="60">
                  <c:v>13.04111111111111</c:v>
                </c:pt>
                <c:pt idx="61">
                  <c:v>-1.2929586560765245</c:v>
                </c:pt>
                <c:pt idx="62">
                  <c:v>-2.2854527359671106</c:v>
                </c:pt>
                <c:pt idx="63">
                  <c:v>-1.4231732676733433</c:v>
                </c:pt>
                <c:pt idx="64">
                  <c:v>7.9249999999999989</c:v>
                </c:pt>
                <c:pt idx="65">
                  <c:v>-7.7152751346225248</c:v>
                </c:pt>
                <c:pt idx="66">
                  <c:v>10.611111111111111</c:v>
                </c:pt>
                <c:pt idx="67">
                  <c:v>-29.110559080302075</c:v>
                </c:pt>
                <c:pt idx="68">
                  <c:v>-33.581335184979395</c:v>
                </c:pt>
                <c:pt idx="69">
                  <c:v>-42.356044852627392</c:v>
                </c:pt>
                <c:pt idx="70">
                  <c:v>12</c:v>
                </c:pt>
                <c:pt idx="71">
                  <c:v>11.444444444444445</c:v>
                </c:pt>
                <c:pt idx="72">
                  <c:v>11.563543727117256</c:v>
                </c:pt>
                <c:pt idx="73">
                  <c:v>9.87736366512204</c:v>
                </c:pt>
                <c:pt idx="74">
                  <c:v>5.3550828994038211</c:v>
                </c:pt>
                <c:pt idx="75">
                  <c:v>13.04111111111111</c:v>
                </c:pt>
                <c:pt idx="76">
                  <c:v>13.04111111111111</c:v>
                </c:pt>
                <c:pt idx="77">
                  <c:v>11.444444444444445</c:v>
                </c:pt>
                <c:pt idx="78">
                  <c:v>-4.2299873224432991</c:v>
                </c:pt>
                <c:pt idx="79">
                  <c:v>5.0555555555555554</c:v>
                </c:pt>
                <c:pt idx="80">
                  <c:v>-17.310771283870654</c:v>
                </c:pt>
                <c:pt idx="81">
                  <c:v>-20.647719574180158</c:v>
                </c:pt>
                <c:pt idx="82">
                  <c:v>6.5765336422173872</c:v>
                </c:pt>
                <c:pt idx="83">
                  <c:v>11.330268944376124</c:v>
                </c:pt>
                <c:pt idx="84">
                  <c:v>-38.906929293138894</c:v>
                </c:pt>
                <c:pt idx="85">
                  <c:v>12</c:v>
                </c:pt>
                <c:pt idx="86">
                  <c:v>12.555555555555555</c:v>
                </c:pt>
                <c:pt idx="87">
                  <c:v>8.7363373698331976</c:v>
                </c:pt>
                <c:pt idx="88">
                  <c:v>-60.984280067855167</c:v>
                </c:pt>
                <c:pt idx="89">
                  <c:v>-56.177244987244542</c:v>
                </c:pt>
                <c:pt idx="90">
                  <c:v>12</c:v>
                </c:pt>
                <c:pt idx="91">
                  <c:v>-48.113156974766426</c:v>
                </c:pt>
                <c:pt idx="92">
                  <c:v>13.04111111111111</c:v>
                </c:pt>
                <c:pt idx="93">
                  <c:v>-41.024638433429132</c:v>
                </c:pt>
                <c:pt idx="94">
                  <c:v>-41.024638433429132</c:v>
                </c:pt>
                <c:pt idx="95">
                  <c:v>12</c:v>
                </c:pt>
                <c:pt idx="96">
                  <c:v>-2.2854527359671106</c:v>
                </c:pt>
                <c:pt idx="97">
                  <c:v>-47.812542086141121</c:v>
                </c:pt>
                <c:pt idx="98">
                  <c:v>7.8333333333333339</c:v>
                </c:pt>
                <c:pt idx="99">
                  <c:v>-35.652646661507355</c:v>
                </c:pt>
                <c:pt idx="100">
                  <c:v>8.3888888888888893</c:v>
                </c:pt>
                <c:pt idx="101">
                  <c:v>9.7777777777777768</c:v>
                </c:pt>
                <c:pt idx="102">
                  <c:v>11.166666666666666</c:v>
                </c:pt>
                <c:pt idx="103">
                  <c:v>12.527777777777777</c:v>
                </c:pt>
                <c:pt idx="104">
                  <c:v>-37.307033960543336</c:v>
                </c:pt>
                <c:pt idx="105">
                  <c:v>13.04111111111111</c:v>
                </c:pt>
                <c:pt idx="106">
                  <c:v>-59.290075384696614</c:v>
                </c:pt>
                <c:pt idx="107">
                  <c:v>-59.290075384696614</c:v>
                </c:pt>
                <c:pt idx="108">
                  <c:v>13.04111111111111</c:v>
                </c:pt>
                <c:pt idx="109">
                  <c:v>5.3550828994038211</c:v>
                </c:pt>
                <c:pt idx="110">
                  <c:v>5.3550828994038211</c:v>
                </c:pt>
                <c:pt idx="111">
                  <c:v>5.3550828994038211</c:v>
                </c:pt>
                <c:pt idx="112">
                  <c:v>12</c:v>
                </c:pt>
                <c:pt idx="113">
                  <c:v>-40.342170002589697</c:v>
                </c:pt>
                <c:pt idx="114">
                  <c:v>-1.39872941806207</c:v>
                </c:pt>
                <c:pt idx="115">
                  <c:v>13.162081500175219</c:v>
                </c:pt>
                <c:pt idx="116">
                  <c:v>7.1388888888888884</c:v>
                </c:pt>
                <c:pt idx="117">
                  <c:v>-36.331339996007998</c:v>
                </c:pt>
                <c:pt idx="118">
                  <c:v>-2.9047171160861343</c:v>
                </c:pt>
                <c:pt idx="119">
                  <c:v>-30.19855968055602</c:v>
                </c:pt>
                <c:pt idx="120">
                  <c:v>7.7764701907209908</c:v>
                </c:pt>
                <c:pt idx="121">
                  <c:v>8.9713885988323874</c:v>
                </c:pt>
                <c:pt idx="122">
                  <c:v>10.611111111111111</c:v>
                </c:pt>
                <c:pt idx="123">
                  <c:v>12</c:v>
                </c:pt>
                <c:pt idx="124">
                  <c:v>13.04111111111111</c:v>
                </c:pt>
                <c:pt idx="125">
                  <c:v>-41.024638433429132</c:v>
                </c:pt>
                <c:pt idx="126">
                  <c:v>-41.024638433429132</c:v>
                </c:pt>
                <c:pt idx="127">
                  <c:v>-61.431887461188019</c:v>
                </c:pt>
                <c:pt idx="128">
                  <c:v>12.416666666666666</c:v>
                </c:pt>
                <c:pt idx="129">
                  <c:v>6.3578713533811211</c:v>
                </c:pt>
                <c:pt idx="130">
                  <c:v>-42.756006925728812</c:v>
                </c:pt>
                <c:pt idx="131">
                  <c:v>-3.8741186367836136</c:v>
                </c:pt>
                <c:pt idx="132">
                  <c:v>5.8243878677396834</c:v>
                </c:pt>
                <c:pt idx="133">
                  <c:v>-30.178383156022701</c:v>
                </c:pt>
                <c:pt idx="134">
                  <c:v>7.9844394102229357</c:v>
                </c:pt>
                <c:pt idx="135">
                  <c:v>10.611111111111111</c:v>
                </c:pt>
                <c:pt idx="136">
                  <c:v>7.8333333333333339</c:v>
                </c:pt>
                <c:pt idx="137">
                  <c:v>-2.0289012509660735</c:v>
                </c:pt>
                <c:pt idx="138">
                  <c:v>-15.26260616567121</c:v>
                </c:pt>
                <c:pt idx="139">
                  <c:v>7</c:v>
                </c:pt>
                <c:pt idx="140">
                  <c:v>7.7276214483384678</c:v>
                </c:pt>
                <c:pt idx="141">
                  <c:v>9.7777777777777768</c:v>
                </c:pt>
                <c:pt idx="142">
                  <c:v>2.5335556149795191</c:v>
                </c:pt>
                <c:pt idx="143">
                  <c:v>-2.0579230337808796</c:v>
                </c:pt>
                <c:pt idx="144">
                  <c:v>9.2222222222222214</c:v>
                </c:pt>
                <c:pt idx="145">
                  <c:v>-28.592832229454562</c:v>
                </c:pt>
                <c:pt idx="146">
                  <c:v>6.8707265677660008</c:v>
                </c:pt>
                <c:pt idx="147">
                  <c:v>8.8334050711866841</c:v>
                </c:pt>
                <c:pt idx="148">
                  <c:v>10.611111111111111</c:v>
                </c:pt>
                <c:pt idx="149">
                  <c:v>7.6770704187886878</c:v>
                </c:pt>
                <c:pt idx="150">
                  <c:v>-51.624573916885858</c:v>
                </c:pt>
                <c:pt idx="151">
                  <c:v>-48.414568324107201</c:v>
                </c:pt>
                <c:pt idx="152">
                  <c:v>7</c:v>
                </c:pt>
                <c:pt idx="153">
                  <c:v>-27.625725696419533</c:v>
                </c:pt>
                <c:pt idx="154">
                  <c:v>9.1845733747571678</c:v>
                </c:pt>
                <c:pt idx="155">
                  <c:v>8.8886945729042743</c:v>
                </c:pt>
                <c:pt idx="156">
                  <c:v>8.8799588775366338</c:v>
                </c:pt>
                <c:pt idx="157">
                  <c:v>8.4696348321143304</c:v>
                </c:pt>
                <c:pt idx="158">
                  <c:v>-47.110912740602316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C6-496E-B40D-CC836A59A0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ax val="19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15"/>
          <c:min val="-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Fuel Usage (L/s)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Data!$I$6:$I$164</c:f>
              <c:numCache>
                <c:formatCode>0.00</c:formatCode>
                <c:ptCount val="159"/>
                <c:pt idx="0">
                  <c:v>0</c:v>
                </c:pt>
                <c:pt idx="1">
                  <c:v>1.1291442431592511</c:v>
                </c:pt>
                <c:pt idx="2">
                  <c:v>2.2254645257615477</c:v>
                </c:pt>
                <c:pt idx="3">
                  <c:v>3.2420206164998651</c:v>
                </c:pt>
                <c:pt idx="4">
                  <c:v>4.2090710011699795</c:v>
                </c:pt>
                <c:pt idx="5">
                  <c:v>5.1761213858400934</c:v>
                </c:pt>
                <c:pt idx="6">
                  <c:v>6.2116580731236963</c:v>
                </c:pt>
                <c:pt idx="7">
                  <c:v>7.4157901842833063</c:v>
                </c:pt>
                <c:pt idx="8">
                  <c:v>8.9871825893465971</c:v>
                </c:pt>
                <c:pt idx="9">
                  <c:v>10.701428849415644</c:v>
                </c:pt>
                <c:pt idx="10">
                  <c:v>12.067857027731549</c:v>
                </c:pt>
                <c:pt idx="11">
                  <c:v>13.217656348509566</c:v>
                </c:pt>
                <c:pt idx="12">
                  <c:v>14.2537392529469</c:v>
                </c:pt>
                <c:pt idx="13">
                  <c:v>15.238444357009621</c:v>
                </c:pt>
                <c:pt idx="14">
                  <c:v>16.205494741679736</c:v>
                </c:pt>
                <c:pt idx="15">
                  <c:v>17.211207336122257</c:v>
                </c:pt>
                <c:pt idx="16">
                  <c:v>18.320425504402227</c:v>
                </c:pt>
                <c:pt idx="17">
                  <c:v>19.577539428452859</c:v>
                </c:pt>
                <c:pt idx="18">
                  <c:v>20.834653352503491</c:v>
                </c:pt>
                <c:pt idx="19">
                  <c:v>21.943871520783464</c:v>
                </c:pt>
                <c:pt idx="20">
                  <c:v>22.949584115225985</c:v>
                </c:pt>
                <c:pt idx="21">
                  <c:v>23.934289219288708</c:v>
                </c:pt>
                <c:pt idx="22">
                  <c:v>24.959110353025636</c:v>
                </c:pt>
                <c:pt idx="23">
                  <c:v>25.983931486762565</c:v>
                </c:pt>
                <c:pt idx="24">
                  <c:v>26.968636590825287</c:v>
                </c:pt>
                <c:pt idx="25">
                  <c:v>27.9356869754954</c:v>
                </c:pt>
                <c:pt idx="26">
                  <c:v>28.902737360165514</c:v>
                </c:pt>
                <c:pt idx="27">
                  <c:v>29.887442464228236</c:v>
                </c:pt>
                <c:pt idx="28">
                  <c:v>30.923525368665572</c:v>
                </c:pt>
                <c:pt idx="29">
                  <c:v>31.971120305374434</c:v>
                </c:pt>
                <c:pt idx="30">
                  <c:v>33.03048597170924</c:v>
                </c:pt>
                <c:pt idx="31">
                  <c:v>34.163021038421519</c:v>
                </c:pt>
                <c:pt idx="32">
                  <c:v>35.295556105133798</c:v>
                </c:pt>
                <c:pt idx="33">
                  <c:v>36.366960017676952</c:v>
                </c:pt>
                <c:pt idx="34">
                  <c:v>37.39178115141388</c:v>
                </c:pt>
                <c:pt idx="35">
                  <c:v>38.3764862554766</c:v>
                </c:pt>
                <c:pt idx="36">
                  <c:v>39.343536640146716</c:v>
                </c:pt>
                <c:pt idx="37">
                  <c:v>40.310587024816833</c:v>
                </c:pt>
                <c:pt idx="38">
                  <c:v>41.301501645237622</c:v>
                </c:pt>
                <c:pt idx="39">
                  <c:v>42.395278261290962</c:v>
                </c:pt>
                <c:pt idx="40">
                  <c:v>43.507112510156503</c:v>
                </c:pt>
                <c:pt idx="41">
                  <c:v>44.512825104599031</c:v>
                </c:pt>
                <c:pt idx="42">
                  <c:v>45.479875489269148</c:v>
                </c:pt>
                <c:pt idx="43">
                  <c:v>46.446925873939264</c:v>
                </c:pt>
                <c:pt idx="44">
                  <c:v>47.431630978001991</c:v>
                </c:pt>
                <c:pt idx="45">
                  <c:v>48.416336082064717</c:v>
                </c:pt>
                <c:pt idx="46">
                  <c:v>49.422048676507245</c:v>
                </c:pt>
                <c:pt idx="47">
                  <c:v>50.557994993420472</c:v>
                </c:pt>
                <c:pt idx="48">
                  <c:v>51.721989367541433</c:v>
                </c:pt>
                <c:pt idx="49">
                  <c:v>52.781355033876238</c:v>
                </c:pt>
                <c:pt idx="50">
                  <c:v>53.776453023319796</c:v>
                </c:pt>
                <c:pt idx="51">
                  <c:v>54.743503407989913</c:v>
                </c:pt>
                <c:pt idx="52">
                  <c:v>55.710553792660029</c:v>
                </c:pt>
                <c:pt idx="53">
                  <c:v>56.727109883398349</c:v>
                </c:pt>
                <c:pt idx="54">
                  <c:v>57.823430166000648</c:v>
                </c:pt>
                <c:pt idx="55">
                  <c:v>58.959376482913875</c:v>
                </c:pt>
                <c:pt idx="56">
                  <c:v>60.055696765516174</c:v>
                </c:pt>
                <c:pt idx="57">
                  <c:v>61.061409359958702</c:v>
                </c:pt>
                <c:pt idx="58">
                  <c:v>62.028459744628819</c:v>
                </c:pt>
                <c:pt idx="59">
                  <c:v>62.995510129298935</c:v>
                </c:pt>
                <c:pt idx="60">
                  <c:v>64.001222723741463</c:v>
                </c:pt>
                <c:pt idx="61">
                  <c:v>65.110440892021444</c:v>
                </c:pt>
                <c:pt idx="62">
                  <c:v>66.367554816072087</c:v>
                </c:pt>
                <c:pt idx="63">
                  <c:v>67.810743922207067</c:v>
                </c:pt>
                <c:pt idx="64">
                  <c:v>69.253933028342047</c:v>
                </c:pt>
                <c:pt idx="65">
                  <c:v>70.511046952392689</c:v>
                </c:pt>
                <c:pt idx="66">
                  <c:v>71.62026512067267</c:v>
                </c:pt>
                <c:pt idx="67">
                  <c:v>72.625977715115198</c:v>
                </c:pt>
                <c:pt idx="68">
                  <c:v>73.605567361692763</c:v>
                </c:pt>
                <c:pt idx="69">
                  <c:v>74.624848921733815</c:v>
                </c:pt>
                <c:pt idx="70">
                  <c:v>75.696252834276976</c:v>
                </c:pt>
                <c:pt idx="71">
                  <c:v>76.749700256665776</c:v>
                </c:pt>
                <c:pt idx="72">
                  <c:v>77.739574524931754</c:v>
                </c:pt>
                <c:pt idx="73">
                  <c:v>78.706624909601871</c:v>
                </c:pt>
                <c:pt idx="74">
                  <c:v>79.673675294271987</c:v>
                </c:pt>
                <c:pt idx="75">
                  <c:v>80.640725678942104</c:v>
                </c:pt>
                <c:pt idx="76">
                  <c:v>81.66836164162028</c:v>
                </c:pt>
                <c:pt idx="77">
                  <c:v>82.908934592986043</c:v>
                </c:pt>
                <c:pt idx="78">
                  <c:v>84.687869391170892</c:v>
                </c:pt>
                <c:pt idx="79">
                  <c:v>87.544946491285984</c:v>
                </c:pt>
                <c:pt idx="80">
                  <c:v>90.58635114624721</c:v>
                </c:pt>
                <c:pt idx="81">
                  <c:v>92.778991711451809</c:v>
                </c:pt>
                <c:pt idx="82">
                  <c:v>94.40457006151729</c:v>
                </c:pt>
                <c:pt idx="83">
                  <c:v>95.696125462939179</c:v>
                </c:pt>
                <c:pt idx="84">
                  <c:v>96.805343631219159</c:v>
                </c:pt>
                <c:pt idx="85">
                  <c:v>97.830164764956095</c:v>
                </c:pt>
                <c:pt idx="86">
                  <c:v>98.814869869018821</c:v>
                </c:pt>
                <c:pt idx="87">
                  <c:v>99.820582463461349</c:v>
                </c:pt>
                <c:pt idx="88">
                  <c:v>100.92680731743059</c:v>
                </c:pt>
                <c:pt idx="89">
                  <c:v>102.03303217139982</c:v>
                </c:pt>
                <c:pt idx="90">
                  <c:v>103.03874476584235</c:v>
                </c:pt>
                <c:pt idx="91">
                  <c:v>104.00579515051247</c:v>
                </c:pt>
                <c:pt idx="92">
                  <c:v>104.97284553518259</c:v>
                </c:pt>
                <c:pt idx="93">
                  <c:v>105.9398959198527</c:v>
                </c:pt>
                <c:pt idx="94">
                  <c:v>106.94560851429523</c:v>
                </c:pt>
                <c:pt idx="95">
                  <c:v>108.05482668257521</c:v>
                </c:pt>
                <c:pt idx="96">
                  <c:v>109.31194060662585</c:v>
                </c:pt>
                <c:pt idx="97">
                  <c:v>110.76245667283813</c:v>
                </c:pt>
                <c:pt idx="98">
                  <c:v>112.40217048681723</c:v>
                </c:pt>
                <c:pt idx="99">
                  <c:v>113.98676787007433</c:v>
                </c:pt>
                <c:pt idx="100">
                  <c:v>115.35319604839025</c:v>
                </c:pt>
                <c:pt idx="101">
                  <c:v>116.54665863451427</c:v>
                </c:pt>
                <c:pt idx="102">
                  <c:v>117.60721593826904</c:v>
                </c:pt>
                <c:pt idx="103">
                  <c:v>118.59295055168278</c:v>
                </c:pt>
                <c:pt idx="104">
                  <c:v>119.56000093635289</c:v>
                </c:pt>
                <c:pt idx="105">
                  <c:v>120.52705132102301</c:v>
                </c:pt>
                <c:pt idx="106">
                  <c:v>121.49410170569313</c:v>
                </c:pt>
                <c:pt idx="107">
                  <c:v>122.46115209036324</c:v>
                </c:pt>
                <c:pt idx="108">
                  <c:v>123.42820247503336</c:v>
                </c:pt>
                <c:pt idx="109">
                  <c:v>124.39525285970348</c:v>
                </c:pt>
                <c:pt idx="110">
                  <c:v>125.36230324437359</c:v>
                </c:pt>
                <c:pt idx="111">
                  <c:v>126.36801583881612</c:v>
                </c:pt>
                <c:pt idx="112">
                  <c:v>127.4772340070961</c:v>
                </c:pt>
                <c:pt idx="113">
                  <c:v>128.73434793114674</c:v>
                </c:pt>
                <c:pt idx="114">
                  <c:v>130.18486399735903</c:v>
                </c:pt>
                <c:pt idx="115">
                  <c:v>131.82457781133812</c:v>
                </c:pt>
                <c:pt idx="116">
                  <c:v>133.33311452019888</c:v>
                </c:pt>
                <c:pt idx="117">
                  <c:v>134.90450692526218</c:v>
                </c:pt>
                <c:pt idx="118">
                  <c:v>136.82866089064581</c:v>
                </c:pt>
                <c:pt idx="119">
                  <c:v>138.57465245182726</c:v>
                </c:pt>
                <c:pt idx="120">
                  <c:v>140.02516851803955</c:v>
                </c:pt>
                <c:pt idx="121">
                  <c:v>141.28228244209018</c:v>
                </c:pt>
                <c:pt idx="122">
                  <c:v>142.39150061037014</c:v>
                </c:pt>
                <c:pt idx="123">
                  <c:v>143.39721320481266</c:v>
                </c:pt>
                <c:pt idx="124">
                  <c:v>144.36426358948279</c:v>
                </c:pt>
                <c:pt idx="125">
                  <c:v>145.33131397415292</c:v>
                </c:pt>
                <c:pt idx="126">
                  <c:v>146.33702656859543</c:v>
                </c:pt>
                <c:pt idx="127">
                  <c:v>147.36744781781726</c:v>
                </c:pt>
                <c:pt idx="128">
                  <c:v>148.37367561188128</c:v>
                </c:pt>
                <c:pt idx="129">
                  <c:v>149.43066601887452</c:v>
                </c:pt>
                <c:pt idx="130">
                  <c:v>150.65195545286153</c:v>
                </c:pt>
                <c:pt idx="131">
                  <c:v>151.95782171745708</c:v>
                </c:pt>
                <c:pt idx="132">
                  <c:v>153.19028634887928</c:v>
                </c:pt>
                <c:pt idx="133">
                  <c:v>154.34713965322035</c:v>
                </c:pt>
                <c:pt idx="134">
                  <c:v>155.49693897399837</c:v>
                </c:pt>
                <c:pt idx="135">
                  <c:v>156.8438467497669</c:v>
                </c:pt>
                <c:pt idx="136">
                  <c:v>158.93903662318462</c:v>
                </c:pt>
                <c:pt idx="137">
                  <c:v>161.63285217472171</c:v>
                </c:pt>
                <c:pt idx="138">
                  <c:v>163.63888503224931</c:v>
                </c:pt>
                <c:pt idx="139">
                  <c:v>165.23691120688994</c:v>
                </c:pt>
                <c:pt idx="140">
                  <c:v>166.60333938520586</c:v>
                </c:pt>
                <c:pt idx="141">
                  <c:v>167.89489478662773</c:v>
                </c:pt>
                <c:pt idx="142">
                  <c:v>169.32127215884859</c:v>
                </c:pt>
                <c:pt idx="143">
                  <c:v>170.76956008978249</c:v>
                </c:pt>
                <c:pt idx="144">
                  <c:v>172.06111549120436</c:v>
                </c:pt>
                <c:pt idx="145">
                  <c:v>173.26987887971458</c:v>
                </c:pt>
                <c:pt idx="146">
                  <c:v>174.40719545756497</c:v>
                </c:pt>
                <c:pt idx="147">
                  <c:v>175.54451203541535</c:v>
                </c:pt>
                <c:pt idx="148">
                  <c:v>176.691513790936</c:v>
                </c:pt>
                <c:pt idx="149">
                  <c:v>177.81127084917588</c:v>
                </c:pt>
                <c:pt idx="150">
                  <c:v>179.06171573384165</c:v>
                </c:pt>
                <c:pt idx="151">
                  <c:v>180.62270156668598</c:v>
                </c:pt>
                <c:pt idx="152">
                  <c:v>182.62873442421358</c:v>
                </c:pt>
                <c:pt idx="153">
                  <c:v>184.5687250477485</c:v>
                </c:pt>
                <c:pt idx="154">
                  <c:v>186.07485195355997</c:v>
                </c:pt>
                <c:pt idx="155">
                  <c:v>187.38434562444604</c:v>
                </c:pt>
                <c:pt idx="156">
                  <c:v>188.57780821057005</c:v>
                </c:pt>
                <c:pt idx="157">
                  <c:v>189.72760753134807</c:v>
                </c:pt>
                <c:pt idx="158">
                  <c:v>191.36760753134806</c:v>
                </c:pt>
              </c:numCache>
            </c:numRef>
          </c:xVal>
          <c:yVal>
            <c:numRef>
              <c:f>Data!$AI$6:$AI$164</c:f>
              <c:numCache>
                <c:formatCode>0.0000</c:formatCode>
                <c:ptCount val="159"/>
                <c:pt idx="0">
                  <c:v>0</c:v>
                </c:pt>
                <c:pt idx="1">
                  <c:v>1.7170443469785575E-3</c:v>
                </c:pt>
                <c:pt idx="2">
                  <c:v>1.7170443469785575E-3</c:v>
                </c:pt>
                <c:pt idx="3">
                  <c:v>3.5422149122807016E-3</c:v>
                </c:pt>
                <c:pt idx="4">
                  <c:v>6.0446211013645227E-3</c:v>
                </c:pt>
                <c:pt idx="5">
                  <c:v>8.0989774204028586E-3</c:v>
                </c:pt>
                <c:pt idx="6">
                  <c:v>1.0153333739441195E-2</c:v>
                </c:pt>
                <c:pt idx="7">
                  <c:v>1.0153333739441195E-2</c:v>
                </c:pt>
                <c:pt idx="8">
                  <c:v>1.0153333739441195E-2</c:v>
                </c:pt>
                <c:pt idx="9">
                  <c:v>1.1158572530864197E-2</c:v>
                </c:pt>
                <c:pt idx="10">
                  <c:v>1.1158572530864197E-2</c:v>
                </c:pt>
                <c:pt idx="11">
                  <c:v>1.1158572530864197E-2</c:v>
                </c:pt>
                <c:pt idx="12">
                  <c:v>1.1158572530864197E-2</c:v>
                </c:pt>
                <c:pt idx="13">
                  <c:v>1.3063015350877193E-2</c:v>
                </c:pt>
                <c:pt idx="14">
                  <c:v>1.4941011614684859E-2</c:v>
                </c:pt>
                <c:pt idx="15">
                  <c:v>1.7081164717348926E-2</c:v>
                </c:pt>
                <c:pt idx="16">
                  <c:v>1.7081164717348926E-2</c:v>
                </c:pt>
                <c:pt idx="17">
                  <c:v>1.8609226770630278E-2</c:v>
                </c:pt>
                <c:pt idx="18">
                  <c:v>2.004851364522417E-2</c:v>
                </c:pt>
                <c:pt idx="19">
                  <c:v>2.1863317490680937E-2</c:v>
                </c:pt>
                <c:pt idx="20">
                  <c:v>2.1863317490680937E-2</c:v>
                </c:pt>
                <c:pt idx="21">
                  <c:v>2.3951039225573723E-2</c:v>
                </c:pt>
                <c:pt idx="22">
                  <c:v>2.5873838120960339E-2</c:v>
                </c:pt>
                <c:pt idx="23">
                  <c:v>2.7711557419205952E-2</c:v>
                </c:pt>
                <c:pt idx="24">
                  <c:v>2.9666479446496401E-2</c:v>
                </c:pt>
                <c:pt idx="25">
                  <c:v>3.1720835765534736E-2</c:v>
                </c:pt>
                <c:pt idx="26">
                  <c:v>3.3775192084573073E-2</c:v>
                </c:pt>
                <c:pt idx="27">
                  <c:v>3.5829548403611411E-2</c:v>
                </c:pt>
                <c:pt idx="28">
                  <c:v>3.7752347298998026E-2</c:v>
                </c:pt>
                <c:pt idx="29">
                  <c:v>3.7752347298998026E-2</c:v>
                </c:pt>
                <c:pt idx="30">
                  <c:v>3.7752347298998026E-2</c:v>
                </c:pt>
                <c:pt idx="31">
                  <c:v>3.9400414225573728E-2</c:v>
                </c:pt>
                <c:pt idx="32">
                  <c:v>4.1032165768783602E-2</c:v>
                </c:pt>
                <c:pt idx="33">
                  <c:v>4.2814085846756313E-2</c:v>
                </c:pt>
                <c:pt idx="34">
                  <c:v>4.4082075526974074E-2</c:v>
                </c:pt>
                <c:pt idx="35">
                  <c:v>4.6312338684868809E-2</c:v>
                </c:pt>
                <c:pt idx="36">
                  <c:v>4.8190334948676479E-2</c:v>
                </c:pt>
                <c:pt idx="37">
                  <c:v>4.8190334948676479E-2</c:v>
                </c:pt>
                <c:pt idx="38">
                  <c:v>4.8190334948676479E-2</c:v>
                </c:pt>
                <c:pt idx="39">
                  <c:v>4.8190334948676479E-2</c:v>
                </c:pt>
                <c:pt idx="40">
                  <c:v>4.9710396677071542E-2</c:v>
                </c:pt>
                <c:pt idx="41">
                  <c:v>4.9710396677071542E-2</c:v>
                </c:pt>
                <c:pt idx="42">
                  <c:v>4.9710396677071542E-2</c:v>
                </c:pt>
                <c:pt idx="43">
                  <c:v>4.9710396677071542E-2</c:v>
                </c:pt>
                <c:pt idx="44">
                  <c:v>5.0550064280815779E-2</c:v>
                </c:pt>
                <c:pt idx="45">
                  <c:v>5.2472863176202394E-2</c:v>
                </c:pt>
                <c:pt idx="46">
                  <c:v>5.3730946847150594E-2</c:v>
                </c:pt>
                <c:pt idx="47">
                  <c:v>5.3730946847150594E-2</c:v>
                </c:pt>
                <c:pt idx="48">
                  <c:v>5.3730946847150594E-2</c:v>
                </c:pt>
                <c:pt idx="49">
                  <c:v>5.553796439101024E-2</c:v>
                </c:pt>
                <c:pt idx="50">
                  <c:v>5.7074864715911333E-2</c:v>
                </c:pt>
                <c:pt idx="51">
                  <c:v>5.9129221034949671E-2</c:v>
                </c:pt>
                <c:pt idx="52">
                  <c:v>6.1183577353988008E-2</c:v>
                </c:pt>
                <c:pt idx="53">
                  <c:v>6.2023244957732246E-2</c:v>
                </c:pt>
                <c:pt idx="54">
                  <c:v>6.2023244957732246E-2</c:v>
                </c:pt>
                <c:pt idx="55">
                  <c:v>6.2023244957732246E-2</c:v>
                </c:pt>
                <c:pt idx="56">
                  <c:v>6.2023244957732246E-2</c:v>
                </c:pt>
                <c:pt idx="57">
                  <c:v>6.2023244957732246E-2</c:v>
                </c:pt>
                <c:pt idx="58">
                  <c:v>6.4110966692625032E-2</c:v>
                </c:pt>
                <c:pt idx="59">
                  <c:v>6.6165323011663363E-2</c:v>
                </c:pt>
                <c:pt idx="60">
                  <c:v>6.8219679330701694E-2</c:v>
                </c:pt>
                <c:pt idx="61">
                  <c:v>6.8219679330701694E-2</c:v>
                </c:pt>
                <c:pt idx="62">
                  <c:v>6.8219679330701694E-2</c:v>
                </c:pt>
                <c:pt idx="63">
                  <c:v>6.8219679330701694E-2</c:v>
                </c:pt>
                <c:pt idx="64">
                  <c:v>6.9531822971052565E-2</c:v>
                </c:pt>
                <c:pt idx="65">
                  <c:v>6.9531822971052565E-2</c:v>
                </c:pt>
                <c:pt idx="66">
                  <c:v>7.1215018227712729E-2</c:v>
                </c:pt>
                <c:pt idx="67">
                  <c:v>7.1215018227712729E-2</c:v>
                </c:pt>
                <c:pt idx="68">
                  <c:v>7.1215018227712729E-2</c:v>
                </c:pt>
                <c:pt idx="69">
                  <c:v>7.1215018227712729E-2</c:v>
                </c:pt>
                <c:pt idx="70">
                  <c:v>7.3052737525958339E-2</c:v>
                </c:pt>
                <c:pt idx="71">
                  <c:v>7.4805377227062958E-2</c:v>
                </c:pt>
                <c:pt idx="72">
                  <c:v>7.6559350416665908E-2</c:v>
                </c:pt>
                <c:pt idx="73">
                  <c:v>7.7981748546804092E-2</c:v>
                </c:pt>
                <c:pt idx="74">
                  <c:v>7.8821416150548329E-2</c:v>
                </c:pt>
                <c:pt idx="75">
                  <c:v>8.087577246958666E-2</c:v>
                </c:pt>
                <c:pt idx="76">
                  <c:v>8.293012878862499E-2</c:v>
                </c:pt>
                <c:pt idx="77">
                  <c:v>8.468276848972961E-2</c:v>
                </c:pt>
                <c:pt idx="78">
                  <c:v>8.468276848972961E-2</c:v>
                </c:pt>
                <c:pt idx="79">
                  <c:v>8.5614055039437212E-2</c:v>
                </c:pt>
                <c:pt idx="80">
                  <c:v>8.5614055039437212E-2</c:v>
                </c:pt>
                <c:pt idx="81">
                  <c:v>8.5614055039437212E-2</c:v>
                </c:pt>
                <c:pt idx="82">
                  <c:v>8.6642840272941973E-2</c:v>
                </c:pt>
                <c:pt idx="83">
                  <c:v>8.8663736195769297E-2</c:v>
                </c:pt>
                <c:pt idx="84">
                  <c:v>8.8663736195769297E-2</c:v>
                </c:pt>
                <c:pt idx="85">
                  <c:v>9.0597946722085085E-2</c:v>
                </c:pt>
                <c:pt idx="86">
                  <c:v>9.255286874937553E-2</c:v>
                </c:pt>
                <c:pt idx="87">
                  <c:v>9.3810952420323737E-2</c:v>
                </c:pt>
                <c:pt idx="88">
                  <c:v>9.3810952420323737E-2</c:v>
                </c:pt>
                <c:pt idx="89">
                  <c:v>9.3810952420323737E-2</c:v>
                </c:pt>
                <c:pt idx="90">
                  <c:v>9.5679373472955312E-2</c:v>
                </c:pt>
                <c:pt idx="91">
                  <c:v>9.5679373472955312E-2</c:v>
                </c:pt>
                <c:pt idx="92">
                  <c:v>9.7733729791993643E-2</c:v>
                </c:pt>
                <c:pt idx="93">
                  <c:v>9.7733729791993643E-2</c:v>
                </c:pt>
                <c:pt idx="94">
                  <c:v>9.7733729791993643E-2</c:v>
                </c:pt>
                <c:pt idx="95">
                  <c:v>9.9571449090239253E-2</c:v>
                </c:pt>
                <c:pt idx="96">
                  <c:v>9.9571449090239253E-2</c:v>
                </c:pt>
                <c:pt idx="97">
                  <c:v>9.9571449090239253E-2</c:v>
                </c:pt>
                <c:pt idx="98">
                  <c:v>0.10079683895378701</c:v>
                </c:pt>
                <c:pt idx="99">
                  <c:v>0.10079683895378701</c:v>
                </c:pt>
                <c:pt idx="100">
                  <c:v>0.10200488801161676</c:v>
                </c:pt>
                <c:pt idx="101">
                  <c:v>0.10341294519160377</c:v>
                </c:pt>
                <c:pt idx="102">
                  <c:v>0.10512304509413788</c:v>
                </c:pt>
                <c:pt idx="103">
                  <c:v>0.10710111526957647</c:v>
                </c:pt>
                <c:pt idx="104">
                  <c:v>0.10710111526957647</c:v>
                </c:pt>
                <c:pt idx="105">
                  <c:v>0.1091554715886148</c:v>
                </c:pt>
                <c:pt idx="106">
                  <c:v>0.1091554715886148</c:v>
                </c:pt>
                <c:pt idx="107">
                  <c:v>0.1091554715886148</c:v>
                </c:pt>
                <c:pt idx="108">
                  <c:v>0.11103346785242246</c:v>
                </c:pt>
                <c:pt idx="109">
                  <c:v>0.1118731354561667</c:v>
                </c:pt>
                <c:pt idx="110">
                  <c:v>0.11271280305991094</c:v>
                </c:pt>
                <c:pt idx="111">
                  <c:v>0.11355247066365518</c:v>
                </c:pt>
                <c:pt idx="112">
                  <c:v>0.11539018996190079</c:v>
                </c:pt>
                <c:pt idx="113">
                  <c:v>0.11539018996190079</c:v>
                </c:pt>
                <c:pt idx="114">
                  <c:v>0.11539018996190079</c:v>
                </c:pt>
                <c:pt idx="115">
                  <c:v>0.11738663141751947</c:v>
                </c:pt>
                <c:pt idx="116">
                  <c:v>0.1185190428860055</c:v>
                </c:pt>
                <c:pt idx="117">
                  <c:v>0.1185190428860055</c:v>
                </c:pt>
                <c:pt idx="118">
                  <c:v>0.1185190428860055</c:v>
                </c:pt>
                <c:pt idx="119">
                  <c:v>0.1185190428860055</c:v>
                </c:pt>
                <c:pt idx="120">
                  <c:v>0.11969290333511652</c:v>
                </c:pt>
                <c:pt idx="121">
                  <c:v>0.12135536459959313</c:v>
                </c:pt>
                <c:pt idx="122">
                  <c:v>0.1230385598562533</c:v>
                </c:pt>
                <c:pt idx="123">
                  <c:v>0.12490698090888487</c:v>
                </c:pt>
                <c:pt idx="124">
                  <c:v>0.12699470264377766</c:v>
                </c:pt>
                <c:pt idx="125">
                  <c:v>0.12699470264377766</c:v>
                </c:pt>
                <c:pt idx="126">
                  <c:v>0.12699470264377766</c:v>
                </c:pt>
                <c:pt idx="127">
                  <c:v>0.12699470264377766</c:v>
                </c:pt>
                <c:pt idx="128">
                  <c:v>0.12892799942740338</c:v>
                </c:pt>
                <c:pt idx="129">
                  <c:v>0.12991328358450629</c:v>
                </c:pt>
                <c:pt idx="130">
                  <c:v>0.12991328358450629</c:v>
                </c:pt>
                <c:pt idx="131">
                  <c:v>0.12991328358450629</c:v>
                </c:pt>
                <c:pt idx="132">
                  <c:v>0.1310181290901192</c:v>
                </c:pt>
                <c:pt idx="133">
                  <c:v>0.1310181290901192</c:v>
                </c:pt>
                <c:pt idx="134">
                  <c:v>0.13234011412404867</c:v>
                </c:pt>
                <c:pt idx="135">
                  <c:v>0.13398840440994861</c:v>
                </c:pt>
                <c:pt idx="136">
                  <c:v>0.13528537078421762</c:v>
                </c:pt>
                <c:pt idx="137">
                  <c:v>0.13528537078421762</c:v>
                </c:pt>
                <c:pt idx="138">
                  <c:v>0.13528537078421762</c:v>
                </c:pt>
                <c:pt idx="139">
                  <c:v>0.13655949359123518</c:v>
                </c:pt>
                <c:pt idx="140">
                  <c:v>0.13808468203498619</c:v>
                </c:pt>
                <c:pt idx="141">
                  <c:v>0.13963568918248456</c:v>
                </c:pt>
                <c:pt idx="142">
                  <c:v>0.14015703121875411</c:v>
                </c:pt>
                <c:pt idx="143">
                  <c:v>0.14015703121875411</c:v>
                </c:pt>
                <c:pt idx="144">
                  <c:v>0.14174799937989771</c:v>
                </c:pt>
                <c:pt idx="145">
                  <c:v>0.14174799937989771</c:v>
                </c:pt>
                <c:pt idx="146">
                  <c:v>0.14295590123629223</c:v>
                </c:pt>
                <c:pt idx="147">
                  <c:v>0.14433450648680274</c:v>
                </c:pt>
                <c:pt idx="148">
                  <c:v>0.14598279677270268</c:v>
                </c:pt>
                <c:pt idx="149">
                  <c:v>0.14720057767977662</c:v>
                </c:pt>
                <c:pt idx="150">
                  <c:v>0.14720057767977662</c:v>
                </c:pt>
                <c:pt idx="151">
                  <c:v>0.14720057767977662</c:v>
                </c:pt>
                <c:pt idx="152">
                  <c:v>0.1483109577967357</c:v>
                </c:pt>
                <c:pt idx="153">
                  <c:v>0.1483109577967357</c:v>
                </c:pt>
                <c:pt idx="154">
                  <c:v>0.14963359007365615</c:v>
                </c:pt>
                <c:pt idx="155">
                  <c:v>0.151368444935473</c:v>
                </c:pt>
                <c:pt idx="156">
                  <c:v>0.15293931485386764</c:v>
                </c:pt>
                <c:pt idx="157">
                  <c:v>0.15431067751126043</c:v>
                </c:pt>
                <c:pt idx="158">
                  <c:v>0.15431067751126043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F9-475D-8EB7-6D0F93EE5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ax val="19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Usage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217717</xdr:colOff>
      <xdr:row>1</xdr:row>
      <xdr:rowOff>128208</xdr:rowOff>
    </xdr:from>
    <xdr:to>
      <xdr:col>40</xdr:col>
      <xdr:colOff>1725872</xdr:colOff>
      <xdr:row>28</xdr:row>
      <xdr:rowOff>10642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38D5E910-0730-4EC6-A5FB-B0B4FFAE2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93431" y="291494"/>
          <a:ext cx="7038098" cy="4291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36</xdr:col>
      <xdr:colOff>239487</xdr:colOff>
      <xdr:row>28</xdr:row>
      <xdr:rowOff>108855</xdr:rowOff>
    </xdr:from>
    <xdr:to>
      <xdr:col>40</xdr:col>
      <xdr:colOff>1698172</xdr:colOff>
      <xdr:row>50</xdr:row>
      <xdr:rowOff>130626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B2E623-13A5-4E82-9530-CCDB13187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36</xdr:col>
      <xdr:colOff>261257</xdr:colOff>
      <xdr:row>52</xdr:row>
      <xdr:rowOff>10886</xdr:rowOff>
    </xdr:from>
    <xdr:to>
      <xdr:col>41</xdr:col>
      <xdr:colOff>413656</xdr:colOff>
      <xdr:row>75</xdr:row>
      <xdr:rowOff>97971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A107DD9-7BA6-4964-A002-CC2761D059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326571</xdr:colOff>
      <xdr:row>86</xdr:row>
      <xdr:rowOff>54429</xdr:rowOff>
    </xdr:from>
    <xdr:to>
      <xdr:col>41</xdr:col>
      <xdr:colOff>348343</xdr:colOff>
      <xdr:row>106</xdr:row>
      <xdr:rowOff>-1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3173D22-8DE7-4C8E-B976-A143DC29B6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13</xdr:col>
      <xdr:colOff>0</xdr:colOff>
      <xdr:row>21</xdr:row>
      <xdr:rowOff>160020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6B8759-2729-44C6-A97F-51F808A0D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7924800" cy="3512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18</xdr:row>
      <xdr:rowOff>76200</xdr:rowOff>
    </xdr:from>
    <xdr:to>
      <xdr:col>22</xdr:col>
      <xdr:colOff>154940</xdr:colOff>
      <xdr:row>48</xdr:row>
      <xdr:rowOff>48260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6180F4-14C7-43F8-A492-2B0E836BB4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1</xdr:row>
      <xdr:rowOff>12700</xdr:rowOff>
    </xdr:from>
    <xdr:to>
      <xdr:col>8</xdr:col>
      <xdr:colOff>293914</xdr:colOff>
      <xdr:row>17</xdr:row>
      <xdr:rowOff>73660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ED6FF6E-44B9-4EC5-AA8E-92A94FC19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17</xdr:col>
      <xdr:colOff>65314</xdr:colOff>
      <xdr:row>17</xdr:row>
      <xdr:rowOff>101600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DE077D0-D52C-453E-A7A1-03F74E574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165100</xdr:colOff>
      <xdr:row>49</xdr:row>
      <xdr:rowOff>0</xdr:rowOff>
    </xdr:from>
    <xdr:to>
      <xdr:col>22</xdr:col>
      <xdr:colOff>114300</xdr:colOff>
      <xdr:row>70</xdr:row>
      <xdr:rowOff>12700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C53E76D-1AD1-4761-A903-40086AB9F1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71</xdr:row>
      <xdr:rowOff>0</xdr:rowOff>
    </xdr:from>
    <xdr:to>
      <xdr:col>22</xdr:col>
      <xdr:colOff>101600</xdr:colOff>
      <xdr:row>90</xdr:row>
      <xdr:rowOff>63500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CB28945-0348-426C-9F27-92BD2005A5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605117</xdr:colOff>
      <xdr:row>1</xdr:row>
      <xdr:rowOff>4764</xdr:rowOff>
    </xdr:from>
    <xdr:to>
      <xdr:col>14</xdr:col>
      <xdr:colOff>52294</xdr:colOff>
      <xdr:row>31</xdr:row>
      <xdr:rowOff>72838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C1FD5A-901F-4C70-A9F5-2A63735BCC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63" t="26822" r="15562" b="11070"/>
        <a:stretch/>
      </xdr:blipFill>
      <xdr:spPr>
        <a:xfrm>
          <a:off x="605117" y="169117"/>
          <a:ext cx="8023412" cy="4998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80"/>
  <sheetViews>
    <sheetView tabSelected="1" topLeftCell="AI92" zoomScale="70" zoomScaleNormal="70" workbookViewId="0">
      <selection activeCell="G17" sqref="G17"/>
    </sheetView>
  </sheetViews>
  <sheetFormatPr defaultRowHeight="13.2" x14ac:dyDescent="0.25"/>
  <cols>
    <col min="1" max="2" width="8.88671875" style="1"/>
    <col min="3" max="3" width="17.77734375" style="1" bestFit="1" customWidth="1"/>
    <col min="4" max="4" width="11.6640625" style="1" customWidth="1"/>
    <col min="5" max="5" width="17.5546875" style="2" bestFit="1" customWidth="1"/>
    <col min="6" max="6" width="26.44140625" style="1" bestFit="1" customWidth="1"/>
    <col min="7" max="7" width="16" style="1" bestFit="1" customWidth="1"/>
    <col min="8" max="8" width="16" style="2" customWidth="1"/>
    <col min="9" max="9" width="22.21875" style="2" bestFit="1" customWidth="1"/>
    <col min="10" max="10" width="19.77734375" style="2" bestFit="1" customWidth="1"/>
    <col min="11" max="11" width="25.5546875" style="2" bestFit="1" customWidth="1"/>
    <col min="12" max="12" width="24.6640625" style="1" bestFit="1" customWidth="1"/>
    <col min="13" max="13" width="19.88671875" style="1" bestFit="1" customWidth="1"/>
    <col min="14" max="14" width="18.21875" style="1" bestFit="1" customWidth="1"/>
    <col min="15" max="17" width="17.33203125" style="1" customWidth="1"/>
    <col min="18" max="18" width="23.88671875" style="1" bestFit="1" customWidth="1"/>
    <col min="19" max="19" width="17.5546875" style="1" bestFit="1" customWidth="1"/>
    <col min="20" max="20" width="21" style="1" bestFit="1" customWidth="1"/>
    <col min="21" max="21" width="16.5546875" style="1" bestFit="1" customWidth="1"/>
    <col min="22" max="22" width="22.21875" style="18" bestFit="1" customWidth="1"/>
    <col min="23" max="23" width="17.109375" style="18" customWidth="1"/>
    <col min="24" max="24" width="20.88671875" style="18" bestFit="1" customWidth="1"/>
    <col min="25" max="25" width="24.5546875" style="19" bestFit="1" customWidth="1"/>
    <col min="26" max="26" width="24.5546875" style="19" customWidth="1"/>
    <col min="27" max="27" width="16.77734375" style="1" bestFit="1" customWidth="1"/>
    <col min="28" max="28" width="10" style="1" bestFit="1" customWidth="1"/>
    <col min="29" max="29" width="9" style="1" bestFit="1" customWidth="1"/>
    <col min="30" max="30" width="19.6640625" style="1" bestFit="1" customWidth="1"/>
    <col min="31" max="31" width="19.109375" style="1" bestFit="1" customWidth="1"/>
    <col min="32" max="32" width="8.88671875" style="1"/>
    <col min="33" max="33" width="18.109375" style="12" bestFit="1" customWidth="1"/>
    <col min="34" max="34" width="18.6640625" style="12" bestFit="1" customWidth="1"/>
    <col min="35" max="35" width="20.109375" style="1" bestFit="1" customWidth="1"/>
    <col min="36" max="36" width="20.109375" style="12" customWidth="1"/>
    <col min="37" max="40" width="20.109375" style="19" customWidth="1"/>
    <col min="41" max="41" width="29.77734375" style="12" customWidth="1"/>
    <col min="42" max="42" width="21.88671875" style="1" bestFit="1" customWidth="1"/>
    <col min="43" max="16384" width="8.88671875" style="1"/>
  </cols>
  <sheetData>
    <row r="1" spans="1:44" x14ac:dyDescent="0.25">
      <c r="A1" s="36" t="s">
        <v>3</v>
      </c>
      <c r="B1" s="37"/>
      <c r="C1" s="38"/>
      <c r="D1" s="11" t="s">
        <v>5</v>
      </c>
      <c r="E1" s="11" t="s">
        <v>6</v>
      </c>
      <c r="F1" s="11" t="s">
        <v>8</v>
      </c>
      <c r="G1" s="11" t="s">
        <v>12</v>
      </c>
      <c r="H1" s="11" t="s">
        <v>13</v>
      </c>
      <c r="I1" s="11" t="s">
        <v>62</v>
      </c>
      <c r="J1" s="11" t="s">
        <v>61</v>
      </c>
      <c r="K1" s="11" t="s">
        <v>42</v>
      </c>
      <c r="L1" s="11" t="s">
        <v>34</v>
      </c>
      <c r="P1" s="34" t="s">
        <v>65</v>
      </c>
      <c r="Q1" s="34"/>
      <c r="R1" s="34"/>
      <c r="T1" s="34" t="s">
        <v>66</v>
      </c>
      <c r="U1" s="34"/>
      <c r="V1" s="34"/>
      <c r="W1" s="19"/>
      <c r="X1" s="11" t="s">
        <v>43</v>
      </c>
      <c r="Y1" s="11" t="s">
        <v>44</v>
      </c>
      <c r="AA1" s="34" t="s">
        <v>35</v>
      </c>
      <c r="AB1" s="34"/>
      <c r="AC1" s="34"/>
      <c r="AE1" s="34" t="s">
        <v>64</v>
      </c>
      <c r="AF1" s="34"/>
      <c r="AG1" s="34"/>
    </row>
    <row r="2" spans="1:44" x14ac:dyDescent="0.25">
      <c r="A2" s="33">
        <f>2069/158</f>
        <v>13.094936708860759</v>
      </c>
      <c r="B2" s="33"/>
      <c r="C2" s="33"/>
      <c r="D2" s="22">
        <v>0.6</v>
      </c>
      <c r="E2" s="22">
        <v>1.35</v>
      </c>
      <c r="F2" s="22">
        <v>1.226</v>
      </c>
      <c r="G2" s="22">
        <v>9.81</v>
      </c>
      <c r="H2" s="22">
        <v>365</v>
      </c>
      <c r="I2" s="22">
        <f>(29*0.8)+5</f>
        <v>28.200000000000003</v>
      </c>
      <c r="J2" s="22">
        <v>124</v>
      </c>
      <c r="K2" s="22">
        <f>H2+I2+J2</f>
        <v>517.20000000000005</v>
      </c>
      <c r="L2" s="35">
        <v>0.6</v>
      </c>
      <c r="P2" s="11" t="s">
        <v>20</v>
      </c>
      <c r="Q2" s="11" t="s">
        <v>22</v>
      </c>
      <c r="R2" s="11" t="s">
        <v>21</v>
      </c>
      <c r="T2" s="11" t="s">
        <v>27</v>
      </c>
      <c r="U2" s="11" t="s">
        <v>28</v>
      </c>
      <c r="V2" s="11" t="s">
        <v>29</v>
      </c>
      <c r="W2" s="19"/>
      <c r="X2" s="23">
        <f>MAX(V6:V164)</f>
        <v>13.162081500175219</v>
      </c>
      <c r="Y2" s="23">
        <f>AVERAGE(Y6:Y164)</f>
        <v>6.1418911975925425</v>
      </c>
      <c r="AA2" s="11" t="s">
        <v>32</v>
      </c>
      <c r="AB2" s="11" t="s">
        <v>31</v>
      </c>
      <c r="AC2" s="11" t="s">
        <v>33</v>
      </c>
      <c r="AE2" s="11" t="s">
        <v>32</v>
      </c>
      <c r="AF2" s="11" t="s">
        <v>31</v>
      </c>
      <c r="AG2" s="11" t="s">
        <v>33</v>
      </c>
    </row>
    <row r="3" spans="1:44" s="2" customFormat="1" x14ac:dyDescent="0.25">
      <c r="P3" s="22">
        <v>0.06</v>
      </c>
      <c r="Q3" s="22">
        <v>0.08</v>
      </c>
      <c r="R3" s="22">
        <v>0.2</v>
      </c>
      <c r="T3" s="22">
        <v>0.6</v>
      </c>
      <c r="U3" s="22">
        <v>0.68</v>
      </c>
      <c r="V3" s="22">
        <v>0.36</v>
      </c>
      <c r="W3" s="19"/>
      <c r="X3" s="19"/>
      <c r="Y3" s="19"/>
      <c r="Z3" s="19"/>
      <c r="AA3" s="22">
        <f>T3*($K$2*$L$2*9.81)</f>
        <v>1826.5435199999999</v>
      </c>
      <c r="AB3" s="22">
        <f>U3*($K$2*$L$2*9.81)</f>
        <v>2070.082656</v>
      </c>
      <c r="AC3" s="22">
        <f>V3*($K$2*$L$2*9.81)</f>
        <v>1095.9261119999999</v>
      </c>
      <c r="AE3" s="22">
        <f>AA3/$K$2</f>
        <v>3.5315999999999996</v>
      </c>
      <c r="AF3" s="22">
        <f t="shared" ref="AF3:AG3" si="0">AB3/$K$2</f>
        <v>4.0024799999999994</v>
      </c>
      <c r="AG3" s="22">
        <f t="shared" si="0"/>
        <v>2.1189599999999995</v>
      </c>
      <c r="AH3" s="12"/>
      <c r="AJ3" s="12"/>
      <c r="AK3" s="19"/>
      <c r="AL3" s="19"/>
      <c r="AM3" s="19"/>
      <c r="AN3" s="19"/>
      <c r="AO3" s="12"/>
    </row>
    <row r="4" spans="1:44" x14ac:dyDescent="0.25">
      <c r="V4" s="1"/>
      <c r="W4" s="19"/>
      <c r="X4" s="19"/>
      <c r="AP4" s="11" t="s">
        <v>67</v>
      </c>
      <c r="AQ4" s="11" t="s">
        <v>36</v>
      </c>
    </row>
    <row r="5" spans="1:44" x14ac:dyDescent="0.25">
      <c r="A5" s="11" t="s">
        <v>0</v>
      </c>
      <c r="B5" s="11" t="s">
        <v>1</v>
      </c>
      <c r="C5" s="11" t="s">
        <v>10</v>
      </c>
      <c r="D5" s="11" t="s">
        <v>2</v>
      </c>
      <c r="E5" s="11" t="s">
        <v>11</v>
      </c>
      <c r="F5" s="11" t="s">
        <v>4</v>
      </c>
      <c r="G5" s="11" t="s">
        <v>7</v>
      </c>
      <c r="H5" s="11" t="s">
        <v>23</v>
      </c>
      <c r="I5" s="11" t="s">
        <v>24</v>
      </c>
      <c r="J5" s="11" t="s">
        <v>25</v>
      </c>
      <c r="K5" s="11" t="s">
        <v>26</v>
      </c>
      <c r="L5" s="11" t="s">
        <v>9</v>
      </c>
      <c r="M5" s="11" t="s">
        <v>14</v>
      </c>
      <c r="N5" s="11" t="s">
        <v>15</v>
      </c>
      <c r="O5" s="11" t="s">
        <v>16</v>
      </c>
      <c r="P5" s="11" t="s">
        <v>17</v>
      </c>
      <c r="Q5" s="11" t="s">
        <v>18</v>
      </c>
      <c r="R5" s="11" t="s">
        <v>45</v>
      </c>
      <c r="S5" s="11" t="s">
        <v>19</v>
      </c>
      <c r="T5" s="11" t="s">
        <v>63</v>
      </c>
      <c r="U5" s="11" t="s">
        <v>30</v>
      </c>
      <c r="V5" s="11" t="s">
        <v>60</v>
      </c>
      <c r="W5" s="11" t="s">
        <v>57</v>
      </c>
      <c r="X5" s="11" t="s">
        <v>58</v>
      </c>
      <c r="Y5" s="11" t="s">
        <v>56</v>
      </c>
      <c r="Z5" s="11" t="s">
        <v>59</v>
      </c>
      <c r="AA5" s="11" t="s">
        <v>46</v>
      </c>
      <c r="AB5" s="11" t="s">
        <v>47</v>
      </c>
      <c r="AC5" s="11" t="s">
        <v>48</v>
      </c>
      <c r="AD5" s="11" t="s">
        <v>50</v>
      </c>
      <c r="AE5" s="11" t="s">
        <v>51</v>
      </c>
      <c r="AF5" s="11" t="s">
        <v>41</v>
      </c>
      <c r="AG5" s="11" t="s">
        <v>52</v>
      </c>
      <c r="AH5" s="11" t="s">
        <v>53</v>
      </c>
      <c r="AI5" s="11" t="s">
        <v>54</v>
      </c>
      <c r="AJ5" s="11" t="s">
        <v>55</v>
      </c>
      <c r="AP5" s="9">
        <v>0</v>
      </c>
      <c r="AQ5" s="39">
        <v>500</v>
      </c>
    </row>
    <row r="6" spans="1:44" x14ac:dyDescent="0.25">
      <c r="A6" s="9">
        <v>53.30997</v>
      </c>
      <c r="B6" s="9">
        <v>-5.9659999999999998E-2</v>
      </c>
      <c r="C6" s="9">
        <v>106</v>
      </c>
      <c r="D6" s="9">
        <v>0</v>
      </c>
      <c r="E6" s="9">
        <f>C6-101</f>
        <v>5</v>
      </c>
      <c r="F6" s="9">
        <v>41</v>
      </c>
      <c r="G6" s="10">
        <f>F6/3.6</f>
        <v>11.388888888888889</v>
      </c>
      <c r="H6" s="10">
        <v>0</v>
      </c>
      <c r="I6" s="10">
        <f>H6</f>
        <v>0</v>
      </c>
      <c r="J6" s="9">
        <v>0</v>
      </c>
      <c r="K6" s="10">
        <f>J6*$K$2</f>
        <v>0</v>
      </c>
      <c r="L6" s="10">
        <f>0.5*1.226*(G6^2)*$D$2*$E$2</f>
        <v>64.403312500000013</v>
      </c>
      <c r="M6" s="10">
        <f>($K$2*$G$2*E6)/1000</f>
        <v>25.368660000000002</v>
      </c>
      <c r="N6" s="10">
        <f>(0.5*$K$2*(G6^2))/1000</f>
        <v>33.542175925925932</v>
      </c>
      <c r="O6" s="10">
        <f>((E7-E6)/$A$2)</f>
        <v>-0.152730787820203</v>
      </c>
      <c r="P6" s="10">
        <f>ATAN(O6)</f>
        <v>-0.15155956893708497</v>
      </c>
      <c r="Q6" s="10">
        <f>P6*(180/PI())</f>
        <v>-8.6837236449170216</v>
      </c>
      <c r="R6" s="10">
        <f>($K$2*$G$2*SIN(Q6))</f>
        <v>-3425.1045539960332</v>
      </c>
      <c r="S6" s="9">
        <f xml:space="preserve"> ($P$3*($K$2*$G$2))</f>
        <v>304.42392000000007</v>
      </c>
      <c r="T6" s="10">
        <f>(S6+R6+L6+K6)/1000</f>
        <v>-3.056277321496033</v>
      </c>
      <c r="U6" s="10">
        <f>(T6*G6)</f>
        <v>-34.807602828149264</v>
      </c>
      <c r="V6" s="30">
        <f>IF(U6&gt;13.4,G6-0.5,U6)</f>
        <v>-34.807602828149264</v>
      </c>
      <c r="W6" s="30">
        <f>IF(V6&gt;0,0,V6)</f>
        <v>-34.807602828149264</v>
      </c>
      <c r="X6" s="30">
        <f>W6</f>
        <v>-34.807602828149264</v>
      </c>
      <c r="Y6" s="31">
        <f>IF(V6&lt;0,0,V6)</f>
        <v>0</v>
      </c>
      <c r="Z6" s="31">
        <f>Y6</f>
        <v>0</v>
      </c>
      <c r="AA6" s="30">
        <f>V6/T6</f>
        <v>11.388888888888889</v>
      </c>
      <c r="AB6" s="9" cm="1">
        <f t="array" ref="AB6">_xlfn.IFS(AA6&lt;=4,1,AA6&lt;=8,2,AA6&gt;8,3)</f>
        <v>3</v>
      </c>
      <c r="AC6" s="32">
        <f>LOOKUP(AA6,$AP$5:$AP$46,$AQ$5:$AQ$46)</f>
        <v>3332.9</v>
      </c>
      <c r="AD6" s="9">
        <f>IF(V6&lt;0,1,MATCH(V6,BSFC!$P$21:$AD$21,1))</f>
        <v>1</v>
      </c>
      <c r="AE6" s="9">
        <f>MATCH(AC6,BSFC!$O$22:$O$36,1)</f>
        <v>6</v>
      </c>
      <c r="AF6" s="9" cm="1">
        <f t="array" ref="AF6">INDEX(BSFC!$P$22:$AD$36,AD6,AE6)</f>
        <v>557</v>
      </c>
      <c r="AG6" s="10">
        <f>IF(V6&lt;0,((V6=0)*AF6/760),V6*AF6/760)</f>
        <v>0</v>
      </c>
      <c r="AH6" s="31">
        <f>AG6/3600</f>
        <v>0</v>
      </c>
      <c r="AI6" s="31">
        <f>AH6</f>
        <v>0</v>
      </c>
      <c r="AJ6" s="31">
        <f>(AI6/0.72)*1000</f>
        <v>0</v>
      </c>
      <c r="AK6" s="20"/>
      <c r="AL6" s="20"/>
      <c r="AM6" s="20"/>
      <c r="AN6" s="20"/>
      <c r="AO6" s="20"/>
      <c r="AP6" s="9">
        <v>0.33</v>
      </c>
      <c r="AQ6" s="39">
        <v>1000</v>
      </c>
    </row>
    <row r="7" spans="1:44" x14ac:dyDescent="0.25">
      <c r="A7" s="9">
        <v>53.309570000000001</v>
      </c>
      <c r="B7" s="9">
        <v>-5.9990000000000002E-2</v>
      </c>
      <c r="C7" s="9">
        <v>104</v>
      </c>
      <c r="D7" s="10">
        <f t="shared" ref="D7:D38" si="1">D6+$A$2</f>
        <v>13.094936708860759</v>
      </c>
      <c r="E7" s="9">
        <f t="shared" ref="E7:E70" si="2">C7-101</f>
        <v>3</v>
      </c>
      <c r="F7" s="9">
        <v>41.5</v>
      </c>
      <c r="G7" s="10">
        <f t="shared" ref="G7:G70" si="3">F7/3.6</f>
        <v>11.527777777777777</v>
      </c>
      <c r="H7" s="10">
        <f t="shared" ref="H7:H70" si="4">(2*(D8-D7))/(G8+G7)</f>
        <v>1.1291442431592511</v>
      </c>
      <c r="I7" s="10">
        <f>I6+H7</f>
        <v>1.1291442431592511</v>
      </c>
      <c r="J7" s="10">
        <f>(G7-G6)/(I7-I6)</f>
        <v>0.12300367267541304</v>
      </c>
      <c r="K7" s="10">
        <f>J7*$K$2</f>
        <v>63.617499507723629</v>
      </c>
      <c r="L7" s="10">
        <f t="shared" ref="L7:L70" si="5">0.5*1.226*(G7^2)*$D$2*$E$2</f>
        <v>65.983703124999991</v>
      </c>
      <c r="M7" s="10">
        <f>($K$2*$G$2*E7)/1000</f>
        <v>15.221196000000004</v>
      </c>
      <c r="N7" s="10">
        <f>(0.5*$K$2*(G7^2))/1000</f>
        <v>34.365266203703698</v>
      </c>
      <c r="O7" s="10">
        <f t="shared" ref="O7:O38" si="6">(E8-E7)/$A$2</f>
        <v>0.38182696955050749</v>
      </c>
      <c r="P7" s="10">
        <f t="shared" ref="P7:P70" si="7">ATAN(O7)</f>
        <v>0.36474248385830815</v>
      </c>
      <c r="Q7" s="10">
        <f t="shared" ref="Q7:Q70" si="8">P7*(180/PI())</f>
        <v>20.898204934199612</v>
      </c>
      <c r="R7" s="10">
        <f>($K$2*$G$2*SIN(Q7))</f>
        <v>4505.3951804553253</v>
      </c>
      <c r="S7" s="9">
        <f xml:space="preserve"> ($P$3*($K$2*$G$2))</f>
        <v>304.42392000000007</v>
      </c>
      <c r="T7" s="10">
        <f t="shared" ref="T7:T70" si="9">(S7+R7+L7+K7)/1000</f>
        <v>4.939420303088049</v>
      </c>
      <c r="U7" s="10">
        <f t="shared" ref="U7:U70" si="10">(T7*G7)</f>
        <v>56.94053960504278</v>
      </c>
      <c r="V7" s="30">
        <f t="shared" ref="V7:V70" si="11">IF(U7&gt;13.4,G7-0.5,U7)</f>
        <v>11.027777777777777</v>
      </c>
      <c r="W7" s="30">
        <f t="shared" ref="W7:W70" si="12">IF(V7&gt;0,0,V7)</f>
        <v>0</v>
      </c>
      <c r="X7" s="30">
        <f>X6+W7</f>
        <v>-34.807602828149264</v>
      </c>
      <c r="Y7" s="31">
        <f t="shared" ref="Y7:Y70" si="13">IF(V7&lt;0,0,V7)</f>
        <v>11.027777777777777</v>
      </c>
      <c r="Z7" s="31">
        <f>Z6+Y7</f>
        <v>11.027777777777777</v>
      </c>
      <c r="AA7" s="30">
        <f t="shared" ref="AA7:AA70" si="14">V7/T7</f>
        <v>2.2326056705244097</v>
      </c>
      <c r="AB7" s="9" cm="1">
        <f t="array" ref="AB7">_xlfn.IFS(AA7&lt;=4,1,AA7&lt;=8,2,AA7&gt;8,3)</f>
        <v>1</v>
      </c>
      <c r="AC7" s="32">
        <f>LOOKUP(AA7,$AP$5:$AP$46,$AQ$5:$AQ$46)</f>
        <v>3500</v>
      </c>
      <c r="AD7" s="9">
        <f>IF(V7&lt;0,1,MATCH(V7,BSFC!$P$21:$AD$21,1))</f>
        <v>10</v>
      </c>
      <c r="AE7" s="9">
        <f>MATCH(AC7,BSFC!$O$22:$O$36,1)</f>
        <v>7</v>
      </c>
      <c r="AF7" s="9" cm="1">
        <f t="array" ref="AF7">INDEX(BSFC!$P$22:$AD$36,AD7,AE7)</f>
        <v>426</v>
      </c>
      <c r="AG7" s="10">
        <f>IF(V7&lt;0,((V7=0)*AF7/760),V7*AF7/760)</f>
        <v>6.1813596491228067</v>
      </c>
      <c r="AH7" s="31">
        <f t="shared" ref="AH7:AH70" si="15">AG7/3600</f>
        <v>1.7170443469785575E-3</v>
      </c>
      <c r="AI7" s="31">
        <f>AI6+AH7</f>
        <v>1.7170443469785575E-3</v>
      </c>
      <c r="AJ7" s="31">
        <f t="shared" ref="AJ7:AJ70" si="16">(AI7/0.72)*1000</f>
        <v>2.3847838152479963</v>
      </c>
      <c r="AK7" s="20"/>
      <c r="AL7" s="20"/>
      <c r="AM7" s="20"/>
      <c r="AN7" s="20"/>
      <c r="AO7" s="20"/>
      <c r="AP7" s="9">
        <v>0.66</v>
      </c>
      <c r="AQ7" s="39">
        <v>1500</v>
      </c>
    </row>
    <row r="8" spans="1:44" x14ac:dyDescent="0.25">
      <c r="A8" s="9">
        <v>53.309220000000003</v>
      </c>
      <c r="B8" s="9">
        <v>-6.0199999999999997E-2</v>
      </c>
      <c r="C8" s="9">
        <v>109</v>
      </c>
      <c r="D8" s="10">
        <f t="shared" si="1"/>
        <v>26.189873417721518</v>
      </c>
      <c r="E8" s="9">
        <f t="shared" si="2"/>
        <v>8</v>
      </c>
      <c r="F8" s="9">
        <v>42</v>
      </c>
      <c r="G8" s="10">
        <f t="shared" si="3"/>
        <v>11.666666666666666</v>
      </c>
      <c r="H8" s="10">
        <f t="shared" si="4"/>
        <v>1.0963202826022964</v>
      </c>
      <c r="I8" s="10">
        <f t="shared" ref="I8:I71" si="17">I7+H8</f>
        <v>2.2254645257615477</v>
      </c>
      <c r="J8" s="10">
        <f t="shared" ref="J8:J71" si="18">(G8-G7)/(I8-I7)</f>
        <v>0.12668641736629524</v>
      </c>
      <c r="K8" s="10">
        <f>J8*$K$2</f>
        <v>65.522215061847902</v>
      </c>
      <c r="L8" s="10">
        <f t="shared" si="5"/>
        <v>67.583249999999992</v>
      </c>
      <c r="M8" s="10">
        <f>($K$2*$G$2*E8)/1000</f>
        <v>40.589856000000005</v>
      </c>
      <c r="N8" s="10">
        <f>(0.5*$K$2*(G8^2))/1000</f>
        <v>35.198333333333331</v>
      </c>
      <c r="O8" s="10">
        <f t="shared" si="6"/>
        <v>0.45819236346060899</v>
      </c>
      <c r="P8" s="10">
        <f t="shared" si="7"/>
        <v>0.42964577553553529</v>
      </c>
      <c r="Q8" s="10">
        <f t="shared" si="8"/>
        <v>24.616889623811289</v>
      </c>
      <c r="R8" s="10">
        <f>($K$2*$G$2*SIN(Q8))</f>
        <v>-2502.7492919511924</v>
      </c>
      <c r="S8" s="9">
        <f xml:space="preserve"> ($P$3*($K$2*$G$2))</f>
        <v>304.42392000000007</v>
      </c>
      <c r="T8" s="10">
        <f t="shared" si="9"/>
        <v>-2.065219906889344</v>
      </c>
      <c r="U8" s="10">
        <f t="shared" si="10"/>
        <v>-24.094232247042346</v>
      </c>
      <c r="V8" s="30">
        <f t="shared" si="11"/>
        <v>-24.094232247042346</v>
      </c>
      <c r="W8" s="30">
        <f t="shared" si="12"/>
        <v>-24.094232247042346</v>
      </c>
      <c r="X8" s="30">
        <f t="shared" ref="X8:X71" si="19">X7+W8</f>
        <v>-58.901835075191613</v>
      </c>
      <c r="Y8" s="31">
        <f t="shared" si="13"/>
        <v>0</v>
      </c>
      <c r="Z8" s="31">
        <f t="shared" ref="Z8:Z71" si="20">Z7+Y8</f>
        <v>11.027777777777777</v>
      </c>
      <c r="AA8" s="30">
        <f t="shared" si="14"/>
        <v>11.666666666666666</v>
      </c>
      <c r="AB8" s="9" cm="1">
        <f t="array" ref="AB8">_xlfn.IFS(AA8&lt;=4,1,AA8&lt;=8,2,AA8&gt;8,3)</f>
        <v>3</v>
      </c>
      <c r="AC8" s="32">
        <f>LOOKUP(AA8,$AP$5:$AP$46,$AQ$5:$AQ$46)</f>
        <v>3332.9</v>
      </c>
      <c r="AD8" s="9">
        <f>IF(V8&lt;0,1,MATCH(V8,BSFC!$P$21:$AD$21,1))</f>
        <v>1</v>
      </c>
      <c r="AE8" s="9">
        <f>MATCH(AC8,BSFC!$O$22:$O$36,1)</f>
        <v>6</v>
      </c>
      <c r="AF8" s="9" cm="1">
        <f t="array" ref="AF8">INDEX(BSFC!$P$22:$AD$36,AD8,AE8)</f>
        <v>557</v>
      </c>
      <c r="AG8" s="10">
        <f>IF(V8&lt;0,((V8=0)*AF8/760),V8*AF8/760)</f>
        <v>0</v>
      </c>
      <c r="AH8" s="31">
        <f t="shared" si="15"/>
        <v>0</v>
      </c>
      <c r="AI8" s="31">
        <f>AI7+AH8</f>
        <v>1.7170443469785575E-3</v>
      </c>
      <c r="AJ8" s="31">
        <f t="shared" si="16"/>
        <v>2.3847838152479963</v>
      </c>
      <c r="AK8" s="20"/>
      <c r="AL8" s="20"/>
      <c r="AM8" s="20"/>
      <c r="AN8" s="20"/>
      <c r="AO8" s="20"/>
      <c r="AP8" s="9">
        <v>1</v>
      </c>
      <c r="AQ8" s="39">
        <v>2000</v>
      </c>
    </row>
    <row r="9" spans="1:44" x14ac:dyDescent="0.25">
      <c r="A9" s="9">
        <v>53.30894</v>
      </c>
      <c r="B9" s="9">
        <v>-6.0380000000000003E-2</v>
      </c>
      <c r="C9" s="9">
        <v>115</v>
      </c>
      <c r="D9" s="10">
        <f t="shared" si="1"/>
        <v>39.284810126582279</v>
      </c>
      <c r="E9" s="9">
        <f t="shared" si="2"/>
        <v>14</v>
      </c>
      <c r="F9" s="9">
        <v>44</v>
      </c>
      <c r="G9" s="10">
        <f t="shared" si="3"/>
        <v>12.222222222222221</v>
      </c>
      <c r="H9" s="10">
        <f t="shared" si="4"/>
        <v>1.0165560907383173</v>
      </c>
      <c r="I9" s="10">
        <f t="shared" si="17"/>
        <v>3.2420206164998651</v>
      </c>
      <c r="J9" s="10">
        <f t="shared" si="18"/>
        <v>0.54650752734367991</v>
      </c>
      <c r="K9" s="10">
        <f>J9*$K$2</f>
        <v>282.65369314215127</v>
      </c>
      <c r="L9" s="10">
        <f t="shared" si="5"/>
        <v>74.173000000000002</v>
      </c>
      <c r="M9" s="10">
        <f>($K$2*$G$2*E9)/1000</f>
        <v>71.03224800000001</v>
      </c>
      <c r="N9" s="10">
        <f>(0.5*$K$2*(G9^2))/1000</f>
        <v>38.630370370370372</v>
      </c>
      <c r="O9" s="10">
        <f t="shared" si="6"/>
        <v>0.38182696955050749</v>
      </c>
      <c r="P9" s="10">
        <f t="shared" si="7"/>
        <v>0.36474248385830815</v>
      </c>
      <c r="Q9" s="10">
        <f t="shared" si="8"/>
        <v>20.898204934199612</v>
      </c>
      <c r="R9" s="10">
        <f>($K$2*$G$2*SIN(Q9))</f>
        <v>4505.3951804553253</v>
      </c>
      <c r="S9" s="9">
        <f xml:space="preserve"> ($P$3*($K$2*$G$2))</f>
        <v>304.42392000000007</v>
      </c>
      <c r="T9" s="10">
        <f t="shared" si="9"/>
        <v>5.1666457935974766</v>
      </c>
      <c r="U9" s="10">
        <f t="shared" si="10"/>
        <v>63.147893032858043</v>
      </c>
      <c r="V9" s="30">
        <f t="shared" si="11"/>
        <v>11.722222222222221</v>
      </c>
      <c r="W9" s="30">
        <f t="shared" si="12"/>
        <v>0</v>
      </c>
      <c r="X9" s="30">
        <f t="shared" si="19"/>
        <v>-58.901835075191613</v>
      </c>
      <c r="Y9" s="31">
        <f t="shared" si="13"/>
        <v>11.722222222222221</v>
      </c>
      <c r="Z9" s="31">
        <f t="shared" si="20"/>
        <v>22.75</v>
      </c>
      <c r="AA9" s="30">
        <f t="shared" si="14"/>
        <v>2.2688263702436182</v>
      </c>
      <c r="AB9" s="9" cm="1">
        <f t="array" ref="AB9">_xlfn.IFS(AA9&lt;=4,1,AA9&lt;=8,2,AA9&gt;8,3)</f>
        <v>1</v>
      </c>
      <c r="AC9" s="32">
        <f>LOOKUP(AA9,$AP$5:$AP$46,$AQ$5:$AQ$46)</f>
        <v>3500</v>
      </c>
      <c r="AD9" s="9">
        <f>IF(V9&lt;0,1,MATCH(V9,BSFC!$P$21:$AD$21,1))</f>
        <v>10</v>
      </c>
      <c r="AE9" s="9">
        <f>MATCH(AC9,BSFC!$O$22:$O$36,1)</f>
        <v>7</v>
      </c>
      <c r="AF9" s="9" cm="1">
        <f t="array" ref="AF9">INDEX(BSFC!$P$22:$AD$36,AD9,AE9)</f>
        <v>426</v>
      </c>
      <c r="AG9" s="10">
        <f>IF(V9&lt;0,((V9=0)*AF9/760),V9*AF9/760)</f>
        <v>6.5706140350877185</v>
      </c>
      <c r="AH9" s="31">
        <f t="shared" si="15"/>
        <v>1.8251705653021439E-3</v>
      </c>
      <c r="AI9" s="31">
        <f t="shared" ref="AI9:AI72" si="21">AI8+AH9</f>
        <v>3.5422149122807016E-3</v>
      </c>
      <c r="AJ9" s="31">
        <f t="shared" si="16"/>
        <v>4.9197429337231968</v>
      </c>
      <c r="AK9" s="20"/>
      <c r="AL9" s="20"/>
      <c r="AM9" s="20"/>
      <c r="AN9" s="20"/>
      <c r="AO9" s="20"/>
      <c r="AP9" s="9">
        <v>1.33</v>
      </c>
      <c r="AQ9" s="39">
        <v>2500</v>
      </c>
    </row>
    <row r="10" spans="1:44" x14ac:dyDescent="0.25">
      <c r="A10" s="9">
        <v>53.30856</v>
      </c>
      <c r="B10" s="9">
        <v>-6.0539999999999997E-2</v>
      </c>
      <c r="C10" s="9">
        <v>120</v>
      </c>
      <c r="D10" s="10">
        <f t="shared" si="1"/>
        <v>52.379746835443036</v>
      </c>
      <c r="E10" s="9">
        <f t="shared" si="2"/>
        <v>19</v>
      </c>
      <c r="F10" s="9">
        <v>48.747999999999998</v>
      </c>
      <c r="G10" s="10">
        <f t="shared" si="3"/>
        <v>13.54111111111111</v>
      </c>
      <c r="H10" s="10">
        <f t="shared" si="4"/>
        <v>0.96705038467011473</v>
      </c>
      <c r="I10" s="10">
        <f t="shared" si="17"/>
        <v>4.2090710011699795</v>
      </c>
      <c r="J10" s="10">
        <f t="shared" si="18"/>
        <v>1.3638264456497742</v>
      </c>
      <c r="K10" s="10">
        <f>J10*$K$2</f>
        <v>705.3710376900633</v>
      </c>
      <c r="L10" s="10">
        <f t="shared" si="5"/>
        <v>91.044579996999985</v>
      </c>
      <c r="M10" s="10">
        <f>($K$2*$G$2*E10)/1000</f>
        <v>96.400908000000015</v>
      </c>
      <c r="N10" s="10">
        <f>(0.5*$K$2*(G10^2))/1000</f>
        <v>47.417333065925931</v>
      </c>
      <c r="O10" s="10">
        <f t="shared" si="6"/>
        <v>0.22909618173030449</v>
      </c>
      <c r="P10" s="10">
        <f t="shared" si="7"/>
        <v>0.22520981023036191</v>
      </c>
      <c r="Q10" s="10">
        <f t="shared" si="8"/>
        <v>12.903571631141928</v>
      </c>
      <c r="R10" s="10">
        <f>($K$2*$G$2*SIN(Q10))</f>
        <v>1678.6291874694264</v>
      </c>
      <c r="S10" s="9">
        <f xml:space="preserve"> ($P$3*($K$2*$G$2))</f>
        <v>304.42392000000007</v>
      </c>
      <c r="T10" s="10">
        <f t="shared" si="9"/>
        <v>2.7794687251564891</v>
      </c>
      <c r="U10" s="10">
        <f t="shared" si="10"/>
        <v>37.637094837202369</v>
      </c>
      <c r="V10" s="30">
        <f t="shared" si="11"/>
        <v>13.04111111111111</v>
      </c>
      <c r="W10" s="30">
        <f t="shared" si="12"/>
        <v>0</v>
      </c>
      <c r="X10" s="30">
        <f t="shared" si="19"/>
        <v>-58.901835075191613</v>
      </c>
      <c r="Y10" s="31">
        <f t="shared" si="13"/>
        <v>13.04111111111111</v>
      </c>
      <c r="Z10" s="31">
        <f t="shared" si="20"/>
        <v>35.791111111111107</v>
      </c>
      <c r="AA10" s="30">
        <f t="shared" si="14"/>
        <v>4.6919438211620363</v>
      </c>
      <c r="AB10" s="9" cm="1">
        <f t="array" ref="AB10">_xlfn.IFS(AA10&lt;=4,1,AA10&lt;=8,2,AA10&gt;8,3)</f>
        <v>2</v>
      </c>
      <c r="AC10" s="32">
        <f>LOOKUP(AA10,$AP$5:$AP$46,$AQ$5:$AQ$46)</f>
        <v>1000</v>
      </c>
      <c r="AD10" s="9">
        <f>IF(V10&lt;0,1,MATCH(V10,BSFC!$P$21:$AD$21,1))</f>
        <v>11</v>
      </c>
      <c r="AE10" s="9">
        <f>MATCH(AC10,BSFC!$O$22:$O$36,1)</f>
        <v>2</v>
      </c>
      <c r="AF10" s="9" cm="1">
        <f t="array" ref="AF10">INDEX(BSFC!$P$22:$AD$36,AD10,AE10)</f>
        <v>525</v>
      </c>
      <c r="AG10" s="10">
        <f>IF(V10&lt;0,((V10=0)*AF10/760),V10*AF10/760)</f>
        <v>9.0086622807017545</v>
      </c>
      <c r="AH10" s="31">
        <f t="shared" si="15"/>
        <v>2.5024061890838206E-3</v>
      </c>
      <c r="AI10" s="31">
        <f>AI9+AH10</f>
        <v>6.0446211013645227E-3</v>
      </c>
      <c r="AJ10" s="31">
        <f t="shared" si="16"/>
        <v>8.3953070852285041</v>
      </c>
      <c r="AK10" s="20"/>
      <c r="AL10" s="20"/>
      <c r="AM10" s="20"/>
      <c r="AN10" s="20"/>
      <c r="AO10" s="20"/>
      <c r="AP10" s="31">
        <v>1.66</v>
      </c>
      <c r="AQ10" s="39">
        <v>3000</v>
      </c>
      <c r="AR10" s="12"/>
    </row>
    <row r="11" spans="1:44" x14ac:dyDescent="0.25">
      <c r="A11" s="9">
        <v>53.30829</v>
      </c>
      <c r="B11" s="9">
        <v>-6.0720000000000003E-2</v>
      </c>
      <c r="C11" s="9">
        <v>123</v>
      </c>
      <c r="D11" s="10">
        <f t="shared" si="1"/>
        <v>65.474683544303801</v>
      </c>
      <c r="E11" s="9">
        <f t="shared" si="2"/>
        <v>22</v>
      </c>
      <c r="F11" s="9">
        <v>48.747999999999998</v>
      </c>
      <c r="G11" s="10">
        <f t="shared" si="3"/>
        <v>13.54111111111111</v>
      </c>
      <c r="H11" s="10">
        <f t="shared" si="4"/>
        <v>0.96705038467011428</v>
      </c>
      <c r="I11" s="10">
        <f t="shared" si="17"/>
        <v>5.1761213858400934</v>
      </c>
      <c r="J11" s="10">
        <f t="shared" si="18"/>
        <v>0</v>
      </c>
      <c r="K11" s="10">
        <f>J11*$K$2</f>
        <v>0</v>
      </c>
      <c r="L11" s="10">
        <f t="shared" si="5"/>
        <v>91.044579996999985</v>
      </c>
      <c r="M11" s="10">
        <f>($K$2*$G$2*E11)/1000</f>
        <v>111.62210400000002</v>
      </c>
      <c r="N11" s="10">
        <f>(0.5*$K$2*(G11^2))/1000</f>
        <v>47.417333065925931</v>
      </c>
      <c r="O11" s="10">
        <f t="shared" si="6"/>
        <v>-7.6365393910101498E-2</v>
      </c>
      <c r="P11" s="10">
        <f t="shared" si="7"/>
        <v>-7.6217465157670902E-2</v>
      </c>
      <c r="Q11" s="10">
        <f t="shared" si="8"/>
        <v>-4.3669390787199465</v>
      </c>
      <c r="R11" s="10">
        <f>($K$2*$G$2*SIN(Q11))</f>
        <v>4773.9921601452697</v>
      </c>
      <c r="S11" s="9">
        <f xml:space="preserve"> ($P$3*($K$2*$G$2))</f>
        <v>304.42392000000007</v>
      </c>
      <c r="T11" s="10">
        <f t="shared" si="9"/>
        <v>5.1694606601422706</v>
      </c>
      <c r="U11" s="10">
        <f t="shared" si="10"/>
        <v>70.000241183504272</v>
      </c>
      <c r="V11" s="30">
        <f t="shared" si="11"/>
        <v>13.04111111111111</v>
      </c>
      <c r="W11" s="30">
        <f t="shared" si="12"/>
        <v>0</v>
      </c>
      <c r="X11" s="30">
        <f t="shared" si="19"/>
        <v>-58.901835075191613</v>
      </c>
      <c r="Y11" s="31">
        <f t="shared" si="13"/>
        <v>13.04111111111111</v>
      </c>
      <c r="Z11" s="31">
        <f t="shared" si="20"/>
        <v>48.832222222222214</v>
      </c>
      <c r="AA11" s="30">
        <f t="shared" si="14"/>
        <v>2.5227218018430961</v>
      </c>
      <c r="AB11" s="9" cm="1">
        <f t="array" ref="AB11">_xlfn.IFS(AA11&lt;=4,1,AA11&lt;=8,2,AA11&gt;8,3)</f>
        <v>1</v>
      </c>
      <c r="AC11" s="32">
        <f>LOOKUP(AA11,$AP$5:$AP$46,$AQ$5:$AQ$46)</f>
        <v>4000</v>
      </c>
      <c r="AD11" s="9">
        <f>IF(V11&lt;0,1,MATCH(V11,BSFC!$P$21:$AD$21,1))</f>
        <v>11</v>
      </c>
      <c r="AE11" s="9">
        <f>MATCH(AC11,BSFC!$O$22:$O$36,1)</f>
        <v>8</v>
      </c>
      <c r="AF11" s="9" cm="1">
        <f t="array" ref="AF11">INDEX(BSFC!$P$22:$AD$36,AD11,AE11)</f>
        <v>431</v>
      </c>
      <c r="AG11" s="10">
        <f>IF(V11&lt;0,((V11=0)*AF11/760),V11*AF11/760)</f>
        <v>7.395682748538011</v>
      </c>
      <c r="AH11" s="31">
        <f t="shared" si="15"/>
        <v>2.0543563190383364E-3</v>
      </c>
      <c r="AI11" s="31">
        <f>AI10+AH11</f>
        <v>8.0989774204028586E-3</v>
      </c>
      <c r="AJ11" s="31">
        <f t="shared" si="16"/>
        <v>11.248579750559525</v>
      </c>
      <c r="AK11" s="20"/>
      <c r="AL11" s="20"/>
      <c r="AM11" s="20"/>
      <c r="AN11" s="20"/>
      <c r="AO11" s="20"/>
      <c r="AP11" s="9">
        <v>2</v>
      </c>
      <c r="AQ11" s="39">
        <v>3500</v>
      </c>
    </row>
    <row r="12" spans="1:44" x14ac:dyDescent="0.25">
      <c r="A12" s="9">
        <v>53.308070000000001</v>
      </c>
      <c r="B12" s="9">
        <v>-6.0839999999999998E-2</v>
      </c>
      <c r="C12" s="9">
        <v>122</v>
      </c>
      <c r="D12" s="10">
        <f t="shared" si="1"/>
        <v>78.569620253164558</v>
      </c>
      <c r="E12" s="9">
        <f t="shared" si="2"/>
        <v>21</v>
      </c>
      <c r="F12" s="9">
        <v>48.747999999999998</v>
      </c>
      <c r="G12" s="10">
        <f t="shared" si="3"/>
        <v>13.54111111111111</v>
      </c>
      <c r="H12" s="10">
        <f t="shared" si="4"/>
        <v>1.0355366872836027</v>
      </c>
      <c r="I12" s="10">
        <f t="shared" si="17"/>
        <v>6.2116580731236963</v>
      </c>
      <c r="J12" s="10">
        <f t="shared" si="18"/>
        <v>0</v>
      </c>
      <c r="K12" s="10">
        <f>J12*$K$2</f>
        <v>0</v>
      </c>
      <c r="L12" s="10">
        <f t="shared" si="5"/>
        <v>91.044579996999985</v>
      </c>
      <c r="M12" s="10">
        <f>($K$2*$G$2*E12)/1000</f>
        <v>106.54837200000001</v>
      </c>
      <c r="N12" s="10">
        <f>(0.5*$K$2*(G12^2))/1000</f>
        <v>47.417333065925931</v>
      </c>
      <c r="O12" s="10">
        <f t="shared" si="6"/>
        <v>-7.6365393910101498E-2</v>
      </c>
      <c r="P12" s="10">
        <f t="shared" si="7"/>
        <v>-7.6217465157670902E-2</v>
      </c>
      <c r="Q12" s="10">
        <f t="shared" si="8"/>
        <v>-4.3669390787199465</v>
      </c>
      <c r="R12" s="10">
        <f>($K$2*$G$2*SIN(Q12))</f>
        <v>4773.9921601452697</v>
      </c>
      <c r="S12" s="9">
        <f xml:space="preserve"> ($P$3*($K$2*$G$2))</f>
        <v>304.42392000000007</v>
      </c>
      <c r="T12" s="10">
        <f t="shared" si="9"/>
        <v>5.1694606601422706</v>
      </c>
      <c r="U12" s="10">
        <f t="shared" si="10"/>
        <v>70.000241183504272</v>
      </c>
      <c r="V12" s="30">
        <f t="shared" si="11"/>
        <v>13.04111111111111</v>
      </c>
      <c r="W12" s="30">
        <f t="shared" si="12"/>
        <v>0</v>
      </c>
      <c r="X12" s="30">
        <f t="shared" si="19"/>
        <v>-58.901835075191613</v>
      </c>
      <c r="Y12" s="31">
        <f t="shared" si="13"/>
        <v>13.04111111111111</v>
      </c>
      <c r="Z12" s="31">
        <f t="shared" si="20"/>
        <v>61.873333333333321</v>
      </c>
      <c r="AA12" s="30">
        <f t="shared" si="14"/>
        <v>2.5227218018430961</v>
      </c>
      <c r="AB12" s="9" cm="1">
        <f t="array" ref="AB12">_xlfn.IFS(AA12&lt;=4,1,AA12&lt;=8,2,AA12&gt;8,3)</f>
        <v>1</v>
      </c>
      <c r="AC12" s="32">
        <f>LOOKUP(AA12,$AP$5:$AP$46,$AQ$5:$AQ$46)</f>
        <v>4000</v>
      </c>
      <c r="AD12" s="9">
        <f>IF(V12&lt;0,1,MATCH(V12,BSFC!$P$21:$AD$21,1))</f>
        <v>11</v>
      </c>
      <c r="AE12" s="9">
        <f>MATCH(AC12,BSFC!$O$22:$O$36,1)</f>
        <v>8</v>
      </c>
      <c r="AF12" s="9" cm="1">
        <f t="array" ref="AF12">INDEX(BSFC!$P$22:$AD$36,AD12,AE12)</f>
        <v>431</v>
      </c>
      <c r="AG12" s="10">
        <f>IF(V12&lt;0,((V12=0)*AF12/760),V12*AF12/760)</f>
        <v>7.395682748538011</v>
      </c>
      <c r="AH12" s="31">
        <f t="shared" si="15"/>
        <v>2.0543563190383364E-3</v>
      </c>
      <c r="AI12" s="31">
        <f t="shared" si="21"/>
        <v>1.0153333739441195E-2</v>
      </c>
      <c r="AJ12" s="31">
        <f t="shared" si="16"/>
        <v>14.10185241589055</v>
      </c>
      <c r="AK12" s="20"/>
      <c r="AL12" s="20"/>
      <c r="AM12" s="20"/>
      <c r="AN12" s="20"/>
      <c r="AO12" s="20"/>
      <c r="AP12" s="9">
        <v>2.33</v>
      </c>
      <c r="AQ12" s="39">
        <v>4000</v>
      </c>
    </row>
    <row r="13" spans="1:44" x14ac:dyDescent="0.25">
      <c r="A13" s="9">
        <v>53.307870000000001</v>
      </c>
      <c r="B13" s="9">
        <v>-6.0949999999999997E-2</v>
      </c>
      <c r="C13" s="9">
        <v>121</v>
      </c>
      <c r="D13" s="10">
        <f t="shared" si="1"/>
        <v>91.664556962025316</v>
      </c>
      <c r="E13" s="9">
        <f t="shared" si="2"/>
        <v>20</v>
      </c>
      <c r="F13" s="9">
        <v>42.3</v>
      </c>
      <c r="G13" s="10">
        <f t="shared" si="3"/>
        <v>11.749999999999998</v>
      </c>
      <c r="H13" s="10">
        <f t="shared" si="4"/>
        <v>1.2041321111596099</v>
      </c>
      <c r="I13" s="10">
        <f t="shared" si="17"/>
        <v>7.4157901842833063</v>
      </c>
      <c r="J13" s="10">
        <f t="shared" si="18"/>
        <v>-1.4874705977122613</v>
      </c>
      <c r="K13" s="10">
        <f>J13*$K$2</f>
        <v>-769.31979313678164</v>
      </c>
      <c r="L13" s="10">
        <f t="shared" si="5"/>
        <v>68.552173124999996</v>
      </c>
      <c r="M13" s="10">
        <f>($K$2*$G$2*E13)/1000</f>
        <v>101.47464000000001</v>
      </c>
      <c r="N13" s="10">
        <f>(0.5*$K$2*(G13^2))/1000</f>
        <v>35.702962499999991</v>
      </c>
      <c r="O13" s="10">
        <f t="shared" si="6"/>
        <v>0</v>
      </c>
      <c r="P13" s="10">
        <f t="shared" si="7"/>
        <v>0</v>
      </c>
      <c r="Q13" s="10">
        <f t="shared" si="8"/>
        <v>0</v>
      </c>
      <c r="R13" s="10">
        <f>($K$2*$G$2*SIN(Q13))</f>
        <v>0</v>
      </c>
      <c r="S13" s="9">
        <f xml:space="preserve"> ($P$3*($K$2*$G$2))</f>
        <v>304.42392000000007</v>
      </c>
      <c r="T13" s="10">
        <f t="shared" si="9"/>
        <v>-0.3963437000117816</v>
      </c>
      <c r="U13" s="10">
        <f t="shared" si="10"/>
        <v>-4.6570384751384335</v>
      </c>
      <c r="V13" s="30">
        <f t="shared" si="11"/>
        <v>-4.6570384751384335</v>
      </c>
      <c r="W13" s="30">
        <f t="shared" si="12"/>
        <v>-4.6570384751384335</v>
      </c>
      <c r="X13" s="30">
        <f t="shared" si="19"/>
        <v>-63.558873550330048</v>
      </c>
      <c r="Y13" s="31">
        <f t="shared" si="13"/>
        <v>0</v>
      </c>
      <c r="Z13" s="31">
        <f t="shared" si="20"/>
        <v>61.873333333333321</v>
      </c>
      <c r="AA13" s="30">
        <f t="shared" si="14"/>
        <v>11.75</v>
      </c>
      <c r="AB13" s="9" cm="1">
        <f t="array" ref="AB13">_xlfn.IFS(AA13&lt;=4,1,AA13&lt;=8,2,AA13&gt;8,3)</f>
        <v>3</v>
      </c>
      <c r="AC13" s="32">
        <f>LOOKUP(AA13,$AP$5:$AP$46,$AQ$5:$AQ$46)</f>
        <v>3666.2</v>
      </c>
      <c r="AD13" s="9">
        <f>IF(V13&lt;0,1,MATCH(V13,BSFC!$P$21:$AD$21,1))</f>
        <v>1</v>
      </c>
      <c r="AE13" s="9">
        <f>MATCH(AC13,BSFC!$O$22:$O$36,1)</f>
        <v>7</v>
      </c>
      <c r="AF13" s="9" cm="1">
        <f t="array" ref="AF13">INDEX(BSFC!$P$22:$AD$36,AD13,AE13)</f>
        <v>544</v>
      </c>
      <c r="AG13" s="10">
        <f>IF(V13&lt;0,((V13=0)*AF13/760),V13*AF13/760)</f>
        <v>0</v>
      </c>
      <c r="AH13" s="31">
        <f t="shared" si="15"/>
        <v>0</v>
      </c>
      <c r="AI13" s="31">
        <f t="shared" si="21"/>
        <v>1.0153333739441195E-2</v>
      </c>
      <c r="AJ13" s="31">
        <f t="shared" si="16"/>
        <v>14.10185241589055</v>
      </c>
      <c r="AK13" s="20"/>
      <c r="AL13" s="20"/>
      <c r="AM13" s="20"/>
      <c r="AN13" s="20"/>
      <c r="AO13" s="20"/>
      <c r="AP13" s="9">
        <v>2.66</v>
      </c>
      <c r="AQ13" s="39">
        <v>4500</v>
      </c>
    </row>
    <row r="14" spans="1:44" x14ac:dyDescent="0.25">
      <c r="A14" s="9">
        <v>53.307600000000001</v>
      </c>
      <c r="B14" s="9">
        <v>-6.1030000000000001E-2</v>
      </c>
      <c r="C14" s="9">
        <v>121</v>
      </c>
      <c r="D14" s="10">
        <f t="shared" si="1"/>
        <v>104.75949367088607</v>
      </c>
      <c r="E14" s="9">
        <f t="shared" si="2"/>
        <v>20</v>
      </c>
      <c r="F14" s="9">
        <v>36</v>
      </c>
      <c r="G14" s="10">
        <f t="shared" si="3"/>
        <v>10</v>
      </c>
      <c r="H14" s="10">
        <f t="shared" si="4"/>
        <v>1.571392405063291</v>
      </c>
      <c r="I14" s="10">
        <f t="shared" si="17"/>
        <v>8.9871825893465971</v>
      </c>
      <c r="J14" s="10">
        <f t="shared" si="18"/>
        <v>-1.1136619945223125</v>
      </c>
      <c r="K14" s="10">
        <f>J14*$K$2</f>
        <v>-575.98598356694004</v>
      </c>
      <c r="L14" s="10">
        <f t="shared" si="5"/>
        <v>49.652999999999999</v>
      </c>
      <c r="M14" s="10">
        <f>($K$2*$G$2*E14)/1000</f>
        <v>101.47464000000001</v>
      </c>
      <c r="N14" s="10">
        <f>(0.5*$K$2*(G14^2))/1000</f>
        <v>25.860000000000003</v>
      </c>
      <c r="O14" s="10">
        <f t="shared" si="6"/>
        <v>0</v>
      </c>
      <c r="P14" s="10">
        <f t="shared" si="7"/>
        <v>0</v>
      </c>
      <c r="Q14" s="10">
        <f t="shared" si="8"/>
        <v>0</v>
      </c>
      <c r="R14" s="10">
        <f>($K$2*$G$2*SIN(Q14))</f>
        <v>0</v>
      </c>
      <c r="S14" s="9">
        <f xml:space="preserve"> ($P$3*($K$2*$G$2))</f>
        <v>304.42392000000007</v>
      </c>
      <c r="T14" s="10">
        <f t="shared" si="9"/>
        <v>-0.22190906356693996</v>
      </c>
      <c r="U14" s="10">
        <f t="shared" si="10"/>
        <v>-2.2190906356693993</v>
      </c>
      <c r="V14" s="30">
        <f t="shared" si="11"/>
        <v>-2.2190906356693993</v>
      </c>
      <c r="W14" s="30">
        <f t="shared" si="12"/>
        <v>-2.2190906356693993</v>
      </c>
      <c r="X14" s="30">
        <f t="shared" si="19"/>
        <v>-65.777964185999451</v>
      </c>
      <c r="Y14" s="31">
        <f t="shared" si="13"/>
        <v>0</v>
      </c>
      <c r="Z14" s="31">
        <f t="shared" si="20"/>
        <v>61.873333333333321</v>
      </c>
      <c r="AA14" s="30">
        <f t="shared" si="14"/>
        <v>9.9999999999999982</v>
      </c>
      <c r="AB14" s="9" cm="1">
        <f t="array" ref="AB14">_xlfn.IFS(AA14&lt;=4,1,AA14&lt;=8,2,AA14&gt;8,3)</f>
        <v>3</v>
      </c>
      <c r="AC14" s="32">
        <f>LOOKUP(AA14,$AP$5:$AP$46,$AQ$5:$AQ$46)</f>
        <v>1666</v>
      </c>
      <c r="AD14" s="9">
        <f>IF(V14&lt;0,1,MATCH(V14,BSFC!$P$21:$AD$21,1))</f>
        <v>1</v>
      </c>
      <c r="AE14" s="9">
        <f>MATCH(AC14,BSFC!$O$22:$O$36,1)</f>
        <v>3</v>
      </c>
      <c r="AF14" s="9" cm="1">
        <f t="array" ref="AF14">INDEX(BSFC!$P$22:$AD$36,AD14,AE14)</f>
        <v>584</v>
      </c>
      <c r="AG14" s="10">
        <f>IF(V14&lt;0,((V14=0)*AF14/760),V14*AF14/760)</f>
        <v>0</v>
      </c>
      <c r="AH14" s="31">
        <f t="shared" si="15"/>
        <v>0</v>
      </c>
      <c r="AI14" s="31">
        <f t="shared" si="21"/>
        <v>1.0153333739441195E-2</v>
      </c>
      <c r="AJ14" s="31">
        <f t="shared" si="16"/>
        <v>14.10185241589055</v>
      </c>
      <c r="AK14" s="20"/>
      <c r="AL14" s="20"/>
      <c r="AM14" s="20"/>
      <c r="AN14" s="20"/>
      <c r="AO14" s="20"/>
      <c r="AP14" s="9">
        <v>3</v>
      </c>
      <c r="AQ14" s="39">
        <v>5000</v>
      </c>
    </row>
    <row r="15" spans="1:44" x14ac:dyDescent="0.25">
      <c r="A15" s="9">
        <v>53.307470000000002</v>
      </c>
      <c r="B15" s="9">
        <v>-6.0999999999999999E-2</v>
      </c>
      <c r="C15" s="9">
        <v>121</v>
      </c>
      <c r="D15" s="10">
        <f t="shared" si="1"/>
        <v>117.85443037974683</v>
      </c>
      <c r="E15" s="9">
        <f t="shared" si="2"/>
        <v>20</v>
      </c>
      <c r="F15" s="9">
        <v>24</v>
      </c>
      <c r="G15" s="10">
        <f t="shared" si="3"/>
        <v>6.6666666666666661</v>
      </c>
      <c r="H15" s="10">
        <f t="shared" si="4"/>
        <v>1.7142462600690465</v>
      </c>
      <c r="I15" s="10">
        <f t="shared" si="17"/>
        <v>10.701428849415644</v>
      </c>
      <c r="J15" s="10">
        <f t="shared" si="18"/>
        <v>-1.9444891967849904</v>
      </c>
      <c r="K15" s="10">
        <f>J15*$K$2</f>
        <v>-1005.6898125771971</v>
      </c>
      <c r="L15" s="10">
        <f t="shared" si="5"/>
        <v>22.067999999999998</v>
      </c>
      <c r="M15" s="10">
        <f>($K$2*$G$2*E15)/1000</f>
        <v>101.47464000000001</v>
      </c>
      <c r="N15" s="10">
        <f>(0.5*$K$2*(G15^2))/1000</f>
        <v>11.493333333333332</v>
      </c>
      <c r="O15" s="10">
        <f t="shared" si="6"/>
        <v>0.152730787820203</v>
      </c>
      <c r="P15" s="10">
        <f t="shared" si="7"/>
        <v>0.15155956893708497</v>
      </c>
      <c r="Q15" s="10">
        <f t="shared" si="8"/>
        <v>8.6837236449170216</v>
      </c>
      <c r="R15" s="10">
        <f>($K$2*$G$2*SIN(Q15))</f>
        <v>3425.1045539960332</v>
      </c>
      <c r="S15" s="9">
        <f xml:space="preserve"> ($P$3*($K$2*$G$2))</f>
        <v>304.42392000000007</v>
      </c>
      <c r="T15" s="10">
        <f t="shared" si="9"/>
        <v>2.7459066614188363</v>
      </c>
      <c r="U15" s="10">
        <f t="shared" si="10"/>
        <v>18.306044409458906</v>
      </c>
      <c r="V15" s="30">
        <f t="shared" si="11"/>
        <v>6.1666666666666661</v>
      </c>
      <c r="W15" s="30">
        <f t="shared" si="12"/>
        <v>0</v>
      </c>
      <c r="X15" s="30">
        <f t="shared" si="19"/>
        <v>-65.777964185999451</v>
      </c>
      <c r="Y15" s="31">
        <f t="shared" si="13"/>
        <v>6.1666666666666661</v>
      </c>
      <c r="Z15" s="31">
        <f t="shared" si="20"/>
        <v>68.039999999999992</v>
      </c>
      <c r="AA15" s="30">
        <f t="shared" si="14"/>
        <v>2.2457670369175222</v>
      </c>
      <c r="AB15" s="9" cm="1">
        <f t="array" ref="AB15">_xlfn.IFS(AA15&lt;=4,1,AA15&lt;=8,2,AA15&gt;8,3)</f>
        <v>1</v>
      </c>
      <c r="AC15" s="32">
        <f>LOOKUP(AA15,$AP$5:$AP$46,$AQ$5:$AQ$46)</f>
        <v>3500</v>
      </c>
      <c r="AD15" s="9">
        <f>IF(V15&lt;0,1,MATCH(V15,BSFC!$P$21:$AD$21,1))</f>
        <v>6</v>
      </c>
      <c r="AE15" s="9">
        <f>MATCH(AC15,BSFC!$O$22:$O$36,1)</f>
        <v>7</v>
      </c>
      <c r="AF15" s="9" cm="1">
        <f t="array" ref="AF15">INDEX(BSFC!$P$22:$AD$36,AD15,AE15)</f>
        <v>446</v>
      </c>
      <c r="AG15" s="10">
        <f>IF(V15&lt;0,((V15=0)*AF15/760),V15*AF15/760)</f>
        <v>3.6188596491228067</v>
      </c>
      <c r="AH15" s="31">
        <f t="shared" si="15"/>
        <v>1.0052387914230019E-3</v>
      </c>
      <c r="AI15" s="31">
        <f t="shared" si="21"/>
        <v>1.1158572530864197E-2</v>
      </c>
      <c r="AJ15" s="31">
        <f t="shared" si="16"/>
        <v>15.498017403978052</v>
      </c>
      <c r="AK15" s="20"/>
      <c r="AL15" s="20"/>
      <c r="AM15" s="20"/>
      <c r="AN15" s="20"/>
      <c r="AO15" s="20"/>
      <c r="AP15" s="9">
        <v>3.33</v>
      </c>
      <c r="AQ15" s="39">
        <v>5500</v>
      </c>
    </row>
    <row r="16" spans="1:44" x14ac:dyDescent="0.25">
      <c r="A16" s="9">
        <v>53.307169999999999</v>
      </c>
      <c r="B16" s="9">
        <v>-6.0850000000000001E-2</v>
      </c>
      <c r="C16" s="9">
        <v>123</v>
      </c>
      <c r="D16" s="10">
        <f t="shared" si="1"/>
        <v>130.9493670886076</v>
      </c>
      <c r="E16" s="9">
        <f t="shared" si="2"/>
        <v>22</v>
      </c>
      <c r="F16" s="9">
        <v>31</v>
      </c>
      <c r="G16" s="10">
        <f t="shared" si="3"/>
        <v>8.6111111111111107</v>
      </c>
      <c r="H16" s="10">
        <f t="shared" si="4"/>
        <v>1.3664281783159054</v>
      </c>
      <c r="I16" s="10">
        <f t="shared" si="17"/>
        <v>12.067857027731549</v>
      </c>
      <c r="J16" s="10">
        <f t="shared" si="18"/>
        <v>1.4230125485562899</v>
      </c>
      <c r="K16" s="10">
        <f>J16*$K$2</f>
        <v>735.98209011331323</v>
      </c>
      <c r="L16" s="10">
        <f t="shared" si="5"/>
        <v>36.818312499999998</v>
      </c>
      <c r="M16" s="10">
        <f>($K$2*$G$2*E16)/1000</f>
        <v>111.62210400000002</v>
      </c>
      <c r="N16" s="10">
        <f>(0.5*$K$2*(G16^2))/1000</f>
        <v>19.175509259259258</v>
      </c>
      <c r="O16" s="10">
        <f t="shared" si="6"/>
        <v>7.6365393910101498E-2</v>
      </c>
      <c r="P16" s="10">
        <f t="shared" si="7"/>
        <v>7.6217465157670902E-2</v>
      </c>
      <c r="Q16" s="10">
        <f t="shared" si="8"/>
        <v>4.3669390787199465</v>
      </c>
      <c r="R16" s="10">
        <f>($K$2*$G$2*SIN(Q16))</f>
        <v>-4773.9921601452697</v>
      </c>
      <c r="S16" s="9">
        <f xml:space="preserve"> ($P$3*($K$2*$G$2))</f>
        <v>304.42392000000007</v>
      </c>
      <c r="T16" s="10">
        <f t="shared" si="9"/>
        <v>-3.6967678375319566</v>
      </c>
      <c r="U16" s="10">
        <f t="shared" si="10"/>
        <v>-31.833278600969624</v>
      </c>
      <c r="V16" s="30">
        <f t="shared" si="11"/>
        <v>-31.833278600969624</v>
      </c>
      <c r="W16" s="30">
        <f t="shared" si="12"/>
        <v>-31.833278600969624</v>
      </c>
      <c r="X16" s="30">
        <f t="shared" si="19"/>
        <v>-97.611242786969072</v>
      </c>
      <c r="Y16" s="31">
        <f t="shared" si="13"/>
        <v>0</v>
      </c>
      <c r="Z16" s="31">
        <f t="shared" si="20"/>
        <v>68.039999999999992</v>
      </c>
      <c r="AA16" s="30">
        <f t="shared" si="14"/>
        <v>8.6111111111111107</v>
      </c>
      <c r="AB16" s="9" cm="1">
        <f t="array" ref="AB16">_xlfn.IFS(AA16&lt;=4,1,AA16&lt;=8,2,AA16&gt;8,3)</f>
        <v>3</v>
      </c>
      <c r="AC16" s="32">
        <v>500</v>
      </c>
      <c r="AD16" s="9">
        <f>IF(V16&lt;0,1,MATCH(V16,BSFC!$P$21:$AD$21,1))</f>
        <v>1</v>
      </c>
      <c r="AE16" s="9">
        <f>MATCH(AC16,BSFC!$O$22:$O$36,1)</f>
        <v>1</v>
      </c>
      <c r="AF16" s="9" cm="1">
        <f t="array" ref="AF16">INDEX(BSFC!$P$22:$AD$36,AD16,AE16)</f>
        <v>600</v>
      </c>
      <c r="AG16" s="10">
        <f>IF(V16&lt;0,((V16=0)*AF16/760),V16*AF16/760)</f>
        <v>0</v>
      </c>
      <c r="AH16" s="31">
        <f t="shared" si="15"/>
        <v>0</v>
      </c>
      <c r="AI16" s="31">
        <f t="shared" si="21"/>
        <v>1.1158572530864197E-2</v>
      </c>
      <c r="AJ16" s="31">
        <f t="shared" si="16"/>
        <v>15.498017403978052</v>
      </c>
      <c r="AK16" s="20"/>
      <c r="AL16" s="20"/>
      <c r="AM16" s="20"/>
      <c r="AN16" s="20"/>
      <c r="AO16" s="20"/>
      <c r="AP16" s="9">
        <v>3.66</v>
      </c>
      <c r="AQ16" s="39">
        <v>6000</v>
      </c>
    </row>
    <row r="17" spans="1:43" x14ac:dyDescent="0.25">
      <c r="A17" s="9">
        <v>53.306840000000001</v>
      </c>
      <c r="B17" s="9">
        <v>-6.0580000000000002E-2</v>
      </c>
      <c r="C17" s="9">
        <v>124</v>
      </c>
      <c r="D17" s="10">
        <f t="shared" si="1"/>
        <v>144.04430379746836</v>
      </c>
      <c r="E17" s="9">
        <f t="shared" si="2"/>
        <v>23</v>
      </c>
      <c r="F17" s="9">
        <v>38</v>
      </c>
      <c r="G17" s="10">
        <f t="shared" si="3"/>
        <v>10.555555555555555</v>
      </c>
      <c r="H17" s="10">
        <f t="shared" si="4"/>
        <v>1.1497993207780177</v>
      </c>
      <c r="I17" s="10">
        <f t="shared" si="17"/>
        <v>13.217656348509566</v>
      </c>
      <c r="J17" s="10">
        <f t="shared" si="18"/>
        <v>1.691116362052403</v>
      </c>
      <c r="K17" s="10">
        <f>J17*$K$2</f>
        <v>874.64538245350286</v>
      </c>
      <c r="L17" s="10">
        <f t="shared" si="5"/>
        <v>55.323250000000002</v>
      </c>
      <c r="M17" s="10">
        <f>($K$2*$G$2*E17)/1000</f>
        <v>116.69583600000003</v>
      </c>
      <c r="N17" s="10">
        <f>(0.5*$K$2*(G17^2))/1000</f>
        <v>28.813148148148148</v>
      </c>
      <c r="O17" s="10">
        <f t="shared" si="6"/>
        <v>7.6365393910101498E-2</v>
      </c>
      <c r="P17" s="10">
        <f t="shared" si="7"/>
        <v>7.6217465157670902E-2</v>
      </c>
      <c r="Q17" s="10">
        <f t="shared" si="8"/>
        <v>4.3669390787199465</v>
      </c>
      <c r="R17" s="10">
        <f>($K$2*$G$2*SIN(Q17))</f>
        <v>-4773.9921601452697</v>
      </c>
      <c r="S17" s="9">
        <f xml:space="preserve"> ($P$3*($K$2*$G$2))</f>
        <v>304.42392000000007</v>
      </c>
      <c r="T17" s="10">
        <f t="shared" si="9"/>
        <v>-3.5395996076917662</v>
      </c>
      <c r="U17" s="10">
        <f t="shared" si="10"/>
        <v>-37.362440303413088</v>
      </c>
      <c r="V17" s="30">
        <f t="shared" si="11"/>
        <v>-37.362440303413088</v>
      </c>
      <c r="W17" s="30">
        <f t="shared" si="12"/>
        <v>-37.362440303413088</v>
      </c>
      <c r="X17" s="30">
        <f t="shared" si="19"/>
        <v>-134.97368309038217</v>
      </c>
      <c r="Y17" s="31">
        <f t="shared" si="13"/>
        <v>0</v>
      </c>
      <c r="Z17" s="31">
        <f t="shared" si="20"/>
        <v>68.039999999999992</v>
      </c>
      <c r="AA17" s="30">
        <f t="shared" si="14"/>
        <v>10.555555555555555</v>
      </c>
      <c r="AB17" s="9" cm="1">
        <f t="array" ref="AB17">_xlfn.IFS(AA17&lt;=4,1,AA17&lt;=8,2,AA17&gt;8,3)</f>
        <v>3</v>
      </c>
      <c r="AC17" s="32">
        <f>LOOKUP(AA17,$AP$5:$AP$46,$AQ$5:$AQ$46)</f>
        <v>2333</v>
      </c>
      <c r="AD17" s="9">
        <f>IF(V17&lt;0,1,MATCH(V17,BSFC!$P$21:$AD$21,1))</f>
        <v>1</v>
      </c>
      <c r="AE17" s="9">
        <f>MATCH(AC17,BSFC!$O$22:$O$36,1)</f>
        <v>4</v>
      </c>
      <c r="AF17" s="9" cm="1">
        <f t="array" ref="AF17">INDEX(BSFC!$P$22:$AD$36,AD17,AE17)</f>
        <v>577</v>
      </c>
      <c r="AG17" s="10">
        <f>IF(V17&lt;0,((V17=0)*AF17/760),V17*AF17/760)</f>
        <v>0</v>
      </c>
      <c r="AH17" s="31">
        <f t="shared" si="15"/>
        <v>0</v>
      </c>
      <c r="AI17" s="31">
        <f t="shared" si="21"/>
        <v>1.1158572530864197E-2</v>
      </c>
      <c r="AJ17" s="31">
        <f t="shared" si="16"/>
        <v>15.498017403978052</v>
      </c>
      <c r="AK17" s="20"/>
      <c r="AL17" s="20"/>
      <c r="AM17" s="20"/>
      <c r="AN17" s="20"/>
      <c r="AO17" s="20"/>
      <c r="AP17" s="9">
        <v>4</v>
      </c>
      <c r="AQ17" s="39">
        <v>6500</v>
      </c>
    </row>
    <row r="18" spans="1:43" x14ac:dyDescent="0.25">
      <c r="A18" s="9">
        <v>53.306570000000001</v>
      </c>
      <c r="B18" s="9">
        <v>-6.0330000000000002E-2</v>
      </c>
      <c r="C18" s="9">
        <v>125</v>
      </c>
      <c r="D18" s="10">
        <f t="shared" si="1"/>
        <v>157.13924050632912</v>
      </c>
      <c r="E18" s="9">
        <f t="shared" si="2"/>
        <v>24</v>
      </c>
      <c r="F18" s="9">
        <v>44</v>
      </c>
      <c r="G18" s="10">
        <f t="shared" si="3"/>
        <v>12.222222222222221</v>
      </c>
      <c r="H18" s="10">
        <f t="shared" si="4"/>
        <v>1.0360829044373345</v>
      </c>
      <c r="I18" s="10">
        <f t="shared" si="17"/>
        <v>14.2537392529469</v>
      </c>
      <c r="J18" s="10">
        <f t="shared" si="18"/>
        <v>1.6086228809766754</v>
      </c>
      <c r="K18" s="10">
        <f>J18*$K$2</f>
        <v>831.97975404113663</v>
      </c>
      <c r="L18" s="10">
        <f t="shared" si="5"/>
        <v>74.173000000000002</v>
      </c>
      <c r="M18" s="10">
        <f>($K$2*$G$2*E18)/1000</f>
        <v>121.76956800000004</v>
      </c>
      <c r="N18" s="10">
        <f>(0.5*$K$2*(G18^2))/1000</f>
        <v>38.630370370370372</v>
      </c>
      <c r="O18" s="10">
        <f t="shared" si="6"/>
        <v>7.6365393910101498E-2</v>
      </c>
      <c r="P18" s="10">
        <f t="shared" si="7"/>
        <v>7.6217465157670902E-2</v>
      </c>
      <c r="Q18" s="10">
        <f t="shared" si="8"/>
        <v>4.3669390787199465</v>
      </c>
      <c r="R18" s="10">
        <f>($K$2*$G$2*SIN(Q18))</f>
        <v>-4773.9921601452697</v>
      </c>
      <c r="S18" s="9">
        <f xml:space="preserve"> ($P$3*($K$2*$G$2))</f>
        <v>304.42392000000007</v>
      </c>
      <c r="T18" s="10">
        <f t="shared" si="9"/>
        <v>-3.5634154861041334</v>
      </c>
      <c r="U18" s="10">
        <f t="shared" si="10"/>
        <v>-43.552855941272739</v>
      </c>
      <c r="V18" s="30">
        <f t="shared" si="11"/>
        <v>-43.552855941272739</v>
      </c>
      <c r="W18" s="30">
        <f t="shared" si="12"/>
        <v>-43.552855941272739</v>
      </c>
      <c r="X18" s="30">
        <f t="shared" si="19"/>
        <v>-178.52653903165492</v>
      </c>
      <c r="Y18" s="31">
        <f t="shared" si="13"/>
        <v>0</v>
      </c>
      <c r="Z18" s="31">
        <f t="shared" si="20"/>
        <v>68.039999999999992</v>
      </c>
      <c r="AA18" s="30">
        <f t="shared" si="14"/>
        <v>12.222222222222221</v>
      </c>
      <c r="AB18" s="9" cm="1">
        <f t="array" ref="AB18">_xlfn.IFS(AA18&lt;=4,1,AA18&lt;=8,2,AA18&gt;8,3)</f>
        <v>3</v>
      </c>
      <c r="AC18" s="32">
        <f>LOOKUP(AA18,$AP$5:$AP$46,$AQ$5:$AQ$46)</f>
        <v>3999.5</v>
      </c>
      <c r="AD18" s="9">
        <f>IF(V18&lt;0,1,MATCH(V18,BSFC!$P$21:$AD$21,1))</f>
        <v>1</v>
      </c>
      <c r="AE18" s="9">
        <f>MATCH(AC18,BSFC!$O$22:$O$36,1)</f>
        <v>7</v>
      </c>
      <c r="AF18" s="9" cm="1">
        <f t="array" ref="AF18">INDEX(BSFC!$P$22:$AD$36,AD18,AE18)</f>
        <v>544</v>
      </c>
      <c r="AG18" s="10">
        <f>IF(V18&lt;0,((V18=0)*AF18/760),V18*AF18/760)</f>
        <v>0</v>
      </c>
      <c r="AH18" s="31">
        <f t="shared" si="15"/>
        <v>0</v>
      </c>
      <c r="AI18" s="31">
        <f t="shared" si="21"/>
        <v>1.1158572530864197E-2</v>
      </c>
      <c r="AJ18" s="31">
        <f t="shared" si="16"/>
        <v>15.498017403978052</v>
      </c>
      <c r="AK18" s="20"/>
      <c r="AL18" s="20"/>
      <c r="AM18" s="20"/>
      <c r="AN18" s="20"/>
      <c r="AO18" s="20"/>
      <c r="AP18" s="4">
        <v>4.33</v>
      </c>
      <c r="AQ18" s="40">
        <v>500</v>
      </c>
    </row>
    <row r="19" spans="1:43" x14ac:dyDescent="0.25">
      <c r="A19" s="9">
        <v>53.306350000000002</v>
      </c>
      <c r="B19" s="9">
        <v>-6.0089999999999998E-2</v>
      </c>
      <c r="C19" s="9">
        <v>126</v>
      </c>
      <c r="D19" s="10">
        <f t="shared" si="1"/>
        <v>170.23417721518987</v>
      </c>
      <c r="E19" s="9">
        <f t="shared" si="2"/>
        <v>25</v>
      </c>
      <c r="F19" s="9">
        <v>47</v>
      </c>
      <c r="G19" s="10">
        <f t="shared" si="3"/>
        <v>13.055555555555555</v>
      </c>
      <c r="H19" s="10">
        <f t="shared" si="4"/>
        <v>0.98470510406272149</v>
      </c>
      <c r="I19" s="10">
        <f t="shared" si="17"/>
        <v>15.238444357009621</v>
      </c>
      <c r="J19" s="10">
        <f t="shared" si="18"/>
        <v>0.84627705278986198</v>
      </c>
      <c r="K19" s="10">
        <f>J19*$K$2</f>
        <v>437.69449170291665</v>
      </c>
      <c r="L19" s="10">
        <f t="shared" si="5"/>
        <v>84.632312499999998</v>
      </c>
      <c r="M19" s="10">
        <f>($K$2*$G$2*E19)/1000</f>
        <v>126.84330000000001</v>
      </c>
      <c r="N19" s="10">
        <f>(0.5*$K$2*(G19^2))/1000</f>
        <v>44.077731481481479</v>
      </c>
      <c r="O19" s="10">
        <f t="shared" si="6"/>
        <v>0.152730787820203</v>
      </c>
      <c r="P19" s="10">
        <f t="shared" si="7"/>
        <v>0.15155956893708497</v>
      </c>
      <c r="Q19" s="10">
        <f t="shared" si="8"/>
        <v>8.6837236449170216</v>
      </c>
      <c r="R19" s="10">
        <f>($K$2*$G$2*SIN(Q19))</f>
        <v>3425.1045539960332</v>
      </c>
      <c r="S19" s="9">
        <f xml:space="preserve"> ($P$3*($K$2*$G$2))</f>
        <v>304.42392000000007</v>
      </c>
      <c r="T19" s="10">
        <f t="shared" si="9"/>
        <v>4.25185527819895</v>
      </c>
      <c r="U19" s="10">
        <f t="shared" si="10"/>
        <v>55.510332798708511</v>
      </c>
      <c r="V19" s="30">
        <f t="shared" si="11"/>
        <v>12.555555555555555</v>
      </c>
      <c r="W19" s="30">
        <f t="shared" si="12"/>
        <v>0</v>
      </c>
      <c r="X19" s="30">
        <f t="shared" si="19"/>
        <v>-178.52653903165492</v>
      </c>
      <c r="Y19" s="31">
        <f t="shared" si="13"/>
        <v>12.555555555555555</v>
      </c>
      <c r="Z19" s="31">
        <f t="shared" si="20"/>
        <v>80.595555555555549</v>
      </c>
      <c r="AA19" s="30">
        <f t="shared" si="14"/>
        <v>2.9529592928369808</v>
      </c>
      <c r="AB19" s="9" cm="1">
        <f t="array" ref="AB19">_xlfn.IFS(AA19&lt;=4,1,AA19&lt;=8,2,AA19&gt;8,3)</f>
        <v>1</v>
      </c>
      <c r="AC19" s="32">
        <f>LOOKUP(AA19,$AP$5:$AP$46,$AQ$5:$AQ$46)</f>
        <v>4500</v>
      </c>
      <c r="AD19" s="9">
        <f>IF(V19&lt;0,1,MATCH(V19,BSFC!$P$21:$AD$21,1))</f>
        <v>10</v>
      </c>
      <c r="AE19" s="9">
        <f>MATCH(AC19,BSFC!$O$22:$O$36,1)</f>
        <v>9</v>
      </c>
      <c r="AF19" s="9" cm="1">
        <f t="array" ref="AF19">INDEX(BSFC!$P$22:$AD$36,AD19,AE19)</f>
        <v>415</v>
      </c>
      <c r="AG19" s="10">
        <f>IF(V19&lt;0,((V19=0)*AF19/760),V19*AF19/760)</f>
        <v>6.855994152046784</v>
      </c>
      <c r="AH19" s="31">
        <f t="shared" si="15"/>
        <v>1.9044428200129956E-3</v>
      </c>
      <c r="AI19" s="31">
        <f t="shared" si="21"/>
        <v>1.3063015350877193E-2</v>
      </c>
      <c r="AJ19" s="31">
        <f t="shared" si="16"/>
        <v>18.143076876218323</v>
      </c>
      <c r="AK19" s="20"/>
      <c r="AL19" s="20"/>
      <c r="AM19" s="20"/>
      <c r="AN19" s="20"/>
      <c r="AO19" s="20"/>
      <c r="AP19" s="4">
        <v>4.66</v>
      </c>
      <c r="AQ19" s="40">
        <v>1000</v>
      </c>
    </row>
    <row r="20" spans="1:43" x14ac:dyDescent="0.25">
      <c r="A20" s="9">
        <v>53.306159999999998</v>
      </c>
      <c r="B20" s="9">
        <v>-5.9959999999999999E-2</v>
      </c>
      <c r="C20" s="9">
        <v>128</v>
      </c>
      <c r="D20" s="10">
        <f t="shared" si="1"/>
        <v>183.32911392405063</v>
      </c>
      <c r="E20" s="9">
        <f t="shared" si="2"/>
        <v>27</v>
      </c>
      <c r="F20" s="9">
        <v>48.747999999999998</v>
      </c>
      <c r="G20" s="10">
        <f t="shared" si="3"/>
        <v>13.54111111111111</v>
      </c>
      <c r="H20" s="10">
        <f t="shared" si="4"/>
        <v>0.96705038467011428</v>
      </c>
      <c r="I20" s="10">
        <f t="shared" si="17"/>
        <v>16.205494741679736</v>
      </c>
      <c r="J20" s="10">
        <f t="shared" si="18"/>
        <v>0.50209954233272991</v>
      </c>
      <c r="K20" s="10">
        <f>J20*$K$2</f>
        <v>259.68588329448795</v>
      </c>
      <c r="L20" s="10">
        <f t="shared" si="5"/>
        <v>91.044579996999985</v>
      </c>
      <c r="M20" s="10">
        <f>($K$2*$G$2*E20)/1000</f>
        <v>136.99076400000001</v>
      </c>
      <c r="N20" s="10">
        <f>(0.5*$K$2*(G20^2))/1000</f>
        <v>47.417333065925931</v>
      </c>
      <c r="O20" s="10">
        <f t="shared" si="6"/>
        <v>0.152730787820203</v>
      </c>
      <c r="P20" s="10">
        <f t="shared" si="7"/>
        <v>0.15155956893708497</v>
      </c>
      <c r="Q20" s="10">
        <f t="shared" si="8"/>
        <v>8.6837236449170216</v>
      </c>
      <c r="R20" s="10">
        <f>($K$2*$G$2*SIN(Q20))</f>
        <v>3425.1045539960332</v>
      </c>
      <c r="S20" s="9">
        <f xml:space="preserve"> ($P$3*($K$2*$G$2))</f>
        <v>304.42392000000007</v>
      </c>
      <c r="T20" s="10">
        <f t="shared" si="9"/>
        <v>4.0802589372875211</v>
      </c>
      <c r="U20" s="10">
        <f t="shared" si="10"/>
        <v>55.251239631914466</v>
      </c>
      <c r="V20" s="30">
        <f t="shared" si="11"/>
        <v>13.04111111111111</v>
      </c>
      <c r="W20" s="30">
        <f t="shared" si="12"/>
        <v>0</v>
      </c>
      <c r="X20" s="30">
        <f t="shared" si="19"/>
        <v>-178.52653903165492</v>
      </c>
      <c r="Y20" s="31">
        <f t="shared" si="13"/>
        <v>13.04111111111111</v>
      </c>
      <c r="Z20" s="31">
        <f t="shared" si="20"/>
        <v>93.636666666666656</v>
      </c>
      <c r="AA20" s="30">
        <f t="shared" si="14"/>
        <v>3.1961479189309965</v>
      </c>
      <c r="AB20" s="9" cm="1">
        <f t="array" ref="AB20">_xlfn.IFS(AA20&lt;=4,1,AA20&lt;=8,2,AA20&gt;8,3)</f>
        <v>1</v>
      </c>
      <c r="AC20" s="32">
        <f>LOOKUP(AA20,$AP$5:$AP$46,$AQ$5:$AQ$46)</f>
        <v>5000</v>
      </c>
      <c r="AD20" s="9">
        <f>IF(V20&lt;0,1,MATCH(V20,BSFC!$P$21:$AD$21,1))</f>
        <v>11</v>
      </c>
      <c r="AE20" s="9">
        <f>MATCH(AC20,BSFC!$O$22:$O$36,1)</f>
        <v>10</v>
      </c>
      <c r="AF20" s="9" cm="1">
        <f t="array" ref="AF20">INDEX(BSFC!$P$22:$AD$36,AD20,AE20)</f>
        <v>394</v>
      </c>
      <c r="AG20" s="10">
        <f>IF(V20&lt;0,((V20=0)*AF20/760),V20*AF20/760)</f>
        <v>6.7607865497076016</v>
      </c>
      <c r="AH20" s="31">
        <f t="shared" si="15"/>
        <v>1.8779962638076672E-3</v>
      </c>
      <c r="AI20" s="31">
        <f t="shared" si="21"/>
        <v>1.4941011614684859E-2</v>
      </c>
      <c r="AJ20" s="31">
        <f t="shared" si="16"/>
        <v>20.751405020395637</v>
      </c>
      <c r="AK20" s="20"/>
      <c r="AL20" s="20"/>
      <c r="AM20" s="20"/>
      <c r="AN20" s="20"/>
      <c r="AO20" s="20"/>
      <c r="AP20" s="4">
        <v>5</v>
      </c>
      <c r="AQ20" s="40">
        <v>1500</v>
      </c>
    </row>
    <row r="21" spans="1:43" x14ac:dyDescent="0.25">
      <c r="A21" s="9">
        <v>53.305979999999998</v>
      </c>
      <c r="B21" s="9">
        <v>-5.994E-2</v>
      </c>
      <c r="C21" s="9">
        <v>130</v>
      </c>
      <c r="D21" s="10">
        <f t="shared" si="1"/>
        <v>196.42405063291139</v>
      </c>
      <c r="E21" s="9">
        <f t="shared" si="2"/>
        <v>29</v>
      </c>
      <c r="F21" s="9">
        <v>48.747999999999998</v>
      </c>
      <c r="G21" s="10">
        <f t="shared" si="3"/>
        <v>13.54111111111111</v>
      </c>
      <c r="H21" s="10">
        <f t="shared" si="4"/>
        <v>1.0057125944425209</v>
      </c>
      <c r="I21" s="10">
        <f t="shared" si="17"/>
        <v>17.211207336122257</v>
      </c>
      <c r="J21" s="10">
        <f t="shared" si="18"/>
        <v>0</v>
      </c>
      <c r="K21" s="10">
        <f>J21*$K$2</f>
        <v>0</v>
      </c>
      <c r="L21" s="10">
        <f t="shared" si="5"/>
        <v>91.044579996999985</v>
      </c>
      <c r="M21" s="10">
        <f>($K$2*$G$2*E21)/1000</f>
        <v>147.13822800000003</v>
      </c>
      <c r="N21" s="10">
        <f>(0.5*$K$2*(G21^2))/1000</f>
        <v>47.417333065925931</v>
      </c>
      <c r="O21" s="10">
        <f t="shared" si="6"/>
        <v>0.22909618173030449</v>
      </c>
      <c r="P21" s="10">
        <f t="shared" si="7"/>
        <v>0.22520981023036191</v>
      </c>
      <c r="Q21" s="10">
        <f t="shared" si="8"/>
        <v>12.903571631141928</v>
      </c>
      <c r="R21" s="10">
        <f>($K$2*$G$2*SIN(Q21))</f>
        <v>1678.6291874694264</v>
      </c>
      <c r="S21" s="9">
        <f xml:space="preserve"> ($P$3*($K$2*$G$2))</f>
        <v>304.42392000000007</v>
      </c>
      <c r="T21" s="10">
        <f t="shared" si="9"/>
        <v>2.0740976874664261</v>
      </c>
      <c r="U21" s="10">
        <f t="shared" si="10"/>
        <v>28.08558724128148</v>
      </c>
      <c r="V21" s="30">
        <f t="shared" si="11"/>
        <v>13.04111111111111</v>
      </c>
      <c r="W21" s="30">
        <f t="shared" si="12"/>
        <v>0</v>
      </c>
      <c r="X21" s="30">
        <f t="shared" si="19"/>
        <v>-178.52653903165492</v>
      </c>
      <c r="Y21" s="31">
        <f t="shared" si="13"/>
        <v>13.04111111111111</v>
      </c>
      <c r="Z21" s="31">
        <f t="shared" si="20"/>
        <v>106.67777777777776</v>
      </c>
      <c r="AA21" s="30">
        <f t="shared" si="14"/>
        <v>6.2876069868441089</v>
      </c>
      <c r="AB21" s="9" cm="1">
        <f t="array" ref="AB21">_xlfn.IFS(AA21&lt;=4,1,AA21&lt;=8,2,AA21&gt;8,3)</f>
        <v>2</v>
      </c>
      <c r="AC21" s="32">
        <f>LOOKUP(AA21,$AP$5:$AP$46,$AQ$5:$AQ$46)</f>
        <v>3000</v>
      </c>
      <c r="AD21" s="9">
        <f>IF(V21&lt;0,1,MATCH(V21,BSFC!$P$21:$AD$21,1))</f>
        <v>11</v>
      </c>
      <c r="AE21" s="9">
        <f>MATCH(AC21,BSFC!$O$22:$O$36,1)</f>
        <v>6</v>
      </c>
      <c r="AF21" s="9" cm="1">
        <f t="array" ref="AF21">INDEX(BSFC!$P$22:$AD$36,AD21,AE21)</f>
        <v>449</v>
      </c>
      <c r="AG21" s="10">
        <f>IF(V21&lt;0,((V21=0)*AF21/760),V21*AF21/760)</f>
        <v>7.7045511695906423</v>
      </c>
      <c r="AH21" s="31">
        <f t="shared" si="15"/>
        <v>2.1401531026640675E-3</v>
      </c>
      <c r="AI21" s="31">
        <f t="shared" si="21"/>
        <v>1.7081164717348926E-2</v>
      </c>
      <c r="AJ21" s="31">
        <f t="shared" si="16"/>
        <v>23.723839885206843</v>
      </c>
      <c r="AK21" s="20"/>
      <c r="AL21" s="20"/>
      <c r="AM21" s="20"/>
      <c r="AN21" s="20"/>
      <c r="AO21" s="20"/>
      <c r="AP21" s="4">
        <v>5.33</v>
      </c>
      <c r="AQ21" s="40">
        <v>2000</v>
      </c>
    </row>
    <row r="22" spans="1:43" x14ac:dyDescent="0.25">
      <c r="A22" s="9">
        <v>53.305779999999999</v>
      </c>
      <c r="B22" s="9">
        <v>-6.003E-2</v>
      </c>
      <c r="C22" s="9">
        <v>133</v>
      </c>
      <c r="D22" s="10">
        <f t="shared" si="1"/>
        <v>209.51898734177215</v>
      </c>
      <c r="E22" s="9">
        <f t="shared" si="2"/>
        <v>32</v>
      </c>
      <c r="F22" s="9">
        <v>45</v>
      </c>
      <c r="G22" s="10">
        <f t="shared" si="3"/>
        <v>12.5</v>
      </c>
      <c r="H22" s="10">
        <f t="shared" si="4"/>
        <v>1.10921816827997</v>
      </c>
      <c r="I22" s="10">
        <f t="shared" si="17"/>
        <v>18.320425504402227</v>
      </c>
      <c r="J22" s="10">
        <f t="shared" si="18"/>
        <v>-0.93859904289660989</v>
      </c>
      <c r="K22" s="10">
        <f>J22*$K$2</f>
        <v>-485.44342498612667</v>
      </c>
      <c r="L22" s="10">
        <f t="shared" si="5"/>
        <v>77.582812500000003</v>
      </c>
      <c r="M22" s="10">
        <f>($K$2*$G$2*E22)/1000</f>
        <v>162.35942400000002</v>
      </c>
      <c r="N22" s="10">
        <f>(0.5*$K$2*(G22^2))/1000</f>
        <v>40.40625</v>
      </c>
      <c r="O22" s="10">
        <f t="shared" si="6"/>
        <v>7.6365393910101498E-2</v>
      </c>
      <c r="P22" s="10">
        <f t="shared" si="7"/>
        <v>7.6217465157670902E-2</v>
      </c>
      <c r="Q22" s="10">
        <f t="shared" si="8"/>
        <v>4.3669390787199465</v>
      </c>
      <c r="R22" s="10">
        <f>($K$2*$G$2*SIN(Q22))</f>
        <v>-4773.9921601452697</v>
      </c>
      <c r="S22" s="9">
        <f xml:space="preserve"> ($P$3*($K$2*$G$2))</f>
        <v>304.42392000000007</v>
      </c>
      <c r="T22" s="10">
        <f t="shared" si="9"/>
        <v>-4.8774288526313967</v>
      </c>
      <c r="U22" s="10">
        <f t="shared" si="10"/>
        <v>-60.967860657892459</v>
      </c>
      <c r="V22" s="30">
        <f t="shared" si="11"/>
        <v>-60.967860657892459</v>
      </c>
      <c r="W22" s="30">
        <f t="shared" si="12"/>
        <v>-60.967860657892459</v>
      </c>
      <c r="X22" s="30">
        <f t="shared" si="19"/>
        <v>-239.49439968954738</v>
      </c>
      <c r="Y22" s="31">
        <f t="shared" si="13"/>
        <v>0</v>
      </c>
      <c r="Z22" s="31">
        <f t="shared" si="20"/>
        <v>106.67777777777776</v>
      </c>
      <c r="AA22" s="30">
        <f t="shared" si="14"/>
        <v>12.5</v>
      </c>
      <c r="AB22" s="9" cm="1">
        <f t="array" ref="AB22">_xlfn.IFS(AA22&lt;=4,1,AA22&lt;=8,2,AA22&gt;8,3)</f>
        <v>3</v>
      </c>
      <c r="AC22" s="32">
        <f>LOOKUP(AA22,$AP$5:$AP$46,$AQ$5:$AQ$46)</f>
        <v>4332.8</v>
      </c>
      <c r="AD22" s="9">
        <f>IF(V22&lt;0,1,MATCH(V22,BSFC!$P$21:$AD$21,1))</f>
        <v>1</v>
      </c>
      <c r="AE22" s="9">
        <f>MATCH(AC22,BSFC!$O$22:$O$36,1)</f>
        <v>8</v>
      </c>
      <c r="AF22" s="9" cm="1">
        <f t="array" ref="AF22">INDEX(BSFC!$P$22:$AD$36,AD22,AE22)</f>
        <v>530</v>
      </c>
      <c r="AG22" s="10">
        <f>IF(V22&lt;0,((V22=0)*AF22/760),V22*AF22/760)</f>
        <v>0</v>
      </c>
      <c r="AH22" s="31">
        <f t="shared" si="15"/>
        <v>0</v>
      </c>
      <c r="AI22" s="31">
        <f t="shared" si="21"/>
        <v>1.7081164717348926E-2</v>
      </c>
      <c r="AJ22" s="31">
        <f t="shared" si="16"/>
        <v>23.723839885206843</v>
      </c>
      <c r="AK22" s="20"/>
      <c r="AL22" s="20"/>
      <c r="AM22" s="20"/>
      <c r="AN22" s="20"/>
      <c r="AO22" s="20"/>
      <c r="AP22" s="4">
        <v>5.66</v>
      </c>
      <c r="AQ22" s="40">
        <v>2500</v>
      </c>
    </row>
    <row r="23" spans="1:43" x14ac:dyDescent="0.25">
      <c r="A23" s="9">
        <v>53.30556</v>
      </c>
      <c r="B23" s="9">
        <v>-6.0170000000000001E-2</v>
      </c>
      <c r="C23" s="9">
        <v>134</v>
      </c>
      <c r="D23" s="10">
        <f t="shared" si="1"/>
        <v>222.6139240506329</v>
      </c>
      <c r="E23" s="9">
        <f t="shared" si="2"/>
        <v>33</v>
      </c>
      <c r="F23" s="9">
        <v>40</v>
      </c>
      <c r="G23" s="10">
        <f t="shared" si="3"/>
        <v>11.111111111111111</v>
      </c>
      <c r="H23" s="10">
        <f t="shared" si="4"/>
        <v>1.2571139240506328</v>
      </c>
      <c r="I23" s="10">
        <f t="shared" si="17"/>
        <v>19.577539428452859</v>
      </c>
      <c r="J23" s="10">
        <f t="shared" si="18"/>
        <v>-1.1048234072642011</v>
      </c>
      <c r="K23" s="10">
        <f>J23*$K$2</f>
        <v>-571.41466623704491</v>
      </c>
      <c r="L23" s="10">
        <f t="shared" si="5"/>
        <v>61.3</v>
      </c>
      <c r="M23" s="10">
        <f>($K$2*$G$2*E23)/1000</f>
        <v>167.43315600000003</v>
      </c>
      <c r="N23" s="10">
        <f>(0.5*$K$2*(G23^2))/1000</f>
        <v>31.925925925925927</v>
      </c>
      <c r="O23" s="10">
        <f t="shared" si="6"/>
        <v>0.152730787820203</v>
      </c>
      <c r="P23" s="10">
        <f t="shared" si="7"/>
        <v>0.15155956893708497</v>
      </c>
      <c r="Q23" s="10">
        <f t="shared" si="8"/>
        <v>8.6837236449170216</v>
      </c>
      <c r="R23" s="10">
        <f>($K$2*$G$2*SIN(Q23))</f>
        <v>3425.1045539960332</v>
      </c>
      <c r="S23" s="9">
        <f xml:space="preserve"> ($P$3*($K$2*$G$2))</f>
        <v>304.42392000000007</v>
      </c>
      <c r="T23" s="10">
        <f t="shared" si="9"/>
        <v>3.2194138077589889</v>
      </c>
      <c r="U23" s="10">
        <f t="shared" si="10"/>
        <v>35.771264530655429</v>
      </c>
      <c r="V23" s="30">
        <f t="shared" si="11"/>
        <v>10.611111111111111</v>
      </c>
      <c r="W23" s="30">
        <f t="shared" si="12"/>
        <v>0</v>
      </c>
      <c r="X23" s="30">
        <f t="shared" si="19"/>
        <v>-239.49439968954738</v>
      </c>
      <c r="Y23" s="31">
        <f t="shared" si="13"/>
        <v>10.611111111111111</v>
      </c>
      <c r="Z23" s="31">
        <f t="shared" si="20"/>
        <v>117.28888888888888</v>
      </c>
      <c r="AA23" s="30">
        <f t="shared" si="14"/>
        <v>3.2959761449546088</v>
      </c>
      <c r="AB23" s="9" cm="1">
        <f t="array" ref="AB23">_xlfn.IFS(AA23&lt;=4,1,AA23&lt;=8,2,AA23&gt;8,3)</f>
        <v>1</v>
      </c>
      <c r="AC23" s="32">
        <f>LOOKUP(AA23,$AP$5:$AP$46,$AQ$5:$AQ$46)</f>
        <v>5000</v>
      </c>
      <c r="AD23" s="9">
        <f>IF(V23&lt;0,1,MATCH(V23,BSFC!$P$21:$AD$21,1))</f>
        <v>9</v>
      </c>
      <c r="AE23" s="9">
        <f>MATCH(AC23,BSFC!$O$22:$O$36,1)</f>
        <v>10</v>
      </c>
      <c r="AF23" s="9" cm="1">
        <f t="array" ref="AF23">INDEX(BSFC!$P$22:$AD$36,AD23,AE23)</f>
        <v>394</v>
      </c>
      <c r="AG23" s="10">
        <f>IF(V23&lt;0,((V23=0)*AF23/760),V23*AF23/760)</f>
        <v>5.5010233918128648</v>
      </c>
      <c r="AH23" s="31">
        <f t="shared" si="15"/>
        <v>1.5280620532813513E-3</v>
      </c>
      <c r="AI23" s="31">
        <f t="shared" si="21"/>
        <v>1.8609226770630278E-2</v>
      </c>
      <c r="AJ23" s="31">
        <f t="shared" si="16"/>
        <v>25.846148292542054</v>
      </c>
      <c r="AK23" s="20"/>
      <c r="AL23" s="20"/>
      <c r="AM23" s="20"/>
      <c r="AN23" s="20"/>
      <c r="AO23" s="20"/>
      <c r="AP23" s="4">
        <v>6</v>
      </c>
      <c r="AQ23" s="40">
        <v>3000</v>
      </c>
    </row>
    <row r="24" spans="1:43" x14ac:dyDescent="0.25">
      <c r="A24" s="9">
        <v>53.305259999999997</v>
      </c>
      <c r="B24" s="9">
        <v>-6.0470000000000003E-2</v>
      </c>
      <c r="C24" s="9">
        <v>136</v>
      </c>
      <c r="D24" s="10">
        <f t="shared" si="1"/>
        <v>235.70886075949366</v>
      </c>
      <c r="E24" s="9">
        <f t="shared" si="2"/>
        <v>35</v>
      </c>
      <c r="F24" s="9">
        <v>35</v>
      </c>
      <c r="G24" s="10">
        <f t="shared" si="3"/>
        <v>9.7222222222222214</v>
      </c>
      <c r="H24" s="10">
        <f t="shared" si="4"/>
        <v>1.2571139240506328</v>
      </c>
      <c r="I24" s="10">
        <f t="shared" si="17"/>
        <v>20.834653352503491</v>
      </c>
      <c r="J24" s="10">
        <f t="shared" si="18"/>
        <v>-1.1048234072642011</v>
      </c>
      <c r="K24" s="10">
        <f>J24*$K$2</f>
        <v>-571.41466623704491</v>
      </c>
      <c r="L24" s="10">
        <f t="shared" si="5"/>
        <v>46.932812499999997</v>
      </c>
      <c r="M24" s="10">
        <f>($K$2*$G$2*E24)/1000</f>
        <v>177.58062000000001</v>
      </c>
      <c r="N24" s="10">
        <f>(0.5*$K$2*(G24^2))/1000</f>
        <v>24.443287037037038</v>
      </c>
      <c r="O24" s="10">
        <f t="shared" si="6"/>
        <v>-7.6365393910101498E-2</v>
      </c>
      <c r="P24" s="10">
        <f t="shared" si="7"/>
        <v>-7.6217465157670902E-2</v>
      </c>
      <c r="Q24" s="10">
        <f t="shared" si="8"/>
        <v>-4.3669390787199465</v>
      </c>
      <c r="R24" s="10">
        <f>($K$2*$G$2*SIN(Q24))</f>
        <v>4773.9921601452697</v>
      </c>
      <c r="S24" s="9">
        <f xml:space="preserve"> ($P$3*($K$2*$G$2))</f>
        <v>304.42392000000007</v>
      </c>
      <c r="T24" s="10">
        <f t="shared" si="9"/>
        <v>4.5539342264082254</v>
      </c>
      <c r="U24" s="10">
        <f t="shared" si="10"/>
        <v>44.274360534524412</v>
      </c>
      <c r="V24" s="30">
        <f t="shared" si="11"/>
        <v>9.2222222222222214</v>
      </c>
      <c r="W24" s="30">
        <f t="shared" si="12"/>
        <v>0</v>
      </c>
      <c r="X24" s="30">
        <f t="shared" si="19"/>
        <v>-239.49439968954738</v>
      </c>
      <c r="Y24" s="31">
        <f t="shared" si="13"/>
        <v>9.2222222222222214</v>
      </c>
      <c r="Z24" s="31">
        <f t="shared" si="20"/>
        <v>126.51111111111109</v>
      </c>
      <c r="AA24" s="30">
        <f t="shared" si="14"/>
        <v>2.0251109839801011</v>
      </c>
      <c r="AB24" s="9" cm="1">
        <f t="array" ref="AB24">_xlfn.IFS(AA24&lt;=4,1,AA24&lt;=8,2,AA24&gt;8,3)</f>
        <v>1</v>
      </c>
      <c r="AC24" s="32">
        <f>LOOKUP(AA24,$AP$5:$AP$46,$AQ$5:$AQ$46)</f>
        <v>3500</v>
      </c>
      <c r="AD24" s="9">
        <f>IF(V24&lt;0,1,MATCH(V24,BSFC!$P$21:$AD$21,1))</f>
        <v>8</v>
      </c>
      <c r="AE24" s="9">
        <f>MATCH(AC24,BSFC!$O$22:$O$36,1)</f>
        <v>7</v>
      </c>
      <c r="AF24" s="9" cm="1">
        <f t="array" ref="AF24">INDEX(BSFC!$P$22:$AD$36,AD24,AE24)</f>
        <v>427</v>
      </c>
      <c r="AG24" s="10">
        <f>IF(V24&lt;0,((V24=0)*AF24/760),V24*AF24/760)</f>
        <v>5.1814327485380112</v>
      </c>
      <c r="AH24" s="31">
        <f t="shared" si="15"/>
        <v>1.439286874593892E-3</v>
      </c>
      <c r="AI24" s="31">
        <f t="shared" si="21"/>
        <v>2.004851364522417E-2</v>
      </c>
      <c r="AJ24" s="31">
        <f t="shared" si="16"/>
        <v>27.845157840589124</v>
      </c>
      <c r="AK24" s="20"/>
      <c r="AL24" s="20"/>
      <c r="AM24" s="20"/>
      <c r="AN24" s="20"/>
      <c r="AO24" s="20"/>
      <c r="AP24" s="5">
        <v>6.3333333333333304</v>
      </c>
      <c r="AQ24" s="40">
        <v>3500</v>
      </c>
    </row>
    <row r="25" spans="1:43" x14ac:dyDescent="0.25">
      <c r="A25" s="9">
        <v>53.305030000000002</v>
      </c>
      <c r="B25" s="9">
        <v>-6.0810000000000003E-2</v>
      </c>
      <c r="C25" s="9">
        <v>135</v>
      </c>
      <c r="D25" s="10">
        <f t="shared" si="1"/>
        <v>248.80379746835442</v>
      </c>
      <c r="E25" s="9">
        <f t="shared" si="2"/>
        <v>34</v>
      </c>
      <c r="F25" s="9">
        <v>40</v>
      </c>
      <c r="G25" s="10">
        <f t="shared" si="3"/>
        <v>11.111111111111111</v>
      </c>
      <c r="H25" s="10">
        <f t="shared" si="4"/>
        <v>1.1092181682799724</v>
      </c>
      <c r="I25" s="10">
        <f t="shared" si="17"/>
        <v>21.943871520783464</v>
      </c>
      <c r="J25" s="10">
        <f t="shared" si="18"/>
        <v>1.2521331948994234</v>
      </c>
      <c r="K25" s="10">
        <f>J25*$K$2</f>
        <v>647.6032884019819</v>
      </c>
      <c r="L25" s="10">
        <f t="shared" si="5"/>
        <v>61.3</v>
      </c>
      <c r="M25" s="10">
        <f>($K$2*$G$2*E25)/1000</f>
        <v>172.50688800000003</v>
      </c>
      <c r="N25" s="10">
        <f>(0.5*$K$2*(G25^2))/1000</f>
        <v>31.925925925925927</v>
      </c>
      <c r="O25" s="10">
        <f t="shared" si="6"/>
        <v>0</v>
      </c>
      <c r="P25" s="10">
        <f t="shared" si="7"/>
        <v>0</v>
      </c>
      <c r="Q25" s="10">
        <f t="shared" si="8"/>
        <v>0</v>
      </c>
      <c r="R25" s="10">
        <f>($K$2*$G$2*SIN(Q25))</f>
        <v>0</v>
      </c>
      <c r="S25" s="9">
        <f xml:space="preserve"> ($P$3*($K$2*$G$2))</f>
        <v>304.42392000000007</v>
      </c>
      <c r="T25" s="10">
        <f t="shared" si="9"/>
        <v>1.013327208401982</v>
      </c>
      <c r="U25" s="10">
        <f t="shared" si="10"/>
        <v>11.259191204466466</v>
      </c>
      <c r="V25" s="30">
        <f t="shared" si="11"/>
        <v>11.259191204466466</v>
      </c>
      <c r="W25" s="30">
        <f t="shared" si="12"/>
        <v>0</v>
      </c>
      <c r="X25" s="30">
        <f t="shared" si="19"/>
        <v>-239.49439968954738</v>
      </c>
      <c r="Y25" s="31">
        <f t="shared" si="13"/>
        <v>11.259191204466466</v>
      </c>
      <c r="Z25" s="31">
        <f t="shared" si="20"/>
        <v>137.77030231557757</v>
      </c>
      <c r="AA25" s="30">
        <f t="shared" si="14"/>
        <v>11.111111111111111</v>
      </c>
      <c r="AB25" s="9" cm="1">
        <f t="array" ref="AB25">_xlfn.IFS(AA25&lt;=4,1,AA25&lt;=8,2,AA25&gt;8,3)</f>
        <v>3</v>
      </c>
      <c r="AC25" s="32">
        <f>LOOKUP(AA25,$AP$5:$AP$46,$AQ$5:$AQ$46)</f>
        <v>2999.6</v>
      </c>
      <c r="AD25" s="9">
        <f>IF(V25&lt;0,1,MATCH(V25,BSFC!$P$21:$AD$21,1))</f>
        <v>10</v>
      </c>
      <c r="AE25" s="9">
        <f>MATCH(AC25,BSFC!$O$22:$O$36,1)</f>
        <v>5</v>
      </c>
      <c r="AF25" s="9" cm="1">
        <f t="array" ref="AF25">INDEX(BSFC!$P$22:$AD$36,AD25,AE25)</f>
        <v>441</v>
      </c>
      <c r="AG25" s="10">
        <f>IF(V25&lt;0,((V25=0)*AF25/760),V25*AF25/760)</f>
        <v>6.5332938436443575</v>
      </c>
      <c r="AH25" s="31">
        <f t="shared" si="15"/>
        <v>1.814803845456766E-3</v>
      </c>
      <c r="AI25" s="31">
        <f t="shared" si="21"/>
        <v>2.1863317490680937E-2</v>
      </c>
      <c r="AJ25" s="31">
        <f t="shared" si="16"/>
        <v>30.365718737056856</v>
      </c>
      <c r="AK25" s="20"/>
      <c r="AL25" s="20"/>
      <c r="AM25" s="20"/>
      <c r="AN25" s="20"/>
      <c r="AO25" s="20"/>
      <c r="AP25" s="5">
        <v>6.6683333333333303</v>
      </c>
      <c r="AQ25" s="40">
        <v>4000</v>
      </c>
    </row>
    <row r="26" spans="1:43" x14ac:dyDescent="0.25">
      <c r="A26" s="9">
        <v>53.304900000000004</v>
      </c>
      <c r="B26" s="9">
        <v>-6.1089999999999998E-2</v>
      </c>
      <c r="C26" s="9">
        <v>135</v>
      </c>
      <c r="D26" s="10">
        <f t="shared" si="1"/>
        <v>261.8987341772152</v>
      </c>
      <c r="E26" s="9">
        <f t="shared" si="2"/>
        <v>34</v>
      </c>
      <c r="F26" s="9">
        <v>45</v>
      </c>
      <c r="G26" s="10">
        <f t="shared" si="3"/>
        <v>12.5</v>
      </c>
      <c r="H26" s="10">
        <f t="shared" si="4"/>
        <v>1.0057125944425209</v>
      </c>
      <c r="I26" s="10">
        <f t="shared" si="17"/>
        <v>22.949584115225985</v>
      </c>
      <c r="J26" s="10">
        <f t="shared" si="18"/>
        <v>1.3809997971227235</v>
      </c>
      <c r="K26" s="10">
        <f>J26*$K$2</f>
        <v>714.25309507187262</v>
      </c>
      <c r="L26" s="10">
        <f t="shared" si="5"/>
        <v>77.582812500000003</v>
      </c>
      <c r="M26" s="10">
        <f>($K$2*$G$2*E26)/1000</f>
        <v>172.50688800000003</v>
      </c>
      <c r="N26" s="10">
        <f>(0.5*$K$2*(G26^2))/1000</f>
        <v>40.40625</v>
      </c>
      <c r="O26" s="10">
        <f t="shared" si="6"/>
        <v>-0.22909618173030449</v>
      </c>
      <c r="P26" s="10">
        <f t="shared" si="7"/>
        <v>-0.22520981023036191</v>
      </c>
      <c r="Q26" s="10">
        <f t="shared" si="8"/>
        <v>-12.903571631141928</v>
      </c>
      <c r="R26" s="10">
        <f>($K$2*$G$2*SIN(Q26))</f>
        <v>-1678.6291874694264</v>
      </c>
      <c r="S26" s="9">
        <f xml:space="preserve"> ($P$3*($K$2*$G$2))</f>
        <v>304.42392000000007</v>
      </c>
      <c r="T26" s="10">
        <f t="shared" si="9"/>
        <v>-0.58236935989755378</v>
      </c>
      <c r="U26" s="10">
        <f t="shared" si="10"/>
        <v>-7.2796169987194226</v>
      </c>
      <c r="V26" s="30">
        <f t="shared" si="11"/>
        <v>-7.2796169987194226</v>
      </c>
      <c r="W26" s="30">
        <f t="shared" si="12"/>
        <v>-7.2796169987194226</v>
      </c>
      <c r="X26" s="30">
        <f t="shared" si="19"/>
        <v>-246.77401668826681</v>
      </c>
      <c r="Y26" s="31">
        <f t="shared" si="13"/>
        <v>0</v>
      </c>
      <c r="Z26" s="31">
        <f t="shared" si="20"/>
        <v>137.77030231557757</v>
      </c>
      <c r="AA26" s="30">
        <f t="shared" si="14"/>
        <v>12.5</v>
      </c>
      <c r="AB26" s="9" cm="1">
        <f t="array" ref="AB26">_xlfn.IFS(AA26&lt;=4,1,AA26&lt;=8,2,AA26&gt;8,3)</f>
        <v>3</v>
      </c>
      <c r="AC26" s="32">
        <f>LOOKUP(AA26,$AP$5:$AP$46,$AQ$5:$AQ$46)</f>
        <v>4332.8</v>
      </c>
      <c r="AD26" s="9">
        <f>IF(V26&lt;0,1,MATCH(V26,BSFC!$P$21:$AD$21,1))</f>
        <v>1</v>
      </c>
      <c r="AE26" s="9">
        <f>MATCH(AC26,BSFC!$O$22:$O$36,1)</f>
        <v>8</v>
      </c>
      <c r="AF26" s="9" cm="1">
        <f t="array" ref="AF26">INDEX(BSFC!$P$22:$AD$36,AD26,AE26)</f>
        <v>530</v>
      </c>
      <c r="AG26" s="10">
        <f>IF(V26&lt;0,((V26=0)*AF26/760),V26*AF26/760)</f>
        <v>0</v>
      </c>
      <c r="AH26" s="31">
        <f t="shared" si="15"/>
        <v>0</v>
      </c>
      <c r="AI26" s="31">
        <f t="shared" si="21"/>
        <v>2.1863317490680937E-2</v>
      </c>
      <c r="AJ26" s="31">
        <f t="shared" si="16"/>
        <v>30.365718737056856</v>
      </c>
      <c r="AK26" s="20"/>
      <c r="AL26" s="20"/>
      <c r="AM26" s="20"/>
      <c r="AN26" s="20"/>
      <c r="AO26" s="20"/>
      <c r="AP26" s="5">
        <v>7.0033333333333303</v>
      </c>
      <c r="AQ26" s="40">
        <v>4500</v>
      </c>
    </row>
    <row r="27" spans="1:43" x14ac:dyDescent="0.25">
      <c r="A27" s="9">
        <v>53.304850000000002</v>
      </c>
      <c r="B27" s="9">
        <v>-6.1429999999999998E-2</v>
      </c>
      <c r="C27" s="9">
        <v>132</v>
      </c>
      <c r="D27" s="10">
        <f t="shared" si="1"/>
        <v>274.99367088607596</v>
      </c>
      <c r="E27" s="9">
        <f t="shared" si="2"/>
        <v>31</v>
      </c>
      <c r="F27" s="9">
        <v>48.747999999999998</v>
      </c>
      <c r="G27" s="10">
        <f t="shared" si="3"/>
        <v>13.54111111111111</v>
      </c>
      <c r="H27" s="10">
        <f t="shared" si="4"/>
        <v>0.98470510406272149</v>
      </c>
      <c r="I27" s="10">
        <f t="shared" si="17"/>
        <v>23.934289219288708</v>
      </c>
      <c r="J27" s="10">
        <f t="shared" si="18"/>
        <v>1.0572821312854643</v>
      </c>
      <c r="K27" s="10">
        <f>J27*$K$2</f>
        <v>546.82631830084222</v>
      </c>
      <c r="L27" s="10">
        <f t="shared" si="5"/>
        <v>91.044579996999985</v>
      </c>
      <c r="M27" s="10">
        <f>($K$2*$G$2*E27)/1000</f>
        <v>157.28569200000004</v>
      </c>
      <c r="N27" s="10">
        <f>(0.5*$K$2*(G27^2))/1000</f>
        <v>47.417333065925931</v>
      </c>
      <c r="O27" s="10">
        <f t="shared" si="6"/>
        <v>-7.6365393910101498E-2</v>
      </c>
      <c r="P27" s="10">
        <f t="shared" si="7"/>
        <v>-7.6217465157670902E-2</v>
      </c>
      <c r="Q27" s="10">
        <f t="shared" si="8"/>
        <v>-4.3669390787199465</v>
      </c>
      <c r="R27" s="10">
        <f>($K$2*$G$2*SIN(Q27))</f>
        <v>4773.9921601452697</v>
      </c>
      <c r="S27" s="9">
        <f xml:space="preserve"> ($P$3*($K$2*$G$2))</f>
        <v>304.42392000000007</v>
      </c>
      <c r="T27" s="10">
        <f t="shared" si="9"/>
        <v>5.7162869784431125</v>
      </c>
      <c r="U27" s="10">
        <f t="shared" si="10"/>
        <v>77.404877118095783</v>
      </c>
      <c r="V27" s="30">
        <f t="shared" si="11"/>
        <v>13.04111111111111</v>
      </c>
      <c r="W27" s="30">
        <f t="shared" si="12"/>
        <v>0</v>
      </c>
      <c r="X27" s="30">
        <f t="shared" si="19"/>
        <v>-246.77401668826681</v>
      </c>
      <c r="Y27" s="31">
        <f t="shared" si="13"/>
        <v>13.04111111111111</v>
      </c>
      <c r="Z27" s="31">
        <f t="shared" si="20"/>
        <v>150.81141342668869</v>
      </c>
      <c r="AA27" s="30">
        <f t="shared" si="14"/>
        <v>2.2813954513289652</v>
      </c>
      <c r="AB27" s="9" cm="1">
        <f t="array" ref="AB27">_xlfn.IFS(AA27&lt;=4,1,AA27&lt;=8,2,AA27&gt;8,3)</f>
        <v>1</v>
      </c>
      <c r="AC27" s="32">
        <f>LOOKUP(AA27,$AP$5:$AP$46,$AQ$5:$AQ$46)</f>
        <v>3500</v>
      </c>
      <c r="AD27" s="9">
        <f>IF(V27&lt;0,1,MATCH(V27,BSFC!$P$21:$AD$21,1))</f>
        <v>11</v>
      </c>
      <c r="AE27" s="9">
        <f>MATCH(AC27,BSFC!$O$22:$O$36,1)</f>
        <v>7</v>
      </c>
      <c r="AF27" s="9" cm="1">
        <f t="array" ref="AF27">INDEX(BSFC!$P$22:$AD$36,AD27,AE27)</f>
        <v>438</v>
      </c>
      <c r="AG27" s="10">
        <f>IF(V27&lt;0,((V27=0)*AF27/760),V27*AF27/760)</f>
        <v>7.5157982456140342</v>
      </c>
      <c r="AH27" s="31">
        <f t="shared" si="15"/>
        <v>2.0877217348927871E-3</v>
      </c>
      <c r="AI27" s="31">
        <f t="shared" si="21"/>
        <v>2.3951039225573723E-2</v>
      </c>
      <c r="AJ27" s="31">
        <f t="shared" si="16"/>
        <v>33.265332257741278</v>
      </c>
      <c r="AK27" s="20"/>
      <c r="AL27" s="20"/>
      <c r="AM27" s="20"/>
      <c r="AN27" s="20"/>
      <c r="AO27" s="20"/>
      <c r="AP27" s="5">
        <v>7.3383333333333303</v>
      </c>
      <c r="AQ27" s="40">
        <v>5000</v>
      </c>
    </row>
    <row r="28" spans="1:43" x14ac:dyDescent="0.25">
      <c r="A28" s="9">
        <v>53.304859999999998</v>
      </c>
      <c r="B28" s="9">
        <v>-6.173E-2</v>
      </c>
      <c r="C28" s="9">
        <v>131</v>
      </c>
      <c r="D28" s="10">
        <f t="shared" si="1"/>
        <v>288.08860759493672</v>
      </c>
      <c r="E28" s="9">
        <f t="shared" si="2"/>
        <v>30</v>
      </c>
      <c r="F28" s="9">
        <v>47</v>
      </c>
      <c r="G28" s="10">
        <f t="shared" si="3"/>
        <v>13.055555555555555</v>
      </c>
      <c r="H28" s="10">
        <f t="shared" si="4"/>
        <v>1.0248211337369288</v>
      </c>
      <c r="I28" s="10">
        <f t="shared" si="17"/>
        <v>24.959110353025636</v>
      </c>
      <c r="J28" s="10">
        <f t="shared" si="18"/>
        <v>-0.47379541616693199</v>
      </c>
      <c r="K28" s="10">
        <f>J28*$K$2</f>
        <v>-245.04698924153726</v>
      </c>
      <c r="L28" s="10">
        <f t="shared" si="5"/>
        <v>84.632312499999998</v>
      </c>
      <c r="M28" s="10">
        <f>($K$2*$G$2*E28)/1000</f>
        <v>152.21196000000003</v>
      </c>
      <c r="N28" s="10">
        <f>(0.5*$K$2*(G28^2))/1000</f>
        <v>44.077731481481479</v>
      </c>
      <c r="O28" s="10">
        <f t="shared" si="6"/>
        <v>-7.6365393910101498E-2</v>
      </c>
      <c r="P28" s="10">
        <f t="shared" si="7"/>
        <v>-7.6217465157670902E-2</v>
      </c>
      <c r="Q28" s="10">
        <f t="shared" si="8"/>
        <v>-4.3669390787199465</v>
      </c>
      <c r="R28" s="10">
        <f>($K$2*$G$2*SIN(Q28))</f>
        <v>4773.9921601452697</v>
      </c>
      <c r="S28" s="9">
        <f xml:space="preserve"> ($P$3*($K$2*$G$2))</f>
        <v>304.42392000000007</v>
      </c>
      <c r="T28" s="10">
        <f t="shared" si="9"/>
        <v>4.918001403403732</v>
      </c>
      <c r="U28" s="10">
        <f t="shared" si="10"/>
        <v>64.20724054443761</v>
      </c>
      <c r="V28" s="30">
        <f t="shared" si="11"/>
        <v>12.555555555555555</v>
      </c>
      <c r="W28" s="30">
        <f t="shared" si="12"/>
        <v>0</v>
      </c>
      <c r="X28" s="30">
        <f t="shared" si="19"/>
        <v>-246.77401668826681</v>
      </c>
      <c r="Y28" s="31">
        <f t="shared" si="13"/>
        <v>12.555555555555555</v>
      </c>
      <c r="Z28" s="31">
        <f t="shared" si="20"/>
        <v>163.36696898224423</v>
      </c>
      <c r="AA28" s="30">
        <f t="shared" si="14"/>
        <v>2.5529792543096668</v>
      </c>
      <c r="AB28" s="9" cm="1">
        <f t="array" ref="AB28">_xlfn.IFS(AA28&lt;=4,1,AA28&lt;=8,2,AA28&gt;8,3)</f>
        <v>1</v>
      </c>
      <c r="AC28" s="32">
        <f>LOOKUP(AA28,$AP$5:$AP$46,$AQ$5:$AQ$46)</f>
        <v>4000</v>
      </c>
      <c r="AD28" s="9">
        <f>IF(V28&lt;0,1,MATCH(V28,BSFC!$P$21:$AD$21,1))</f>
        <v>10</v>
      </c>
      <c r="AE28" s="9">
        <f>MATCH(AC28,BSFC!$O$22:$O$36,1)</f>
        <v>8</v>
      </c>
      <c r="AF28" s="9" cm="1">
        <f t="array" ref="AF28">INDEX(BSFC!$P$22:$AD$36,AD28,AE28)</f>
        <v>419</v>
      </c>
      <c r="AG28" s="10">
        <f>IF(V28&lt;0,((V28=0)*AF28/760),V28*AF28/760)</f>
        <v>6.9220760233918126</v>
      </c>
      <c r="AH28" s="31">
        <f t="shared" si="15"/>
        <v>1.9227988953866145E-3</v>
      </c>
      <c r="AI28" s="31">
        <f t="shared" si="21"/>
        <v>2.5873838120960339E-2</v>
      </c>
      <c r="AJ28" s="31">
        <f t="shared" si="16"/>
        <v>35.935886279111578</v>
      </c>
      <c r="AK28" s="20"/>
      <c r="AL28" s="20"/>
      <c r="AM28" s="20"/>
      <c r="AN28" s="20"/>
      <c r="AO28" s="20"/>
      <c r="AP28" s="5">
        <v>7.6733333333333302</v>
      </c>
      <c r="AQ28" s="40">
        <v>5500</v>
      </c>
    </row>
    <row r="29" spans="1:43" x14ac:dyDescent="0.25">
      <c r="A29" s="9">
        <v>53.304920000000003</v>
      </c>
      <c r="B29" s="9">
        <v>-6.2050000000000001E-2</v>
      </c>
      <c r="C29" s="9">
        <v>130</v>
      </c>
      <c r="D29" s="10">
        <f t="shared" si="1"/>
        <v>301.18354430379748</v>
      </c>
      <c r="E29" s="9">
        <f t="shared" si="2"/>
        <v>29</v>
      </c>
      <c r="F29" s="9">
        <v>45</v>
      </c>
      <c r="G29" s="10">
        <f t="shared" si="3"/>
        <v>12.5</v>
      </c>
      <c r="H29" s="10">
        <f t="shared" si="4"/>
        <v>1.0248211337369288</v>
      </c>
      <c r="I29" s="10">
        <f t="shared" si="17"/>
        <v>25.983931486762565</v>
      </c>
      <c r="J29" s="10">
        <f t="shared" si="18"/>
        <v>-0.54210001849763423</v>
      </c>
      <c r="K29" s="10">
        <f>J29*$K$2</f>
        <v>-280.37412956697642</v>
      </c>
      <c r="L29" s="10">
        <f t="shared" si="5"/>
        <v>77.582812500000003</v>
      </c>
      <c r="M29" s="10">
        <f>($K$2*$G$2*E29)/1000</f>
        <v>147.13822800000003</v>
      </c>
      <c r="N29" s="10">
        <f>(0.5*$K$2*(G29^2))/1000</f>
        <v>40.40625</v>
      </c>
      <c r="O29" s="10">
        <f t="shared" si="6"/>
        <v>-7.6365393910101498E-2</v>
      </c>
      <c r="P29" s="10">
        <f t="shared" si="7"/>
        <v>-7.6217465157670902E-2</v>
      </c>
      <c r="Q29" s="10">
        <f t="shared" si="8"/>
        <v>-4.3669390787199465</v>
      </c>
      <c r="R29" s="10">
        <f>($K$2*$G$2*SIN(Q29))</f>
        <v>4773.9921601452697</v>
      </c>
      <c r="S29" s="9">
        <f xml:space="preserve"> ($P$3*($K$2*$G$2))</f>
        <v>304.42392000000007</v>
      </c>
      <c r="T29" s="10">
        <f t="shared" si="9"/>
        <v>4.8756247630782941</v>
      </c>
      <c r="U29" s="10">
        <f t="shared" si="10"/>
        <v>60.945309538478675</v>
      </c>
      <c r="V29" s="30">
        <f t="shared" si="11"/>
        <v>12</v>
      </c>
      <c r="W29" s="30">
        <f t="shared" si="12"/>
        <v>0</v>
      </c>
      <c r="X29" s="30">
        <f t="shared" si="19"/>
        <v>-246.77401668826681</v>
      </c>
      <c r="Y29" s="31">
        <f t="shared" si="13"/>
        <v>12</v>
      </c>
      <c r="Z29" s="31">
        <f t="shared" si="20"/>
        <v>175.36696898224423</v>
      </c>
      <c r="AA29" s="30">
        <f t="shared" si="14"/>
        <v>2.4612230397368875</v>
      </c>
      <c r="AB29" s="9" cm="1">
        <f t="array" ref="AB29">_xlfn.IFS(AA29&lt;=4,1,AA29&lt;=8,2,AA29&gt;8,3)</f>
        <v>1</v>
      </c>
      <c r="AC29" s="32">
        <f>LOOKUP(AA29,$AP$5:$AP$46,$AQ$5:$AQ$46)</f>
        <v>4000</v>
      </c>
      <c r="AD29" s="9">
        <f>IF(V29&lt;0,1,MATCH(V29,BSFC!$P$21:$AD$21,1))</f>
        <v>10</v>
      </c>
      <c r="AE29" s="9">
        <f>MATCH(AC29,BSFC!$O$22:$O$36,1)</f>
        <v>8</v>
      </c>
      <c r="AF29" s="9" cm="1">
        <f t="array" ref="AF29">INDEX(BSFC!$P$22:$AD$36,AD29,AE29)</f>
        <v>419</v>
      </c>
      <c r="AG29" s="10">
        <f>IF(V29&lt;0,((V29=0)*AF29/760),V29*AF29/760)</f>
        <v>6.6157894736842104</v>
      </c>
      <c r="AH29" s="31">
        <f t="shared" si="15"/>
        <v>1.837719298245614E-3</v>
      </c>
      <c r="AI29" s="31">
        <f t="shared" si="21"/>
        <v>2.7711557419205952E-2</v>
      </c>
      <c r="AJ29" s="31">
        <f t="shared" si="16"/>
        <v>38.488274193341603</v>
      </c>
      <c r="AK29" s="20"/>
      <c r="AL29" s="20"/>
      <c r="AM29" s="20"/>
      <c r="AN29" s="20"/>
      <c r="AO29" s="20"/>
      <c r="AP29" s="5">
        <v>8.0083333333333293</v>
      </c>
      <c r="AQ29" s="40">
        <v>6000</v>
      </c>
    </row>
    <row r="30" spans="1:43" x14ac:dyDescent="0.25">
      <c r="A30" s="9">
        <v>53.305160000000001</v>
      </c>
      <c r="B30" s="9">
        <v>-6.2659999999999993E-2</v>
      </c>
      <c r="C30" s="9">
        <v>129</v>
      </c>
      <c r="D30" s="10">
        <f t="shared" si="1"/>
        <v>314.27848101265823</v>
      </c>
      <c r="E30" s="9">
        <f t="shared" si="2"/>
        <v>28</v>
      </c>
      <c r="F30" s="9">
        <v>47</v>
      </c>
      <c r="G30" s="10">
        <f t="shared" si="3"/>
        <v>13.055555555555555</v>
      </c>
      <c r="H30" s="10">
        <f t="shared" si="4"/>
        <v>0.98470510406272149</v>
      </c>
      <c r="I30" s="10">
        <f t="shared" si="17"/>
        <v>26.968636590825287</v>
      </c>
      <c r="J30" s="10">
        <f t="shared" si="18"/>
        <v>0.56418470185990632</v>
      </c>
      <c r="K30" s="10">
        <f>J30*$K$2</f>
        <v>291.79632780194356</v>
      </c>
      <c r="L30" s="10">
        <f t="shared" si="5"/>
        <v>84.632312499999998</v>
      </c>
      <c r="M30" s="10">
        <f>($K$2*$G$2*E30)/1000</f>
        <v>142.06449600000002</v>
      </c>
      <c r="N30" s="10">
        <f>(0.5*$K$2*(G30^2))/1000</f>
        <v>44.077731481481479</v>
      </c>
      <c r="O30" s="10">
        <f t="shared" si="6"/>
        <v>-7.6365393910101498E-2</v>
      </c>
      <c r="P30" s="10">
        <f t="shared" si="7"/>
        <v>-7.6217465157670902E-2</v>
      </c>
      <c r="Q30" s="10">
        <f t="shared" si="8"/>
        <v>-4.3669390787199465</v>
      </c>
      <c r="R30" s="10">
        <f>($K$2*$G$2*SIN(Q30))</f>
        <v>4773.9921601452697</v>
      </c>
      <c r="S30" s="9">
        <f xml:space="preserve"> ($P$3*($K$2*$G$2))</f>
        <v>304.42392000000007</v>
      </c>
      <c r="T30" s="10">
        <f t="shared" si="9"/>
        <v>5.4548447204472135</v>
      </c>
      <c r="U30" s="10">
        <f t="shared" si="10"/>
        <v>71.216028294727508</v>
      </c>
      <c r="V30" s="30">
        <f t="shared" si="11"/>
        <v>12.555555555555555</v>
      </c>
      <c r="W30" s="30">
        <f t="shared" si="12"/>
        <v>0</v>
      </c>
      <c r="X30" s="30">
        <f t="shared" si="19"/>
        <v>-246.77401668826681</v>
      </c>
      <c r="Y30" s="31">
        <f t="shared" si="13"/>
        <v>12.555555555555555</v>
      </c>
      <c r="Z30" s="31">
        <f t="shared" si="20"/>
        <v>187.92252453779977</v>
      </c>
      <c r="AA30" s="30">
        <f t="shared" si="14"/>
        <v>2.3017255667226753</v>
      </c>
      <c r="AB30" s="9" cm="1">
        <f t="array" ref="AB30">_xlfn.IFS(AA30&lt;=4,1,AA30&lt;=8,2,AA30&gt;8,3)</f>
        <v>1</v>
      </c>
      <c r="AC30" s="32">
        <f>LOOKUP(AA30,$AP$5:$AP$46,$AQ$5:$AQ$46)</f>
        <v>3500</v>
      </c>
      <c r="AD30" s="9">
        <f>IF(V30&lt;0,1,MATCH(V30,BSFC!$P$21:$AD$21,1))</f>
        <v>10</v>
      </c>
      <c r="AE30" s="9">
        <f>MATCH(AC30,BSFC!$O$22:$O$36,1)</f>
        <v>7</v>
      </c>
      <c r="AF30" s="9" cm="1">
        <f t="array" ref="AF30">INDEX(BSFC!$P$22:$AD$36,AD30,AE30)</f>
        <v>426</v>
      </c>
      <c r="AG30" s="10">
        <f>IF(V30&lt;0,((V30=0)*AF30/760),V30*AF30/760)</f>
        <v>7.037719298245614</v>
      </c>
      <c r="AH30" s="31">
        <f t="shared" si="15"/>
        <v>1.9549220272904485E-3</v>
      </c>
      <c r="AI30" s="31">
        <f t="shared" si="21"/>
        <v>2.9666479446496401E-2</v>
      </c>
      <c r="AJ30" s="31">
        <f t="shared" si="16"/>
        <v>41.203443675689449</v>
      </c>
      <c r="AK30" s="20"/>
      <c r="AL30" s="20"/>
      <c r="AM30" s="20"/>
      <c r="AN30" s="20"/>
      <c r="AO30" s="20"/>
      <c r="AP30" s="7">
        <v>8.3433333333333302</v>
      </c>
      <c r="AQ30" s="41">
        <v>333</v>
      </c>
    </row>
    <row r="31" spans="1:43" x14ac:dyDescent="0.25">
      <c r="A31" s="9">
        <v>53.305300000000003</v>
      </c>
      <c r="B31" s="9">
        <v>-6.2969999999999998E-2</v>
      </c>
      <c r="C31" s="9">
        <v>128</v>
      </c>
      <c r="D31" s="10">
        <f t="shared" si="1"/>
        <v>327.37341772151899</v>
      </c>
      <c r="E31" s="9">
        <f t="shared" si="2"/>
        <v>27</v>
      </c>
      <c r="F31" s="9">
        <v>48.747999999999998</v>
      </c>
      <c r="G31" s="10">
        <f t="shared" si="3"/>
        <v>13.54111111111111</v>
      </c>
      <c r="H31" s="10">
        <f t="shared" si="4"/>
        <v>0.96705038467011428</v>
      </c>
      <c r="I31" s="10">
        <f t="shared" si="17"/>
        <v>27.9356869754954</v>
      </c>
      <c r="J31" s="10">
        <f t="shared" si="18"/>
        <v>0.5020995423327308</v>
      </c>
      <c r="K31" s="10">
        <f>J31*$K$2</f>
        <v>259.68588329448841</v>
      </c>
      <c r="L31" s="10">
        <f t="shared" si="5"/>
        <v>91.044579996999985</v>
      </c>
      <c r="M31" s="10">
        <f>($K$2*$G$2*E31)/1000</f>
        <v>136.99076400000001</v>
      </c>
      <c r="N31" s="10">
        <f>(0.5*$K$2*(G31^2))/1000</f>
        <v>47.417333065925931</v>
      </c>
      <c r="O31" s="10">
        <f t="shared" si="6"/>
        <v>-7.6365393910101498E-2</v>
      </c>
      <c r="P31" s="10">
        <f t="shared" si="7"/>
        <v>-7.6217465157670902E-2</v>
      </c>
      <c r="Q31" s="10">
        <f t="shared" si="8"/>
        <v>-4.3669390787199465</v>
      </c>
      <c r="R31" s="10">
        <f>($K$2*$G$2*SIN(Q31))</f>
        <v>4773.9921601452697</v>
      </c>
      <c r="S31" s="9">
        <f xml:space="preserve"> ($P$3*($K$2*$G$2))</f>
        <v>304.42392000000007</v>
      </c>
      <c r="T31" s="10">
        <f t="shared" si="9"/>
        <v>5.4291465434367581</v>
      </c>
      <c r="U31" s="10">
        <f t="shared" si="10"/>
        <v>73.516676583181962</v>
      </c>
      <c r="V31" s="30">
        <f t="shared" si="11"/>
        <v>13.04111111111111</v>
      </c>
      <c r="W31" s="30">
        <f t="shared" si="12"/>
        <v>0</v>
      </c>
      <c r="X31" s="30">
        <f t="shared" si="19"/>
        <v>-246.77401668826681</v>
      </c>
      <c r="Y31" s="31">
        <f t="shared" si="13"/>
        <v>13.04111111111111</v>
      </c>
      <c r="Z31" s="31">
        <f t="shared" si="20"/>
        <v>200.96363564891089</v>
      </c>
      <c r="AA31" s="30">
        <f t="shared" si="14"/>
        <v>2.4020554624513464</v>
      </c>
      <c r="AB31" s="9" cm="1">
        <f t="array" ref="AB31">_xlfn.IFS(AA31&lt;=4,1,AA31&lt;=8,2,AA31&gt;8,3)</f>
        <v>1</v>
      </c>
      <c r="AC31" s="32">
        <f>LOOKUP(AA31,$AP$5:$AP$46,$AQ$5:$AQ$46)</f>
        <v>4000</v>
      </c>
      <c r="AD31" s="9">
        <f>IF(V31&lt;0,1,MATCH(V31,BSFC!$P$21:$AD$21,1))</f>
        <v>11</v>
      </c>
      <c r="AE31" s="9">
        <f>MATCH(AC31,BSFC!$O$22:$O$36,1)</f>
        <v>8</v>
      </c>
      <c r="AF31" s="9" cm="1">
        <f t="array" ref="AF31">INDEX(BSFC!$P$22:$AD$36,AD31,AE31)</f>
        <v>431</v>
      </c>
      <c r="AG31" s="10">
        <f>IF(V31&lt;0,((V31=0)*AF31/760),V31*AF31/760)</f>
        <v>7.395682748538011</v>
      </c>
      <c r="AH31" s="31">
        <f t="shared" si="15"/>
        <v>2.0543563190383364E-3</v>
      </c>
      <c r="AI31" s="31">
        <f t="shared" si="21"/>
        <v>3.1720835765534736E-2</v>
      </c>
      <c r="AJ31" s="31">
        <f t="shared" si="16"/>
        <v>44.056716341020461</v>
      </c>
      <c r="AK31" s="20"/>
      <c r="AL31" s="20"/>
      <c r="AM31" s="20"/>
      <c r="AN31" s="20"/>
      <c r="AO31" s="20"/>
      <c r="AP31" s="7">
        <v>8.6783333333333292</v>
      </c>
      <c r="AQ31" s="41">
        <v>666</v>
      </c>
    </row>
    <row r="32" spans="1:43" x14ac:dyDescent="0.25">
      <c r="A32" s="9">
        <v>53.305509999999998</v>
      </c>
      <c r="B32" s="9">
        <v>-6.3479999999999995E-2</v>
      </c>
      <c r="C32" s="9">
        <v>127</v>
      </c>
      <c r="D32" s="10">
        <f t="shared" si="1"/>
        <v>340.46835443037975</v>
      </c>
      <c r="E32" s="9">
        <f t="shared" si="2"/>
        <v>26</v>
      </c>
      <c r="F32" s="9">
        <v>48.747999999999998</v>
      </c>
      <c r="G32" s="10">
        <f t="shared" si="3"/>
        <v>13.54111111111111</v>
      </c>
      <c r="H32" s="10">
        <f t="shared" si="4"/>
        <v>0.96705038467011428</v>
      </c>
      <c r="I32" s="10">
        <f t="shared" si="17"/>
        <v>28.902737360165514</v>
      </c>
      <c r="J32" s="10">
        <f t="shared" si="18"/>
        <v>0</v>
      </c>
      <c r="K32" s="10">
        <f>J32*$K$2</f>
        <v>0</v>
      </c>
      <c r="L32" s="10">
        <f t="shared" si="5"/>
        <v>91.044579996999985</v>
      </c>
      <c r="M32" s="10">
        <f>($K$2*$G$2*E32)/1000</f>
        <v>131.91703200000003</v>
      </c>
      <c r="N32" s="10">
        <f>(0.5*$K$2*(G32^2))/1000</f>
        <v>47.417333065925931</v>
      </c>
      <c r="O32" s="10">
        <f t="shared" si="6"/>
        <v>-7.6365393910101498E-2</v>
      </c>
      <c r="P32" s="10">
        <f t="shared" si="7"/>
        <v>-7.6217465157670902E-2</v>
      </c>
      <c r="Q32" s="10">
        <f t="shared" si="8"/>
        <v>-4.3669390787199465</v>
      </c>
      <c r="R32" s="10">
        <f>($K$2*$G$2*SIN(Q32))</f>
        <v>4773.9921601452697</v>
      </c>
      <c r="S32" s="9">
        <f xml:space="preserve"> ($P$3*($K$2*$G$2))</f>
        <v>304.42392000000007</v>
      </c>
      <c r="T32" s="10">
        <f t="shared" si="9"/>
        <v>5.1694606601422706</v>
      </c>
      <c r="U32" s="10">
        <f t="shared" si="10"/>
        <v>70.000241183504272</v>
      </c>
      <c r="V32" s="30">
        <f t="shared" si="11"/>
        <v>13.04111111111111</v>
      </c>
      <c r="W32" s="30">
        <f t="shared" si="12"/>
        <v>0</v>
      </c>
      <c r="X32" s="30">
        <f t="shared" si="19"/>
        <v>-246.77401668826681</v>
      </c>
      <c r="Y32" s="31">
        <f t="shared" si="13"/>
        <v>13.04111111111111</v>
      </c>
      <c r="Z32" s="31">
        <f t="shared" si="20"/>
        <v>214.00474676002202</v>
      </c>
      <c r="AA32" s="30">
        <f t="shared" si="14"/>
        <v>2.5227218018430961</v>
      </c>
      <c r="AB32" s="9" cm="1">
        <f t="array" ref="AB32">_xlfn.IFS(AA32&lt;=4,1,AA32&lt;=8,2,AA32&gt;8,3)</f>
        <v>1</v>
      </c>
      <c r="AC32" s="32">
        <f>LOOKUP(AA32,$AP$5:$AP$46,$AQ$5:$AQ$46)</f>
        <v>4000</v>
      </c>
      <c r="AD32" s="9">
        <f>IF(V32&lt;0,1,MATCH(V32,BSFC!$P$21:$AD$21,1))</f>
        <v>11</v>
      </c>
      <c r="AE32" s="9">
        <f>MATCH(AC32,BSFC!$O$22:$O$36,1)</f>
        <v>8</v>
      </c>
      <c r="AF32" s="9" cm="1">
        <f t="array" ref="AF32">INDEX(BSFC!$P$22:$AD$36,AD32,AE32)</f>
        <v>431</v>
      </c>
      <c r="AG32" s="10">
        <f>IF(V32&lt;0,((V32=0)*AF32/760),V32*AF32/760)</f>
        <v>7.395682748538011</v>
      </c>
      <c r="AH32" s="31">
        <f t="shared" si="15"/>
        <v>2.0543563190383364E-3</v>
      </c>
      <c r="AI32" s="31">
        <f t="shared" si="21"/>
        <v>3.3775192084573073E-2</v>
      </c>
      <c r="AJ32" s="31">
        <f t="shared" si="16"/>
        <v>46.909989006351495</v>
      </c>
      <c r="AK32" s="20"/>
      <c r="AL32" s="20"/>
      <c r="AM32" s="20"/>
      <c r="AN32" s="20"/>
      <c r="AO32" s="20"/>
      <c r="AP32" s="7">
        <v>9.0133333333333301</v>
      </c>
      <c r="AQ32" s="41">
        <v>1000</v>
      </c>
    </row>
    <row r="33" spans="1:43" x14ac:dyDescent="0.25">
      <c r="A33" s="9">
        <v>53.30574</v>
      </c>
      <c r="B33" s="9">
        <v>-6.3880000000000006E-2</v>
      </c>
      <c r="C33" s="9">
        <v>126</v>
      </c>
      <c r="D33" s="10">
        <f t="shared" si="1"/>
        <v>353.5632911392405</v>
      </c>
      <c r="E33" s="9">
        <f t="shared" si="2"/>
        <v>25</v>
      </c>
      <c r="F33" s="9">
        <v>48.747999999999998</v>
      </c>
      <c r="G33" s="10">
        <f t="shared" si="3"/>
        <v>13.54111111111111</v>
      </c>
      <c r="H33" s="10">
        <f t="shared" si="4"/>
        <v>0.98470510406272149</v>
      </c>
      <c r="I33" s="10">
        <f t="shared" si="17"/>
        <v>29.887442464228236</v>
      </c>
      <c r="J33" s="10">
        <f t="shared" si="18"/>
        <v>0</v>
      </c>
      <c r="K33" s="10">
        <f>J33*$K$2</f>
        <v>0</v>
      </c>
      <c r="L33" s="10">
        <f t="shared" si="5"/>
        <v>91.044579996999985</v>
      </c>
      <c r="M33" s="10">
        <f>($K$2*$G$2*E33)/1000</f>
        <v>126.84330000000001</v>
      </c>
      <c r="N33" s="10">
        <f>(0.5*$K$2*(G33^2))/1000</f>
        <v>47.417333065925931</v>
      </c>
      <c r="O33" s="10">
        <f t="shared" si="6"/>
        <v>-7.6365393910101498E-2</v>
      </c>
      <c r="P33" s="10">
        <f t="shared" si="7"/>
        <v>-7.6217465157670902E-2</v>
      </c>
      <c r="Q33" s="10">
        <f t="shared" si="8"/>
        <v>-4.3669390787199465</v>
      </c>
      <c r="R33" s="10">
        <f>($K$2*$G$2*SIN(Q33))</f>
        <v>4773.9921601452697</v>
      </c>
      <c r="S33" s="9">
        <f xml:space="preserve"> ($P$3*($K$2*$G$2))</f>
        <v>304.42392000000007</v>
      </c>
      <c r="T33" s="10">
        <f t="shared" si="9"/>
        <v>5.1694606601422706</v>
      </c>
      <c r="U33" s="10">
        <f t="shared" si="10"/>
        <v>70.000241183504272</v>
      </c>
      <c r="V33" s="30">
        <f t="shared" si="11"/>
        <v>13.04111111111111</v>
      </c>
      <c r="W33" s="30">
        <f t="shared" si="12"/>
        <v>0</v>
      </c>
      <c r="X33" s="30">
        <f t="shared" si="19"/>
        <v>-246.77401668826681</v>
      </c>
      <c r="Y33" s="31">
        <f t="shared" si="13"/>
        <v>13.04111111111111</v>
      </c>
      <c r="Z33" s="31">
        <f t="shared" si="20"/>
        <v>227.04585787113314</v>
      </c>
      <c r="AA33" s="30">
        <f t="shared" si="14"/>
        <v>2.5227218018430961</v>
      </c>
      <c r="AB33" s="9" cm="1">
        <f t="array" ref="AB33">_xlfn.IFS(AA33&lt;=4,1,AA33&lt;=8,2,AA33&gt;8,3)</f>
        <v>1</v>
      </c>
      <c r="AC33" s="32">
        <f>LOOKUP(AA33,$AP$5:$AP$46,$AQ$5:$AQ$46)</f>
        <v>4000</v>
      </c>
      <c r="AD33" s="9">
        <f>IF(V33&lt;0,1,MATCH(V33,BSFC!$P$21:$AD$21,1))</f>
        <v>11</v>
      </c>
      <c r="AE33" s="9">
        <f>MATCH(AC33,BSFC!$O$22:$O$36,1)</f>
        <v>8</v>
      </c>
      <c r="AF33" s="9" cm="1">
        <f t="array" ref="AF33">INDEX(BSFC!$P$22:$AD$36,AD33,AE33)</f>
        <v>431</v>
      </c>
      <c r="AG33" s="10">
        <f>IF(V33&lt;0,((V33=0)*AF33/760),V33*AF33/760)</f>
        <v>7.395682748538011</v>
      </c>
      <c r="AH33" s="31">
        <f t="shared" si="15"/>
        <v>2.0543563190383364E-3</v>
      </c>
      <c r="AI33" s="31">
        <f t="shared" si="21"/>
        <v>3.5829548403611411E-2</v>
      </c>
      <c r="AJ33" s="31">
        <f t="shared" si="16"/>
        <v>49.763261671682521</v>
      </c>
      <c r="AK33" s="20"/>
      <c r="AL33" s="20"/>
      <c r="AM33" s="20"/>
      <c r="AN33" s="20"/>
      <c r="AO33" s="20"/>
      <c r="AP33" s="7">
        <v>9.3483333333333292</v>
      </c>
      <c r="AQ33" s="41">
        <v>1333</v>
      </c>
    </row>
    <row r="34" spans="1:43" x14ac:dyDescent="0.25">
      <c r="A34" s="9">
        <v>53.305950000000003</v>
      </c>
      <c r="B34" s="9">
        <v>-6.4219999999999999E-2</v>
      </c>
      <c r="C34" s="9">
        <v>125</v>
      </c>
      <c r="D34" s="10">
        <f t="shared" si="1"/>
        <v>366.65822784810126</v>
      </c>
      <c r="E34" s="9">
        <f t="shared" si="2"/>
        <v>24</v>
      </c>
      <c r="F34" s="9">
        <v>47</v>
      </c>
      <c r="G34" s="10">
        <f t="shared" si="3"/>
        <v>13.055555555555555</v>
      </c>
      <c r="H34" s="10">
        <f t="shared" si="4"/>
        <v>1.0360829044373345</v>
      </c>
      <c r="I34" s="10">
        <f t="shared" si="17"/>
        <v>30.923525368665572</v>
      </c>
      <c r="J34" s="10">
        <f t="shared" si="18"/>
        <v>-0.46864546599120366</v>
      </c>
      <c r="K34" s="10">
        <f>J34*$K$2</f>
        <v>-242.38343501065054</v>
      </c>
      <c r="L34" s="10">
        <f t="shared" si="5"/>
        <v>84.632312499999998</v>
      </c>
      <c r="M34" s="10">
        <f>($K$2*$G$2*E34)/1000</f>
        <v>121.76956800000004</v>
      </c>
      <c r="N34" s="10">
        <f>(0.5*$K$2*(G34^2))/1000</f>
        <v>44.077731481481479</v>
      </c>
      <c r="O34" s="10">
        <f t="shared" si="6"/>
        <v>-7.6365393910101498E-2</v>
      </c>
      <c r="P34" s="10">
        <f t="shared" si="7"/>
        <v>-7.6217465157670902E-2</v>
      </c>
      <c r="Q34" s="10">
        <f t="shared" si="8"/>
        <v>-4.3669390787199465</v>
      </c>
      <c r="R34" s="10">
        <f>($K$2*$G$2*SIN(Q34))</f>
        <v>4773.9921601452697</v>
      </c>
      <c r="S34" s="9">
        <f xml:space="preserve"> ($P$3*($K$2*$G$2))</f>
        <v>304.42392000000007</v>
      </c>
      <c r="T34" s="10">
        <f t="shared" si="9"/>
        <v>4.9206649576346191</v>
      </c>
      <c r="U34" s="10">
        <f t="shared" si="10"/>
        <v>64.242014724674192</v>
      </c>
      <c r="V34" s="30">
        <f t="shared" si="11"/>
        <v>12.555555555555555</v>
      </c>
      <c r="W34" s="30">
        <f t="shared" si="12"/>
        <v>0</v>
      </c>
      <c r="X34" s="30">
        <f t="shared" si="19"/>
        <v>-246.77401668826681</v>
      </c>
      <c r="Y34" s="31">
        <f t="shared" si="13"/>
        <v>12.555555555555555</v>
      </c>
      <c r="Z34" s="31">
        <f t="shared" si="20"/>
        <v>239.60141342668868</v>
      </c>
      <c r="AA34" s="30">
        <f t="shared" si="14"/>
        <v>2.5515973275268582</v>
      </c>
      <c r="AB34" s="9" cm="1">
        <f t="array" ref="AB34">_xlfn.IFS(AA34&lt;=4,1,AA34&lt;=8,2,AA34&gt;8,3)</f>
        <v>1</v>
      </c>
      <c r="AC34" s="32">
        <f>LOOKUP(AA34,$AP$5:$AP$46,$AQ$5:$AQ$46)</f>
        <v>4000</v>
      </c>
      <c r="AD34" s="9">
        <f>IF(V34&lt;0,1,MATCH(V34,BSFC!$P$21:$AD$21,1))</f>
        <v>10</v>
      </c>
      <c r="AE34" s="9">
        <f>MATCH(AC34,BSFC!$O$22:$O$36,1)</f>
        <v>8</v>
      </c>
      <c r="AF34" s="9" cm="1">
        <f t="array" ref="AF34">INDEX(BSFC!$P$22:$AD$36,AD34,AE34)</f>
        <v>419</v>
      </c>
      <c r="AG34" s="10">
        <f>IF(V34&lt;0,((V34=0)*AF34/760),V34*AF34/760)</f>
        <v>6.9220760233918126</v>
      </c>
      <c r="AH34" s="31">
        <f t="shared" si="15"/>
        <v>1.9227988953866145E-3</v>
      </c>
      <c r="AI34" s="31">
        <f t="shared" si="21"/>
        <v>3.7752347298998026E-2</v>
      </c>
      <c r="AJ34" s="31">
        <f t="shared" si="16"/>
        <v>52.433815693052821</v>
      </c>
      <c r="AK34" s="20"/>
      <c r="AL34" s="20"/>
      <c r="AM34" s="20"/>
      <c r="AN34" s="20"/>
      <c r="AO34" s="20"/>
      <c r="AP34" s="7">
        <v>9.68333333333333</v>
      </c>
      <c r="AQ34" s="41">
        <v>1666</v>
      </c>
    </row>
    <row r="35" spans="1:43" x14ac:dyDescent="0.25">
      <c r="A35" s="9">
        <v>53.306100000000001</v>
      </c>
      <c r="B35" s="9">
        <v>-6.4500000000000002E-2</v>
      </c>
      <c r="C35" s="9">
        <v>124</v>
      </c>
      <c r="D35" s="10">
        <f t="shared" si="1"/>
        <v>379.75316455696202</v>
      </c>
      <c r="E35" s="9">
        <f t="shared" si="2"/>
        <v>23</v>
      </c>
      <c r="F35" s="9">
        <v>44</v>
      </c>
      <c r="G35" s="10">
        <f t="shared" si="3"/>
        <v>12.222222222222221</v>
      </c>
      <c r="H35" s="10">
        <f t="shared" si="4"/>
        <v>1.0475949367088606</v>
      </c>
      <c r="I35" s="10">
        <f t="shared" si="17"/>
        <v>31.971120305374434</v>
      </c>
      <c r="J35" s="10">
        <f t="shared" si="18"/>
        <v>-0.79547285323022376</v>
      </c>
      <c r="K35" s="10">
        <f>J35*$K$2</f>
        <v>-411.41855969067177</v>
      </c>
      <c r="L35" s="10">
        <f t="shared" si="5"/>
        <v>74.173000000000002</v>
      </c>
      <c r="M35" s="10">
        <f>($K$2*$G$2*E35)/1000</f>
        <v>116.69583600000003</v>
      </c>
      <c r="N35" s="10">
        <f>(0.5*$K$2*(G35^2))/1000</f>
        <v>38.630370370370372</v>
      </c>
      <c r="O35" s="10">
        <f t="shared" si="6"/>
        <v>-0.152730787820203</v>
      </c>
      <c r="P35" s="10">
        <f t="shared" si="7"/>
        <v>-0.15155956893708497</v>
      </c>
      <c r="Q35" s="10">
        <f t="shared" si="8"/>
        <v>-8.6837236449170216</v>
      </c>
      <c r="R35" s="10">
        <f>($K$2*$G$2*SIN(Q35))</f>
        <v>-3425.1045539960332</v>
      </c>
      <c r="S35" s="9">
        <f xml:space="preserve"> ($P$3*($K$2*$G$2))</f>
        <v>304.42392000000007</v>
      </c>
      <c r="T35" s="10">
        <f t="shared" si="9"/>
        <v>-3.457926193686705</v>
      </c>
      <c r="U35" s="10">
        <f t="shared" si="10"/>
        <v>-42.26354236728195</v>
      </c>
      <c r="V35" s="30">
        <f t="shared" si="11"/>
        <v>-42.26354236728195</v>
      </c>
      <c r="W35" s="30">
        <f t="shared" si="12"/>
        <v>-42.26354236728195</v>
      </c>
      <c r="X35" s="30">
        <f t="shared" si="19"/>
        <v>-289.03755905554874</v>
      </c>
      <c r="Y35" s="31">
        <f t="shared" si="13"/>
        <v>0</v>
      </c>
      <c r="Z35" s="31">
        <f t="shared" si="20"/>
        <v>239.60141342668868</v>
      </c>
      <c r="AA35" s="30">
        <f t="shared" si="14"/>
        <v>12.222222222222223</v>
      </c>
      <c r="AB35" s="9" cm="1">
        <f t="array" ref="AB35">_xlfn.IFS(AA35&lt;=4,1,AA35&lt;=8,2,AA35&gt;8,3)</f>
        <v>3</v>
      </c>
      <c r="AC35" s="32">
        <f>LOOKUP(AA35,$AP$5:$AP$46,$AQ$5:$AQ$46)</f>
        <v>3999.5</v>
      </c>
      <c r="AD35" s="9">
        <f>IF(V35&lt;0,1,MATCH(V35,BSFC!$P$21:$AD$21,1))</f>
        <v>1</v>
      </c>
      <c r="AE35" s="9">
        <f>MATCH(AC35,BSFC!$O$22:$O$36,1)</f>
        <v>7</v>
      </c>
      <c r="AF35" s="9" cm="1">
        <f t="array" ref="AF35">INDEX(BSFC!$P$22:$AD$36,AD35,AE35)</f>
        <v>544</v>
      </c>
      <c r="AG35" s="10">
        <f>IF(V35&lt;0,((V35=0)*AF35/760),V35*AF35/760)</f>
        <v>0</v>
      </c>
      <c r="AH35" s="31">
        <f t="shared" si="15"/>
        <v>0</v>
      </c>
      <c r="AI35" s="31">
        <f t="shared" si="21"/>
        <v>3.7752347298998026E-2</v>
      </c>
      <c r="AJ35" s="31">
        <f t="shared" si="16"/>
        <v>52.433815693052821</v>
      </c>
      <c r="AK35" s="20"/>
      <c r="AL35" s="20"/>
      <c r="AM35" s="20"/>
      <c r="AN35" s="20"/>
      <c r="AO35" s="20"/>
      <c r="AP35" s="7">
        <v>10.018333333333301</v>
      </c>
      <c r="AQ35" s="41">
        <v>2000</v>
      </c>
    </row>
    <row r="36" spans="1:43" x14ac:dyDescent="0.25">
      <c r="A36" s="9">
        <v>53.306370000000001</v>
      </c>
      <c r="B36" s="9">
        <v>-6.4930000000000002E-2</v>
      </c>
      <c r="C36" s="9">
        <v>122</v>
      </c>
      <c r="D36" s="10">
        <f t="shared" si="1"/>
        <v>392.84810126582278</v>
      </c>
      <c r="E36" s="9">
        <f t="shared" si="2"/>
        <v>21</v>
      </c>
      <c r="F36" s="9">
        <v>46</v>
      </c>
      <c r="G36" s="10">
        <f t="shared" si="3"/>
        <v>12.777777777777777</v>
      </c>
      <c r="H36" s="10">
        <f t="shared" si="4"/>
        <v>1.0593656663348028</v>
      </c>
      <c r="I36" s="10">
        <f t="shared" si="17"/>
        <v>33.03048597170924</v>
      </c>
      <c r="J36" s="10">
        <f t="shared" si="18"/>
        <v>0.52442284398140537</v>
      </c>
      <c r="K36" s="10">
        <f>J36*$K$2</f>
        <v>271.23149490718288</v>
      </c>
      <c r="L36" s="10">
        <f t="shared" si="5"/>
        <v>81.069249999999997</v>
      </c>
      <c r="M36" s="10">
        <f>($K$2*$G$2*E36)/1000</f>
        <v>106.54837200000001</v>
      </c>
      <c r="N36" s="10">
        <f>(0.5*$K$2*(G36^2))/1000</f>
        <v>42.222037037037033</v>
      </c>
      <c r="O36" s="10">
        <f t="shared" si="6"/>
        <v>7.6365393910101498E-2</v>
      </c>
      <c r="P36" s="10">
        <f t="shared" si="7"/>
        <v>7.6217465157670902E-2</v>
      </c>
      <c r="Q36" s="10">
        <f t="shared" si="8"/>
        <v>4.3669390787199465</v>
      </c>
      <c r="R36" s="10">
        <f>($K$2*$G$2*SIN(Q36))</f>
        <v>-4773.9921601452697</v>
      </c>
      <c r="S36" s="9">
        <f xml:space="preserve"> ($P$3*($K$2*$G$2))</f>
        <v>304.42392000000007</v>
      </c>
      <c r="T36" s="10">
        <f t="shared" si="9"/>
        <v>-4.1172674952380879</v>
      </c>
      <c r="U36" s="10">
        <f t="shared" si="10"/>
        <v>-52.609529105820009</v>
      </c>
      <c r="V36" s="30">
        <f t="shared" si="11"/>
        <v>-52.609529105820009</v>
      </c>
      <c r="W36" s="30">
        <f t="shared" si="12"/>
        <v>-52.609529105820009</v>
      </c>
      <c r="X36" s="30">
        <f t="shared" si="19"/>
        <v>-341.64708816136874</v>
      </c>
      <c r="Y36" s="31">
        <f t="shared" si="13"/>
        <v>0</v>
      </c>
      <c r="Z36" s="31">
        <f t="shared" si="20"/>
        <v>239.60141342668868</v>
      </c>
      <c r="AA36" s="30">
        <f t="shared" si="14"/>
        <v>12.777777777777777</v>
      </c>
      <c r="AB36" s="9" cm="1">
        <f t="array" ref="AB36">_xlfn.IFS(AA36&lt;=4,1,AA36&lt;=8,2,AA36&gt;8,3)</f>
        <v>3</v>
      </c>
      <c r="AC36" s="32">
        <f>LOOKUP(AA36,$AP$5:$AP$46,$AQ$5:$AQ$46)</f>
        <v>4666.1000000000004</v>
      </c>
      <c r="AD36" s="9">
        <f>IF(V36&lt;0,1,MATCH(V36,BSFC!$P$21:$AD$21,1))</f>
        <v>1</v>
      </c>
      <c r="AE36" s="9">
        <f>MATCH(AC36,BSFC!$O$22:$O$36,1)</f>
        <v>9</v>
      </c>
      <c r="AF36" s="9" cm="1">
        <f t="array" ref="AF36">INDEX(BSFC!$P$22:$AD$36,AD36,AE36)</f>
        <v>517</v>
      </c>
      <c r="AG36" s="10">
        <f>IF(V36&lt;0,((V36=0)*AF36/760),V36*AF36/760)</f>
        <v>0</v>
      </c>
      <c r="AH36" s="31">
        <f t="shared" si="15"/>
        <v>0</v>
      </c>
      <c r="AI36" s="31">
        <f t="shared" si="21"/>
        <v>3.7752347298998026E-2</v>
      </c>
      <c r="AJ36" s="31">
        <f t="shared" si="16"/>
        <v>52.433815693052821</v>
      </c>
      <c r="AK36" s="20"/>
      <c r="AL36" s="20"/>
      <c r="AM36" s="20"/>
      <c r="AN36" s="20"/>
      <c r="AO36" s="20"/>
      <c r="AP36" s="7">
        <v>10.3533333333333</v>
      </c>
      <c r="AQ36" s="41">
        <v>2333</v>
      </c>
    </row>
    <row r="37" spans="1:43" x14ac:dyDescent="0.25">
      <c r="A37" s="9">
        <v>53.306629999999998</v>
      </c>
      <c r="B37" s="9">
        <v>-6.5360000000000001E-2</v>
      </c>
      <c r="C37" s="9">
        <v>123</v>
      </c>
      <c r="D37" s="10">
        <f t="shared" si="1"/>
        <v>405.94303797468353</v>
      </c>
      <c r="E37" s="9">
        <f t="shared" si="2"/>
        <v>22</v>
      </c>
      <c r="F37" s="9">
        <v>43</v>
      </c>
      <c r="G37" s="10">
        <f t="shared" si="3"/>
        <v>11.944444444444445</v>
      </c>
      <c r="H37" s="10">
        <f t="shared" si="4"/>
        <v>1.1325350667122818</v>
      </c>
      <c r="I37" s="10">
        <f t="shared" si="17"/>
        <v>34.163021038421519</v>
      </c>
      <c r="J37" s="10">
        <f t="shared" si="18"/>
        <v>-0.73581238923795789</v>
      </c>
      <c r="K37" s="10">
        <f>J37*$K$2</f>
        <v>-380.56216771387187</v>
      </c>
      <c r="L37" s="10">
        <f t="shared" si="5"/>
        <v>70.839812500000008</v>
      </c>
      <c r="M37" s="10">
        <f>($K$2*$G$2*E37)/1000</f>
        <v>111.62210400000002</v>
      </c>
      <c r="N37" s="10">
        <f>(0.5*$K$2*(G37^2))/1000</f>
        <v>36.894398148148149</v>
      </c>
      <c r="O37" s="10">
        <f t="shared" si="6"/>
        <v>0.152730787820203</v>
      </c>
      <c r="P37" s="10">
        <f t="shared" si="7"/>
        <v>0.15155956893708497</v>
      </c>
      <c r="Q37" s="10">
        <f t="shared" si="8"/>
        <v>8.6837236449170216</v>
      </c>
      <c r="R37" s="10">
        <f>($K$2*$G$2*SIN(Q37))</f>
        <v>3425.1045539960332</v>
      </c>
      <c r="S37" s="9">
        <f xml:space="preserve"> ($P$3*($K$2*$G$2))</f>
        <v>304.42392000000007</v>
      </c>
      <c r="T37" s="10">
        <f t="shared" si="9"/>
        <v>3.4198061187821613</v>
      </c>
      <c r="U37" s="10">
        <f t="shared" si="10"/>
        <v>40.847684196564707</v>
      </c>
      <c r="V37" s="30">
        <f t="shared" si="11"/>
        <v>11.444444444444445</v>
      </c>
      <c r="W37" s="30">
        <f t="shared" si="12"/>
        <v>0</v>
      </c>
      <c r="X37" s="30">
        <f t="shared" si="19"/>
        <v>-341.64708816136874</v>
      </c>
      <c r="Y37" s="31">
        <f t="shared" si="13"/>
        <v>11.444444444444445</v>
      </c>
      <c r="Z37" s="31">
        <f t="shared" si="20"/>
        <v>251.04585787113314</v>
      </c>
      <c r="AA37" s="30">
        <f t="shared" si="14"/>
        <v>3.3465185004464417</v>
      </c>
      <c r="AB37" s="9" cm="1">
        <f t="array" ref="AB37">_xlfn.IFS(AA37&lt;=4,1,AA37&lt;=8,2,AA37&gt;8,3)</f>
        <v>1</v>
      </c>
      <c r="AC37" s="32">
        <f>LOOKUP(AA37,$AP$5:$AP$46,$AQ$5:$AQ$46)</f>
        <v>5500</v>
      </c>
      <c r="AD37" s="9">
        <f>IF(V37&lt;0,1,MATCH(V37,BSFC!$P$21:$AD$21,1))</f>
        <v>10</v>
      </c>
      <c r="AE37" s="9">
        <f>MATCH(AC37,BSFC!$O$22:$O$36,1)</f>
        <v>11</v>
      </c>
      <c r="AF37" s="9" cm="1">
        <f t="array" ref="AF37">INDEX(BSFC!$P$22:$AD$36,AD37,AE37)</f>
        <v>394</v>
      </c>
      <c r="AG37" s="10">
        <f>IF(V37&lt;0,((V37=0)*AF37/760),V37*AF37/760)</f>
        <v>5.9330409356725147</v>
      </c>
      <c r="AH37" s="31">
        <f t="shared" si="15"/>
        <v>1.6480669265756984E-3</v>
      </c>
      <c r="AI37" s="31">
        <f t="shared" si="21"/>
        <v>3.9400414225573728E-2</v>
      </c>
      <c r="AJ37" s="31">
        <f t="shared" si="16"/>
        <v>54.722797535519071</v>
      </c>
      <c r="AK37" s="20"/>
      <c r="AL37" s="20"/>
      <c r="AM37" s="20"/>
      <c r="AN37" s="20"/>
      <c r="AO37" s="20"/>
      <c r="AP37" s="7">
        <v>10.688333333333301</v>
      </c>
      <c r="AQ37" s="41">
        <v>2666.3</v>
      </c>
    </row>
    <row r="38" spans="1:43" x14ac:dyDescent="0.25">
      <c r="A38" s="9">
        <v>53.306829999999998</v>
      </c>
      <c r="B38" s="9">
        <v>-6.5759999999999999E-2</v>
      </c>
      <c r="C38" s="9">
        <v>125</v>
      </c>
      <c r="D38" s="10">
        <f t="shared" si="1"/>
        <v>419.03797468354429</v>
      </c>
      <c r="E38" s="9">
        <f t="shared" si="2"/>
        <v>24</v>
      </c>
      <c r="F38" s="9">
        <v>40.25</v>
      </c>
      <c r="G38" s="10">
        <f t="shared" si="3"/>
        <v>11.180555555555555</v>
      </c>
      <c r="H38" s="10">
        <f t="shared" si="4"/>
        <v>1.1325350667122818</v>
      </c>
      <c r="I38" s="10">
        <f t="shared" si="17"/>
        <v>35.295556105133798</v>
      </c>
      <c r="J38" s="10">
        <f t="shared" si="18"/>
        <v>-0.67449469013479602</v>
      </c>
      <c r="K38" s="10">
        <f>J38*$K$2</f>
        <v>-348.84865373771652</v>
      </c>
      <c r="L38" s="10">
        <f t="shared" si="5"/>
        <v>62.068644531249994</v>
      </c>
      <c r="M38" s="10">
        <f>($K$2*$G$2*E38)/1000</f>
        <v>121.76956800000004</v>
      </c>
      <c r="N38" s="10">
        <f>(0.5*$K$2*(G38^2))/1000</f>
        <v>32.326247106481482</v>
      </c>
      <c r="O38" s="10">
        <f t="shared" si="6"/>
        <v>0.38182696955050749</v>
      </c>
      <c r="P38" s="10">
        <f t="shared" si="7"/>
        <v>0.36474248385830815</v>
      </c>
      <c r="Q38" s="10">
        <f t="shared" si="8"/>
        <v>20.898204934199612</v>
      </c>
      <c r="R38" s="10">
        <f>($K$2*$G$2*SIN(Q38))</f>
        <v>4505.3951804553253</v>
      </c>
      <c r="S38" s="9">
        <f xml:space="preserve"> ($P$3*($K$2*$G$2))</f>
        <v>304.42392000000007</v>
      </c>
      <c r="T38" s="10">
        <f t="shared" si="9"/>
        <v>4.5230390912488589</v>
      </c>
      <c r="U38" s="10">
        <f t="shared" si="10"/>
        <v>50.570089839657378</v>
      </c>
      <c r="V38" s="30">
        <f t="shared" si="11"/>
        <v>10.680555555555555</v>
      </c>
      <c r="W38" s="30">
        <f t="shared" si="12"/>
        <v>0</v>
      </c>
      <c r="X38" s="30">
        <f t="shared" si="19"/>
        <v>-341.64708816136874</v>
      </c>
      <c r="Y38" s="31">
        <f t="shared" si="13"/>
        <v>10.680555555555555</v>
      </c>
      <c r="Z38" s="31">
        <f t="shared" si="20"/>
        <v>261.72641342668868</v>
      </c>
      <c r="AA38" s="30">
        <f t="shared" si="14"/>
        <v>2.3613670676028895</v>
      </c>
      <c r="AB38" s="9" cm="1">
        <f t="array" ref="AB38">_xlfn.IFS(AA38&lt;=4,1,AA38&lt;=8,2,AA38&gt;8,3)</f>
        <v>1</v>
      </c>
      <c r="AC38" s="32">
        <f>LOOKUP(AA38,$AP$5:$AP$46,$AQ$5:$AQ$46)</f>
        <v>4000</v>
      </c>
      <c r="AD38" s="9">
        <f>IF(V38&lt;0,1,MATCH(V38,BSFC!$P$21:$AD$21,1))</f>
        <v>9</v>
      </c>
      <c r="AE38" s="9">
        <f>MATCH(AC38,BSFC!$O$22:$O$36,1)</f>
        <v>8</v>
      </c>
      <c r="AF38" s="9" cm="1">
        <f t="array" ref="AF38">INDEX(BSFC!$P$22:$AD$36,AD38,AE38)</f>
        <v>418</v>
      </c>
      <c r="AG38" s="10">
        <f>IF(V38&lt;0,((V38=0)*AF38/760),V38*AF38/760)</f>
        <v>5.874305555555555</v>
      </c>
      <c r="AH38" s="31">
        <f t="shared" si="15"/>
        <v>1.6317515432098765E-3</v>
      </c>
      <c r="AI38" s="31">
        <f t="shared" si="21"/>
        <v>4.1032165768783602E-2</v>
      </c>
      <c r="AJ38" s="31">
        <f t="shared" si="16"/>
        <v>56.989119123310559</v>
      </c>
      <c r="AK38" s="20"/>
      <c r="AL38" s="20"/>
      <c r="AM38" s="20"/>
      <c r="AN38" s="20"/>
      <c r="AO38" s="20"/>
      <c r="AP38" s="7">
        <v>11.0233333333333</v>
      </c>
      <c r="AQ38" s="41">
        <v>2999.6</v>
      </c>
    </row>
    <row r="39" spans="1:43" x14ac:dyDescent="0.25">
      <c r="A39" s="9">
        <v>53.30706</v>
      </c>
      <c r="B39" s="9">
        <v>-6.6239999999999993E-2</v>
      </c>
      <c r="C39" s="9">
        <v>130</v>
      </c>
      <c r="D39" s="10">
        <f t="shared" ref="D39:D70" si="22">D38+$A$2</f>
        <v>432.13291139240505</v>
      </c>
      <c r="E39" s="9">
        <f t="shared" si="2"/>
        <v>29</v>
      </c>
      <c r="F39" s="9">
        <v>43</v>
      </c>
      <c r="G39" s="10">
        <f t="shared" si="3"/>
        <v>11.944444444444445</v>
      </c>
      <c r="H39" s="10">
        <f t="shared" si="4"/>
        <v>1.0714039125431529</v>
      </c>
      <c r="I39" s="10">
        <f t="shared" si="17"/>
        <v>36.366960017676952</v>
      </c>
      <c r="J39" s="10">
        <f t="shared" si="18"/>
        <v>0.71297937215449669</v>
      </c>
      <c r="K39" s="10">
        <f>J39*$K$2</f>
        <v>368.75293127830571</v>
      </c>
      <c r="L39" s="10">
        <f t="shared" si="5"/>
        <v>70.839812500000008</v>
      </c>
      <c r="M39" s="10">
        <f>($K$2*$G$2*E39)/1000</f>
        <v>147.13822800000003</v>
      </c>
      <c r="N39" s="10">
        <f>(0.5*$K$2*(G39^2))/1000</f>
        <v>36.894398148148149</v>
      </c>
      <c r="O39" s="10">
        <f t="shared" ref="O39:O70" si="23">(E40-E39)/$A$2</f>
        <v>0.38182696955050749</v>
      </c>
      <c r="P39" s="10">
        <f t="shared" si="7"/>
        <v>0.36474248385830815</v>
      </c>
      <c r="Q39" s="10">
        <f t="shared" si="8"/>
        <v>20.898204934199612</v>
      </c>
      <c r="R39" s="10">
        <f>($K$2*$G$2*SIN(Q39))</f>
        <v>4505.3951804553253</v>
      </c>
      <c r="S39" s="9">
        <f xml:space="preserve"> ($P$3*($K$2*$G$2))</f>
        <v>304.42392000000007</v>
      </c>
      <c r="T39" s="10">
        <f t="shared" si="9"/>
        <v>5.2494118442336308</v>
      </c>
      <c r="U39" s="10">
        <f t="shared" si="10"/>
        <v>62.701308139457261</v>
      </c>
      <c r="V39" s="30">
        <f t="shared" si="11"/>
        <v>11.444444444444445</v>
      </c>
      <c r="W39" s="30">
        <f t="shared" si="12"/>
        <v>0</v>
      </c>
      <c r="X39" s="30">
        <f t="shared" si="19"/>
        <v>-341.64708816136874</v>
      </c>
      <c r="Y39" s="31">
        <f t="shared" si="13"/>
        <v>11.444444444444445</v>
      </c>
      <c r="Z39" s="31">
        <f t="shared" si="20"/>
        <v>273.17085787113314</v>
      </c>
      <c r="AA39" s="30">
        <f t="shared" si="14"/>
        <v>2.1801384200814664</v>
      </c>
      <c r="AB39" s="9" cm="1">
        <f t="array" ref="AB39">_xlfn.IFS(AA39&lt;=4,1,AA39&lt;=8,2,AA39&gt;8,3)</f>
        <v>1</v>
      </c>
      <c r="AC39" s="32">
        <f>LOOKUP(AA39,$AP$5:$AP$46,$AQ$5:$AQ$46)</f>
        <v>3500</v>
      </c>
      <c r="AD39" s="9">
        <f>IF(V39&lt;0,1,MATCH(V39,BSFC!$P$21:$AD$21,1))</f>
        <v>10</v>
      </c>
      <c r="AE39" s="9">
        <f>MATCH(AC39,BSFC!$O$22:$O$36,1)</f>
        <v>7</v>
      </c>
      <c r="AF39" s="9" cm="1">
        <f t="array" ref="AF39">INDEX(BSFC!$P$22:$AD$36,AD39,AE39)</f>
        <v>426</v>
      </c>
      <c r="AG39" s="10">
        <f>IF(V39&lt;0,((V39=0)*AF39/760),V39*AF39/760)</f>
        <v>6.4149122807017536</v>
      </c>
      <c r="AH39" s="31">
        <f t="shared" si="15"/>
        <v>1.7819200779727092E-3</v>
      </c>
      <c r="AI39" s="31">
        <f t="shared" si="21"/>
        <v>4.2814085846756313E-2</v>
      </c>
      <c r="AJ39" s="31">
        <f t="shared" si="16"/>
        <v>59.464008120494881</v>
      </c>
      <c r="AK39" s="20"/>
      <c r="AL39" s="20"/>
      <c r="AM39" s="20"/>
      <c r="AN39" s="20"/>
      <c r="AO39" s="20"/>
      <c r="AP39" s="7">
        <v>11.358333333333301</v>
      </c>
      <c r="AQ39" s="41">
        <v>3332.9</v>
      </c>
    </row>
    <row r="40" spans="1:43" x14ac:dyDescent="0.25">
      <c r="A40" s="9">
        <v>53.307250000000003</v>
      </c>
      <c r="B40" s="9">
        <v>-6.6669999999999993E-2</v>
      </c>
      <c r="C40" s="9">
        <v>135</v>
      </c>
      <c r="D40" s="10">
        <f t="shared" si="22"/>
        <v>445.22784810126581</v>
      </c>
      <c r="E40" s="9">
        <f t="shared" si="2"/>
        <v>34</v>
      </c>
      <c r="F40" s="9">
        <v>45</v>
      </c>
      <c r="G40" s="10">
        <f t="shared" si="3"/>
        <v>12.5</v>
      </c>
      <c r="H40" s="10">
        <f t="shared" si="4"/>
        <v>1.0248211337369288</v>
      </c>
      <c r="I40" s="10">
        <f t="shared" si="17"/>
        <v>37.39178115141388</v>
      </c>
      <c r="J40" s="10">
        <f t="shared" si="18"/>
        <v>0.54210001849763423</v>
      </c>
      <c r="K40" s="10">
        <f>J40*$K$2</f>
        <v>280.37412956697642</v>
      </c>
      <c r="L40" s="10">
        <f t="shared" si="5"/>
        <v>77.582812500000003</v>
      </c>
      <c r="M40" s="10">
        <f>($K$2*$G$2*E40)/1000</f>
        <v>172.50688800000003</v>
      </c>
      <c r="N40" s="10">
        <f>(0.5*$K$2*(G40^2))/1000</f>
        <v>40.40625</v>
      </c>
      <c r="O40" s="10">
        <f t="shared" si="23"/>
        <v>0</v>
      </c>
      <c r="P40" s="10">
        <f t="shared" si="7"/>
        <v>0</v>
      </c>
      <c r="Q40" s="10">
        <f t="shared" si="8"/>
        <v>0</v>
      </c>
      <c r="R40" s="10">
        <f>($K$2*$G$2*SIN(Q40))</f>
        <v>0</v>
      </c>
      <c r="S40" s="9">
        <f xml:space="preserve"> ($P$3*($K$2*$G$2))</f>
        <v>304.42392000000007</v>
      </c>
      <c r="T40" s="10">
        <f t="shared" si="9"/>
        <v>0.66238086206697655</v>
      </c>
      <c r="U40" s="10">
        <f t="shared" si="10"/>
        <v>8.2797607758372074</v>
      </c>
      <c r="V40" s="30">
        <f t="shared" si="11"/>
        <v>8.2797607758372074</v>
      </c>
      <c r="W40" s="30">
        <f t="shared" si="12"/>
        <v>0</v>
      </c>
      <c r="X40" s="30">
        <f t="shared" si="19"/>
        <v>-341.64708816136874</v>
      </c>
      <c r="Y40" s="31">
        <f t="shared" si="13"/>
        <v>8.2797607758372074</v>
      </c>
      <c r="Z40" s="31">
        <f t="shared" si="20"/>
        <v>281.45061864697033</v>
      </c>
      <c r="AA40" s="30">
        <f t="shared" si="14"/>
        <v>12.5</v>
      </c>
      <c r="AB40" s="9" cm="1">
        <f t="array" ref="AB40">_xlfn.IFS(AA40&lt;=4,1,AA40&lt;=8,2,AA40&gt;8,3)</f>
        <v>3</v>
      </c>
      <c r="AC40" s="32">
        <f>LOOKUP(AA40,$AP$5:$AP$46,$AQ$5:$AQ$46)</f>
        <v>4332.8</v>
      </c>
      <c r="AD40" s="9">
        <f>IF(V40&lt;0,1,MATCH(V40,BSFC!$P$21:$AD$21,1))</f>
        <v>8</v>
      </c>
      <c r="AE40" s="9">
        <f>MATCH(AC40,BSFC!$O$22:$O$36,1)</f>
        <v>8</v>
      </c>
      <c r="AF40" s="9" cm="1">
        <f t="array" ref="AF40">INDEX(BSFC!$P$22:$AD$36,AD40,AE40)</f>
        <v>419</v>
      </c>
      <c r="AG40" s="10">
        <f>IF(V40&lt;0,((V40=0)*AF40/760),V40*AF40/760)</f>
        <v>4.5647628487839338</v>
      </c>
      <c r="AH40" s="31">
        <f t="shared" si="15"/>
        <v>1.2679896802177595E-3</v>
      </c>
      <c r="AI40" s="31">
        <f t="shared" si="21"/>
        <v>4.4082075526974074E-2</v>
      </c>
      <c r="AJ40" s="31">
        <f t="shared" si="16"/>
        <v>61.225104898575104</v>
      </c>
      <c r="AK40" s="20"/>
      <c r="AL40" s="20"/>
      <c r="AM40" s="20"/>
      <c r="AN40" s="20"/>
      <c r="AO40" s="20"/>
      <c r="AP40" s="7">
        <v>11.6933333333333</v>
      </c>
      <c r="AQ40" s="41">
        <v>3666.2</v>
      </c>
    </row>
    <row r="41" spans="1:43" x14ac:dyDescent="0.25">
      <c r="A41" s="9">
        <v>53.307450000000003</v>
      </c>
      <c r="B41" s="9">
        <v>-6.7159999999999997E-2</v>
      </c>
      <c r="C41" s="9">
        <v>135</v>
      </c>
      <c r="D41" s="10">
        <f t="shared" si="22"/>
        <v>458.32278481012656</v>
      </c>
      <c r="E41" s="9">
        <f t="shared" si="2"/>
        <v>34</v>
      </c>
      <c r="F41" s="9">
        <v>47</v>
      </c>
      <c r="G41" s="10">
        <f t="shared" si="3"/>
        <v>13.055555555555555</v>
      </c>
      <c r="H41" s="10">
        <f t="shared" si="4"/>
        <v>0.98470510406272149</v>
      </c>
      <c r="I41" s="10">
        <f t="shared" si="17"/>
        <v>38.3764862554766</v>
      </c>
      <c r="J41" s="10">
        <f t="shared" si="18"/>
        <v>0.56418470185990843</v>
      </c>
      <c r="K41" s="10">
        <f>J41*$K$2</f>
        <v>291.79632780194464</v>
      </c>
      <c r="L41" s="10">
        <f t="shared" si="5"/>
        <v>84.632312499999998</v>
      </c>
      <c r="M41" s="10">
        <f>($K$2*$G$2*E41)/1000</f>
        <v>172.50688800000003</v>
      </c>
      <c r="N41" s="10">
        <f>(0.5*$K$2*(G41^2))/1000</f>
        <v>44.077731481481479</v>
      </c>
      <c r="O41" s="10">
        <f t="shared" si="23"/>
        <v>0.22909618173030449</v>
      </c>
      <c r="P41" s="10">
        <f t="shared" si="7"/>
        <v>0.22520981023036191</v>
      </c>
      <c r="Q41" s="10">
        <f t="shared" si="8"/>
        <v>12.903571631141928</v>
      </c>
      <c r="R41" s="10">
        <f>($K$2*$G$2*SIN(Q41))</f>
        <v>1678.6291874694264</v>
      </c>
      <c r="S41" s="9">
        <f xml:space="preserve"> ($P$3*($K$2*$G$2))</f>
        <v>304.42392000000007</v>
      </c>
      <c r="T41" s="10">
        <f t="shared" si="9"/>
        <v>2.3594817477713708</v>
      </c>
      <c r="U41" s="10">
        <f t="shared" si="10"/>
        <v>30.804345040348451</v>
      </c>
      <c r="V41" s="30">
        <f t="shared" si="11"/>
        <v>12.555555555555555</v>
      </c>
      <c r="W41" s="30">
        <f t="shared" si="12"/>
        <v>0</v>
      </c>
      <c r="X41" s="30">
        <f t="shared" si="19"/>
        <v>-341.64708816136874</v>
      </c>
      <c r="Y41" s="31">
        <f t="shared" si="13"/>
        <v>12.555555555555555</v>
      </c>
      <c r="Z41" s="31">
        <f t="shared" si="20"/>
        <v>294.00617420252587</v>
      </c>
      <c r="AA41" s="30">
        <f t="shared" si="14"/>
        <v>5.3213192123290645</v>
      </c>
      <c r="AB41" s="9" cm="1">
        <f t="array" ref="AB41">_xlfn.IFS(AA41&lt;=4,1,AA41&lt;=8,2,AA41&gt;8,3)</f>
        <v>2</v>
      </c>
      <c r="AC41" s="32">
        <f>LOOKUP(AA41,$AP$5:$AP$46,$AQ$5:$AQ$46)</f>
        <v>1500</v>
      </c>
      <c r="AD41" s="9">
        <f>IF(V41&lt;0,1,MATCH(V41,BSFC!$P$21:$AD$21,1))</f>
        <v>10</v>
      </c>
      <c r="AE41" s="9">
        <f>MATCH(AC41,BSFC!$O$22:$O$36,1)</f>
        <v>3</v>
      </c>
      <c r="AF41" s="9" cm="1">
        <f t="array" ref="AF41">INDEX(BSFC!$P$22:$AD$36,AD41,AE41)</f>
        <v>486</v>
      </c>
      <c r="AG41" s="10">
        <f>IF(V41&lt;0,((V41=0)*AF41/760),V41*AF41/760)</f>
        <v>8.0289473684210524</v>
      </c>
      <c r="AH41" s="31">
        <f t="shared" si="15"/>
        <v>2.2302631578947369E-3</v>
      </c>
      <c r="AI41" s="31">
        <f t="shared" si="21"/>
        <v>4.6312338684868809E-2</v>
      </c>
      <c r="AJ41" s="31">
        <f t="shared" si="16"/>
        <v>64.322692617873344</v>
      </c>
      <c r="AK41" s="20"/>
      <c r="AL41" s="20"/>
      <c r="AM41" s="20"/>
      <c r="AN41" s="20"/>
      <c r="AO41" s="20"/>
      <c r="AP41" s="7">
        <v>12.0283333333333</v>
      </c>
      <c r="AQ41" s="41">
        <v>3999.5</v>
      </c>
    </row>
    <row r="42" spans="1:43" x14ac:dyDescent="0.25">
      <c r="A42" s="9">
        <v>53.307690000000001</v>
      </c>
      <c r="B42" s="9">
        <v>-6.7849999999999994E-2</v>
      </c>
      <c r="C42" s="9">
        <v>138</v>
      </c>
      <c r="D42" s="10">
        <f t="shared" si="22"/>
        <v>471.41772151898732</v>
      </c>
      <c r="E42" s="9">
        <f t="shared" si="2"/>
        <v>37</v>
      </c>
      <c r="F42" s="9">
        <v>48.747999999999998</v>
      </c>
      <c r="G42" s="10">
        <f t="shared" si="3"/>
        <v>13.54111111111111</v>
      </c>
      <c r="H42" s="10">
        <f t="shared" si="4"/>
        <v>0.96705038467011428</v>
      </c>
      <c r="I42" s="10">
        <f t="shared" si="17"/>
        <v>39.343536640146716</v>
      </c>
      <c r="J42" s="10">
        <f t="shared" si="18"/>
        <v>0.50209954233272902</v>
      </c>
      <c r="K42" s="10">
        <f>J42*$K$2</f>
        <v>259.6858832944875</v>
      </c>
      <c r="L42" s="10">
        <f t="shared" si="5"/>
        <v>91.044579996999985</v>
      </c>
      <c r="M42" s="10">
        <f>($K$2*$G$2*E42)/1000</f>
        <v>187.72808400000002</v>
      </c>
      <c r="N42" s="10">
        <f>(0.5*$K$2*(G42^2))/1000</f>
        <v>47.417333065925931</v>
      </c>
      <c r="O42" s="10">
        <f t="shared" si="23"/>
        <v>0.152730787820203</v>
      </c>
      <c r="P42" s="10">
        <f t="shared" si="7"/>
        <v>0.15155956893708497</v>
      </c>
      <c r="Q42" s="10">
        <f t="shared" si="8"/>
        <v>8.6837236449170216</v>
      </c>
      <c r="R42" s="10">
        <f>($K$2*$G$2*SIN(Q42))</f>
        <v>3425.1045539960332</v>
      </c>
      <c r="S42" s="9">
        <f xml:space="preserve"> ($P$3*($K$2*$G$2))</f>
        <v>304.42392000000007</v>
      </c>
      <c r="T42" s="10">
        <f t="shared" si="9"/>
        <v>4.0802589372875211</v>
      </c>
      <c r="U42" s="10">
        <f t="shared" si="10"/>
        <v>55.251239631914466</v>
      </c>
      <c r="V42" s="30">
        <f t="shared" si="11"/>
        <v>13.04111111111111</v>
      </c>
      <c r="W42" s="30">
        <f t="shared" si="12"/>
        <v>0</v>
      </c>
      <c r="X42" s="30">
        <f t="shared" si="19"/>
        <v>-341.64708816136874</v>
      </c>
      <c r="Y42" s="31">
        <f t="shared" si="13"/>
        <v>13.04111111111111</v>
      </c>
      <c r="Z42" s="31">
        <f t="shared" si="20"/>
        <v>307.04728531363696</v>
      </c>
      <c r="AA42" s="30">
        <f t="shared" si="14"/>
        <v>3.1961479189309965</v>
      </c>
      <c r="AB42" s="9" cm="1">
        <f t="array" ref="AB42">_xlfn.IFS(AA42&lt;=4,1,AA42&lt;=8,2,AA42&gt;8,3)</f>
        <v>1</v>
      </c>
      <c r="AC42" s="32">
        <f>LOOKUP(AA42,$AP$5:$AP$46,$AQ$5:$AQ$46)</f>
        <v>5000</v>
      </c>
      <c r="AD42" s="9">
        <f>IF(V42&lt;0,1,MATCH(V42,BSFC!$P$21:$AD$21,1))</f>
        <v>11</v>
      </c>
      <c r="AE42" s="9">
        <f>MATCH(AC42,BSFC!$O$22:$O$36,1)</f>
        <v>10</v>
      </c>
      <c r="AF42" s="9" cm="1">
        <f t="array" ref="AF42">INDEX(BSFC!$P$22:$AD$36,AD42,AE42)</f>
        <v>394</v>
      </c>
      <c r="AG42" s="10">
        <f>IF(V42&lt;0,((V42=0)*AF42/760),V42*AF42/760)</f>
        <v>6.7607865497076016</v>
      </c>
      <c r="AH42" s="31">
        <f t="shared" si="15"/>
        <v>1.8779962638076672E-3</v>
      </c>
      <c r="AI42" s="31">
        <f t="shared" si="21"/>
        <v>4.8190334948676479E-2</v>
      </c>
      <c r="AJ42" s="31">
        <f t="shared" si="16"/>
        <v>66.931020762050665</v>
      </c>
      <c r="AK42" s="20"/>
      <c r="AL42" s="20"/>
      <c r="AM42" s="20"/>
      <c r="AN42" s="20"/>
      <c r="AO42" s="20"/>
      <c r="AP42" s="7">
        <v>12.3633333333333</v>
      </c>
      <c r="AQ42" s="41">
        <v>4332.8</v>
      </c>
    </row>
    <row r="43" spans="1:43" x14ac:dyDescent="0.25">
      <c r="A43" s="9">
        <v>53.307879999999997</v>
      </c>
      <c r="B43" s="9">
        <v>-6.8349999999999994E-2</v>
      </c>
      <c r="C43" s="9">
        <v>140</v>
      </c>
      <c r="D43" s="10">
        <f t="shared" si="22"/>
        <v>484.51265822784808</v>
      </c>
      <c r="E43" s="9">
        <f t="shared" si="2"/>
        <v>39</v>
      </c>
      <c r="F43" s="9">
        <v>48.747999999999998</v>
      </c>
      <c r="G43" s="10">
        <f t="shared" si="3"/>
        <v>13.54111111111111</v>
      </c>
      <c r="H43" s="10">
        <f t="shared" si="4"/>
        <v>0.96705038467011428</v>
      </c>
      <c r="I43" s="10">
        <f t="shared" si="17"/>
        <v>40.310587024816833</v>
      </c>
      <c r="J43" s="10">
        <f t="shared" si="18"/>
        <v>0</v>
      </c>
      <c r="K43" s="10">
        <f>J43*$K$2</f>
        <v>0</v>
      </c>
      <c r="L43" s="10">
        <f t="shared" si="5"/>
        <v>91.044579996999985</v>
      </c>
      <c r="M43" s="10">
        <f>($K$2*$G$2*E43)/1000</f>
        <v>197.87554800000004</v>
      </c>
      <c r="N43" s="10">
        <f>(0.5*$K$2*(G43^2))/1000</f>
        <v>47.417333065925931</v>
      </c>
      <c r="O43" s="10">
        <f t="shared" si="23"/>
        <v>7.6365393910101498E-2</v>
      </c>
      <c r="P43" s="10">
        <f t="shared" si="7"/>
        <v>7.6217465157670902E-2</v>
      </c>
      <c r="Q43" s="10">
        <f t="shared" si="8"/>
        <v>4.3669390787199465</v>
      </c>
      <c r="R43" s="10">
        <f>($K$2*$G$2*SIN(Q43))</f>
        <v>-4773.9921601452697</v>
      </c>
      <c r="S43" s="9">
        <f xml:space="preserve"> ($P$3*($K$2*$G$2))</f>
        <v>304.42392000000007</v>
      </c>
      <c r="T43" s="10">
        <f t="shared" si="9"/>
        <v>-4.3785236601482689</v>
      </c>
      <c r="U43" s="10">
        <f t="shared" si="10"/>
        <v>-59.290075384696614</v>
      </c>
      <c r="V43" s="30">
        <f t="shared" si="11"/>
        <v>-59.290075384696614</v>
      </c>
      <c r="W43" s="30">
        <f t="shared" si="12"/>
        <v>-59.290075384696614</v>
      </c>
      <c r="X43" s="30">
        <f t="shared" si="19"/>
        <v>-400.93716354606534</v>
      </c>
      <c r="Y43" s="31">
        <f t="shared" si="13"/>
        <v>0</v>
      </c>
      <c r="Z43" s="31">
        <f t="shared" si="20"/>
        <v>307.04728531363696</v>
      </c>
      <c r="AA43" s="30">
        <f t="shared" si="14"/>
        <v>13.54111111111111</v>
      </c>
      <c r="AB43" s="9" cm="1">
        <f t="array" ref="AB43">_xlfn.IFS(AA43&lt;=4,1,AA43&lt;=8,2,AA43&gt;8,3)</f>
        <v>3</v>
      </c>
      <c r="AC43" s="32">
        <f>LOOKUP(AA43,$AP$5:$AP$46,$AQ$5:$AQ$46)</f>
        <v>5332.7</v>
      </c>
      <c r="AD43" s="9">
        <f>IF(V43&lt;0,1,MATCH(V43,BSFC!$P$21:$AD$21,1))</f>
        <v>1</v>
      </c>
      <c r="AE43" s="9">
        <f>MATCH(AC43,BSFC!$O$22:$O$36,1)</f>
        <v>10</v>
      </c>
      <c r="AF43" s="9" cm="1">
        <f t="array" ref="AF43">INDEX(BSFC!$P$22:$AD$36,AD43,AE43)</f>
        <v>500</v>
      </c>
      <c r="AG43" s="10">
        <f>IF(V43&lt;0,((V43=0)*AF43/760),V43*AF43/760)</f>
        <v>0</v>
      </c>
      <c r="AH43" s="31">
        <f t="shared" si="15"/>
        <v>0</v>
      </c>
      <c r="AI43" s="31">
        <f t="shared" si="21"/>
        <v>4.8190334948676479E-2</v>
      </c>
      <c r="AJ43" s="31">
        <f t="shared" si="16"/>
        <v>66.931020762050665</v>
      </c>
      <c r="AK43" s="20"/>
      <c r="AL43" s="20"/>
      <c r="AM43" s="20"/>
      <c r="AN43" s="20"/>
      <c r="AO43" s="20"/>
      <c r="AP43" s="7">
        <v>12.6983333333333</v>
      </c>
      <c r="AQ43" s="41">
        <v>4666.1000000000004</v>
      </c>
    </row>
    <row r="44" spans="1:43" x14ac:dyDescent="0.25">
      <c r="A44" s="9">
        <v>53.308070000000001</v>
      </c>
      <c r="B44" s="9">
        <v>-6.8890000000000007E-2</v>
      </c>
      <c r="C44" s="9">
        <v>141</v>
      </c>
      <c r="D44" s="10">
        <f t="shared" si="22"/>
        <v>497.60759493670884</v>
      </c>
      <c r="E44" s="9">
        <f t="shared" si="2"/>
        <v>40</v>
      </c>
      <c r="F44" s="9">
        <v>48.747999999999998</v>
      </c>
      <c r="G44" s="10">
        <f t="shared" si="3"/>
        <v>13.54111111111111</v>
      </c>
      <c r="H44" s="10">
        <f t="shared" si="4"/>
        <v>0.99091462042079137</v>
      </c>
      <c r="I44" s="10">
        <f t="shared" si="17"/>
        <v>41.301501645237622</v>
      </c>
      <c r="J44" s="10">
        <f t="shared" si="18"/>
        <v>0</v>
      </c>
      <c r="K44" s="10">
        <f>J44*$K$2</f>
        <v>0</v>
      </c>
      <c r="L44" s="10">
        <f t="shared" si="5"/>
        <v>91.044579996999985</v>
      </c>
      <c r="M44" s="10">
        <f>($K$2*$G$2*E44)/1000</f>
        <v>202.94928000000002</v>
      </c>
      <c r="N44" s="10">
        <f>(0.5*$K$2*(G44^2))/1000</f>
        <v>47.417333065925931</v>
      </c>
      <c r="O44" s="10">
        <f t="shared" si="23"/>
        <v>-0.22909618173030449</v>
      </c>
      <c r="P44" s="10">
        <f t="shared" si="7"/>
        <v>-0.22520981023036191</v>
      </c>
      <c r="Q44" s="10">
        <f t="shared" si="8"/>
        <v>-12.903571631141928</v>
      </c>
      <c r="R44" s="10">
        <f>($K$2*$G$2*SIN(Q44))</f>
        <v>-1678.6291874694264</v>
      </c>
      <c r="S44" s="9">
        <f xml:space="preserve"> ($P$3*($K$2*$G$2))</f>
        <v>304.42392000000007</v>
      </c>
      <c r="T44" s="10">
        <f t="shared" si="9"/>
        <v>-1.2831606874724264</v>
      </c>
      <c r="U44" s="10">
        <f t="shared" si="10"/>
        <v>-17.375421442473844</v>
      </c>
      <c r="V44" s="30">
        <f t="shared" si="11"/>
        <v>-17.375421442473844</v>
      </c>
      <c r="W44" s="30">
        <f t="shared" si="12"/>
        <v>-17.375421442473844</v>
      </c>
      <c r="X44" s="30">
        <f t="shared" si="19"/>
        <v>-418.31258498853919</v>
      </c>
      <c r="Y44" s="31">
        <f t="shared" si="13"/>
        <v>0</v>
      </c>
      <c r="Z44" s="31">
        <f t="shared" si="20"/>
        <v>307.04728531363696</v>
      </c>
      <c r="AA44" s="30">
        <f t="shared" si="14"/>
        <v>13.54111111111111</v>
      </c>
      <c r="AB44" s="9" cm="1">
        <f t="array" ref="AB44">_xlfn.IFS(AA44&lt;=4,1,AA44&lt;=8,2,AA44&gt;8,3)</f>
        <v>3</v>
      </c>
      <c r="AC44" s="32">
        <f>LOOKUP(AA44,$AP$5:$AP$46,$AQ$5:$AQ$46)</f>
        <v>5332.7</v>
      </c>
      <c r="AD44" s="9">
        <f>IF(V44&lt;0,1,MATCH(V44,BSFC!$P$21:$AD$21,1))</f>
        <v>1</v>
      </c>
      <c r="AE44" s="9">
        <f>MATCH(AC44,BSFC!$O$22:$O$36,1)</f>
        <v>10</v>
      </c>
      <c r="AF44" s="9" cm="1">
        <f t="array" ref="AF44">INDEX(BSFC!$P$22:$AD$36,AD44,AE44)</f>
        <v>500</v>
      </c>
      <c r="AG44" s="10">
        <f>IF(V44&lt;0,((V44=0)*AF44/760),V44*AF44/760)</f>
        <v>0</v>
      </c>
      <c r="AH44" s="31">
        <f t="shared" si="15"/>
        <v>0</v>
      </c>
      <c r="AI44" s="31">
        <f t="shared" si="21"/>
        <v>4.8190334948676479E-2</v>
      </c>
      <c r="AJ44" s="31">
        <f t="shared" si="16"/>
        <v>66.931020762050665</v>
      </c>
      <c r="AK44" s="20"/>
      <c r="AL44" s="20"/>
      <c r="AM44" s="20"/>
      <c r="AN44" s="20"/>
      <c r="AO44" s="20"/>
      <c r="AP44" s="7">
        <v>13.033333333333299</v>
      </c>
      <c r="AQ44" s="41">
        <v>4999.3999999999996</v>
      </c>
    </row>
    <row r="45" spans="1:43" x14ac:dyDescent="0.25">
      <c r="A45" s="9">
        <v>53.308230000000002</v>
      </c>
      <c r="B45" s="9">
        <v>-6.9360000000000005E-2</v>
      </c>
      <c r="C45" s="9">
        <v>138</v>
      </c>
      <c r="D45" s="10">
        <f t="shared" si="22"/>
        <v>510.70253164556959</v>
      </c>
      <c r="E45" s="9">
        <f t="shared" si="2"/>
        <v>37</v>
      </c>
      <c r="F45" s="9">
        <v>46.4</v>
      </c>
      <c r="G45" s="10">
        <f t="shared" si="3"/>
        <v>12.888888888888888</v>
      </c>
      <c r="H45" s="10">
        <f t="shared" si="4"/>
        <v>1.0937766160533395</v>
      </c>
      <c r="I45" s="10">
        <f t="shared" si="17"/>
        <v>42.395278261290962</v>
      </c>
      <c r="J45" s="10">
        <f t="shared" si="18"/>
        <v>-0.59630294947758888</v>
      </c>
      <c r="K45" s="10">
        <f>J45*$K$2</f>
        <v>-308.407885469809</v>
      </c>
      <c r="L45" s="10">
        <f t="shared" si="5"/>
        <v>82.485279999999975</v>
      </c>
      <c r="M45" s="10">
        <f>($K$2*$G$2*E45)/1000</f>
        <v>187.72808400000002</v>
      </c>
      <c r="N45" s="10">
        <f>(0.5*$K$2*(G45^2))/1000</f>
        <v>42.959525925925917</v>
      </c>
      <c r="O45" s="10">
        <f t="shared" si="23"/>
        <v>7.6365393910101498E-2</v>
      </c>
      <c r="P45" s="10">
        <f t="shared" si="7"/>
        <v>7.6217465157670902E-2</v>
      </c>
      <c r="Q45" s="10">
        <f t="shared" si="8"/>
        <v>4.3669390787199465</v>
      </c>
      <c r="R45" s="10">
        <f>($K$2*$G$2*SIN(Q45))</f>
        <v>-4773.9921601452697</v>
      </c>
      <c r="S45" s="9">
        <f xml:space="preserve"> ($P$3*($K$2*$G$2))</f>
        <v>304.42392000000007</v>
      </c>
      <c r="T45" s="10">
        <f t="shared" si="9"/>
        <v>-4.6954908456150788</v>
      </c>
      <c r="U45" s="10">
        <f t="shared" si="10"/>
        <v>-60.519659787927672</v>
      </c>
      <c r="V45" s="30">
        <f t="shared" si="11"/>
        <v>-60.519659787927672</v>
      </c>
      <c r="W45" s="30">
        <f t="shared" si="12"/>
        <v>-60.519659787927672</v>
      </c>
      <c r="X45" s="30">
        <f t="shared" si="19"/>
        <v>-478.83224477646684</v>
      </c>
      <c r="Y45" s="31">
        <f t="shared" si="13"/>
        <v>0</v>
      </c>
      <c r="Z45" s="31">
        <f t="shared" si="20"/>
        <v>307.04728531363696</v>
      </c>
      <c r="AA45" s="30">
        <f t="shared" si="14"/>
        <v>12.888888888888888</v>
      </c>
      <c r="AB45" s="9" cm="1">
        <f t="array" ref="AB45">_xlfn.IFS(AA45&lt;=4,1,AA45&lt;=8,2,AA45&gt;8,3)</f>
        <v>3</v>
      </c>
      <c r="AC45" s="32">
        <f>LOOKUP(AA45,$AP$5:$AP$46,$AQ$5:$AQ$46)</f>
        <v>4666.1000000000004</v>
      </c>
      <c r="AD45" s="9">
        <f>IF(V45&lt;0,1,MATCH(V45,BSFC!$P$21:$AD$21,1))</f>
        <v>1</v>
      </c>
      <c r="AE45" s="9">
        <f>MATCH(AC45,BSFC!$O$22:$O$36,1)</f>
        <v>9</v>
      </c>
      <c r="AF45" s="9" cm="1">
        <f t="array" ref="AF45">INDEX(BSFC!$P$22:$AD$36,AD45,AE45)</f>
        <v>517</v>
      </c>
      <c r="AG45" s="10">
        <f>IF(V45&lt;0,((V45=0)*AF45/760),V45*AF45/760)</f>
        <v>0</v>
      </c>
      <c r="AH45" s="31">
        <f t="shared" si="15"/>
        <v>0</v>
      </c>
      <c r="AI45" s="31">
        <f t="shared" si="21"/>
        <v>4.8190334948676479E-2</v>
      </c>
      <c r="AJ45" s="31">
        <f t="shared" si="16"/>
        <v>66.931020762050665</v>
      </c>
      <c r="AK45" s="20"/>
      <c r="AL45" s="20"/>
      <c r="AM45" s="20"/>
      <c r="AN45" s="20"/>
      <c r="AO45" s="20"/>
      <c r="AP45" s="7">
        <v>13.3683333333333</v>
      </c>
      <c r="AQ45" s="41">
        <v>5332.7</v>
      </c>
    </row>
    <row r="46" spans="1:43" x14ac:dyDescent="0.25">
      <c r="A46" s="9">
        <v>53.30836</v>
      </c>
      <c r="B46" s="9">
        <v>-6.973E-2</v>
      </c>
      <c r="C46" s="9">
        <v>139</v>
      </c>
      <c r="D46" s="10">
        <f t="shared" si="22"/>
        <v>523.79746835443041</v>
      </c>
      <c r="E46" s="9">
        <f t="shared" si="2"/>
        <v>38</v>
      </c>
      <c r="F46" s="9">
        <v>39.799999999999997</v>
      </c>
      <c r="G46" s="10">
        <f t="shared" si="3"/>
        <v>11.055555555555555</v>
      </c>
      <c r="H46" s="10">
        <f t="shared" si="4"/>
        <v>1.1118342488655408</v>
      </c>
      <c r="I46" s="10">
        <f t="shared" si="17"/>
        <v>43.507112510156503</v>
      </c>
      <c r="J46" s="10">
        <f t="shared" si="18"/>
        <v>-1.6489268388736642</v>
      </c>
      <c r="K46" s="10">
        <f>J46*$K$2</f>
        <v>-852.82496106545921</v>
      </c>
      <c r="L46" s="10">
        <f t="shared" si="5"/>
        <v>60.688532499999994</v>
      </c>
      <c r="M46" s="10">
        <f>($K$2*$G$2*E46)/1000</f>
        <v>192.80181600000003</v>
      </c>
      <c r="N46" s="10">
        <f>(0.5*$K$2*(G46^2))/1000</f>
        <v>31.607464814814815</v>
      </c>
      <c r="O46" s="10">
        <f t="shared" si="23"/>
        <v>0.152730787820203</v>
      </c>
      <c r="P46" s="10">
        <f t="shared" si="7"/>
        <v>0.15155956893708497</v>
      </c>
      <c r="Q46" s="10">
        <f t="shared" si="8"/>
        <v>8.6837236449170216</v>
      </c>
      <c r="R46" s="10">
        <f>($K$2*$G$2*SIN(Q46))</f>
        <v>3425.1045539960332</v>
      </c>
      <c r="S46" s="9">
        <f xml:space="preserve"> ($P$3*($K$2*$G$2))</f>
        <v>304.42392000000007</v>
      </c>
      <c r="T46" s="10">
        <f t="shared" si="9"/>
        <v>2.937392045430574</v>
      </c>
      <c r="U46" s="10">
        <f t="shared" si="10"/>
        <v>32.47450094670468</v>
      </c>
      <c r="V46" s="30">
        <f t="shared" si="11"/>
        <v>10.555555555555555</v>
      </c>
      <c r="W46" s="30">
        <f t="shared" si="12"/>
        <v>0</v>
      </c>
      <c r="X46" s="30">
        <f t="shared" si="19"/>
        <v>-478.83224477646684</v>
      </c>
      <c r="Y46" s="31">
        <f t="shared" si="13"/>
        <v>10.555555555555555</v>
      </c>
      <c r="Z46" s="31">
        <f t="shared" si="20"/>
        <v>317.60284086919251</v>
      </c>
      <c r="AA46" s="30">
        <f t="shared" si="14"/>
        <v>3.5935126780151276</v>
      </c>
      <c r="AB46" s="9" cm="1">
        <f t="array" ref="AB46">_xlfn.IFS(AA46&lt;=4,1,AA46&lt;=8,2,AA46&gt;8,3)</f>
        <v>1</v>
      </c>
      <c r="AC46" s="32">
        <f>LOOKUP(AA46,$AP$5:$AP$46,$AQ$5:$AQ$46)</f>
        <v>5500</v>
      </c>
      <c r="AD46" s="9">
        <f>IF(V46&lt;0,1,MATCH(V46,BSFC!$P$21:$AD$21,1))</f>
        <v>9</v>
      </c>
      <c r="AE46" s="9">
        <f>MATCH(AC46,BSFC!$O$22:$O$36,1)</f>
        <v>11</v>
      </c>
      <c r="AF46" s="9" cm="1">
        <f t="array" ref="AF46">INDEX(BSFC!$P$22:$AD$36,AD46,AE46)</f>
        <v>394</v>
      </c>
      <c r="AG46" s="10">
        <f>IF(V46&lt;0,((V46=0)*AF46/760),V46*AF46/760)</f>
        <v>5.4722222222222223</v>
      </c>
      <c r="AH46" s="31">
        <f t="shared" si="15"/>
        <v>1.5200617283950618E-3</v>
      </c>
      <c r="AI46" s="31">
        <f t="shared" si="21"/>
        <v>4.9710396677071542E-2</v>
      </c>
      <c r="AJ46" s="31">
        <f t="shared" si="16"/>
        <v>69.04221760704381</v>
      </c>
      <c r="AK46" s="20"/>
      <c r="AL46" s="20"/>
      <c r="AM46" s="20"/>
      <c r="AN46" s="20"/>
      <c r="AO46" s="20"/>
      <c r="AP46" s="7">
        <v>13.703333333333299</v>
      </c>
      <c r="AQ46" s="41">
        <v>5666</v>
      </c>
    </row>
    <row r="47" spans="1:43" x14ac:dyDescent="0.25">
      <c r="A47" s="9">
        <v>53.308500000000002</v>
      </c>
      <c r="B47" s="9">
        <v>-7.0059999999999997E-2</v>
      </c>
      <c r="C47" s="9">
        <v>141</v>
      </c>
      <c r="D47" s="10">
        <f t="shared" si="22"/>
        <v>536.89240506329122</v>
      </c>
      <c r="E47" s="9">
        <f t="shared" si="2"/>
        <v>40</v>
      </c>
      <c r="F47" s="9">
        <v>45</v>
      </c>
      <c r="G47" s="10">
        <f t="shared" si="3"/>
        <v>12.5</v>
      </c>
      <c r="H47" s="10">
        <f t="shared" si="4"/>
        <v>1.0057125944425254</v>
      </c>
      <c r="I47" s="10">
        <f t="shared" si="17"/>
        <v>44.512825104599031</v>
      </c>
      <c r="J47" s="10">
        <f t="shared" si="18"/>
        <v>1.4362397890076222</v>
      </c>
      <c r="K47" s="10">
        <f>J47*$K$2</f>
        <v>742.82321887474222</v>
      </c>
      <c r="L47" s="10">
        <f t="shared" si="5"/>
        <v>77.582812500000003</v>
      </c>
      <c r="M47" s="10">
        <f>($K$2*$G$2*E47)/1000</f>
        <v>202.94928000000002</v>
      </c>
      <c r="N47" s="10">
        <f>(0.5*$K$2*(G47^2))/1000</f>
        <v>40.40625</v>
      </c>
      <c r="O47" s="10">
        <f t="shared" si="23"/>
        <v>7.6365393910101498E-2</v>
      </c>
      <c r="P47" s="10">
        <f t="shared" si="7"/>
        <v>7.6217465157670902E-2</v>
      </c>
      <c r="Q47" s="10">
        <f t="shared" si="8"/>
        <v>4.3669390787199465</v>
      </c>
      <c r="R47" s="10">
        <f>($K$2*$G$2*SIN(Q47))</f>
        <v>-4773.9921601452697</v>
      </c>
      <c r="S47" s="9">
        <f xml:space="preserve"> ($P$3*($K$2*$G$2))</f>
        <v>304.42392000000007</v>
      </c>
      <c r="T47" s="10">
        <f t="shared" si="9"/>
        <v>-3.6491622087705271</v>
      </c>
      <c r="U47" s="10">
        <f t="shared" si="10"/>
        <v>-45.614527609631587</v>
      </c>
      <c r="V47" s="30">
        <f t="shared" si="11"/>
        <v>-45.614527609631587</v>
      </c>
      <c r="W47" s="30">
        <f t="shared" si="12"/>
        <v>-45.614527609631587</v>
      </c>
      <c r="X47" s="30">
        <f t="shared" si="19"/>
        <v>-524.44677238609847</v>
      </c>
      <c r="Y47" s="31">
        <f t="shared" si="13"/>
        <v>0</v>
      </c>
      <c r="Z47" s="31">
        <f t="shared" si="20"/>
        <v>317.60284086919251</v>
      </c>
      <c r="AA47" s="30">
        <f t="shared" si="14"/>
        <v>12.5</v>
      </c>
      <c r="AB47" s="9" cm="1">
        <f t="array" ref="AB47">_xlfn.IFS(AA47&lt;=4,1,AA47&lt;=8,2,AA47&gt;8,3)</f>
        <v>3</v>
      </c>
      <c r="AC47" s="32">
        <f>LOOKUP(AA47,$AP$5:$AP$46,$AQ$5:$AQ$46)</f>
        <v>4332.8</v>
      </c>
      <c r="AD47" s="9">
        <f>IF(V47&lt;0,1,MATCH(V47,BSFC!$P$21:$AD$21,1))</f>
        <v>1</v>
      </c>
      <c r="AE47" s="9">
        <f>MATCH(AC47,BSFC!$O$22:$O$36,1)</f>
        <v>8</v>
      </c>
      <c r="AF47" s="9" cm="1">
        <f t="array" ref="AF47">INDEX(BSFC!$P$22:$AD$36,AD47,AE47)</f>
        <v>530</v>
      </c>
      <c r="AG47" s="10">
        <f>IF(V47&lt;0,((V47=0)*AF47/760),V47*AF47/760)</f>
        <v>0</v>
      </c>
      <c r="AH47" s="31">
        <f t="shared" si="15"/>
        <v>0</v>
      </c>
      <c r="AI47" s="31">
        <f t="shared" si="21"/>
        <v>4.9710396677071542E-2</v>
      </c>
      <c r="AJ47" s="31">
        <f t="shared" si="16"/>
        <v>69.04221760704381</v>
      </c>
      <c r="AK47" s="20"/>
      <c r="AL47" s="20"/>
      <c r="AM47" s="20"/>
      <c r="AN47" s="20"/>
      <c r="AO47" s="20"/>
    </row>
    <row r="48" spans="1:43" x14ac:dyDescent="0.25">
      <c r="A48" s="9">
        <v>53.308639999999997</v>
      </c>
      <c r="B48" s="9">
        <v>-7.0180000000000006E-2</v>
      </c>
      <c r="C48" s="9">
        <v>142</v>
      </c>
      <c r="D48" s="10">
        <f t="shared" si="22"/>
        <v>549.98734177215204</v>
      </c>
      <c r="E48" s="9">
        <f t="shared" si="2"/>
        <v>41</v>
      </c>
      <c r="F48" s="9">
        <v>48.747999999999998</v>
      </c>
      <c r="G48" s="10">
        <f t="shared" si="3"/>
        <v>13.54111111111111</v>
      </c>
      <c r="H48" s="10">
        <f t="shared" si="4"/>
        <v>0.96705038467011839</v>
      </c>
      <c r="I48" s="10">
        <f t="shared" si="17"/>
        <v>45.479875489269148</v>
      </c>
      <c r="J48" s="10">
        <f t="shared" si="18"/>
        <v>1.0765841445440898</v>
      </c>
      <c r="K48" s="10">
        <f>J48*$K$2</f>
        <v>556.80931955820324</v>
      </c>
      <c r="L48" s="10">
        <f t="shared" si="5"/>
        <v>91.044579996999985</v>
      </c>
      <c r="M48" s="10">
        <f>($K$2*$G$2*E48)/1000</f>
        <v>208.02301200000005</v>
      </c>
      <c r="N48" s="10">
        <f>(0.5*$K$2*(G48^2))/1000</f>
        <v>47.417333065925931</v>
      </c>
      <c r="O48" s="10">
        <f t="shared" si="23"/>
        <v>7.6365393910101498E-2</v>
      </c>
      <c r="P48" s="10">
        <f t="shared" si="7"/>
        <v>7.6217465157670902E-2</v>
      </c>
      <c r="Q48" s="10">
        <f t="shared" si="8"/>
        <v>4.3669390787199465</v>
      </c>
      <c r="R48" s="10">
        <f>($K$2*$G$2*SIN(Q48))</f>
        <v>-4773.9921601452697</v>
      </c>
      <c r="S48" s="9">
        <f xml:space="preserve"> ($P$3*($K$2*$G$2))</f>
        <v>304.42392000000007</v>
      </c>
      <c r="T48" s="10">
        <f t="shared" si="9"/>
        <v>-3.821714340590066</v>
      </c>
      <c r="U48" s="10">
        <f t="shared" si="10"/>
        <v>-51.750258520856811</v>
      </c>
      <c r="V48" s="30">
        <f t="shared" si="11"/>
        <v>-51.750258520856811</v>
      </c>
      <c r="W48" s="30">
        <f t="shared" si="12"/>
        <v>-51.750258520856811</v>
      </c>
      <c r="X48" s="30">
        <f t="shared" si="19"/>
        <v>-576.19703090695532</v>
      </c>
      <c r="Y48" s="31">
        <f t="shared" si="13"/>
        <v>0</v>
      </c>
      <c r="Z48" s="31">
        <f t="shared" si="20"/>
        <v>317.60284086919251</v>
      </c>
      <c r="AA48" s="30">
        <f t="shared" si="14"/>
        <v>13.54111111111111</v>
      </c>
      <c r="AB48" s="9" cm="1">
        <f t="array" ref="AB48">_xlfn.IFS(AA48&lt;=4,1,AA48&lt;=8,2,AA48&gt;8,3)</f>
        <v>3</v>
      </c>
      <c r="AC48" s="32">
        <f>LOOKUP(AA48,$AP$5:$AP$46,$AQ$5:$AQ$46)</f>
        <v>5332.7</v>
      </c>
      <c r="AD48" s="9">
        <f>IF(V48&lt;0,1,MATCH(V48,BSFC!$P$21:$AD$21,1))</f>
        <v>1</v>
      </c>
      <c r="AE48" s="9">
        <f>MATCH(AC48,BSFC!$O$22:$O$36,1)</f>
        <v>10</v>
      </c>
      <c r="AF48" s="9" cm="1">
        <f t="array" ref="AF48">INDEX(BSFC!$P$22:$AD$36,AD48,AE48)</f>
        <v>500</v>
      </c>
      <c r="AG48" s="10">
        <f>IF(V48&lt;0,((V48=0)*AF48/760),V48*AF48/760)</f>
        <v>0</v>
      </c>
      <c r="AH48" s="31">
        <f t="shared" si="15"/>
        <v>0</v>
      </c>
      <c r="AI48" s="31">
        <f t="shared" si="21"/>
        <v>4.9710396677071542E-2</v>
      </c>
      <c r="AJ48" s="31">
        <f t="shared" si="16"/>
        <v>69.04221760704381</v>
      </c>
      <c r="AK48" s="20"/>
      <c r="AL48" s="20"/>
      <c r="AM48" s="20"/>
      <c r="AN48" s="20"/>
      <c r="AO48" s="20"/>
    </row>
    <row r="49" spans="1:41" x14ac:dyDescent="0.25">
      <c r="A49" s="9">
        <v>53.308779999999999</v>
      </c>
      <c r="B49" s="9">
        <v>-7.0180000000000006E-2</v>
      </c>
      <c r="C49" s="9">
        <v>143</v>
      </c>
      <c r="D49" s="10">
        <f t="shared" si="22"/>
        <v>563.08227848101285</v>
      </c>
      <c r="E49" s="9">
        <f t="shared" si="2"/>
        <v>42</v>
      </c>
      <c r="F49" s="9">
        <v>48.747999999999998</v>
      </c>
      <c r="G49" s="10">
        <f t="shared" si="3"/>
        <v>13.54111111111111</v>
      </c>
      <c r="H49" s="10">
        <f t="shared" si="4"/>
        <v>0.96705038467011839</v>
      </c>
      <c r="I49" s="10">
        <f t="shared" si="17"/>
        <v>46.446925873939264</v>
      </c>
      <c r="J49" s="10">
        <f t="shared" si="18"/>
        <v>0</v>
      </c>
      <c r="K49" s="10">
        <f>J49*$K$2</f>
        <v>0</v>
      </c>
      <c r="L49" s="10">
        <f t="shared" si="5"/>
        <v>91.044579996999985</v>
      </c>
      <c r="M49" s="10">
        <f>($K$2*$G$2*E49)/1000</f>
        <v>213.09674400000003</v>
      </c>
      <c r="N49" s="10">
        <f>(0.5*$K$2*(G49^2))/1000</f>
        <v>47.417333065925931</v>
      </c>
      <c r="O49" s="10">
        <f t="shared" si="23"/>
        <v>7.6365393910101498E-2</v>
      </c>
      <c r="P49" s="10">
        <f t="shared" si="7"/>
        <v>7.6217465157670902E-2</v>
      </c>
      <c r="Q49" s="10">
        <f t="shared" si="8"/>
        <v>4.3669390787199465</v>
      </c>
      <c r="R49" s="10">
        <f>($K$2*$G$2*SIN(Q49))</f>
        <v>-4773.9921601452697</v>
      </c>
      <c r="S49" s="9">
        <f xml:space="preserve"> ($P$3*($K$2*$G$2))</f>
        <v>304.42392000000007</v>
      </c>
      <c r="T49" s="10">
        <f t="shared" si="9"/>
        <v>-4.3785236601482689</v>
      </c>
      <c r="U49" s="10">
        <f t="shared" si="10"/>
        <v>-59.290075384696614</v>
      </c>
      <c r="V49" s="30">
        <f t="shared" si="11"/>
        <v>-59.290075384696614</v>
      </c>
      <c r="W49" s="30">
        <f t="shared" si="12"/>
        <v>-59.290075384696614</v>
      </c>
      <c r="X49" s="30">
        <f t="shared" si="19"/>
        <v>-635.48710629165191</v>
      </c>
      <c r="Y49" s="31">
        <f t="shared" si="13"/>
        <v>0</v>
      </c>
      <c r="Z49" s="31">
        <f t="shared" si="20"/>
        <v>317.60284086919251</v>
      </c>
      <c r="AA49" s="30">
        <f t="shared" si="14"/>
        <v>13.54111111111111</v>
      </c>
      <c r="AB49" s="9" cm="1">
        <f t="array" ref="AB49">_xlfn.IFS(AA49&lt;=4,1,AA49&lt;=8,2,AA49&gt;8,3)</f>
        <v>3</v>
      </c>
      <c r="AC49" s="32">
        <f>LOOKUP(AA49,$AP$5:$AP$46,$AQ$5:$AQ$46)</f>
        <v>5332.7</v>
      </c>
      <c r="AD49" s="9">
        <f>IF(V49&lt;0,1,MATCH(V49,BSFC!$P$21:$AD$21,1))</f>
        <v>1</v>
      </c>
      <c r="AE49" s="9">
        <f>MATCH(AC49,BSFC!$O$22:$O$36,1)</f>
        <v>10</v>
      </c>
      <c r="AF49" s="9" cm="1">
        <f t="array" ref="AF49">INDEX(BSFC!$P$22:$AD$36,AD49,AE49)</f>
        <v>500</v>
      </c>
      <c r="AG49" s="10">
        <f>IF(V49&lt;0,((V49=0)*AF49/760),V49*AF49/760)</f>
        <v>0</v>
      </c>
      <c r="AH49" s="31">
        <f t="shared" si="15"/>
        <v>0</v>
      </c>
      <c r="AI49" s="31">
        <f t="shared" si="21"/>
        <v>4.9710396677071542E-2</v>
      </c>
      <c r="AJ49" s="31">
        <f t="shared" si="16"/>
        <v>69.04221760704381</v>
      </c>
      <c r="AK49" s="20"/>
      <c r="AL49" s="20"/>
      <c r="AM49" s="20"/>
      <c r="AN49" s="20"/>
      <c r="AO49" s="20"/>
    </row>
    <row r="50" spans="1:41" x14ac:dyDescent="0.25">
      <c r="A50" s="9">
        <v>53.308929999999997</v>
      </c>
      <c r="B50" s="9">
        <v>-7.0099999999999996E-2</v>
      </c>
      <c r="C50" s="9">
        <v>144</v>
      </c>
      <c r="D50" s="10">
        <f t="shared" si="22"/>
        <v>576.17721518987366</v>
      </c>
      <c r="E50" s="9">
        <f t="shared" si="2"/>
        <v>43</v>
      </c>
      <c r="F50" s="9">
        <v>48.747999999999998</v>
      </c>
      <c r="G50" s="10">
        <f t="shared" si="3"/>
        <v>13.54111111111111</v>
      </c>
      <c r="H50" s="10">
        <f t="shared" si="4"/>
        <v>0.98470510406272582</v>
      </c>
      <c r="I50" s="10">
        <f t="shared" si="17"/>
        <v>47.431630978001991</v>
      </c>
      <c r="J50" s="10">
        <f t="shared" si="18"/>
        <v>0</v>
      </c>
      <c r="K50" s="10">
        <f>J50*$K$2</f>
        <v>0</v>
      </c>
      <c r="L50" s="10">
        <f t="shared" si="5"/>
        <v>91.044579996999985</v>
      </c>
      <c r="M50" s="10">
        <f>($K$2*$G$2*E50)/1000</f>
        <v>218.17047600000004</v>
      </c>
      <c r="N50" s="10">
        <f>(0.5*$K$2*(G50^2))/1000</f>
        <v>47.417333065925931</v>
      </c>
      <c r="O50" s="10">
        <f t="shared" si="23"/>
        <v>0</v>
      </c>
      <c r="P50" s="10">
        <f t="shared" si="7"/>
        <v>0</v>
      </c>
      <c r="Q50" s="10">
        <f t="shared" si="8"/>
        <v>0</v>
      </c>
      <c r="R50" s="10">
        <f>($K$2*$G$2*SIN(Q50))</f>
        <v>0</v>
      </c>
      <c r="S50" s="9">
        <f xml:space="preserve"> ($P$3*($K$2*$G$2))</f>
        <v>304.42392000000007</v>
      </c>
      <c r="T50" s="10">
        <f t="shared" si="9"/>
        <v>0.39546849999700001</v>
      </c>
      <c r="U50" s="10">
        <f t="shared" si="10"/>
        <v>5.3550828994038211</v>
      </c>
      <c r="V50" s="30">
        <f t="shared" si="11"/>
        <v>5.3550828994038211</v>
      </c>
      <c r="W50" s="30">
        <f t="shared" si="12"/>
        <v>0</v>
      </c>
      <c r="X50" s="30">
        <f t="shared" si="19"/>
        <v>-635.48710629165191</v>
      </c>
      <c r="Y50" s="31">
        <f t="shared" si="13"/>
        <v>5.3550828994038211</v>
      </c>
      <c r="Z50" s="31">
        <f t="shared" si="20"/>
        <v>322.95792376859634</v>
      </c>
      <c r="AA50" s="30">
        <f t="shared" si="14"/>
        <v>13.54111111111111</v>
      </c>
      <c r="AB50" s="9" cm="1">
        <f t="array" ref="AB50">_xlfn.IFS(AA50&lt;=4,1,AA50&lt;=8,2,AA50&gt;8,3)</f>
        <v>3</v>
      </c>
      <c r="AC50" s="32">
        <f>LOOKUP(AA50,$AP$5:$AP$46,$AQ$5:$AQ$46)</f>
        <v>5332.7</v>
      </c>
      <c r="AD50" s="9">
        <f>IF(V50&lt;0,1,MATCH(V50,BSFC!$P$21:$AD$21,1))</f>
        <v>6</v>
      </c>
      <c r="AE50" s="9">
        <f>MATCH(AC50,BSFC!$O$22:$O$36,1)</f>
        <v>10</v>
      </c>
      <c r="AF50" s="9" cm="1">
        <f t="array" ref="AF50">INDEX(BSFC!$P$22:$AD$36,AD50,AE50)</f>
        <v>429</v>
      </c>
      <c r="AG50" s="10">
        <f>IF(V50&lt;0,((V50=0)*AF50/760),V50*AF50/760)</f>
        <v>3.0228033734792623</v>
      </c>
      <c r="AH50" s="31">
        <f t="shared" si="15"/>
        <v>8.3966760374423949E-4</v>
      </c>
      <c r="AI50" s="31">
        <f t="shared" si="21"/>
        <v>5.0550064280815779E-2</v>
      </c>
      <c r="AJ50" s="31">
        <f t="shared" si="16"/>
        <v>70.208422612244135</v>
      </c>
      <c r="AK50" s="20"/>
      <c r="AL50" s="20"/>
      <c r="AM50" s="20"/>
      <c r="AN50" s="20"/>
      <c r="AO50" s="20"/>
    </row>
    <row r="51" spans="1:41" x14ac:dyDescent="0.25">
      <c r="A51" s="9">
        <v>53.309130000000003</v>
      </c>
      <c r="B51" s="9">
        <v>-6.9949999999999998E-2</v>
      </c>
      <c r="C51" s="9">
        <v>144</v>
      </c>
      <c r="D51" s="10">
        <f t="shared" si="22"/>
        <v>589.27215189873448</v>
      </c>
      <c r="E51" s="9">
        <f t="shared" si="2"/>
        <v>43</v>
      </c>
      <c r="F51" s="9">
        <v>47</v>
      </c>
      <c r="G51" s="10">
        <f t="shared" si="3"/>
        <v>13.055555555555555</v>
      </c>
      <c r="H51" s="10">
        <f t="shared" si="4"/>
        <v>0.98470510406272582</v>
      </c>
      <c r="I51" s="10">
        <f t="shared" si="17"/>
        <v>48.416336082064717</v>
      </c>
      <c r="J51" s="10">
        <f t="shared" si="18"/>
        <v>-0.49309742942555607</v>
      </c>
      <c r="K51" s="10">
        <f>J51*$K$2</f>
        <v>-255.02999049889763</v>
      </c>
      <c r="L51" s="10">
        <f t="shared" si="5"/>
        <v>84.632312499999998</v>
      </c>
      <c r="M51" s="10">
        <f>($K$2*$G$2*E51)/1000</f>
        <v>218.17047600000004</v>
      </c>
      <c r="N51" s="10">
        <f>(0.5*$K$2*(G51^2))/1000</f>
        <v>44.077731481481479</v>
      </c>
      <c r="O51" s="10">
        <f t="shared" si="23"/>
        <v>-7.6365393910101498E-2</v>
      </c>
      <c r="P51" s="10">
        <f t="shared" si="7"/>
        <v>-7.6217465157670902E-2</v>
      </c>
      <c r="Q51" s="10">
        <f t="shared" si="8"/>
        <v>-4.3669390787199465</v>
      </c>
      <c r="R51" s="10">
        <f>($K$2*$G$2*SIN(Q51))</f>
        <v>4773.9921601452697</v>
      </c>
      <c r="S51" s="9">
        <f xml:space="preserve"> ($P$3*($K$2*$G$2))</f>
        <v>304.42392000000007</v>
      </c>
      <c r="T51" s="10">
        <f t="shared" si="9"/>
        <v>4.9080184021463715</v>
      </c>
      <c r="U51" s="10">
        <f t="shared" si="10"/>
        <v>64.076906916910957</v>
      </c>
      <c r="V51" s="30">
        <f t="shared" si="11"/>
        <v>12.555555555555555</v>
      </c>
      <c r="W51" s="30">
        <f t="shared" si="12"/>
        <v>0</v>
      </c>
      <c r="X51" s="30">
        <f t="shared" si="19"/>
        <v>-635.48710629165191</v>
      </c>
      <c r="Y51" s="31">
        <f t="shared" si="13"/>
        <v>12.555555555555555</v>
      </c>
      <c r="Z51" s="31">
        <f t="shared" si="20"/>
        <v>335.51347932415189</v>
      </c>
      <c r="AA51" s="30">
        <f t="shared" si="14"/>
        <v>2.5581720618783272</v>
      </c>
      <c r="AB51" s="9" cm="1">
        <f t="array" ref="AB51">_xlfn.IFS(AA51&lt;=4,1,AA51&lt;=8,2,AA51&gt;8,3)</f>
        <v>1</v>
      </c>
      <c r="AC51" s="32">
        <f>LOOKUP(AA51,$AP$5:$AP$46,$AQ$5:$AQ$46)</f>
        <v>4000</v>
      </c>
      <c r="AD51" s="9">
        <f>IF(V51&lt;0,1,MATCH(V51,BSFC!$P$21:$AD$21,1))</f>
        <v>10</v>
      </c>
      <c r="AE51" s="9">
        <f>MATCH(AC51,BSFC!$O$22:$O$36,1)</f>
        <v>8</v>
      </c>
      <c r="AF51" s="9" cm="1">
        <f t="array" ref="AF51">INDEX(BSFC!$P$22:$AD$36,AD51,AE51)</f>
        <v>419</v>
      </c>
      <c r="AG51" s="10">
        <f>IF(V51&lt;0,((V51=0)*AF51/760),V51*AF51/760)</f>
        <v>6.9220760233918126</v>
      </c>
      <c r="AH51" s="31">
        <f t="shared" si="15"/>
        <v>1.9227988953866145E-3</v>
      </c>
      <c r="AI51" s="31">
        <f t="shared" si="21"/>
        <v>5.2472863176202394E-2</v>
      </c>
      <c r="AJ51" s="31">
        <f t="shared" si="16"/>
        <v>72.878976633614442</v>
      </c>
      <c r="AK51" s="20"/>
      <c r="AL51" s="20"/>
      <c r="AM51" s="20"/>
      <c r="AN51" s="20"/>
      <c r="AO51" s="20"/>
    </row>
    <row r="52" spans="1:41" x14ac:dyDescent="0.25">
      <c r="A52" s="9">
        <v>53.309519999999999</v>
      </c>
      <c r="B52" s="9">
        <v>-6.9669999999999996E-2</v>
      </c>
      <c r="C52" s="9">
        <v>143</v>
      </c>
      <c r="D52" s="10">
        <f t="shared" si="22"/>
        <v>602.36708860759529</v>
      </c>
      <c r="E52" s="9">
        <f t="shared" si="2"/>
        <v>42</v>
      </c>
      <c r="F52" s="9">
        <v>48.747999999999998</v>
      </c>
      <c r="G52" s="10">
        <f t="shared" si="3"/>
        <v>13.54111111111111</v>
      </c>
      <c r="H52" s="10">
        <f t="shared" si="4"/>
        <v>1.0057125944425254</v>
      </c>
      <c r="I52" s="10">
        <f t="shared" si="17"/>
        <v>49.422048676507245</v>
      </c>
      <c r="J52" s="10">
        <f t="shared" si="18"/>
        <v>0.48279752907410012</v>
      </c>
      <c r="K52" s="10">
        <f>J52*$K$2</f>
        <v>249.7028820371246</v>
      </c>
      <c r="L52" s="10">
        <f t="shared" si="5"/>
        <v>91.044579996999985</v>
      </c>
      <c r="M52" s="10">
        <f>($K$2*$G$2*E52)/1000</f>
        <v>213.09674400000003</v>
      </c>
      <c r="N52" s="10">
        <f>(0.5*$K$2*(G52^2))/1000</f>
        <v>47.417333065925931</v>
      </c>
      <c r="O52" s="10">
        <f t="shared" si="23"/>
        <v>0</v>
      </c>
      <c r="P52" s="10">
        <f t="shared" si="7"/>
        <v>0</v>
      </c>
      <c r="Q52" s="10">
        <f t="shared" si="8"/>
        <v>0</v>
      </c>
      <c r="R52" s="10">
        <f>($K$2*$G$2*SIN(Q52))</f>
        <v>0</v>
      </c>
      <c r="S52" s="9">
        <f xml:space="preserve"> ($P$3*($K$2*$G$2))</f>
        <v>304.42392000000007</v>
      </c>
      <c r="T52" s="10">
        <f t="shared" si="9"/>
        <v>0.64517138203412472</v>
      </c>
      <c r="U52" s="10">
        <f t="shared" si="10"/>
        <v>8.7363373698331976</v>
      </c>
      <c r="V52" s="30">
        <f t="shared" si="11"/>
        <v>8.7363373698331976</v>
      </c>
      <c r="W52" s="30">
        <f t="shared" si="12"/>
        <v>0</v>
      </c>
      <c r="X52" s="30">
        <f t="shared" si="19"/>
        <v>-635.48710629165191</v>
      </c>
      <c r="Y52" s="31">
        <f t="shared" si="13"/>
        <v>8.7363373698331976</v>
      </c>
      <c r="Z52" s="31">
        <f t="shared" si="20"/>
        <v>344.24981669398511</v>
      </c>
      <c r="AA52" s="30">
        <f t="shared" si="14"/>
        <v>13.54111111111111</v>
      </c>
      <c r="AB52" s="9" cm="1">
        <f t="array" ref="AB52">_xlfn.IFS(AA52&lt;=4,1,AA52&lt;=8,2,AA52&gt;8,3)</f>
        <v>3</v>
      </c>
      <c r="AC52" s="32">
        <f>LOOKUP(AA52,$AP$5:$AP$46,$AQ$5:$AQ$46)</f>
        <v>5332.7</v>
      </c>
      <c r="AD52" s="9">
        <f>IF(V52&lt;0,1,MATCH(V52,BSFC!$P$21:$AD$21,1))</f>
        <v>8</v>
      </c>
      <c r="AE52" s="9">
        <f>MATCH(AC52,BSFC!$O$22:$O$36,1)</f>
        <v>10</v>
      </c>
      <c r="AF52" s="9" cm="1">
        <f t="array" ref="AF52">INDEX(BSFC!$P$22:$AD$36,AD52,AE52)</f>
        <v>394</v>
      </c>
      <c r="AG52" s="10">
        <f>IF(V52&lt;0,((V52=0)*AF52/760),V52*AF52/760)</f>
        <v>4.5291012154135259</v>
      </c>
      <c r="AH52" s="31">
        <f t="shared" si="15"/>
        <v>1.2580836709482016E-3</v>
      </c>
      <c r="AI52" s="31">
        <f t="shared" si="21"/>
        <v>5.3730946847150594E-2</v>
      </c>
      <c r="AJ52" s="31">
        <f t="shared" si="16"/>
        <v>74.626315065486935</v>
      </c>
      <c r="AK52" s="20"/>
      <c r="AL52" s="20"/>
      <c r="AM52" s="20"/>
      <c r="AN52" s="20"/>
      <c r="AO52" s="20"/>
    </row>
    <row r="53" spans="1:41" x14ac:dyDescent="0.25">
      <c r="A53" s="9">
        <v>53.309690000000003</v>
      </c>
      <c r="B53" s="9">
        <v>-6.9470000000000004E-2</v>
      </c>
      <c r="C53" s="9">
        <v>143</v>
      </c>
      <c r="D53" s="10">
        <f t="shared" si="22"/>
        <v>615.46202531645611</v>
      </c>
      <c r="E53" s="9">
        <f t="shared" si="2"/>
        <v>42</v>
      </c>
      <c r="F53" s="9">
        <v>45</v>
      </c>
      <c r="G53" s="10">
        <f t="shared" si="3"/>
        <v>12.5</v>
      </c>
      <c r="H53" s="10">
        <f t="shared" si="4"/>
        <v>1.1359463169132271</v>
      </c>
      <c r="I53" s="10">
        <f t="shared" si="17"/>
        <v>50.557994993420472</v>
      </c>
      <c r="J53" s="10">
        <f t="shared" si="18"/>
        <v>-0.9165143595343328</v>
      </c>
      <c r="K53" s="10">
        <f>J53*$K$2</f>
        <v>-474.02122675115697</v>
      </c>
      <c r="L53" s="10">
        <f t="shared" si="5"/>
        <v>77.582812500000003</v>
      </c>
      <c r="M53" s="10">
        <f>($K$2*$G$2*E53)/1000</f>
        <v>213.09674400000003</v>
      </c>
      <c r="N53" s="10">
        <f>(0.5*$K$2*(G53^2))/1000</f>
        <v>40.40625</v>
      </c>
      <c r="O53" s="10">
        <f t="shared" si="23"/>
        <v>7.6365393910101498E-2</v>
      </c>
      <c r="P53" s="10">
        <f t="shared" si="7"/>
        <v>7.6217465157670902E-2</v>
      </c>
      <c r="Q53" s="10">
        <f t="shared" si="8"/>
        <v>4.3669390787199465</v>
      </c>
      <c r="R53" s="10">
        <f>($K$2*$G$2*SIN(Q53))</f>
        <v>-4773.9921601452697</v>
      </c>
      <c r="S53" s="9">
        <f xml:space="preserve"> ($P$3*($K$2*$G$2))</f>
        <v>304.42392000000007</v>
      </c>
      <c r="T53" s="10">
        <f t="shared" si="9"/>
        <v>-4.8660066543964264</v>
      </c>
      <c r="U53" s="10">
        <f t="shared" si="10"/>
        <v>-60.825083179955328</v>
      </c>
      <c r="V53" s="30">
        <f t="shared" si="11"/>
        <v>-60.825083179955328</v>
      </c>
      <c r="W53" s="30">
        <f t="shared" si="12"/>
        <v>-60.825083179955328</v>
      </c>
      <c r="X53" s="30">
        <f t="shared" si="19"/>
        <v>-696.31218947160721</v>
      </c>
      <c r="Y53" s="31">
        <f t="shared" si="13"/>
        <v>0</v>
      </c>
      <c r="Z53" s="31">
        <f t="shared" si="20"/>
        <v>344.24981669398511</v>
      </c>
      <c r="AA53" s="30">
        <f t="shared" si="14"/>
        <v>12.5</v>
      </c>
      <c r="AB53" s="9" cm="1">
        <f t="array" ref="AB53">_xlfn.IFS(AA53&lt;=4,1,AA53&lt;=8,2,AA53&gt;8,3)</f>
        <v>3</v>
      </c>
      <c r="AC53" s="32">
        <f>LOOKUP(AA53,$AP$5:$AP$46,$AQ$5:$AQ$46)</f>
        <v>4332.8</v>
      </c>
      <c r="AD53" s="9">
        <f>IF(V53&lt;0,1,MATCH(V53,BSFC!$P$21:$AD$21,1))</f>
        <v>1</v>
      </c>
      <c r="AE53" s="9">
        <f>MATCH(AC53,BSFC!$O$22:$O$36,1)</f>
        <v>8</v>
      </c>
      <c r="AF53" s="9" cm="1">
        <f t="array" ref="AF53">INDEX(BSFC!$P$22:$AD$36,AD53,AE53)</f>
        <v>530</v>
      </c>
      <c r="AG53" s="10">
        <f>IF(V53&lt;0,((V53=0)*AF53/760),V53*AF53/760)</f>
        <v>0</v>
      </c>
      <c r="AH53" s="31">
        <f t="shared" si="15"/>
        <v>0</v>
      </c>
      <c r="AI53" s="31">
        <f t="shared" si="21"/>
        <v>5.3730946847150594E-2</v>
      </c>
      <c r="AJ53" s="31">
        <f t="shared" si="16"/>
        <v>74.626315065486935</v>
      </c>
      <c r="AK53" s="20"/>
      <c r="AL53" s="20"/>
      <c r="AM53" s="20"/>
      <c r="AN53" s="20"/>
      <c r="AO53" s="20"/>
    </row>
    <row r="54" spans="1:41" x14ac:dyDescent="0.25">
      <c r="A54" s="9">
        <v>53.30979</v>
      </c>
      <c r="B54" s="9">
        <v>-6.923E-2</v>
      </c>
      <c r="C54" s="9">
        <v>144</v>
      </c>
      <c r="D54" s="10">
        <f t="shared" si="22"/>
        <v>628.55696202531692</v>
      </c>
      <c r="E54" s="9">
        <f t="shared" si="2"/>
        <v>43</v>
      </c>
      <c r="F54" s="9">
        <v>38</v>
      </c>
      <c r="G54" s="10">
        <f t="shared" si="3"/>
        <v>10.555555555555555</v>
      </c>
      <c r="H54" s="10">
        <f t="shared" si="4"/>
        <v>1.1639943741209613</v>
      </c>
      <c r="I54" s="10">
        <f t="shared" si="17"/>
        <v>51.721989367541433</v>
      </c>
      <c r="J54" s="10">
        <f t="shared" si="18"/>
        <v>-1.6704929917834643</v>
      </c>
      <c r="K54" s="10">
        <f>J54*$K$2</f>
        <v>-863.97897535040784</v>
      </c>
      <c r="L54" s="10">
        <f t="shared" si="5"/>
        <v>55.323250000000002</v>
      </c>
      <c r="M54" s="10">
        <f>($K$2*$G$2*E54)/1000</f>
        <v>218.17047600000004</v>
      </c>
      <c r="N54" s="10">
        <f>(0.5*$K$2*(G54^2))/1000</f>
        <v>28.813148148148148</v>
      </c>
      <c r="O54" s="10">
        <f t="shared" si="23"/>
        <v>-0.152730787820203</v>
      </c>
      <c r="P54" s="10">
        <f t="shared" si="7"/>
        <v>-0.15155956893708497</v>
      </c>
      <c r="Q54" s="10">
        <f t="shared" si="8"/>
        <v>-8.6837236449170216</v>
      </c>
      <c r="R54" s="10">
        <f>($K$2*$G$2*SIN(Q54))</f>
        <v>-3425.1045539960332</v>
      </c>
      <c r="S54" s="9">
        <f xml:space="preserve"> ($P$3*($K$2*$G$2))</f>
        <v>304.42392000000007</v>
      </c>
      <c r="T54" s="10">
        <f t="shared" si="9"/>
        <v>-3.9293363593464408</v>
      </c>
      <c r="U54" s="10">
        <f t="shared" si="10"/>
        <v>-41.476328237545765</v>
      </c>
      <c r="V54" s="30">
        <f t="shared" si="11"/>
        <v>-41.476328237545765</v>
      </c>
      <c r="W54" s="30">
        <f t="shared" si="12"/>
        <v>-41.476328237545765</v>
      </c>
      <c r="X54" s="30">
        <f t="shared" si="19"/>
        <v>-737.78851770915298</v>
      </c>
      <c r="Y54" s="31">
        <f t="shared" si="13"/>
        <v>0</v>
      </c>
      <c r="Z54" s="31">
        <f t="shared" si="20"/>
        <v>344.24981669398511</v>
      </c>
      <c r="AA54" s="30">
        <f t="shared" si="14"/>
        <v>10.555555555555555</v>
      </c>
      <c r="AB54" s="9" cm="1">
        <f t="array" ref="AB54">_xlfn.IFS(AA54&lt;=4,1,AA54&lt;=8,2,AA54&gt;8,3)</f>
        <v>3</v>
      </c>
      <c r="AC54" s="32">
        <f>LOOKUP(AA54,$AP$5:$AP$46,$AQ$5:$AQ$46)</f>
        <v>2333</v>
      </c>
      <c r="AD54" s="9">
        <f>IF(V54&lt;0,1,MATCH(V54,BSFC!$P$21:$AD$21,1))</f>
        <v>1</v>
      </c>
      <c r="AE54" s="9">
        <f>MATCH(AC54,BSFC!$O$22:$O$36,1)</f>
        <v>4</v>
      </c>
      <c r="AF54" s="9" cm="1">
        <f t="array" ref="AF54">INDEX(BSFC!$P$22:$AD$36,AD54,AE54)</f>
        <v>577</v>
      </c>
      <c r="AG54" s="10">
        <f>IF(V54&lt;0,((V54=0)*AF54/760),V54*AF54/760)</f>
        <v>0</v>
      </c>
      <c r="AH54" s="31">
        <f t="shared" si="15"/>
        <v>0</v>
      </c>
      <c r="AI54" s="31">
        <f t="shared" si="21"/>
        <v>5.3730946847150594E-2</v>
      </c>
      <c r="AJ54" s="31">
        <f t="shared" si="16"/>
        <v>74.626315065486935</v>
      </c>
      <c r="AK54" s="20"/>
      <c r="AL54" s="20"/>
      <c r="AM54" s="20"/>
      <c r="AN54" s="20"/>
      <c r="AO54" s="20"/>
    </row>
    <row r="55" spans="1:41" x14ac:dyDescent="0.25">
      <c r="A55" s="9">
        <v>53.309849999999997</v>
      </c>
      <c r="B55" s="9">
        <v>-6.8919999999999995E-2</v>
      </c>
      <c r="C55" s="9">
        <v>142</v>
      </c>
      <c r="D55" s="10">
        <f t="shared" si="22"/>
        <v>641.65189873417773</v>
      </c>
      <c r="E55" s="9">
        <f t="shared" si="2"/>
        <v>41</v>
      </c>
      <c r="F55" s="9">
        <v>43</v>
      </c>
      <c r="G55" s="10">
        <f t="shared" si="3"/>
        <v>11.944444444444445</v>
      </c>
      <c r="H55" s="10">
        <f t="shared" si="4"/>
        <v>1.0593656663348074</v>
      </c>
      <c r="I55" s="10">
        <f t="shared" si="17"/>
        <v>52.781355033876238</v>
      </c>
      <c r="J55" s="10">
        <f t="shared" si="18"/>
        <v>1.3110571099535144</v>
      </c>
      <c r="K55" s="10">
        <f>J55*$K$2</f>
        <v>678.07873726795776</v>
      </c>
      <c r="L55" s="10">
        <f t="shared" si="5"/>
        <v>70.839812500000008</v>
      </c>
      <c r="M55" s="10">
        <f>($K$2*$G$2*E55)/1000</f>
        <v>208.02301200000005</v>
      </c>
      <c r="N55" s="10">
        <f>(0.5*$K$2*(G55^2))/1000</f>
        <v>36.894398148148149</v>
      </c>
      <c r="O55" s="10">
        <f t="shared" si="23"/>
        <v>-7.6365393910101498E-2</v>
      </c>
      <c r="P55" s="10">
        <f t="shared" si="7"/>
        <v>-7.6217465157670902E-2</v>
      </c>
      <c r="Q55" s="10">
        <f t="shared" si="8"/>
        <v>-4.3669390787199465</v>
      </c>
      <c r="R55" s="10">
        <f>($K$2*$G$2*SIN(Q55))</f>
        <v>4773.9921601452697</v>
      </c>
      <c r="S55" s="9">
        <f xml:space="preserve"> ($P$3*($K$2*$G$2))</f>
        <v>304.42392000000007</v>
      </c>
      <c r="T55" s="10">
        <f t="shared" si="9"/>
        <v>5.8273346299132278</v>
      </c>
      <c r="U55" s="10">
        <f t="shared" si="10"/>
        <v>69.60427474618578</v>
      </c>
      <c r="V55" s="30">
        <f t="shared" si="11"/>
        <v>11.444444444444445</v>
      </c>
      <c r="W55" s="30">
        <f t="shared" si="12"/>
        <v>0</v>
      </c>
      <c r="X55" s="30">
        <f t="shared" si="19"/>
        <v>-737.78851770915298</v>
      </c>
      <c r="Y55" s="31">
        <f t="shared" si="13"/>
        <v>11.444444444444445</v>
      </c>
      <c r="Z55" s="31">
        <f t="shared" si="20"/>
        <v>355.69426113842957</v>
      </c>
      <c r="AA55" s="30">
        <f t="shared" si="14"/>
        <v>1.9639243618681392</v>
      </c>
      <c r="AB55" s="9" cm="1">
        <f t="array" ref="AB55">_xlfn.IFS(AA55&lt;=4,1,AA55&lt;=8,2,AA55&gt;8,3)</f>
        <v>1</v>
      </c>
      <c r="AC55" s="32">
        <f>LOOKUP(AA55,$AP$5:$AP$46,$AQ$5:$AQ$46)</f>
        <v>3000</v>
      </c>
      <c r="AD55" s="9">
        <f>IF(V55&lt;0,1,MATCH(V55,BSFC!$P$21:$AD$21,1))</f>
        <v>10</v>
      </c>
      <c r="AE55" s="9">
        <f>MATCH(AC55,BSFC!$O$22:$O$36,1)</f>
        <v>6</v>
      </c>
      <c r="AF55" s="9" cm="1">
        <f t="array" ref="AF55">INDEX(BSFC!$P$22:$AD$36,AD55,AE55)</f>
        <v>432</v>
      </c>
      <c r="AG55" s="10">
        <f>IF(V55&lt;0,((V55=0)*AF55/760),V55*AF55/760)</f>
        <v>6.5052631578947366</v>
      </c>
      <c r="AH55" s="31">
        <f t="shared" si="15"/>
        <v>1.8070175438596491E-3</v>
      </c>
      <c r="AI55" s="31">
        <f t="shared" si="21"/>
        <v>5.553796439101024E-2</v>
      </c>
      <c r="AJ55" s="31">
        <f t="shared" si="16"/>
        <v>77.136061654180892</v>
      </c>
      <c r="AK55" s="20"/>
      <c r="AL55" s="20"/>
      <c r="AM55" s="20"/>
      <c r="AN55" s="20"/>
      <c r="AO55" s="20"/>
    </row>
    <row r="56" spans="1:41" x14ac:dyDescent="0.25">
      <c r="A56" s="9">
        <v>53.309890000000003</v>
      </c>
      <c r="B56" s="9">
        <v>-6.8650000000000003E-2</v>
      </c>
      <c r="C56" s="9">
        <v>141</v>
      </c>
      <c r="D56" s="10">
        <f t="shared" si="22"/>
        <v>654.74683544303855</v>
      </c>
      <c r="E56" s="9">
        <f t="shared" si="2"/>
        <v>40</v>
      </c>
      <c r="F56" s="9">
        <v>46</v>
      </c>
      <c r="G56" s="10">
        <f t="shared" si="3"/>
        <v>12.777777777777777</v>
      </c>
      <c r="H56" s="10">
        <f t="shared" si="4"/>
        <v>0.99509798944355421</v>
      </c>
      <c r="I56" s="10">
        <f t="shared" si="17"/>
        <v>53.776453023319796</v>
      </c>
      <c r="J56" s="10">
        <f t="shared" si="18"/>
        <v>0.83743846553173962</v>
      </c>
      <c r="K56" s="10">
        <f>J56*$K$2</f>
        <v>433.12317437301579</v>
      </c>
      <c r="L56" s="10">
        <f t="shared" si="5"/>
        <v>81.069249999999997</v>
      </c>
      <c r="M56" s="10">
        <f>($K$2*$G$2*E56)/1000</f>
        <v>202.94928000000002</v>
      </c>
      <c r="N56" s="10">
        <f>(0.5*$K$2*(G56^2))/1000</f>
        <v>42.222037037037033</v>
      </c>
      <c r="O56" s="10">
        <f t="shared" si="23"/>
        <v>0</v>
      </c>
      <c r="P56" s="10">
        <f t="shared" si="7"/>
        <v>0</v>
      </c>
      <c r="Q56" s="10">
        <f t="shared" si="8"/>
        <v>0</v>
      </c>
      <c r="R56" s="10">
        <f>($K$2*$G$2*SIN(Q56))</f>
        <v>0</v>
      </c>
      <c r="S56" s="9">
        <f xml:space="preserve"> ($P$3*($K$2*$G$2))</f>
        <v>304.42392000000007</v>
      </c>
      <c r="T56" s="10">
        <f t="shared" si="9"/>
        <v>0.81861634437301589</v>
      </c>
      <c r="U56" s="10">
        <f t="shared" si="10"/>
        <v>10.460097733655202</v>
      </c>
      <c r="V56" s="30">
        <f t="shared" si="11"/>
        <v>10.460097733655202</v>
      </c>
      <c r="W56" s="30">
        <f t="shared" si="12"/>
        <v>0</v>
      </c>
      <c r="X56" s="30">
        <f t="shared" si="19"/>
        <v>-737.78851770915298</v>
      </c>
      <c r="Y56" s="31">
        <f t="shared" si="13"/>
        <v>10.460097733655202</v>
      </c>
      <c r="Z56" s="31">
        <f t="shared" si="20"/>
        <v>366.15435887208474</v>
      </c>
      <c r="AA56" s="30">
        <f t="shared" si="14"/>
        <v>12.777777777777777</v>
      </c>
      <c r="AB56" s="9" cm="1">
        <f t="array" ref="AB56">_xlfn.IFS(AA56&lt;=4,1,AA56&lt;=8,2,AA56&gt;8,3)</f>
        <v>3</v>
      </c>
      <c r="AC56" s="32">
        <f>LOOKUP(AA56,$AP$5:$AP$46,$AQ$5:$AQ$46)</f>
        <v>4666.1000000000004</v>
      </c>
      <c r="AD56" s="9">
        <f>IF(V56&lt;0,1,MATCH(V56,BSFC!$P$21:$AD$21,1))</f>
        <v>9</v>
      </c>
      <c r="AE56" s="9">
        <f>MATCH(AC56,BSFC!$O$22:$O$36,1)</f>
        <v>9</v>
      </c>
      <c r="AF56" s="9" cm="1">
        <f t="array" ref="AF56">INDEX(BSFC!$P$22:$AD$36,AD56,AE56)</f>
        <v>402</v>
      </c>
      <c r="AG56" s="10">
        <f>IF(V56&lt;0,((V56=0)*AF56/760),V56*AF56/760)</f>
        <v>5.5328411696439357</v>
      </c>
      <c r="AH56" s="31">
        <f t="shared" si="15"/>
        <v>1.5369003249010933E-3</v>
      </c>
      <c r="AI56" s="31">
        <f t="shared" si="21"/>
        <v>5.7074864715911333E-2</v>
      </c>
      <c r="AJ56" s="31">
        <f t="shared" si="16"/>
        <v>79.27064543876574</v>
      </c>
      <c r="AK56" s="20"/>
      <c r="AL56" s="20"/>
      <c r="AM56" s="20"/>
      <c r="AN56" s="20"/>
      <c r="AO56" s="20"/>
    </row>
    <row r="57" spans="1:41" x14ac:dyDescent="0.25">
      <c r="A57" s="9">
        <v>53.309899999999999</v>
      </c>
      <c r="B57" s="9">
        <v>-6.8419999999999995E-2</v>
      </c>
      <c r="C57" s="9">
        <v>141</v>
      </c>
      <c r="D57" s="10">
        <f t="shared" si="22"/>
        <v>667.84177215189936</v>
      </c>
      <c r="E57" s="9">
        <f t="shared" si="2"/>
        <v>40</v>
      </c>
      <c r="F57" s="9">
        <v>48.747999999999998</v>
      </c>
      <c r="G57" s="10">
        <f t="shared" si="3"/>
        <v>13.54111111111111</v>
      </c>
      <c r="H57" s="10">
        <f t="shared" si="4"/>
        <v>0.96705038467011839</v>
      </c>
      <c r="I57" s="10">
        <f t="shared" si="17"/>
        <v>54.743503407989913</v>
      </c>
      <c r="J57" s="10">
        <f t="shared" si="18"/>
        <v>0.7893418434384103</v>
      </c>
      <c r="K57" s="10">
        <f>J57*$K$2</f>
        <v>408.24760142634585</v>
      </c>
      <c r="L57" s="10">
        <f t="shared" si="5"/>
        <v>91.044579996999985</v>
      </c>
      <c r="M57" s="10">
        <f>($K$2*$G$2*E57)/1000</f>
        <v>202.94928000000002</v>
      </c>
      <c r="N57" s="10">
        <f>(0.5*$K$2*(G57^2))/1000</f>
        <v>47.417333065925931</v>
      </c>
      <c r="O57" s="10">
        <f t="shared" si="23"/>
        <v>-7.6365393910101498E-2</v>
      </c>
      <c r="P57" s="10">
        <f t="shared" si="7"/>
        <v>-7.6217465157670902E-2</v>
      </c>
      <c r="Q57" s="10">
        <f t="shared" si="8"/>
        <v>-4.3669390787199465</v>
      </c>
      <c r="R57" s="10">
        <f>($K$2*$G$2*SIN(Q57))</f>
        <v>4773.9921601452697</v>
      </c>
      <c r="S57" s="9">
        <f xml:space="preserve"> ($P$3*($K$2*$G$2))</f>
        <v>304.42392000000007</v>
      </c>
      <c r="T57" s="10">
        <f t="shared" si="9"/>
        <v>5.577708261568616</v>
      </c>
      <c r="U57" s="10">
        <f t="shared" si="10"/>
        <v>75.528367315263026</v>
      </c>
      <c r="V57" s="30">
        <f t="shared" si="11"/>
        <v>13.04111111111111</v>
      </c>
      <c r="W57" s="30">
        <f t="shared" si="12"/>
        <v>0</v>
      </c>
      <c r="X57" s="30">
        <f t="shared" si="19"/>
        <v>-737.78851770915298</v>
      </c>
      <c r="Y57" s="31">
        <f t="shared" si="13"/>
        <v>13.04111111111111</v>
      </c>
      <c r="Z57" s="31">
        <f t="shared" si="20"/>
        <v>379.19546998319584</v>
      </c>
      <c r="AA57" s="30">
        <f t="shared" si="14"/>
        <v>2.338076948370829</v>
      </c>
      <c r="AB57" s="9" cm="1">
        <f t="array" ref="AB57">_xlfn.IFS(AA57&lt;=4,1,AA57&lt;=8,2,AA57&gt;8,3)</f>
        <v>1</v>
      </c>
      <c r="AC57" s="32">
        <f>LOOKUP(AA57,$AP$5:$AP$46,$AQ$5:$AQ$46)</f>
        <v>4000</v>
      </c>
      <c r="AD57" s="9">
        <f>IF(V57&lt;0,1,MATCH(V57,BSFC!$P$21:$AD$21,1))</f>
        <v>11</v>
      </c>
      <c r="AE57" s="9">
        <f>MATCH(AC57,BSFC!$O$22:$O$36,1)</f>
        <v>8</v>
      </c>
      <c r="AF57" s="9" cm="1">
        <f t="array" ref="AF57">INDEX(BSFC!$P$22:$AD$36,AD57,AE57)</f>
        <v>431</v>
      </c>
      <c r="AG57" s="10">
        <f>IF(V57&lt;0,((V57=0)*AF57/760),V57*AF57/760)</f>
        <v>7.395682748538011</v>
      </c>
      <c r="AH57" s="31">
        <f t="shared" si="15"/>
        <v>2.0543563190383364E-3</v>
      </c>
      <c r="AI57" s="31">
        <f t="shared" si="21"/>
        <v>5.9129221034949671E-2</v>
      </c>
      <c r="AJ57" s="31">
        <f t="shared" si="16"/>
        <v>82.123918104096759</v>
      </c>
      <c r="AK57" s="20"/>
      <c r="AL57" s="20"/>
      <c r="AM57" s="20"/>
      <c r="AN57" s="20"/>
      <c r="AO57" s="20"/>
    </row>
    <row r="58" spans="1:41" x14ac:dyDescent="0.25">
      <c r="A58" s="9">
        <v>53.309890000000003</v>
      </c>
      <c r="B58" s="9">
        <v>-6.8180000000000004E-2</v>
      </c>
      <c r="C58" s="9">
        <v>140</v>
      </c>
      <c r="D58" s="10">
        <f t="shared" si="22"/>
        <v>680.93670886076018</v>
      </c>
      <c r="E58" s="9">
        <f t="shared" si="2"/>
        <v>39</v>
      </c>
      <c r="F58" s="9">
        <v>48.747999999999998</v>
      </c>
      <c r="G58" s="10">
        <f t="shared" si="3"/>
        <v>13.54111111111111</v>
      </c>
      <c r="H58" s="10">
        <f t="shared" si="4"/>
        <v>0.96705038467011839</v>
      </c>
      <c r="I58" s="10">
        <f t="shared" si="17"/>
        <v>55.710553792660029</v>
      </c>
      <c r="J58" s="10">
        <f t="shared" si="18"/>
        <v>0</v>
      </c>
      <c r="K58" s="10">
        <f>J58*$K$2</f>
        <v>0</v>
      </c>
      <c r="L58" s="10">
        <f t="shared" si="5"/>
        <v>91.044579996999985</v>
      </c>
      <c r="M58" s="10">
        <f>($K$2*$G$2*E58)/1000</f>
        <v>197.87554800000004</v>
      </c>
      <c r="N58" s="10">
        <f>(0.5*$K$2*(G58^2))/1000</f>
        <v>47.417333065925931</v>
      </c>
      <c r="O58" s="10">
        <f t="shared" si="23"/>
        <v>-7.6365393910101498E-2</v>
      </c>
      <c r="P58" s="10">
        <f t="shared" si="7"/>
        <v>-7.6217465157670902E-2</v>
      </c>
      <c r="Q58" s="10">
        <f t="shared" si="8"/>
        <v>-4.3669390787199465</v>
      </c>
      <c r="R58" s="10">
        <f>($K$2*$G$2*SIN(Q58))</f>
        <v>4773.9921601452697</v>
      </c>
      <c r="S58" s="9">
        <f xml:space="preserve"> ($P$3*($K$2*$G$2))</f>
        <v>304.42392000000007</v>
      </c>
      <c r="T58" s="10">
        <f t="shared" si="9"/>
        <v>5.1694606601422706</v>
      </c>
      <c r="U58" s="10">
        <f t="shared" si="10"/>
        <v>70.000241183504272</v>
      </c>
      <c r="V58" s="30">
        <f t="shared" si="11"/>
        <v>13.04111111111111</v>
      </c>
      <c r="W58" s="30">
        <f t="shared" si="12"/>
        <v>0</v>
      </c>
      <c r="X58" s="30">
        <f t="shared" si="19"/>
        <v>-737.78851770915298</v>
      </c>
      <c r="Y58" s="31">
        <f t="shared" si="13"/>
        <v>13.04111111111111</v>
      </c>
      <c r="Z58" s="31">
        <f t="shared" si="20"/>
        <v>392.23658109430693</v>
      </c>
      <c r="AA58" s="30">
        <f t="shared" si="14"/>
        <v>2.5227218018430961</v>
      </c>
      <c r="AB58" s="9" cm="1">
        <f t="array" ref="AB58">_xlfn.IFS(AA58&lt;=4,1,AA58&lt;=8,2,AA58&gt;8,3)</f>
        <v>1</v>
      </c>
      <c r="AC58" s="32">
        <f>LOOKUP(AA58,$AP$5:$AP$46,$AQ$5:$AQ$46)</f>
        <v>4000</v>
      </c>
      <c r="AD58" s="9">
        <f>IF(V58&lt;0,1,MATCH(V58,BSFC!$P$21:$AD$21,1))</f>
        <v>11</v>
      </c>
      <c r="AE58" s="9">
        <f>MATCH(AC58,BSFC!$O$22:$O$36,1)</f>
        <v>8</v>
      </c>
      <c r="AF58" s="9" cm="1">
        <f t="array" ref="AF58">INDEX(BSFC!$P$22:$AD$36,AD58,AE58)</f>
        <v>431</v>
      </c>
      <c r="AG58" s="10">
        <f>IF(V58&lt;0,((V58=0)*AF58/760),V58*AF58/760)</f>
        <v>7.395682748538011</v>
      </c>
      <c r="AH58" s="31">
        <f t="shared" si="15"/>
        <v>2.0543563190383364E-3</v>
      </c>
      <c r="AI58" s="31">
        <f t="shared" si="21"/>
        <v>6.1183577353988008E-2</v>
      </c>
      <c r="AJ58" s="31">
        <f t="shared" si="16"/>
        <v>84.977190769427793</v>
      </c>
      <c r="AK58" s="20"/>
      <c r="AL58" s="20"/>
      <c r="AM58" s="20"/>
      <c r="AN58" s="20"/>
      <c r="AO58" s="20"/>
    </row>
    <row r="59" spans="1:41" x14ac:dyDescent="0.25">
      <c r="A59" s="9">
        <v>53.309820000000002</v>
      </c>
      <c r="B59" s="9">
        <v>-6.7830000000000001E-2</v>
      </c>
      <c r="C59" s="9">
        <v>139</v>
      </c>
      <c r="D59" s="10">
        <f t="shared" si="22"/>
        <v>694.03164556962099</v>
      </c>
      <c r="E59" s="9">
        <f t="shared" si="2"/>
        <v>38</v>
      </c>
      <c r="F59" s="9">
        <v>48.747999999999998</v>
      </c>
      <c r="G59" s="10">
        <f t="shared" si="3"/>
        <v>13.54111111111111</v>
      </c>
      <c r="H59" s="10">
        <f t="shared" si="4"/>
        <v>1.0165560907383218</v>
      </c>
      <c r="I59" s="10">
        <f t="shared" si="17"/>
        <v>56.727109883398349</v>
      </c>
      <c r="J59" s="10">
        <f t="shared" si="18"/>
        <v>0</v>
      </c>
      <c r="K59" s="10">
        <f>J59*$K$2</f>
        <v>0</v>
      </c>
      <c r="L59" s="10">
        <f t="shared" si="5"/>
        <v>91.044579996999985</v>
      </c>
      <c r="M59" s="10">
        <f>($K$2*$G$2*E59)/1000</f>
        <v>192.80181600000003</v>
      </c>
      <c r="N59" s="10">
        <f>(0.5*$K$2*(G59^2))/1000</f>
        <v>47.417333065925931</v>
      </c>
      <c r="O59" s="10">
        <f t="shared" si="23"/>
        <v>0</v>
      </c>
      <c r="P59" s="10">
        <f t="shared" si="7"/>
        <v>0</v>
      </c>
      <c r="Q59" s="10">
        <f t="shared" si="8"/>
        <v>0</v>
      </c>
      <c r="R59" s="10">
        <f>($K$2*$G$2*SIN(Q59))</f>
        <v>0</v>
      </c>
      <c r="S59" s="9">
        <f xml:space="preserve"> ($P$3*($K$2*$G$2))</f>
        <v>304.42392000000007</v>
      </c>
      <c r="T59" s="10">
        <f t="shared" si="9"/>
        <v>0.39546849999700001</v>
      </c>
      <c r="U59" s="10">
        <f t="shared" si="10"/>
        <v>5.3550828994038211</v>
      </c>
      <c r="V59" s="30">
        <f t="shared" si="11"/>
        <v>5.3550828994038211</v>
      </c>
      <c r="W59" s="30">
        <f t="shared" si="12"/>
        <v>0</v>
      </c>
      <c r="X59" s="30">
        <f t="shared" si="19"/>
        <v>-737.78851770915298</v>
      </c>
      <c r="Y59" s="31">
        <f t="shared" si="13"/>
        <v>5.3550828994038211</v>
      </c>
      <c r="Z59" s="31">
        <f t="shared" si="20"/>
        <v>397.59166399371077</v>
      </c>
      <c r="AA59" s="30">
        <f t="shared" si="14"/>
        <v>13.54111111111111</v>
      </c>
      <c r="AB59" s="9" cm="1">
        <f t="array" ref="AB59">_xlfn.IFS(AA59&lt;=4,1,AA59&lt;=8,2,AA59&gt;8,3)</f>
        <v>3</v>
      </c>
      <c r="AC59" s="32">
        <f>LOOKUP(AA59,$AP$5:$AP$46,$AQ$5:$AQ$46)</f>
        <v>5332.7</v>
      </c>
      <c r="AD59" s="9">
        <f>IF(V59&lt;0,1,MATCH(V59,BSFC!$P$21:$AD$21,1))</f>
        <v>6</v>
      </c>
      <c r="AE59" s="9">
        <f>MATCH(AC59,BSFC!$O$22:$O$36,1)</f>
        <v>10</v>
      </c>
      <c r="AF59" s="9" cm="1">
        <f t="array" ref="AF59">INDEX(BSFC!$P$22:$AD$36,AD59,AE59)</f>
        <v>429</v>
      </c>
      <c r="AG59" s="10">
        <f>IF(V59&lt;0,((V59=0)*AF59/760),V59*AF59/760)</f>
        <v>3.0228033734792623</v>
      </c>
      <c r="AH59" s="31">
        <f t="shared" si="15"/>
        <v>8.3966760374423949E-4</v>
      </c>
      <c r="AI59" s="31">
        <f t="shared" si="21"/>
        <v>6.2023244957732246E-2</v>
      </c>
      <c r="AJ59" s="31">
        <f t="shared" si="16"/>
        <v>86.143395774628118</v>
      </c>
      <c r="AK59" s="20"/>
      <c r="AL59" s="20"/>
      <c r="AM59" s="20"/>
      <c r="AN59" s="20"/>
      <c r="AO59" s="20"/>
    </row>
    <row r="60" spans="1:41" x14ac:dyDescent="0.25">
      <c r="A60" s="9">
        <v>53.309710000000003</v>
      </c>
      <c r="B60" s="9">
        <v>-6.7430000000000004E-2</v>
      </c>
      <c r="C60" s="9">
        <v>139</v>
      </c>
      <c r="D60" s="10">
        <f t="shared" si="22"/>
        <v>707.12658227848181</v>
      </c>
      <c r="E60" s="9">
        <f t="shared" si="2"/>
        <v>38</v>
      </c>
      <c r="F60" s="9">
        <v>44</v>
      </c>
      <c r="G60" s="10">
        <f t="shared" si="3"/>
        <v>12.222222222222221</v>
      </c>
      <c r="H60" s="10">
        <f t="shared" si="4"/>
        <v>1.0963202826023009</v>
      </c>
      <c r="I60" s="10">
        <f t="shared" si="17"/>
        <v>57.823430166000648</v>
      </c>
      <c r="J60" s="10">
        <f t="shared" si="18"/>
        <v>-1.2030142193103333</v>
      </c>
      <c r="K60" s="10">
        <f>J60*$K$2</f>
        <v>-622.1989542273044</v>
      </c>
      <c r="L60" s="10">
        <f t="shared" si="5"/>
        <v>74.173000000000002</v>
      </c>
      <c r="M60" s="10">
        <f>($K$2*$G$2*E60)/1000</f>
        <v>192.80181600000003</v>
      </c>
      <c r="N60" s="10">
        <f>(0.5*$K$2*(G60^2))/1000</f>
        <v>38.630370370370372</v>
      </c>
      <c r="O60" s="10">
        <f t="shared" si="23"/>
        <v>0</v>
      </c>
      <c r="P60" s="10">
        <f t="shared" si="7"/>
        <v>0</v>
      </c>
      <c r="Q60" s="10">
        <f t="shared" si="8"/>
        <v>0</v>
      </c>
      <c r="R60" s="10">
        <f>($K$2*$G$2*SIN(Q60))</f>
        <v>0</v>
      </c>
      <c r="S60" s="9">
        <f xml:space="preserve"> ($P$3*($K$2*$G$2))</f>
        <v>304.42392000000007</v>
      </c>
      <c r="T60" s="10">
        <f t="shared" si="9"/>
        <v>-0.24360203422730434</v>
      </c>
      <c r="U60" s="10">
        <f t="shared" si="10"/>
        <v>-2.9773581961114974</v>
      </c>
      <c r="V60" s="30">
        <f t="shared" si="11"/>
        <v>-2.9773581961114974</v>
      </c>
      <c r="W60" s="30">
        <f t="shared" si="12"/>
        <v>-2.9773581961114974</v>
      </c>
      <c r="X60" s="30">
        <f t="shared" si="19"/>
        <v>-740.76587590526447</v>
      </c>
      <c r="Y60" s="31">
        <f t="shared" si="13"/>
        <v>0</v>
      </c>
      <c r="Z60" s="31">
        <f t="shared" si="20"/>
        <v>397.59166399371077</v>
      </c>
      <c r="AA60" s="30">
        <f t="shared" si="14"/>
        <v>12.222222222222221</v>
      </c>
      <c r="AB60" s="9" cm="1">
        <f t="array" ref="AB60">_xlfn.IFS(AA60&lt;=4,1,AA60&lt;=8,2,AA60&gt;8,3)</f>
        <v>3</v>
      </c>
      <c r="AC60" s="32">
        <f>LOOKUP(AA60,$AP$5:$AP$46,$AQ$5:$AQ$46)</f>
        <v>3999.5</v>
      </c>
      <c r="AD60" s="9">
        <f>IF(V60&lt;0,1,MATCH(V60,BSFC!$P$21:$AD$21,1))</f>
        <v>1</v>
      </c>
      <c r="AE60" s="9">
        <f>MATCH(AC60,BSFC!$O$22:$O$36,1)</f>
        <v>7</v>
      </c>
      <c r="AF60" s="9" cm="1">
        <f t="array" ref="AF60">INDEX(BSFC!$P$22:$AD$36,AD60,AE60)</f>
        <v>544</v>
      </c>
      <c r="AG60" s="10">
        <f>IF(V60&lt;0,((V60=0)*AF60/760),V60*AF60/760)</f>
        <v>0</v>
      </c>
      <c r="AH60" s="31">
        <f t="shared" si="15"/>
        <v>0</v>
      </c>
      <c r="AI60" s="31">
        <f t="shared" si="21"/>
        <v>6.2023244957732246E-2</v>
      </c>
      <c r="AJ60" s="31">
        <f t="shared" si="16"/>
        <v>86.143395774628118</v>
      </c>
      <c r="AK60" s="20"/>
      <c r="AL60" s="20"/>
      <c r="AM60" s="20"/>
      <c r="AN60" s="20"/>
      <c r="AO60" s="20"/>
    </row>
    <row r="61" spans="1:41" x14ac:dyDescent="0.25">
      <c r="A61" s="9">
        <v>53.309600000000003</v>
      </c>
      <c r="B61" s="9">
        <v>-6.7169999999999994E-2</v>
      </c>
      <c r="C61" s="9">
        <v>139</v>
      </c>
      <c r="D61" s="10">
        <f t="shared" si="22"/>
        <v>720.22151898734262</v>
      </c>
      <c r="E61" s="9">
        <f t="shared" si="2"/>
        <v>38</v>
      </c>
      <c r="F61" s="9">
        <v>42</v>
      </c>
      <c r="G61" s="10">
        <f t="shared" si="3"/>
        <v>11.666666666666666</v>
      </c>
      <c r="H61" s="10">
        <f t="shared" si="4"/>
        <v>1.1359463169132271</v>
      </c>
      <c r="I61" s="10">
        <f t="shared" si="17"/>
        <v>58.959376482913875</v>
      </c>
      <c r="J61" s="10">
        <f t="shared" si="18"/>
        <v>-0.48906849494895044</v>
      </c>
      <c r="K61" s="10">
        <f>J61*$K$2</f>
        <v>-252.94622558759718</v>
      </c>
      <c r="L61" s="10">
        <f t="shared" si="5"/>
        <v>67.583249999999992</v>
      </c>
      <c r="M61" s="10">
        <f>($K$2*$G$2*E61)/1000</f>
        <v>192.80181600000003</v>
      </c>
      <c r="N61" s="10">
        <f>(0.5*$K$2*(G61^2))/1000</f>
        <v>35.198333333333331</v>
      </c>
      <c r="O61" s="10">
        <f t="shared" si="23"/>
        <v>7.6365393910101498E-2</v>
      </c>
      <c r="P61" s="10">
        <f t="shared" si="7"/>
        <v>7.6217465157670902E-2</v>
      </c>
      <c r="Q61" s="10">
        <f t="shared" si="8"/>
        <v>4.3669390787199465</v>
      </c>
      <c r="R61" s="10">
        <f>($K$2*$G$2*SIN(Q61))</f>
        <v>-4773.9921601452697</v>
      </c>
      <c r="S61" s="9">
        <f xml:space="preserve"> ($P$3*($K$2*$G$2))</f>
        <v>304.42392000000007</v>
      </c>
      <c r="T61" s="10">
        <f t="shared" si="9"/>
        <v>-4.6549312157328666</v>
      </c>
      <c r="U61" s="10">
        <f t="shared" si="10"/>
        <v>-54.307530850216772</v>
      </c>
      <c r="V61" s="30">
        <f t="shared" si="11"/>
        <v>-54.307530850216772</v>
      </c>
      <c r="W61" s="30">
        <f t="shared" si="12"/>
        <v>-54.307530850216772</v>
      </c>
      <c r="X61" s="30">
        <f t="shared" si="19"/>
        <v>-795.07340675548119</v>
      </c>
      <c r="Y61" s="31">
        <f t="shared" si="13"/>
        <v>0</v>
      </c>
      <c r="Z61" s="31">
        <f t="shared" si="20"/>
        <v>397.59166399371077</v>
      </c>
      <c r="AA61" s="30">
        <f t="shared" si="14"/>
        <v>11.666666666666666</v>
      </c>
      <c r="AB61" s="9" cm="1">
        <f t="array" ref="AB61">_xlfn.IFS(AA61&lt;=4,1,AA61&lt;=8,2,AA61&gt;8,3)</f>
        <v>3</v>
      </c>
      <c r="AC61" s="32">
        <f>LOOKUP(AA61,$AP$5:$AP$46,$AQ$5:$AQ$46)</f>
        <v>3332.9</v>
      </c>
      <c r="AD61" s="9">
        <f>IF(V61&lt;0,1,MATCH(V61,BSFC!$P$21:$AD$21,1))</f>
        <v>1</v>
      </c>
      <c r="AE61" s="9">
        <f>MATCH(AC61,BSFC!$O$22:$O$36,1)</f>
        <v>6</v>
      </c>
      <c r="AF61" s="9" cm="1">
        <f t="array" ref="AF61">INDEX(BSFC!$P$22:$AD$36,AD61,AE61)</f>
        <v>557</v>
      </c>
      <c r="AG61" s="10">
        <f>IF(V61&lt;0,((V61=0)*AF61/760),V61*AF61/760)</f>
        <v>0</v>
      </c>
      <c r="AH61" s="31">
        <f t="shared" si="15"/>
        <v>0</v>
      </c>
      <c r="AI61" s="31">
        <f t="shared" si="21"/>
        <v>6.2023244957732246E-2</v>
      </c>
      <c r="AJ61" s="31">
        <f t="shared" si="16"/>
        <v>86.143395774628118</v>
      </c>
      <c r="AK61" s="20"/>
      <c r="AL61" s="20"/>
      <c r="AM61" s="20"/>
      <c r="AN61" s="20"/>
      <c r="AO61" s="20"/>
    </row>
    <row r="62" spans="1:41" x14ac:dyDescent="0.25">
      <c r="A62" s="9">
        <v>53.3095</v>
      </c>
      <c r="B62" s="9">
        <v>-6.6960000000000006E-2</v>
      </c>
      <c r="C62" s="9">
        <v>140</v>
      </c>
      <c r="D62" s="10">
        <f t="shared" si="22"/>
        <v>733.31645569620343</v>
      </c>
      <c r="E62" s="9">
        <f t="shared" si="2"/>
        <v>39</v>
      </c>
      <c r="F62" s="9">
        <v>41</v>
      </c>
      <c r="G62" s="10">
        <f t="shared" si="3"/>
        <v>11.388888888888889</v>
      </c>
      <c r="H62" s="10">
        <f t="shared" si="4"/>
        <v>1.0963202826023006</v>
      </c>
      <c r="I62" s="10">
        <f t="shared" si="17"/>
        <v>60.055696765516174</v>
      </c>
      <c r="J62" s="10">
        <f t="shared" si="18"/>
        <v>-0.2533728347325882</v>
      </c>
      <c r="K62" s="10">
        <f>J62*$K$2</f>
        <v>-131.04443012369464</v>
      </c>
      <c r="L62" s="10">
        <f t="shared" si="5"/>
        <v>64.403312500000013</v>
      </c>
      <c r="M62" s="10">
        <f>($K$2*$G$2*E62)/1000</f>
        <v>197.87554800000004</v>
      </c>
      <c r="N62" s="10">
        <f>(0.5*$K$2*(G62^2))/1000</f>
        <v>33.542175925925932</v>
      </c>
      <c r="O62" s="10">
        <f t="shared" si="23"/>
        <v>7.6365393910101498E-2</v>
      </c>
      <c r="P62" s="10">
        <f t="shared" si="7"/>
        <v>7.6217465157670902E-2</v>
      </c>
      <c r="Q62" s="10">
        <f t="shared" si="8"/>
        <v>4.3669390787199465</v>
      </c>
      <c r="R62" s="10">
        <f>($K$2*$G$2*SIN(Q62))</f>
        <v>-4773.9921601452697</v>
      </c>
      <c r="S62" s="9">
        <f xml:space="preserve"> ($P$3*($K$2*$G$2))</f>
        <v>304.42392000000007</v>
      </c>
      <c r="T62" s="10">
        <f t="shared" si="9"/>
        <v>-4.5362093577689651</v>
      </c>
      <c r="U62" s="10">
        <f t="shared" si="10"/>
        <v>-51.662384352368768</v>
      </c>
      <c r="V62" s="30">
        <f t="shared" si="11"/>
        <v>-51.662384352368768</v>
      </c>
      <c r="W62" s="30">
        <f t="shared" si="12"/>
        <v>-51.662384352368768</v>
      </c>
      <c r="X62" s="30">
        <f t="shared" si="19"/>
        <v>-846.73579110784999</v>
      </c>
      <c r="Y62" s="31">
        <f t="shared" si="13"/>
        <v>0</v>
      </c>
      <c r="Z62" s="31">
        <f t="shared" si="20"/>
        <v>397.59166399371077</v>
      </c>
      <c r="AA62" s="30">
        <f t="shared" si="14"/>
        <v>11.388888888888889</v>
      </c>
      <c r="AB62" s="9" cm="1">
        <f t="array" ref="AB62">_xlfn.IFS(AA62&lt;=4,1,AA62&lt;=8,2,AA62&gt;8,3)</f>
        <v>3</v>
      </c>
      <c r="AC62" s="32">
        <f>LOOKUP(AA62,$AP$5:$AP$46,$AQ$5:$AQ$46)</f>
        <v>3332.9</v>
      </c>
      <c r="AD62" s="9">
        <f>IF(V62&lt;0,1,MATCH(V62,BSFC!$P$21:$AD$21,1))</f>
        <v>1</v>
      </c>
      <c r="AE62" s="9">
        <f>MATCH(AC62,BSFC!$O$22:$O$36,1)</f>
        <v>6</v>
      </c>
      <c r="AF62" s="9" cm="1">
        <f t="array" ref="AF62">INDEX(BSFC!$P$22:$AD$36,AD62,AE62)</f>
        <v>557</v>
      </c>
      <c r="AG62" s="10">
        <f>IF(V62&lt;0,((V62=0)*AF62/760),V62*AF62/760)</f>
        <v>0</v>
      </c>
      <c r="AH62" s="31">
        <f t="shared" si="15"/>
        <v>0</v>
      </c>
      <c r="AI62" s="31">
        <f t="shared" si="21"/>
        <v>6.2023244957732246E-2</v>
      </c>
      <c r="AJ62" s="31">
        <f t="shared" si="16"/>
        <v>86.143395774628118</v>
      </c>
      <c r="AK62" s="20"/>
      <c r="AL62" s="20"/>
      <c r="AM62" s="20"/>
      <c r="AN62" s="20"/>
      <c r="AO62" s="20"/>
    </row>
    <row r="63" spans="1:41" x14ac:dyDescent="0.25">
      <c r="A63" s="9">
        <v>53.30932</v>
      </c>
      <c r="B63" s="9">
        <v>-6.6589999999999996E-2</v>
      </c>
      <c r="C63" s="9">
        <v>141</v>
      </c>
      <c r="D63" s="10">
        <f t="shared" si="22"/>
        <v>746.41139240506425</v>
      </c>
      <c r="E63" s="9">
        <f t="shared" si="2"/>
        <v>40</v>
      </c>
      <c r="F63" s="9">
        <v>45</v>
      </c>
      <c r="G63" s="10">
        <f t="shared" si="3"/>
        <v>12.5</v>
      </c>
      <c r="H63" s="10">
        <f t="shared" si="4"/>
        <v>1.0057125944425254</v>
      </c>
      <c r="I63" s="10">
        <f t="shared" si="17"/>
        <v>61.061409359958702</v>
      </c>
      <c r="J63" s="10">
        <f t="shared" si="18"/>
        <v>1.1047998376981703</v>
      </c>
      <c r="K63" s="10">
        <f>J63*$K$2</f>
        <v>571.40247605749369</v>
      </c>
      <c r="L63" s="10">
        <f t="shared" si="5"/>
        <v>77.582812500000003</v>
      </c>
      <c r="M63" s="10">
        <f>($K$2*$G$2*E63)/1000</f>
        <v>202.94928000000002</v>
      </c>
      <c r="N63" s="10">
        <f>(0.5*$K$2*(G63^2))/1000</f>
        <v>40.40625</v>
      </c>
      <c r="O63" s="10">
        <f t="shared" si="23"/>
        <v>-0.152730787820203</v>
      </c>
      <c r="P63" s="10">
        <f t="shared" si="7"/>
        <v>-0.15155956893708497</v>
      </c>
      <c r="Q63" s="10">
        <f t="shared" si="8"/>
        <v>-8.6837236449170216</v>
      </c>
      <c r="R63" s="10">
        <f>($K$2*$G$2*SIN(Q63))</f>
        <v>-3425.1045539960332</v>
      </c>
      <c r="S63" s="9">
        <f xml:space="preserve"> ($P$3*($K$2*$G$2))</f>
        <v>304.42392000000007</v>
      </c>
      <c r="T63" s="10">
        <f t="shared" si="9"/>
        <v>-2.4716953454385395</v>
      </c>
      <c r="U63" s="10">
        <f t="shared" si="10"/>
        <v>-30.896191817981745</v>
      </c>
      <c r="V63" s="30">
        <f t="shared" si="11"/>
        <v>-30.896191817981745</v>
      </c>
      <c r="W63" s="30">
        <f t="shared" si="12"/>
        <v>-30.896191817981745</v>
      </c>
      <c r="X63" s="30">
        <f t="shared" si="19"/>
        <v>-877.63198292583172</v>
      </c>
      <c r="Y63" s="31">
        <f t="shared" si="13"/>
        <v>0</v>
      </c>
      <c r="Z63" s="31">
        <f t="shared" si="20"/>
        <v>397.59166399371077</v>
      </c>
      <c r="AA63" s="30">
        <f t="shared" si="14"/>
        <v>12.5</v>
      </c>
      <c r="AB63" s="9" cm="1">
        <f t="array" ref="AB63">_xlfn.IFS(AA63&lt;=4,1,AA63&lt;=8,2,AA63&gt;8,3)</f>
        <v>3</v>
      </c>
      <c r="AC63" s="32">
        <f>LOOKUP(AA63,$AP$5:$AP$46,$AQ$5:$AQ$46)</f>
        <v>4332.8</v>
      </c>
      <c r="AD63" s="9">
        <f>IF(V63&lt;0,1,MATCH(V63,BSFC!$P$21:$AD$21,1))</f>
        <v>1</v>
      </c>
      <c r="AE63" s="9">
        <f>MATCH(AC63,BSFC!$O$22:$O$36,1)</f>
        <v>8</v>
      </c>
      <c r="AF63" s="9" cm="1">
        <f t="array" ref="AF63">INDEX(BSFC!$P$22:$AD$36,AD63,AE63)</f>
        <v>530</v>
      </c>
      <c r="AG63" s="10">
        <f>IF(V63&lt;0,((V63=0)*AF63/760),V63*AF63/760)</f>
        <v>0</v>
      </c>
      <c r="AH63" s="31">
        <f t="shared" si="15"/>
        <v>0</v>
      </c>
      <c r="AI63" s="31">
        <f t="shared" si="21"/>
        <v>6.2023244957732246E-2</v>
      </c>
      <c r="AJ63" s="31">
        <f t="shared" si="16"/>
        <v>86.143395774628118</v>
      </c>
      <c r="AK63" s="20"/>
      <c r="AL63" s="20"/>
      <c r="AM63" s="20"/>
      <c r="AN63" s="20"/>
      <c r="AO63" s="20"/>
    </row>
    <row r="64" spans="1:41" x14ac:dyDescent="0.25">
      <c r="A64" s="9">
        <v>53.30903</v>
      </c>
      <c r="B64" s="9">
        <v>-6.6170000000000007E-2</v>
      </c>
      <c r="C64" s="9">
        <v>139</v>
      </c>
      <c r="D64" s="10">
        <f t="shared" si="22"/>
        <v>759.50632911392506</v>
      </c>
      <c r="E64" s="9">
        <f t="shared" si="2"/>
        <v>38</v>
      </c>
      <c r="F64" s="9">
        <v>48.747999999999998</v>
      </c>
      <c r="G64" s="10">
        <f t="shared" si="3"/>
        <v>13.54111111111111</v>
      </c>
      <c r="H64" s="10">
        <f t="shared" si="4"/>
        <v>0.96705038467011839</v>
      </c>
      <c r="I64" s="10">
        <f t="shared" si="17"/>
        <v>62.028459744628819</v>
      </c>
      <c r="J64" s="10">
        <f t="shared" si="18"/>
        <v>1.0765841445440898</v>
      </c>
      <c r="K64" s="10">
        <f>J64*$K$2</f>
        <v>556.80931955820324</v>
      </c>
      <c r="L64" s="10">
        <f t="shared" si="5"/>
        <v>91.044579996999985</v>
      </c>
      <c r="M64" s="10">
        <f>($K$2*$G$2*E64)/1000</f>
        <v>192.80181600000003</v>
      </c>
      <c r="N64" s="10">
        <f>(0.5*$K$2*(G64^2))/1000</f>
        <v>47.417333065925931</v>
      </c>
      <c r="O64" s="10">
        <f t="shared" si="23"/>
        <v>-0.30546157564040599</v>
      </c>
      <c r="P64" s="10">
        <f t="shared" si="7"/>
        <v>-0.29645985199932912</v>
      </c>
      <c r="Q64" s="10">
        <f t="shared" si="8"/>
        <v>-16.985898314634579</v>
      </c>
      <c r="R64" s="10">
        <f>($K$2*$G$2*SIN(Q64))</f>
        <v>4857.7014449689023</v>
      </c>
      <c r="S64" s="9">
        <f xml:space="preserve"> ($P$3*($K$2*$G$2))</f>
        <v>304.42392000000007</v>
      </c>
      <c r="T64" s="10">
        <f t="shared" si="9"/>
        <v>5.809979264524106</v>
      </c>
      <c r="U64" s="10">
        <f t="shared" si="10"/>
        <v>78.673574774172522</v>
      </c>
      <c r="V64" s="30">
        <f t="shared" si="11"/>
        <v>13.04111111111111</v>
      </c>
      <c r="W64" s="30">
        <f t="shared" si="12"/>
        <v>0</v>
      </c>
      <c r="X64" s="30">
        <f t="shared" si="19"/>
        <v>-877.63198292583172</v>
      </c>
      <c r="Y64" s="31">
        <f t="shared" si="13"/>
        <v>13.04111111111111</v>
      </c>
      <c r="Z64" s="31">
        <f t="shared" si="20"/>
        <v>410.63277510482186</v>
      </c>
      <c r="AA64" s="30">
        <f t="shared" si="14"/>
        <v>2.2446054482053825</v>
      </c>
      <c r="AB64" s="9" cm="1">
        <f t="array" ref="AB64">_xlfn.IFS(AA64&lt;=4,1,AA64&lt;=8,2,AA64&gt;8,3)</f>
        <v>1</v>
      </c>
      <c r="AC64" s="32">
        <f>LOOKUP(AA64,$AP$5:$AP$46,$AQ$5:$AQ$46)</f>
        <v>3500</v>
      </c>
      <c r="AD64" s="9">
        <f>IF(V64&lt;0,1,MATCH(V64,BSFC!$P$21:$AD$21,1))</f>
        <v>11</v>
      </c>
      <c r="AE64" s="9">
        <f>MATCH(AC64,BSFC!$O$22:$O$36,1)</f>
        <v>7</v>
      </c>
      <c r="AF64" s="9" cm="1">
        <f t="array" ref="AF64">INDEX(BSFC!$P$22:$AD$36,AD64,AE64)</f>
        <v>438</v>
      </c>
      <c r="AG64" s="10">
        <f>IF(V64&lt;0,((V64=0)*AF64/760),V64*AF64/760)</f>
        <v>7.5157982456140342</v>
      </c>
      <c r="AH64" s="31">
        <f t="shared" si="15"/>
        <v>2.0877217348927871E-3</v>
      </c>
      <c r="AI64" s="31">
        <f t="shared" si="21"/>
        <v>6.4110966692625032E-2</v>
      </c>
      <c r="AJ64" s="31">
        <f t="shared" si="16"/>
        <v>89.043009295312544</v>
      </c>
      <c r="AK64" s="20"/>
      <c r="AL64" s="20"/>
      <c r="AM64" s="20"/>
      <c r="AN64" s="20"/>
      <c r="AO64" s="20"/>
    </row>
    <row r="65" spans="1:41" x14ac:dyDescent="0.25">
      <c r="A65" s="9">
        <v>53.308680000000003</v>
      </c>
      <c r="B65" s="9">
        <v>-6.5799999999999997E-2</v>
      </c>
      <c r="C65" s="9">
        <v>135</v>
      </c>
      <c r="D65" s="10">
        <f t="shared" si="22"/>
        <v>772.60126582278588</v>
      </c>
      <c r="E65" s="9">
        <f t="shared" si="2"/>
        <v>34</v>
      </c>
      <c r="F65" s="9">
        <v>48.747999999999998</v>
      </c>
      <c r="G65" s="10">
        <f t="shared" si="3"/>
        <v>13.54111111111111</v>
      </c>
      <c r="H65" s="10">
        <f t="shared" si="4"/>
        <v>0.96705038467011839</v>
      </c>
      <c r="I65" s="10">
        <f t="shared" si="17"/>
        <v>62.995510129298935</v>
      </c>
      <c r="J65" s="10">
        <f t="shared" si="18"/>
        <v>0</v>
      </c>
      <c r="K65" s="10">
        <f>J65*$K$2</f>
        <v>0</v>
      </c>
      <c r="L65" s="10">
        <f t="shared" si="5"/>
        <v>91.044579996999985</v>
      </c>
      <c r="M65" s="10">
        <f>($K$2*$G$2*E65)/1000</f>
        <v>172.50688800000003</v>
      </c>
      <c r="N65" s="10">
        <f>(0.5*$K$2*(G65^2))/1000</f>
        <v>47.417333065925931</v>
      </c>
      <c r="O65" s="10">
        <f t="shared" si="23"/>
        <v>-7.6365393910101498E-2</v>
      </c>
      <c r="P65" s="10">
        <f t="shared" si="7"/>
        <v>-7.6217465157670902E-2</v>
      </c>
      <c r="Q65" s="10">
        <f t="shared" si="8"/>
        <v>-4.3669390787199465</v>
      </c>
      <c r="R65" s="10">
        <f>($K$2*$G$2*SIN(Q65))</f>
        <v>4773.9921601452697</v>
      </c>
      <c r="S65" s="9">
        <f xml:space="preserve"> ($P$3*($K$2*$G$2))</f>
        <v>304.42392000000007</v>
      </c>
      <c r="T65" s="10">
        <f t="shared" si="9"/>
        <v>5.1694606601422706</v>
      </c>
      <c r="U65" s="10">
        <f t="shared" si="10"/>
        <v>70.000241183504272</v>
      </c>
      <c r="V65" s="30">
        <f t="shared" si="11"/>
        <v>13.04111111111111</v>
      </c>
      <c r="W65" s="30">
        <f t="shared" si="12"/>
        <v>0</v>
      </c>
      <c r="X65" s="30">
        <f t="shared" si="19"/>
        <v>-877.63198292583172</v>
      </c>
      <c r="Y65" s="31">
        <f t="shared" si="13"/>
        <v>13.04111111111111</v>
      </c>
      <c r="Z65" s="31">
        <f t="shared" si="20"/>
        <v>423.67388621593295</v>
      </c>
      <c r="AA65" s="30">
        <f t="shared" si="14"/>
        <v>2.5227218018430961</v>
      </c>
      <c r="AB65" s="9" cm="1">
        <f t="array" ref="AB65">_xlfn.IFS(AA65&lt;=4,1,AA65&lt;=8,2,AA65&gt;8,3)</f>
        <v>1</v>
      </c>
      <c r="AC65" s="32">
        <f>LOOKUP(AA65,$AP$5:$AP$46,$AQ$5:$AQ$46)</f>
        <v>4000</v>
      </c>
      <c r="AD65" s="9">
        <f>IF(V65&lt;0,1,MATCH(V65,BSFC!$P$21:$AD$21,1))</f>
        <v>11</v>
      </c>
      <c r="AE65" s="9">
        <f>MATCH(AC65,BSFC!$O$22:$O$36,1)</f>
        <v>8</v>
      </c>
      <c r="AF65" s="9" cm="1">
        <f t="array" ref="AF65">INDEX(BSFC!$P$22:$AD$36,AD65,AE65)</f>
        <v>431</v>
      </c>
      <c r="AG65" s="10">
        <f>IF(V65&lt;0,((V65=0)*AF65/760),V65*AF65/760)</f>
        <v>7.395682748538011</v>
      </c>
      <c r="AH65" s="31">
        <f t="shared" si="15"/>
        <v>2.0543563190383364E-3</v>
      </c>
      <c r="AI65" s="31">
        <f t="shared" si="21"/>
        <v>6.6165323011663363E-2</v>
      </c>
      <c r="AJ65" s="31">
        <f t="shared" si="16"/>
        <v>91.896281960643563</v>
      </c>
      <c r="AK65" s="20"/>
      <c r="AL65" s="20"/>
      <c r="AM65" s="20"/>
      <c r="AN65" s="20"/>
      <c r="AO65" s="20"/>
    </row>
    <row r="66" spans="1:41" x14ac:dyDescent="0.25">
      <c r="A66" s="9">
        <v>53.308430000000001</v>
      </c>
      <c r="B66" s="9">
        <v>-6.5710000000000005E-2</v>
      </c>
      <c r="C66" s="9">
        <v>134</v>
      </c>
      <c r="D66" s="10">
        <f t="shared" si="22"/>
        <v>785.69620253164669</v>
      </c>
      <c r="E66" s="9">
        <f t="shared" si="2"/>
        <v>33</v>
      </c>
      <c r="F66" s="9">
        <v>48.747999999999998</v>
      </c>
      <c r="G66" s="10">
        <f t="shared" si="3"/>
        <v>13.54111111111111</v>
      </c>
      <c r="H66" s="10">
        <f t="shared" si="4"/>
        <v>1.0057125944425254</v>
      </c>
      <c r="I66" s="10">
        <f t="shared" si="17"/>
        <v>64.001222723741463</v>
      </c>
      <c r="J66" s="10">
        <f t="shared" si="18"/>
        <v>0</v>
      </c>
      <c r="K66" s="10">
        <f>J66*$K$2</f>
        <v>0</v>
      </c>
      <c r="L66" s="10">
        <f t="shared" si="5"/>
        <v>91.044579996999985</v>
      </c>
      <c r="M66" s="10">
        <f>($K$2*$G$2*E66)/1000</f>
        <v>167.43315600000003</v>
      </c>
      <c r="N66" s="10">
        <f>(0.5*$K$2*(G66^2))/1000</f>
        <v>47.417333065925931</v>
      </c>
      <c r="O66" s="10">
        <f t="shared" si="23"/>
        <v>-7.6365393910101498E-2</v>
      </c>
      <c r="P66" s="10">
        <f t="shared" si="7"/>
        <v>-7.6217465157670902E-2</v>
      </c>
      <c r="Q66" s="10">
        <f t="shared" si="8"/>
        <v>-4.3669390787199465</v>
      </c>
      <c r="R66" s="10">
        <f>($K$2*$G$2*SIN(Q66))</f>
        <v>4773.9921601452697</v>
      </c>
      <c r="S66" s="9">
        <f xml:space="preserve"> ($P$3*($K$2*$G$2))</f>
        <v>304.42392000000007</v>
      </c>
      <c r="T66" s="10">
        <f t="shared" si="9"/>
        <v>5.1694606601422706</v>
      </c>
      <c r="U66" s="10">
        <f t="shared" si="10"/>
        <v>70.000241183504272</v>
      </c>
      <c r="V66" s="30">
        <f t="shared" si="11"/>
        <v>13.04111111111111</v>
      </c>
      <c r="W66" s="30">
        <f t="shared" si="12"/>
        <v>0</v>
      </c>
      <c r="X66" s="30">
        <f t="shared" si="19"/>
        <v>-877.63198292583172</v>
      </c>
      <c r="Y66" s="31">
        <f t="shared" si="13"/>
        <v>13.04111111111111</v>
      </c>
      <c r="Z66" s="31">
        <f t="shared" si="20"/>
        <v>436.71499732704405</v>
      </c>
      <c r="AA66" s="30">
        <f t="shared" si="14"/>
        <v>2.5227218018430961</v>
      </c>
      <c r="AB66" s="9" cm="1">
        <f t="array" ref="AB66">_xlfn.IFS(AA66&lt;=4,1,AA66&lt;=8,2,AA66&gt;8,3)</f>
        <v>1</v>
      </c>
      <c r="AC66" s="32">
        <f>LOOKUP(AA66,$AP$5:$AP$46,$AQ$5:$AQ$46)</f>
        <v>4000</v>
      </c>
      <c r="AD66" s="9">
        <f>IF(V66&lt;0,1,MATCH(V66,BSFC!$P$21:$AD$21,1))</f>
        <v>11</v>
      </c>
      <c r="AE66" s="9">
        <f>MATCH(AC66,BSFC!$O$22:$O$36,1)</f>
        <v>8</v>
      </c>
      <c r="AF66" s="9" cm="1">
        <f t="array" ref="AF66">INDEX(BSFC!$P$22:$AD$36,AD66,AE66)</f>
        <v>431</v>
      </c>
      <c r="AG66" s="10">
        <f>IF(V66&lt;0,((V66=0)*AF66/760),V66*AF66/760)</f>
        <v>7.395682748538011</v>
      </c>
      <c r="AH66" s="31">
        <f t="shared" si="15"/>
        <v>2.0543563190383364E-3</v>
      </c>
      <c r="AI66" s="31">
        <f t="shared" si="21"/>
        <v>6.8219679330701694E-2</v>
      </c>
      <c r="AJ66" s="31">
        <f t="shared" si="16"/>
        <v>94.749554625974582</v>
      </c>
      <c r="AK66" s="20"/>
      <c r="AL66" s="20"/>
      <c r="AM66" s="20"/>
      <c r="AN66" s="20"/>
      <c r="AO66" s="20"/>
    </row>
    <row r="67" spans="1:41" x14ac:dyDescent="0.25">
      <c r="A67" s="9">
        <v>53.30829</v>
      </c>
      <c r="B67" s="9">
        <v>-6.5699999999999995E-2</v>
      </c>
      <c r="C67" s="9">
        <v>133</v>
      </c>
      <c r="D67" s="10">
        <f t="shared" si="22"/>
        <v>798.7911392405075</v>
      </c>
      <c r="E67" s="9">
        <f t="shared" si="2"/>
        <v>32</v>
      </c>
      <c r="F67" s="9">
        <v>45</v>
      </c>
      <c r="G67" s="10">
        <f t="shared" si="3"/>
        <v>12.5</v>
      </c>
      <c r="H67" s="10">
        <f t="shared" si="4"/>
        <v>1.1092181682799749</v>
      </c>
      <c r="I67" s="10">
        <f t="shared" si="17"/>
        <v>65.110440892021444</v>
      </c>
      <c r="J67" s="10">
        <f t="shared" si="18"/>
        <v>-0.9385990428966009</v>
      </c>
      <c r="K67" s="10">
        <f>J67*$K$2</f>
        <v>-485.44342498612201</v>
      </c>
      <c r="L67" s="10">
        <f t="shared" si="5"/>
        <v>77.582812500000003</v>
      </c>
      <c r="M67" s="10">
        <f>($K$2*$G$2*E67)/1000</f>
        <v>162.35942400000002</v>
      </c>
      <c r="N67" s="10">
        <f>(0.5*$K$2*(G67^2))/1000</f>
        <v>40.40625</v>
      </c>
      <c r="O67" s="10">
        <f t="shared" si="23"/>
        <v>0</v>
      </c>
      <c r="P67" s="10">
        <f t="shared" si="7"/>
        <v>0</v>
      </c>
      <c r="Q67" s="10">
        <f t="shared" si="8"/>
        <v>0</v>
      </c>
      <c r="R67" s="10">
        <f>($K$2*$G$2*SIN(Q67))</f>
        <v>0</v>
      </c>
      <c r="S67" s="9">
        <f xml:space="preserve"> ($P$3*($K$2*$G$2))</f>
        <v>304.42392000000007</v>
      </c>
      <c r="T67" s="10">
        <f t="shared" si="9"/>
        <v>-0.10343669248612196</v>
      </c>
      <c r="U67" s="10">
        <f t="shared" si="10"/>
        <v>-1.2929586560765245</v>
      </c>
      <c r="V67" s="30">
        <f t="shared" si="11"/>
        <v>-1.2929586560765245</v>
      </c>
      <c r="W67" s="30">
        <f t="shared" si="12"/>
        <v>-1.2929586560765245</v>
      </c>
      <c r="X67" s="30">
        <f t="shared" si="19"/>
        <v>-878.92494158190823</v>
      </c>
      <c r="Y67" s="31">
        <f t="shared" si="13"/>
        <v>0</v>
      </c>
      <c r="Z67" s="31">
        <f t="shared" si="20"/>
        <v>436.71499732704405</v>
      </c>
      <c r="AA67" s="30">
        <f t="shared" si="14"/>
        <v>12.5</v>
      </c>
      <c r="AB67" s="9" cm="1">
        <f t="array" ref="AB67">_xlfn.IFS(AA67&lt;=4,1,AA67&lt;=8,2,AA67&gt;8,3)</f>
        <v>3</v>
      </c>
      <c r="AC67" s="32">
        <f>LOOKUP(AA67,$AP$5:$AP$46,$AQ$5:$AQ$46)</f>
        <v>4332.8</v>
      </c>
      <c r="AD67" s="9">
        <f>IF(V67&lt;0,1,MATCH(V67,BSFC!$P$21:$AD$21,1))</f>
        <v>1</v>
      </c>
      <c r="AE67" s="9">
        <f>MATCH(AC67,BSFC!$O$22:$O$36,1)</f>
        <v>8</v>
      </c>
      <c r="AF67" s="9" cm="1">
        <f t="array" ref="AF67">INDEX(BSFC!$P$22:$AD$36,AD67,AE67)</f>
        <v>530</v>
      </c>
      <c r="AG67" s="10">
        <f>IF(V67&lt;0,((V67=0)*AF67/760),V67*AF67/760)</f>
        <v>0</v>
      </c>
      <c r="AH67" s="31">
        <f t="shared" si="15"/>
        <v>0</v>
      </c>
      <c r="AI67" s="31">
        <f t="shared" si="21"/>
        <v>6.8219679330701694E-2</v>
      </c>
      <c r="AJ67" s="31">
        <f t="shared" si="16"/>
        <v>94.749554625974582</v>
      </c>
      <c r="AK67" s="20"/>
      <c r="AL67" s="20"/>
      <c r="AM67" s="20"/>
      <c r="AN67" s="20"/>
      <c r="AO67" s="20"/>
    </row>
    <row r="68" spans="1:41" x14ac:dyDescent="0.25">
      <c r="A68" s="4">
        <v>53.308149999999998</v>
      </c>
      <c r="B68" s="4">
        <v>-6.5729999999999997E-2</v>
      </c>
      <c r="C68" s="4">
        <v>133</v>
      </c>
      <c r="D68" s="5">
        <f t="shared" si="22"/>
        <v>811.88607594936832</v>
      </c>
      <c r="E68" s="4">
        <f t="shared" si="2"/>
        <v>32</v>
      </c>
      <c r="F68" s="4">
        <v>40</v>
      </c>
      <c r="G68" s="5">
        <f t="shared" si="3"/>
        <v>11.111111111111111</v>
      </c>
      <c r="H68" s="5">
        <f t="shared" si="4"/>
        <v>1.2571139240506382</v>
      </c>
      <c r="I68" s="5">
        <f t="shared" si="17"/>
        <v>66.367554816072087</v>
      </c>
      <c r="J68" s="5">
        <f t="shared" si="18"/>
        <v>-1.1048234072641918</v>
      </c>
      <c r="K68" s="5">
        <f>J68*$K$2</f>
        <v>-571.41466623704002</v>
      </c>
      <c r="L68" s="5">
        <f t="shared" si="5"/>
        <v>61.3</v>
      </c>
      <c r="M68" s="5">
        <f>($K$2*$G$2*E68)/1000</f>
        <v>162.35942400000002</v>
      </c>
      <c r="N68" s="5">
        <f>(0.5*$K$2*(G68^2))/1000</f>
        <v>31.925925925925927</v>
      </c>
      <c r="O68" s="5">
        <f t="shared" si="23"/>
        <v>0</v>
      </c>
      <c r="P68" s="5">
        <f t="shared" si="7"/>
        <v>0</v>
      </c>
      <c r="Q68" s="5">
        <f t="shared" si="8"/>
        <v>0</v>
      </c>
      <c r="R68" s="5">
        <f>($K$2*$G$2*SIN(Q68))</f>
        <v>0</v>
      </c>
      <c r="S68" s="4">
        <f xml:space="preserve"> ($P$3*($K$2*$G$2))</f>
        <v>304.42392000000007</v>
      </c>
      <c r="T68" s="5">
        <f t="shared" si="9"/>
        <v>-0.20569074623703995</v>
      </c>
      <c r="U68" s="5">
        <f t="shared" si="10"/>
        <v>-2.2854527359671106</v>
      </c>
      <c r="V68" s="27">
        <f t="shared" si="11"/>
        <v>-2.2854527359671106</v>
      </c>
      <c r="W68" s="27">
        <f t="shared" si="12"/>
        <v>-2.2854527359671106</v>
      </c>
      <c r="X68" s="27">
        <f t="shared" si="19"/>
        <v>-881.21039431787528</v>
      </c>
      <c r="Y68" s="28">
        <f t="shared" si="13"/>
        <v>0</v>
      </c>
      <c r="Z68" s="28">
        <f t="shared" si="20"/>
        <v>436.71499732704405</v>
      </c>
      <c r="AA68" s="27">
        <f t="shared" si="14"/>
        <v>11.111111111111111</v>
      </c>
      <c r="AB68" s="4" cm="1">
        <f t="array" ref="AB68">_xlfn.IFS(AA68&lt;=4,1,AA68&lt;=8,2,AA68&gt;8,3)</f>
        <v>3</v>
      </c>
      <c r="AC68" s="29">
        <f>LOOKUP(AA68,$AP$5:$AP$46,$AQ$5:$AQ$46)</f>
        <v>2999.6</v>
      </c>
      <c r="AD68" s="4">
        <f>IF(V68&lt;0,1,MATCH(V68,BSFC!$P$21:$AD$21,1))</f>
        <v>1</v>
      </c>
      <c r="AE68" s="4">
        <f>MATCH(AC68,BSFC!$O$22:$O$36,1)</f>
        <v>5</v>
      </c>
      <c r="AF68" s="4" cm="1">
        <f t="array" ref="AF68">INDEX(BSFC!$P$22:$AD$36,AD68,AE68)</f>
        <v>566</v>
      </c>
      <c r="AG68" s="5">
        <f>IF(V68&lt;0,((V68=0)*AF68/760),V68*AF68/760)</f>
        <v>0</v>
      </c>
      <c r="AH68" s="28">
        <f t="shared" si="15"/>
        <v>0</v>
      </c>
      <c r="AI68" s="28">
        <f t="shared" si="21"/>
        <v>6.8219679330701694E-2</v>
      </c>
      <c r="AJ68" s="28">
        <f t="shared" si="16"/>
        <v>94.749554625974582</v>
      </c>
      <c r="AK68" s="20"/>
      <c r="AL68" s="20"/>
      <c r="AM68" s="20"/>
      <c r="AN68" s="20"/>
      <c r="AO68" s="20"/>
    </row>
    <row r="69" spans="1:41" x14ac:dyDescent="0.25">
      <c r="A69" s="4">
        <v>53.307960000000001</v>
      </c>
      <c r="B69" s="4">
        <v>-6.5839999999999996E-2</v>
      </c>
      <c r="C69" s="4">
        <v>133</v>
      </c>
      <c r="D69" s="5">
        <f t="shared" si="22"/>
        <v>824.98101265822913</v>
      </c>
      <c r="E69" s="4">
        <f t="shared" si="2"/>
        <v>32</v>
      </c>
      <c r="F69" s="4">
        <v>35</v>
      </c>
      <c r="G69" s="5">
        <f t="shared" si="3"/>
        <v>9.7222222222222214</v>
      </c>
      <c r="H69" s="5">
        <f t="shared" si="4"/>
        <v>1.4431891061349744</v>
      </c>
      <c r="I69" s="5">
        <f t="shared" si="17"/>
        <v>67.810743922207067</v>
      </c>
      <c r="J69" s="5">
        <f t="shared" si="18"/>
        <v>-0.96237484262092798</v>
      </c>
      <c r="K69" s="5">
        <f>J69*$K$2</f>
        <v>-497.740268603544</v>
      </c>
      <c r="L69" s="5">
        <f t="shared" si="5"/>
        <v>46.932812499999997</v>
      </c>
      <c r="M69" s="5">
        <f>($K$2*$G$2*E69)/1000</f>
        <v>162.35942400000002</v>
      </c>
      <c r="N69" s="5">
        <f>(0.5*$K$2*(G69^2))/1000</f>
        <v>24.443287037037038</v>
      </c>
      <c r="O69" s="5">
        <f t="shared" si="23"/>
        <v>0</v>
      </c>
      <c r="P69" s="5">
        <f t="shared" si="7"/>
        <v>0</v>
      </c>
      <c r="Q69" s="5">
        <f t="shared" si="8"/>
        <v>0</v>
      </c>
      <c r="R69" s="5">
        <f>($K$2*$G$2*SIN(Q69))</f>
        <v>0</v>
      </c>
      <c r="S69" s="4">
        <f xml:space="preserve"> ($P$3*($K$2*$G$2))</f>
        <v>304.42392000000007</v>
      </c>
      <c r="T69" s="5">
        <f t="shared" si="9"/>
        <v>-0.1463835361035439</v>
      </c>
      <c r="U69" s="5">
        <f t="shared" si="10"/>
        <v>-1.4231732676733433</v>
      </c>
      <c r="V69" s="27">
        <f t="shared" si="11"/>
        <v>-1.4231732676733433</v>
      </c>
      <c r="W69" s="27">
        <f t="shared" si="12"/>
        <v>-1.4231732676733433</v>
      </c>
      <c r="X69" s="27">
        <f t="shared" si="19"/>
        <v>-882.63356758554858</v>
      </c>
      <c r="Y69" s="28">
        <f t="shared" si="13"/>
        <v>0</v>
      </c>
      <c r="Z69" s="28">
        <f t="shared" si="20"/>
        <v>436.71499732704405</v>
      </c>
      <c r="AA69" s="27">
        <f t="shared" si="14"/>
        <v>9.7222222222222214</v>
      </c>
      <c r="AB69" s="4" cm="1">
        <f t="array" ref="AB69">_xlfn.IFS(AA69&lt;=4,1,AA69&lt;=8,2,AA69&gt;8,3)</f>
        <v>3</v>
      </c>
      <c r="AC69" s="29">
        <f>LOOKUP(AA69,$AP$5:$AP$46,$AQ$5:$AQ$46)</f>
        <v>1666</v>
      </c>
      <c r="AD69" s="4">
        <f>IF(V69&lt;0,1,MATCH(V69,BSFC!$P$21:$AD$21,1))</f>
        <v>1</v>
      </c>
      <c r="AE69" s="4">
        <f>MATCH(AC69,BSFC!$O$22:$O$36,1)</f>
        <v>3</v>
      </c>
      <c r="AF69" s="4" cm="1">
        <f t="array" ref="AF69">INDEX(BSFC!$P$22:$AD$36,AD69,AE69)</f>
        <v>584</v>
      </c>
      <c r="AG69" s="5">
        <f>IF(V69&lt;0,((V69=0)*AF69/760),V69*AF69/760)</f>
        <v>0</v>
      </c>
      <c r="AH69" s="28">
        <f t="shared" si="15"/>
        <v>0</v>
      </c>
      <c r="AI69" s="28">
        <f t="shared" si="21"/>
        <v>6.8219679330701694E-2</v>
      </c>
      <c r="AJ69" s="28">
        <f t="shared" si="16"/>
        <v>94.749554625974582</v>
      </c>
      <c r="AK69" s="20"/>
      <c r="AL69" s="20"/>
      <c r="AM69" s="20"/>
      <c r="AN69" s="20"/>
      <c r="AO69" s="20"/>
    </row>
    <row r="70" spans="1:41" x14ac:dyDescent="0.25">
      <c r="A70" s="4">
        <v>53.3078</v>
      </c>
      <c r="B70" s="4">
        <v>-6.5890000000000004E-2</v>
      </c>
      <c r="C70" s="4">
        <v>133</v>
      </c>
      <c r="D70" s="5">
        <f t="shared" si="22"/>
        <v>838.07594936708995</v>
      </c>
      <c r="E70" s="4">
        <f t="shared" si="2"/>
        <v>32</v>
      </c>
      <c r="F70" s="4">
        <v>30.33</v>
      </c>
      <c r="G70" s="5">
        <f t="shared" si="3"/>
        <v>8.4249999999999989</v>
      </c>
      <c r="H70" s="5">
        <f t="shared" si="4"/>
        <v>1.4431891061349744</v>
      </c>
      <c r="I70" s="5">
        <f t="shared" si="17"/>
        <v>69.253933028342047</v>
      </c>
      <c r="J70" s="5">
        <f t="shared" si="18"/>
        <v>-0.89885810300794666</v>
      </c>
      <c r="K70" s="5">
        <f>J70*$K$2</f>
        <v>-464.88941087571004</v>
      </c>
      <c r="L70" s="5">
        <f t="shared" si="5"/>
        <v>35.244009731249989</v>
      </c>
      <c r="M70" s="5">
        <f>($K$2*$G$2*E70)/1000</f>
        <v>162.35942400000002</v>
      </c>
      <c r="N70" s="5">
        <f>(0.5*$K$2*(G70^2))/1000</f>
        <v>18.355589624999997</v>
      </c>
      <c r="O70" s="5">
        <f t="shared" si="23"/>
        <v>-7.6365393910101498E-2</v>
      </c>
      <c r="P70" s="5">
        <f t="shared" si="7"/>
        <v>-7.6217465157670902E-2</v>
      </c>
      <c r="Q70" s="5">
        <f t="shared" si="8"/>
        <v>-4.3669390787199465</v>
      </c>
      <c r="R70" s="5">
        <f>($K$2*$G$2*SIN(Q70))</f>
        <v>4773.9921601452697</v>
      </c>
      <c r="S70" s="4">
        <f xml:space="preserve"> ($P$3*($K$2*$G$2))</f>
        <v>304.42392000000007</v>
      </c>
      <c r="T70" s="5">
        <f t="shared" si="9"/>
        <v>4.6487706790008101</v>
      </c>
      <c r="U70" s="5">
        <f t="shared" si="10"/>
        <v>39.165892970581822</v>
      </c>
      <c r="V70" s="27">
        <f t="shared" si="11"/>
        <v>7.9249999999999989</v>
      </c>
      <c r="W70" s="27">
        <f t="shared" si="12"/>
        <v>0</v>
      </c>
      <c r="X70" s="27">
        <f t="shared" si="19"/>
        <v>-882.63356758554858</v>
      </c>
      <c r="Y70" s="28">
        <f t="shared" si="13"/>
        <v>7.9249999999999989</v>
      </c>
      <c r="Z70" s="28">
        <f t="shared" si="20"/>
        <v>444.63999732704406</v>
      </c>
      <c r="AA70" s="27">
        <f t="shared" si="14"/>
        <v>1.7047517606747962</v>
      </c>
      <c r="AB70" s="4" cm="1">
        <f t="array" ref="AB70">_xlfn.IFS(AA70&lt;=4,1,AA70&lt;=8,2,AA70&gt;8,3)</f>
        <v>1</v>
      </c>
      <c r="AC70" s="29">
        <f>LOOKUP(AA70,$AP$5:$AP$46,$AQ$5:$AQ$46)</f>
        <v>3000</v>
      </c>
      <c r="AD70" s="4">
        <f>IF(V70&lt;0,1,MATCH(V70,BSFC!$P$21:$AD$21,1))</f>
        <v>7</v>
      </c>
      <c r="AE70" s="4">
        <f>MATCH(AC70,BSFC!$O$22:$O$36,1)</f>
        <v>6</v>
      </c>
      <c r="AF70" s="4" cm="1">
        <f t="array" ref="AF70">INDEX(BSFC!$P$22:$AD$36,AD70,AE70)</f>
        <v>453</v>
      </c>
      <c r="AG70" s="5">
        <f>IF(V70&lt;0,((V70=0)*AF70/760),V70*AF70/760)</f>
        <v>4.723717105263157</v>
      </c>
      <c r="AH70" s="28">
        <f t="shared" si="15"/>
        <v>1.3121436403508769E-3</v>
      </c>
      <c r="AI70" s="28">
        <f t="shared" si="21"/>
        <v>6.9531822971052565E-2</v>
      </c>
      <c r="AJ70" s="28">
        <f t="shared" si="16"/>
        <v>96.571976348684132</v>
      </c>
      <c r="AK70" s="20"/>
      <c r="AL70" s="20"/>
      <c r="AM70" s="20"/>
      <c r="AN70" s="20"/>
      <c r="AO70" s="20"/>
    </row>
    <row r="71" spans="1:41" x14ac:dyDescent="0.25">
      <c r="A71" s="4">
        <v>53.307650000000002</v>
      </c>
      <c r="B71" s="4">
        <v>-6.5839999999999996E-2</v>
      </c>
      <c r="C71" s="4">
        <v>132</v>
      </c>
      <c r="D71" s="5">
        <f t="shared" ref="D71:D102" si="24">D70+$A$2</f>
        <v>851.17088607595076</v>
      </c>
      <c r="E71" s="4">
        <f t="shared" ref="E71:E134" si="25">C71-101</f>
        <v>31</v>
      </c>
      <c r="F71" s="4">
        <v>35</v>
      </c>
      <c r="G71" s="5">
        <f t="shared" ref="G71:G134" si="26">F71/3.6</f>
        <v>9.7222222222222214</v>
      </c>
      <c r="H71" s="5">
        <f t="shared" ref="H71:H134" si="27">(2*(D72-D71))/(G72+G71)</f>
        <v>1.2571139240506382</v>
      </c>
      <c r="I71" s="5">
        <f t="shared" si="17"/>
        <v>70.511046952392689</v>
      </c>
      <c r="J71" s="5">
        <f t="shared" si="18"/>
        <v>1.031905062384755</v>
      </c>
      <c r="K71" s="5">
        <f>J71*$K$2</f>
        <v>533.70129826539528</v>
      </c>
      <c r="L71" s="5">
        <f t="shared" ref="L71:L134" si="28">0.5*1.226*(G71^2)*$D$2*$E$2</f>
        <v>46.932812499999997</v>
      </c>
      <c r="M71" s="5">
        <f>($K$2*$G$2*E71)/1000</f>
        <v>157.28569200000004</v>
      </c>
      <c r="N71" s="5">
        <f>(0.5*$K$2*(G71^2))/1000</f>
        <v>24.443287037037038</v>
      </c>
      <c r="O71" s="5">
        <f t="shared" ref="O71:O102" si="29">(E72-E71)/$A$2</f>
        <v>-0.22909618173030449</v>
      </c>
      <c r="P71" s="5">
        <f t="shared" ref="P71:P134" si="30">ATAN(O71)</f>
        <v>-0.22520981023036191</v>
      </c>
      <c r="Q71" s="5">
        <f t="shared" ref="Q71:Q134" si="31">P71*(180/PI())</f>
        <v>-12.903571631141928</v>
      </c>
      <c r="R71" s="5">
        <f>($K$2*$G$2*SIN(Q71))</f>
        <v>-1678.6291874694264</v>
      </c>
      <c r="S71" s="4">
        <f xml:space="preserve"> ($P$3*($K$2*$G$2))</f>
        <v>304.42392000000007</v>
      </c>
      <c r="T71" s="5">
        <f t="shared" ref="T71:T134" si="32">(S71+R71+L71+K71)/1000</f>
        <v>-0.79357115670403122</v>
      </c>
      <c r="U71" s="5">
        <f t="shared" ref="U71:U134" si="33">(T71*G71)</f>
        <v>-7.7152751346225248</v>
      </c>
      <c r="V71" s="27">
        <f t="shared" ref="V71:V134" si="34">IF(U71&gt;13.4,G71-0.5,U71)</f>
        <v>-7.7152751346225248</v>
      </c>
      <c r="W71" s="27">
        <f t="shared" ref="W71:W134" si="35">IF(V71&gt;0,0,V71)</f>
        <v>-7.7152751346225248</v>
      </c>
      <c r="X71" s="27">
        <f t="shared" si="19"/>
        <v>-890.34884272017109</v>
      </c>
      <c r="Y71" s="28">
        <f t="shared" ref="Y71:Y134" si="36">IF(V71&lt;0,0,V71)</f>
        <v>0</v>
      </c>
      <c r="Z71" s="28">
        <f t="shared" si="20"/>
        <v>444.63999732704406</v>
      </c>
      <c r="AA71" s="27">
        <f t="shared" ref="AA71:AA134" si="37">V71/T71</f>
        <v>9.7222222222222214</v>
      </c>
      <c r="AB71" s="4" cm="1">
        <f t="array" ref="AB71">_xlfn.IFS(AA71&lt;=4,1,AA71&lt;=8,2,AA71&gt;8,3)</f>
        <v>3</v>
      </c>
      <c r="AC71" s="29">
        <f>LOOKUP(AA71,$AP$5:$AP$46,$AQ$5:$AQ$46)</f>
        <v>1666</v>
      </c>
      <c r="AD71" s="4">
        <f>IF(V71&lt;0,1,MATCH(V71,BSFC!$P$21:$AD$21,1))</f>
        <v>1</v>
      </c>
      <c r="AE71" s="4">
        <f>MATCH(AC71,BSFC!$O$22:$O$36,1)</f>
        <v>3</v>
      </c>
      <c r="AF71" s="4" cm="1">
        <f t="array" ref="AF71">INDEX(BSFC!$P$22:$AD$36,AD71,AE71)</f>
        <v>584</v>
      </c>
      <c r="AG71" s="5">
        <f>IF(V71&lt;0,((V71=0)*AF71/760),V71*AF71/760)</f>
        <v>0</v>
      </c>
      <c r="AH71" s="28">
        <f t="shared" ref="AH71:AH134" si="38">AG71/3600</f>
        <v>0</v>
      </c>
      <c r="AI71" s="28">
        <f t="shared" si="21"/>
        <v>6.9531822971052565E-2</v>
      </c>
      <c r="AJ71" s="28">
        <f t="shared" ref="AJ71:AJ134" si="39">(AI71/0.72)*1000</f>
        <v>96.571976348684132</v>
      </c>
      <c r="AK71" s="20"/>
      <c r="AL71" s="20"/>
      <c r="AM71" s="20"/>
      <c r="AN71" s="20"/>
      <c r="AO71" s="20"/>
    </row>
    <row r="72" spans="1:41" x14ac:dyDescent="0.25">
      <c r="A72" s="4">
        <v>53.307499999999997</v>
      </c>
      <c r="B72" s="4">
        <v>-6.5680000000000002E-2</v>
      </c>
      <c r="C72" s="4">
        <v>129</v>
      </c>
      <c r="D72" s="5">
        <f t="shared" si="24"/>
        <v>864.26582278481158</v>
      </c>
      <c r="E72" s="4">
        <f t="shared" si="25"/>
        <v>28</v>
      </c>
      <c r="F72" s="4">
        <v>40</v>
      </c>
      <c r="G72" s="5">
        <f t="shared" si="26"/>
        <v>11.111111111111111</v>
      </c>
      <c r="H72" s="5">
        <f t="shared" si="27"/>
        <v>1.1092181682799749</v>
      </c>
      <c r="I72" s="5">
        <f t="shared" ref="I72:I135" si="40">I71+H72</f>
        <v>71.62026512067267</v>
      </c>
      <c r="J72" s="5">
        <f t="shared" ref="J72:J135" si="41">(G72-G71)/(I72-I71)</f>
        <v>1.2521331948994154</v>
      </c>
      <c r="K72" s="5">
        <f>J72*$K$2</f>
        <v>647.60328840197769</v>
      </c>
      <c r="L72" s="5">
        <f t="shared" si="28"/>
        <v>61.3</v>
      </c>
      <c r="M72" s="5">
        <f>($K$2*$G$2*E72)/1000</f>
        <v>142.06449600000002</v>
      </c>
      <c r="N72" s="5">
        <f>(0.5*$K$2*(G72^2))/1000</f>
        <v>31.925925925925927</v>
      </c>
      <c r="O72" s="5">
        <f t="shared" si="29"/>
        <v>-7.6365393910101498E-2</v>
      </c>
      <c r="P72" s="5">
        <f t="shared" si="30"/>
        <v>-7.6217465157670902E-2</v>
      </c>
      <c r="Q72" s="5">
        <f t="shared" si="31"/>
        <v>-4.3669390787199465</v>
      </c>
      <c r="R72" s="5">
        <f>($K$2*$G$2*SIN(Q72))</f>
        <v>4773.9921601452697</v>
      </c>
      <c r="S72" s="4">
        <f xml:space="preserve"> ($P$3*($K$2*$G$2))</f>
        <v>304.42392000000007</v>
      </c>
      <c r="T72" s="5">
        <f t="shared" si="32"/>
        <v>5.7873193685472479</v>
      </c>
      <c r="U72" s="5">
        <f t="shared" si="33"/>
        <v>64.303548539413868</v>
      </c>
      <c r="V72" s="27">
        <f t="shared" si="34"/>
        <v>10.611111111111111</v>
      </c>
      <c r="W72" s="27">
        <f t="shared" si="35"/>
        <v>0</v>
      </c>
      <c r="X72" s="27">
        <f t="shared" ref="X72:X135" si="42">X71+W72</f>
        <v>-890.34884272017109</v>
      </c>
      <c r="Y72" s="28">
        <f t="shared" si="36"/>
        <v>10.611111111111111</v>
      </c>
      <c r="Z72" s="28">
        <f t="shared" ref="Z72:Z135" si="43">Z71+Y72</f>
        <v>455.25110843815514</v>
      </c>
      <c r="AA72" s="27">
        <f t="shared" si="37"/>
        <v>1.8335105487317778</v>
      </c>
      <c r="AB72" s="4" cm="1">
        <f t="array" ref="AB72">_xlfn.IFS(AA72&lt;=4,1,AA72&lt;=8,2,AA72&gt;8,3)</f>
        <v>1</v>
      </c>
      <c r="AC72" s="29">
        <f>LOOKUP(AA72,$AP$5:$AP$46,$AQ$5:$AQ$46)</f>
        <v>3000</v>
      </c>
      <c r="AD72" s="4">
        <f>IF(V72&lt;0,1,MATCH(V72,BSFC!$P$21:$AD$21,1))</f>
        <v>9</v>
      </c>
      <c r="AE72" s="4">
        <f>MATCH(AC72,BSFC!$O$22:$O$36,1)</f>
        <v>6</v>
      </c>
      <c r="AF72" s="4" cm="1">
        <f t="array" ref="AF72">INDEX(BSFC!$P$22:$AD$36,AD72,AE72)</f>
        <v>434</v>
      </c>
      <c r="AG72" s="5">
        <f>IF(V72&lt;0,((V72=0)*AF72/760),V72*AF72/760)</f>
        <v>6.0595029239766074</v>
      </c>
      <c r="AH72" s="28">
        <f t="shared" si="38"/>
        <v>1.6831952566601688E-3</v>
      </c>
      <c r="AI72" s="28">
        <f t="shared" si="21"/>
        <v>7.1215018227712729E-2</v>
      </c>
      <c r="AJ72" s="28">
        <f t="shared" si="39"/>
        <v>98.909747538489896</v>
      </c>
      <c r="AK72" s="20"/>
      <c r="AL72" s="20"/>
      <c r="AM72" s="20"/>
      <c r="AN72" s="20"/>
      <c r="AO72" s="20"/>
    </row>
    <row r="73" spans="1:41" x14ac:dyDescent="0.25">
      <c r="A73" s="4">
        <v>53.307369999999999</v>
      </c>
      <c r="B73" s="4">
        <v>-6.5519999999999995E-2</v>
      </c>
      <c r="C73" s="4">
        <v>128</v>
      </c>
      <c r="D73" s="5">
        <f t="shared" si="24"/>
        <v>877.36075949367239</v>
      </c>
      <c r="E73" s="4">
        <f t="shared" si="25"/>
        <v>27</v>
      </c>
      <c r="F73" s="4">
        <v>45</v>
      </c>
      <c r="G73" s="5">
        <f t="shared" si="26"/>
        <v>12.5</v>
      </c>
      <c r="H73" s="5">
        <f t="shared" si="27"/>
        <v>1.0057125944425254</v>
      </c>
      <c r="I73" s="5">
        <f t="shared" si="40"/>
        <v>72.625977715115198</v>
      </c>
      <c r="J73" s="5">
        <f t="shared" si="41"/>
        <v>1.3809997971227137</v>
      </c>
      <c r="K73" s="5">
        <f>J73*$K$2</f>
        <v>714.25309507186762</v>
      </c>
      <c r="L73" s="5">
        <f t="shared" si="28"/>
        <v>77.582812500000003</v>
      </c>
      <c r="M73" s="5">
        <f>($K$2*$G$2*E73)/1000</f>
        <v>136.99076400000001</v>
      </c>
      <c r="N73" s="5">
        <f>(0.5*$K$2*(G73^2))/1000</f>
        <v>40.40625</v>
      </c>
      <c r="O73" s="5">
        <f t="shared" si="29"/>
        <v>-0.152730787820203</v>
      </c>
      <c r="P73" s="5">
        <f t="shared" si="30"/>
        <v>-0.15155956893708497</v>
      </c>
      <c r="Q73" s="5">
        <f t="shared" si="31"/>
        <v>-8.6837236449170216</v>
      </c>
      <c r="R73" s="5">
        <f>($K$2*$G$2*SIN(Q73))</f>
        <v>-3425.1045539960332</v>
      </c>
      <c r="S73" s="4">
        <f xml:space="preserve"> ($P$3*($K$2*$G$2))</f>
        <v>304.42392000000007</v>
      </c>
      <c r="T73" s="5">
        <f t="shared" si="32"/>
        <v>-2.3288447264241658</v>
      </c>
      <c r="U73" s="5">
        <f t="shared" si="33"/>
        <v>-29.110559080302075</v>
      </c>
      <c r="V73" s="27">
        <f t="shared" si="34"/>
        <v>-29.110559080302075</v>
      </c>
      <c r="W73" s="27">
        <f t="shared" si="35"/>
        <v>-29.110559080302075</v>
      </c>
      <c r="X73" s="27">
        <f t="shared" si="42"/>
        <v>-919.45940180047319</v>
      </c>
      <c r="Y73" s="28">
        <f t="shared" si="36"/>
        <v>0</v>
      </c>
      <c r="Z73" s="28">
        <f t="shared" si="43"/>
        <v>455.25110843815514</v>
      </c>
      <c r="AA73" s="27">
        <f t="shared" si="37"/>
        <v>12.5</v>
      </c>
      <c r="AB73" s="4" cm="1">
        <f t="array" ref="AB73">_xlfn.IFS(AA73&lt;=4,1,AA73&lt;=8,2,AA73&gt;8,3)</f>
        <v>3</v>
      </c>
      <c r="AC73" s="29">
        <f>LOOKUP(AA73,$AP$5:$AP$46,$AQ$5:$AQ$46)</f>
        <v>4332.8</v>
      </c>
      <c r="AD73" s="4">
        <f>IF(V73&lt;0,1,MATCH(V73,BSFC!$P$21:$AD$21,1))</f>
        <v>1</v>
      </c>
      <c r="AE73" s="4">
        <f>MATCH(AC73,BSFC!$O$22:$O$36,1)</f>
        <v>8</v>
      </c>
      <c r="AF73" s="4" cm="1">
        <f t="array" ref="AF73">INDEX(BSFC!$P$22:$AD$36,AD73,AE73)</f>
        <v>530</v>
      </c>
      <c r="AG73" s="5">
        <f>IF(V73&lt;0,((V73=0)*AF73/760),V73*AF73/760)</f>
        <v>0</v>
      </c>
      <c r="AH73" s="28">
        <f t="shared" si="38"/>
        <v>0</v>
      </c>
      <c r="AI73" s="28">
        <f t="shared" ref="AI73:AI136" si="44">AI72+AH73</f>
        <v>7.1215018227712729E-2</v>
      </c>
      <c r="AJ73" s="28">
        <f t="shared" si="39"/>
        <v>98.909747538489896</v>
      </c>
      <c r="AK73" s="20"/>
      <c r="AL73" s="20"/>
      <c r="AM73" s="20"/>
      <c r="AN73" s="20"/>
      <c r="AO73" s="20"/>
    </row>
    <row r="74" spans="1:41" x14ac:dyDescent="0.25">
      <c r="A74" s="4">
        <v>53.307200000000002</v>
      </c>
      <c r="B74" s="4">
        <v>-6.5360000000000001E-2</v>
      </c>
      <c r="C74" s="4">
        <v>126</v>
      </c>
      <c r="D74" s="5">
        <f t="shared" si="24"/>
        <v>890.4556962025332</v>
      </c>
      <c r="E74" s="4">
        <f t="shared" si="25"/>
        <v>25</v>
      </c>
      <c r="F74" s="4">
        <v>48.747999999999998</v>
      </c>
      <c r="G74" s="5">
        <f t="shared" si="26"/>
        <v>13.54111111111111</v>
      </c>
      <c r="H74" s="5">
        <f t="shared" si="27"/>
        <v>0.97958964657756897</v>
      </c>
      <c r="I74" s="5">
        <f t="shared" si="40"/>
        <v>73.605567361692763</v>
      </c>
      <c r="J74" s="5">
        <f t="shared" si="41"/>
        <v>1.0628033021260332</v>
      </c>
      <c r="K74" s="5">
        <f>J74*$K$2</f>
        <v>549.68186785958449</v>
      </c>
      <c r="L74" s="5">
        <f t="shared" si="28"/>
        <v>91.044579996999985</v>
      </c>
      <c r="M74" s="5">
        <f>($K$2*$G$2*E74)/1000</f>
        <v>126.84330000000001</v>
      </c>
      <c r="N74" s="5">
        <f>(0.5*$K$2*(G74^2))/1000</f>
        <v>47.417333065925931</v>
      </c>
      <c r="O74" s="5">
        <f t="shared" si="29"/>
        <v>-0.152730787820203</v>
      </c>
      <c r="P74" s="5">
        <f t="shared" si="30"/>
        <v>-0.15155956893708497</v>
      </c>
      <c r="Q74" s="5">
        <f t="shared" si="31"/>
        <v>-8.6837236449170216</v>
      </c>
      <c r="R74" s="5">
        <f>($K$2*$G$2*SIN(Q74))</f>
        <v>-3425.1045539960332</v>
      </c>
      <c r="S74" s="4">
        <f xml:space="preserve"> ($P$3*($K$2*$G$2))</f>
        <v>304.42392000000007</v>
      </c>
      <c r="T74" s="5">
        <f t="shared" si="32"/>
        <v>-2.4799541861394485</v>
      </c>
      <c r="U74" s="5">
        <f t="shared" si="33"/>
        <v>-33.581335184979395</v>
      </c>
      <c r="V74" s="27">
        <f t="shared" si="34"/>
        <v>-33.581335184979395</v>
      </c>
      <c r="W74" s="27">
        <f t="shared" si="35"/>
        <v>-33.581335184979395</v>
      </c>
      <c r="X74" s="27">
        <f t="shared" si="42"/>
        <v>-953.04073698545255</v>
      </c>
      <c r="Y74" s="28">
        <f t="shared" si="36"/>
        <v>0</v>
      </c>
      <c r="Z74" s="28">
        <f t="shared" si="43"/>
        <v>455.25110843815514</v>
      </c>
      <c r="AA74" s="27">
        <f t="shared" si="37"/>
        <v>13.541111111111109</v>
      </c>
      <c r="AB74" s="4" cm="1">
        <f t="array" ref="AB74">_xlfn.IFS(AA74&lt;=4,1,AA74&lt;=8,2,AA74&gt;8,3)</f>
        <v>3</v>
      </c>
      <c r="AC74" s="29">
        <f>LOOKUP(AA74,$AP$5:$AP$46,$AQ$5:$AQ$46)</f>
        <v>5332.7</v>
      </c>
      <c r="AD74" s="4">
        <f>IF(V74&lt;0,1,MATCH(V74,BSFC!$P$21:$AD$21,1))</f>
        <v>1</v>
      </c>
      <c r="AE74" s="4">
        <f>MATCH(AC74,BSFC!$O$22:$O$36,1)</f>
        <v>10</v>
      </c>
      <c r="AF74" s="4" cm="1">
        <f t="array" ref="AF74">INDEX(BSFC!$P$22:$AD$36,AD74,AE74)</f>
        <v>500</v>
      </c>
      <c r="AG74" s="5">
        <f>IF(V74&lt;0,((V74=0)*AF74/760),V74*AF74/760)</f>
        <v>0</v>
      </c>
      <c r="AH74" s="28">
        <f t="shared" si="38"/>
        <v>0</v>
      </c>
      <c r="AI74" s="28">
        <f t="shared" si="44"/>
        <v>7.1215018227712729E-2</v>
      </c>
      <c r="AJ74" s="28">
        <f t="shared" si="39"/>
        <v>98.909747538489896</v>
      </c>
      <c r="AK74" s="20"/>
      <c r="AL74" s="20"/>
      <c r="AM74" s="20"/>
      <c r="AN74" s="20"/>
      <c r="AO74" s="20"/>
    </row>
    <row r="75" spans="1:41" x14ac:dyDescent="0.25">
      <c r="A75" s="4">
        <v>53.307070000000003</v>
      </c>
      <c r="B75" s="4">
        <v>-6.5170000000000006E-2</v>
      </c>
      <c r="C75" s="4">
        <v>124</v>
      </c>
      <c r="D75" s="5">
        <f t="shared" si="24"/>
        <v>903.55063291139402</v>
      </c>
      <c r="E75" s="4">
        <f t="shared" si="25"/>
        <v>23</v>
      </c>
      <c r="F75" s="4">
        <v>47.5</v>
      </c>
      <c r="G75" s="5">
        <f t="shared" si="26"/>
        <v>13.194444444444445</v>
      </c>
      <c r="H75" s="5">
        <f t="shared" si="27"/>
        <v>1.0192815600410581</v>
      </c>
      <c r="I75" s="5">
        <f t="shared" si="40"/>
        <v>74.624848921733815</v>
      </c>
      <c r="J75" s="5">
        <f t="shared" si="41"/>
        <v>-0.34010883769221129</v>
      </c>
      <c r="K75" s="5">
        <f>J75*$K$2</f>
        <v>-175.9042908544117</v>
      </c>
      <c r="L75" s="5">
        <f t="shared" si="28"/>
        <v>86.442578124999997</v>
      </c>
      <c r="M75" s="5">
        <f>($K$2*$G$2*E75)/1000</f>
        <v>116.69583600000003</v>
      </c>
      <c r="N75" s="5">
        <f>(0.5*$K$2*(G75^2))/1000</f>
        <v>45.020543981481481</v>
      </c>
      <c r="O75" s="5">
        <f t="shared" si="29"/>
        <v>-0.152730787820203</v>
      </c>
      <c r="P75" s="5">
        <f t="shared" si="30"/>
        <v>-0.15155956893708497</v>
      </c>
      <c r="Q75" s="5">
        <f t="shared" si="31"/>
        <v>-8.6837236449170216</v>
      </c>
      <c r="R75" s="5">
        <f>($K$2*$G$2*SIN(Q75))</f>
        <v>-3425.1045539960332</v>
      </c>
      <c r="S75" s="4">
        <f xml:space="preserve"> ($P$3*($K$2*$G$2))</f>
        <v>304.42392000000007</v>
      </c>
      <c r="T75" s="5">
        <f t="shared" si="32"/>
        <v>-3.2101423467254446</v>
      </c>
      <c r="U75" s="5">
        <f t="shared" si="33"/>
        <v>-42.356044852627392</v>
      </c>
      <c r="V75" s="27">
        <f t="shared" si="34"/>
        <v>-42.356044852627392</v>
      </c>
      <c r="W75" s="27">
        <f t="shared" si="35"/>
        <v>-42.356044852627392</v>
      </c>
      <c r="X75" s="27">
        <f t="shared" si="42"/>
        <v>-995.39678183807996</v>
      </c>
      <c r="Y75" s="28">
        <f t="shared" si="36"/>
        <v>0</v>
      </c>
      <c r="Z75" s="28">
        <f t="shared" si="43"/>
        <v>455.25110843815514</v>
      </c>
      <c r="AA75" s="27">
        <f t="shared" si="37"/>
        <v>13.194444444444443</v>
      </c>
      <c r="AB75" s="4" cm="1">
        <f t="array" ref="AB75">_xlfn.IFS(AA75&lt;=4,1,AA75&lt;=8,2,AA75&gt;8,3)</f>
        <v>3</v>
      </c>
      <c r="AC75" s="29">
        <f>LOOKUP(AA75,$AP$5:$AP$46,$AQ$5:$AQ$46)</f>
        <v>4999.3999999999996</v>
      </c>
      <c r="AD75" s="4">
        <f>IF(V75&lt;0,1,MATCH(V75,BSFC!$P$21:$AD$21,1))</f>
        <v>1</v>
      </c>
      <c r="AE75" s="4">
        <f>MATCH(AC75,BSFC!$O$22:$O$36,1)</f>
        <v>9</v>
      </c>
      <c r="AF75" s="4" cm="1">
        <f t="array" ref="AF75">INDEX(BSFC!$P$22:$AD$36,AD75,AE75)</f>
        <v>517</v>
      </c>
      <c r="AG75" s="5">
        <f>IF(V75&lt;0,((V75=0)*AF75/760),V75*AF75/760)</f>
        <v>0</v>
      </c>
      <c r="AH75" s="28">
        <f t="shared" si="38"/>
        <v>0</v>
      </c>
      <c r="AI75" s="28">
        <f t="shared" si="44"/>
        <v>7.1215018227712729E-2</v>
      </c>
      <c r="AJ75" s="28">
        <f t="shared" si="39"/>
        <v>98.909747538489896</v>
      </c>
      <c r="AK75" s="20"/>
      <c r="AL75" s="20"/>
      <c r="AM75" s="20"/>
      <c r="AN75" s="20"/>
      <c r="AO75" s="20"/>
    </row>
    <row r="76" spans="1:41" x14ac:dyDescent="0.25">
      <c r="A76" s="4">
        <v>53.306899999999999</v>
      </c>
      <c r="B76" s="4">
        <v>-6.497E-2</v>
      </c>
      <c r="C76" s="4">
        <v>122</v>
      </c>
      <c r="D76" s="5">
        <f t="shared" si="24"/>
        <v>916.64556962025483</v>
      </c>
      <c r="E76" s="4">
        <f t="shared" si="25"/>
        <v>21</v>
      </c>
      <c r="F76" s="4">
        <v>45</v>
      </c>
      <c r="G76" s="5">
        <f t="shared" si="26"/>
        <v>12.5</v>
      </c>
      <c r="H76" s="5">
        <f t="shared" si="27"/>
        <v>1.0714039125431576</v>
      </c>
      <c r="I76" s="5">
        <f t="shared" si="40"/>
        <v>75.696252834276976</v>
      </c>
      <c r="J76" s="5">
        <f t="shared" si="41"/>
        <v>-0.64816306559499259</v>
      </c>
      <c r="K76" s="5">
        <f>J76*$K$2</f>
        <v>-335.22993752573018</v>
      </c>
      <c r="L76" s="5">
        <f t="shared" si="28"/>
        <v>77.582812500000003</v>
      </c>
      <c r="M76" s="5">
        <f>($K$2*$G$2*E76)/1000</f>
        <v>106.54837200000001</v>
      </c>
      <c r="N76" s="5">
        <f>(0.5*$K$2*(G76^2))/1000</f>
        <v>40.40625</v>
      </c>
      <c r="O76" s="5">
        <f t="shared" si="29"/>
        <v>-7.6365393910101498E-2</v>
      </c>
      <c r="P76" s="5">
        <f t="shared" si="30"/>
        <v>-7.6217465157670902E-2</v>
      </c>
      <c r="Q76" s="5">
        <f t="shared" si="31"/>
        <v>-4.3669390787199465</v>
      </c>
      <c r="R76" s="5">
        <f>($K$2*$G$2*SIN(Q76))</f>
        <v>4773.9921601452697</v>
      </c>
      <c r="S76" s="4">
        <f xml:space="preserve"> ($P$3*($K$2*$G$2))</f>
        <v>304.42392000000007</v>
      </c>
      <c r="T76" s="5">
        <f t="shared" si="32"/>
        <v>4.8207689551195401</v>
      </c>
      <c r="U76" s="5">
        <f t="shared" si="33"/>
        <v>60.259611938994254</v>
      </c>
      <c r="V76" s="27">
        <f t="shared" si="34"/>
        <v>12</v>
      </c>
      <c r="W76" s="27">
        <f t="shared" si="35"/>
        <v>0</v>
      </c>
      <c r="X76" s="27">
        <f t="shared" si="42"/>
        <v>-995.39678183807996</v>
      </c>
      <c r="Y76" s="28">
        <f t="shared" si="36"/>
        <v>12</v>
      </c>
      <c r="Z76" s="28">
        <f t="shared" si="43"/>
        <v>467.25110843815514</v>
      </c>
      <c r="AA76" s="27">
        <f t="shared" si="37"/>
        <v>2.4892294386471874</v>
      </c>
      <c r="AB76" s="4" cm="1">
        <f t="array" ref="AB76">_xlfn.IFS(AA76&lt;=4,1,AA76&lt;=8,2,AA76&gt;8,3)</f>
        <v>1</v>
      </c>
      <c r="AC76" s="29">
        <f>LOOKUP(AA76,$AP$5:$AP$46,$AQ$5:$AQ$46)</f>
        <v>4000</v>
      </c>
      <c r="AD76" s="4">
        <f>IF(V76&lt;0,1,MATCH(V76,BSFC!$P$21:$AD$21,1))</f>
        <v>10</v>
      </c>
      <c r="AE76" s="4">
        <f>MATCH(AC76,BSFC!$O$22:$O$36,1)</f>
        <v>8</v>
      </c>
      <c r="AF76" s="4" cm="1">
        <f t="array" ref="AF76">INDEX(BSFC!$P$22:$AD$36,AD76,AE76)</f>
        <v>419</v>
      </c>
      <c r="AG76" s="5">
        <f>IF(V76&lt;0,((V76=0)*AF76/760),V76*AF76/760)</f>
        <v>6.6157894736842104</v>
      </c>
      <c r="AH76" s="28">
        <f t="shared" si="38"/>
        <v>1.837719298245614E-3</v>
      </c>
      <c r="AI76" s="28">
        <f t="shared" si="44"/>
        <v>7.3052737525958339E-2</v>
      </c>
      <c r="AJ76" s="28">
        <f t="shared" si="39"/>
        <v>101.46213545271991</v>
      </c>
      <c r="AK76" s="20"/>
      <c r="AL76" s="20"/>
      <c r="AM76" s="20"/>
      <c r="AN76" s="20"/>
      <c r="AO76" s="20"/>
    </row>
    <row r="77" spans="1:41" x14ac:dyDescent="0.25">
      <c r="A77" s="4">
        <v>53.306739999999998</v>
      </c>
      <c r="B77" s="4">
        <v>-6.4769999999999994E-2</v>
      </c>
      <c r="C77" s="4">
        <v>121</v>
      </c>
      <c r="D77" s="5">
        <f t="shared" si="24"/>
        <v>929.74050632911565</v>
      </c>
      <c r="E77" s="4">
        <f t="shared" si="25"/>
        <v>20</v>
      </c>
      <c r="F77" s="4">
        <v>43</v>
      </c>
      <c r="G77" s="5">
        <f t="shared" si="26"/>
        <v>11.944444444444445</v>
      </c>
      <c r="H77" s="5">
        <f t="shared" si="27"/>
        <v>1.0534474223888028</v>
      </c>
      <c r="I77" s="5">
        <f t="shared" si="40"/>
        <v>76.749700256665776</v>
      </c>
      <c r="J77" s="5">
        <f t="shared" si="41"/>
        <v>-0.52736903973411065</v>
      </c>
      <c r="K77" s="5">
        <f>J77*$K$2</f>
        <v>-272.75526735048203</v>
      </c>
      <c r="L77" s="5">
        <f t="shared" si="28"/>
        <v>70.839812500000008</v>
      </c>
      <c r="M77" s="5">
        <f>($K$2*$G$2*E77)/1000</f>
        <v>101.47464000000001</v>
      </c>
      <c r="N77" s="5">
        <f>(0.5*$K$2*(G77^2))/1000</f>
        <v>36.894398148148149</v>
      </c>
      <c r="O77" s="5">
        <f t="shared" si="29"/>
        <v>-7.6365393910101498E-2</v>
      </c>
      <c r="P77" s="5">
        <f t="shared" si="30"/>
        <v>-7.6217465157670902E-2</v>
      </c>
      <c r="Q77" s="5">
        <f t="shared" si="31"/>
        <v>-4.3669390787199465</v>
      </c>
      <c r="R77" s="5">
        <f>($K$2*$G$2*SIN(Q77))</f>
        <v>4773.9921601452697</v>
      </c>
      <c r="S77" s="4">
        <f xml:space="preserve"> ($P$3*($K$2*$G$2))</f>
        <v>304.42392000000007</v>
      </c>
      <c r="T77" s="5">
        <f t="shared" si="32"/>
        <v>4.8765006252947876</v>
      </c>
      <c r="U77" s="5">
        <f t="shared" si="33"/>
        <v>58.247090802132185</v>
      </c>
      <c r="V77" s="27">
        <f t="shared" si="34"/>
        <v>11.444444444444445</v>
      </c>
      <c r="W77" s="27">
        <f t="shared" si="35"/>
        <v>0</v>
      </c>
      <c r="X77" s="27">
        <f t="shared" si="42"/>
        <v>-995.39678183807996</v>
      </c>
      <c r="Y77" s="28">
        <f t="shared" si="36"/>
        <v>11.444444444444445</v>
      </c>
      <c r="Z77" s="28">
        <f t="shared" si="43"/>
        <v>478.6955528825996</v>
      </c>
      <c r="AA77" s="27">
        <f t="shared" si="37"/>
        <v>2.3468559370383799</v>
      </c>
      <c r="AB77" s="4" cm="1">
        <f t="array" ref="AB77">_xlfn.IFS(AA77&lt;=4,1,AA77&lt;=8,2,AA77&gt;8,3)</f>
        <v>1</v>
      </c>
      <c r="AC77" s="29">
        <f>LOOKUP(AA77,$AP$5:$AP$46,$AQ$5:$AQ$46)</f>
        <v>4000</v>
      </c>
      <c r="AD77" s="4">
        <f>IF(V77&lt;0,1,MATCH(V77,BSFC!$P$21:$AD$21,1))</f>
        <v>10</v>
      </c>
      <c r="AE77" s="4">
        <f>MATCH(AC77,BSFC!$O$22:$O$36,1)</f>
        <v>8</v>
      </c>
      <c r="AF77" s="4" cm="1">
        <f t="array" ref="AF77">INDEX(BSFC!$P$22:$AD$36,AD77,AE77)</f>
        <v>419</v>
      </c>
      <c r="AG77" s="5">
        <f>IF(V77&lt;0,((V77=0)*AF77/760),V77*AF77/760)</f>
        <v>6.3095029239766083</v>
      </c>
      <c r="AH77" s="28">
        <f t="shared" si="38"/>
        <v>1.7526397011046134E-3</v>
      </c>
      <c r="AI77" s="28">
        <f t="shared" si="44"/>
        <v>7.4805377227062958E-2</v>
      </c>
      <c r="AJ77" s="28">
        <f t="shared" si="39"/>
        <v>103.89635725980966</v>
      </c>
      <c r="AK77" s="20"/>
      <c r="AL77" s="20"/>
      <c r="AM77" s="20"/>
      <c r="AN77" s="20"/>
      <c r="AO77" s="20"/>
    </row>
    <row r="78" spans="1:41" x14ac:dyDescent="0.25">
      <c r="A78" s="4">
        <v>53.306629999999998</v>
      </c>
      <c r="B78" s="4">
        <v>-6.4619999999999997E-2</v>
      </c>
      <c r="C78" s="4">
        <v>120</v>
      </c>
      <c r="D78" s="5">
        <f t="shared" si="24"/>
        <v>942.83544303797646</v>
      </c>
      <c r="E78" s="4">
        <f t="shared" si="25"/>
        <v>19</v>
      </c>
      <c r="F78" s="4">
        <v>46.5</v>
      </c>
      <c r="G78" s="5">
        <f t="shared" si="26"/>
        <v>12.916666666666666</v>
      </c>
      <c r="H78" s="5">
        <f t="shared" si="27"/>
        <v>0.98987426826597791</v>
      </c>
      <c r="I78" s="5">
        <f t="shared" si="40"/>
        <v>77.739574524931754</v>
      </c>
      <c r="J78" s="5">
        <f t="shared" si="41"/>
        <v>0.98216738568759909</v>
      </c>
      <c r="K78" s="5">
        <f>J78*$K$2</f>
        <v>507.97697187762628</v>
      </c>
      <c r="L78" s="5">
        <f t="shared" si="28"/>
        <v>82.841203124999993</v>
      </c>
      <c r="M78" s="5">
        <f>($K$2*$G$2*E78)/1000</f>
        <v>96.400908000000015</v>
      </c>
      <c r="N78" s="5">
        <f>(0.5*$K$2*(G78^2))/1000</f>
        <v>43.144895833333337</v>
      </c>
      <c r="O78" s="5">
        <f t="shared" si="29"/>
        <v>0</v>
      </c>
      <c r="P78" s="5">
        <f t="shared" si="30"/>
        <v>0</v>
      </c>
      <c r="Q78" s="5">
        <f t="shared" si="31"/>
        <v>0</v>
      </c>
      <c r="R78" s="5">
        <f>($K$2*$G$2*SIN(Q78))</f>
        <v>0</v>
      </c>
      <c r="S78" s="4">
        <f xml:space="preserve"> ($P$3*($K$2*$G$2))</f>
        <v>304.42392000000007</v>
      </c>
      <c r="T78" s="5">
        <f t="shared" si="32"/>
        <v>0.8952420950026263</v>
      </c>
      <c r="U78" s="5">
        <f t="shared" si="33"/>
        <v>11.563543727117256</v>
      </c>
      <c r="V78" s="27">
        <f t="shared" si="34"/>
        <v>11.563543727117256</v>
      </c>
      <c r="W78" s="27">
        <f t="shared" si="35"/>
        <v>0</v>
      </c>
      <c r="X78" s="27">
        <f t="shared" si="42"/>
        <v>-995.39678183807996</v>
      </c>
      <c r="Y78" s="28">
        <f t="shared" si="36"/>
        <v>11.563543727117256</v>
      </c>
      <c r="Z78" s="28">
        <f t="shared" si="43"/>
        <v>490.25909660971683</v>
      </c>
      <c r="AA78" s="27">
        <f t="shared" si="37"/>
        <v>12.916666666666666</v>
      </c>
      <c r="AB78" s="4" cm="1">
        <f t="array" ref="AB78">_xlfn.IFS(AA78&lt;=4,1,AA78&lt;=8,2,AA78&gt;8,3)</f>
        <v>3</v>
      </c>
      <c r="AC78" s="29">
        <f>LOOKUP(AA78,$AP$5:$AP$46,$AQ$5:$AQ$46)</f>
        <v>4666.1000000000004</v>
      </c>
      <c r="AD78" s="4">
        <f>IF(V78&lt;0,1,MATCH(V78,BSFC!$P$21:$AD$21,1))</f>
        <v>10</v>
      </c>
      <c r="AE78" s="4">
        <f>MATCH(AC78,BSFC!$O$22:$O$36,1)</f>
        <v>9</v>
      </c>
      <c r="AF78" s="4" cm="1">
        <f t="array" ref="AF78">INDEX(BSFC!$P$22:$AD$36,AD78,AE78)</f>
        <v>415</v>
      </c>
      <c r="AG78" s="5">
        <f>IF(V78&lt;0,((V78=0)*AF78/760),V78*AF78/760)</f>
        <v>6.3143034825706073</v>
      </c>
      <c r="AH78" s="28">
        <f t="shared" si="38"/>
        <v>1.7539731896029464E-3</v>
      </c>
      <c r="AI78" s="28">
        <f t="shared" si="44"/>
        <v>7.6559350416665908E-2</v>
      </c>
      <c r="AJ78" s="28">
        <f t="shared" si="39"/>
        <v>106.3324311342582</v>
      </c>
      <c r="AK78" s="20"/>
      <c r="AL78" s="20"/>
      <c r="AM78" s="20"/>
      <c r="AN78" s="20"/>
      <c r="AO78" s="20"/>
    </row>
    <row r="79" spans="1:41" x14ac:dyDescent="0.25">
      <c r="A79" s="4">
        <v>53.306489999999997</v>
      </c>
      <c r="B79" s="4">
        <v>-6.4460000000000003E-2</v>
      </c>
      <c r="C79" s="4">
        <v>120</v>
      </c>
      <c r="D79" s="5">
        <f t="shared" si="24"/>
        <v>955.93037974683727</v>
      </c>
      <c r="E79" s="4">
        <f t="shared" si="25"/>
        <v>19</v>
      </c>
      <c r="F79" s="4">
        <v>48.747999999999998</v>
      </c>
      <c r="G79" s="5">
        <f t="shared" si="26"/>
        <v>13.54111111111111</v>
      </c>
      <c r="H79" s="5">
        <f t="shared" si="27"/>
        <v>0.96705038467011839</v>
      </c>
      <c r="I79" s="5">
        <f t="shared" si="40"/>
        <v>78.706624909601871</v>
      </c>
      <c r="J79" s="5">
        <f t="shared" si="41"/>
        <v>0.64572069288556966</v>
      </c>
      <c r="K79" s="5">
        <f>J79*$K$2</f>
        <v>333.96674236041667</v>
      </c>
      <c r="L79" s="5">
        <f t="shared" si="28"/>
        <v>91.044579996999985</v>
      </c>
      <c r="M79" s="5">
        <f>($K$2*$G$2*E79)/1000</f>
        <v>96.400908000000015</v>
      </c>
      <c r="N79" s="5">
        <f>(0.5*$K$2*(G79^2))/1000</f>
        <v>47.417333065925931</v>
      </c>
      <c r="O79" s="5">
        <f t="shared" si="29"/>
        <v>0</v>
      </c>
      <c r="P79" s="5">
        <f t="shared" si="30"/>
        <v>0</v>
      </c>
      <c r="Q79" s="5">
        <f t="shared" si="31"/>
        <v>0</v>
      </c>
      <c r="R79" s="5">
        <f>($K$2*$G$2*SIN(Q79))</f>
        <v>0</v>
      </c>
      <c r="S79" s="4">
        <f xml:space="preserve"> ($P$3*($K$2*$G$2))</f>
        <v>304.42392000000007</v>
      </c>
      <c r="T79" s="5">
        <f t="shared" si="32"/>
        <v>0.72943524235741664</v>
      </c>
      <c r="U79" s="5">
        <f t="shared" si="33"/>
        <v>9.87736366512204</v>
      </c>
      <c r="V79" s="27">
        <f t="shared" si="34"/>
        <v>9.87736366512204</v>
      </c>
      <c r="W79" s="27">
        <f t="shared" si="35"/>
        <v>0</v>
      </c>
      <c r="X79" s="27">
        <f t="shared" si="42"/>
        <v>-995.39678183807996</v>
      </c>
      <c r="Y79" s="28">
        <f t="shared" si="36"/>
        <v>9.87736366512204</v>
      </c>
      <c r="Z79" s="28">
        <f t="shared" si="43"/>
        <v>500.1364602748389</v>
      </c>
      <c r="AA79" s="27">
        <f t="shared" si="37"/>
        <v>13.54111111111111</v>
      </c>
      <c r="AB79" s="4" cm="1">
        <f t="array" ref="AB79">_xlfn.IFS(AA79&lt;=4,1,AA79&lt;=8,2,AA79&gt;8,3)</f>
        <v>3</v>
      </c>
      <c r="AC79" s="29">
        <f>LOOKUP(AA79,$AP$5:$AP$46,$AQ$5:$AQ$46)</f>
        <v>5332.7</v>
      </c>
      <c r="AD79" s="4">
        <f>IF(V79&lt;0,1,MATCH(V79,BSFC!$P$21:$AD$21,1))</f>
        <v>9</v>
      </c>
      <c r="AE79" s="4">
        <f>MATCH(AC79,BSFC!$O$22:$O$36,1)</f>
        <v>10</v>
      </c>
      <c r="AF79" s="4" cm="1">
        <f t="array" ref="AF79">INDEX(BSFC!$P$22:$AD$36,AD79,AE79)</f>
        <v>394</v>
      </c>
      <c r="AG79" s="5">
        <f>IF(V79&lt;0,((V79=0)*AF79/760),V79*AF79/760)</f>
        <v>5.1206332684974782</v>
      </c>
      <c r="AH79" s="28">
        <f t="shared" si="38"/>
        <v>1.4223981301381885E-3</v>
      </c>
      <c r="AI79" s="28">
        <f t="shared" si="44"/>
        <v>7.7981748546804092E-2</v>
      </c>
      <c r="AJ79" s="28">
        <f t="shared" si="39"/>
        <v>108.30798409278347</v>
      </c>
      <c r="AK79" s="20"/>
      <c r="AL79" s="1"/>
      <c r="AM79" s="44" t="s">
        <v>71</v>
      </c>
      <c r="AN79" s="45" t="s">
        <v>68</v>
      </c>
      <c r="AO79" s="20"/>
    </row>
    <row r="80" spans="1:41" x14ac:dyDescent="0.25">
      <c r="A80" s="4">
        <v>53.306379999999997</v>
      </c>
      <c r="B80" s="4">
        <v>-6.4259999999999998E-2</v>
      </c>
      <c r="C80" s="4">
        <v>120</v>
      </c>
      <c r="D80" s="5">
        <f t="shared" si="24"/>
        <v>969.02531645569809</v>
      </c>
      <c r="E80" s="4">
        <f t="shared" si="25"/>
        <v>19</v>
      </c>
      <c r="F80" s="4">
        <v>48.747999999999998</v>
      </c>
      <c r="G80" s="5">
        <f t="shared" si="26"/>
        <v>13.54111111111111</v>
      </c>
      <c r="H80" s="5">
        <f t="shared" si="27"/>
        <v>0.96705038467011839</v>
      </c>
      <c r="I80" s="5">
        <f t="shared" si="40"/>
        <v>79.673675294271987</v>
      </c>
      <c r="J80" s="5">
        <f t="shared" si="41"/>
        <v>0</v>
      </c>
      <c r="K80" s="5">
        <f>J80*$K$2</f>
        <v>0</v>
      </c>
      <c r="L80" s="5">
        <f t="shared" si="28"/>
        <v>91.044579996999985</v>
      </c>
      <c r="M80" s="5">
        <f>($K$2*$G$2*E80)/1000</f>
        <v>96.400908000000015</v>
      </c>
      <c r="N80" s="5">
        <f>(0.5*$K$2*(G80^2))/1000</f>
        <v>47.417333065925931</v>
      </c>
      <c r="O80" s="5">
        <f t="shared" si="29"/>
        <v>0</v>
      </c>
      <c r="P80" s="5">
        <f t="shared" si="30"/>
        <v>0</v>
      </c>
      <c r="Q80" s="5">
        <f t="shared" si="31"/>
        <v>0</v>
      </c>
      <c r="R80" s="5">
        <f>($K$2*$G$2*SIN(Q80))</f>
        <v>0</v>
      </c>
      <c r="S80" s="4">
        <f xml:space="preserve"> ($P$3*($K$2*$G$2))</f>
        <v>304.42392000000007</v>
      </c>
      <c r="T80" s="5">
        <f t="shared" si="32"/>
        <v>0.39546849999700001</v>
      </c>
      <c r="U80" s="5">
        <f t="shared" si="33"/>
        <v>5.3550828994038211</v>
      </c>
      <c r="V80" s="27">
        <f t="shared" si="34"/>
        <v>5.3550828994038211</v>
      </c>
      <c r="W80" s="27">
        <f t="shared" si="35"/>
        <v>0</v>
      </c>
      <c r="X80" s="27">
        <f t="shared" si="42"/>
        <v>-995.39678183807996</v>
      </c>
      <c r="Y80" s="28">
        <f t="shared" si="36"/>
        <v>5.3550828994038211</v>
      </c>
      <c r="Z80" s="28">
        <f t="shared" si="43"/>
        <v>505.49154317424274</v>
      </c>
      <c r="AA80" s="27">
        <f t="shared" si="37"/>
        <v>13.54111111111111</v>
      </c>
      <c r="AB80" s="4" cm="1">
        <f t="array" ref="AB80">_xlfn.IFS(AA80&lt;=4,1,AA80&lt;=8,2,AA80&gt;8,3)</f>
        <v>3</v>
      </c>
      <c r="AC80" s="29">
        <f>LOOKUP(AA80,$AP$5:$AP$46,$AQ$5:$AQ$46)</f>
        <v>5332.7</v>
      </c>
      <c r="AD80" s="4">
        <f>IF(V80&lt;0,1,MATCH(V80,BSFC!$P$21:$AD$21,1))</f>
        <v>6</v>
      </c>
      <c r="AE80" s="4">
        <f>MATCH(AC80,BSFC!$O$22:$O$36,1)</f>
        <v>10</v>
      </c>
      <c r="AF80" s="4" cm="1">
        <f t="array" ref="AF80">INDEX(BSFC!$P$22:$AD$36,AD80,AE80)</f>
        <v>429</v>
      </c>
      <c r="AG80" s="5">
        <f>IF(V80&lt;0,((V80=0)*AF80/760),V80*AF80/760)</f>
        <v>3.0228033734792623</v>
      </c>
      <c r="AH80" s="28">
        <f t="shared" si="38"/>
        <v>8.3966760374423949E-4</v>
      </c>
      <c r="AI80" s="28">
        <f t="shared" si="44"/>
        <v>7.8821416150548329E-2</v>
      </c>
      <c r="AJ80" s="28">
        <f t="shared" si="39"/>
        <v>109.4741890979838</v>
      </c>
      <c r="AK80" s="20"/>
      <c r="AL80" s="1"/>
      <c r="AM80" s="46">
        <v>2069</v>
      </c>
      <c r="AN80" s="11" t="s">
        <v>69</v>
      </c>
    </row>
    <row r="81" spans="1:41" x14ac:dyDescent="0.25">
      <c r="A81" s="4">
        <v>53.3063</v>
      </c>
      <c r="B81" s="4">
        <v>-6.3930000000000001E-2</v>
      </c>
      <c r="C81" s="4">
        <v>120</v>
      </c>
      <c r="D81" s="5">
        <f t="shared" si="24"/>
        <v>982.1202531645589</v>
      </c>
      <c r="E81" s="4">
        <f t="shared" si="25"/>
        <v>19</v>
      </c>
      <c r="F81" s="4">
        <v>48.747999999999998</v>
      </c>
      <c r="G81" s="5">
        <f t="shared" si="26"/>
        <v>13.54111111111111</v>
      </c>
      <c r="H81" s="5">
        <f t="shared" si="27"/>
        <v>0.96705038467011839</v>
      </c>
      <c r="I81" s="5">
        <f t="shared" si="40"/>
        <v>80.640725678942104</v>
      </c>
      <c r="J81" s="5">
        <f t="shared" si="41"/>
        <v>0</v>
      </c>
      <c r="K81" s="5">
        <f>J81*$K$2</f>
        <v>0</v>
      </c>
      <c r="L81" s="5">
        <f t="shared" si="28"/>
        <v>91.044579996999985</v>
      </c>
      <c r="M81" s="5">
        <f>($K$2*$G$2*E81)/1000</f>
        <v>96.400908000000015</v>
      </c>
      <c r="N81" s="5">
        <f>(0.5*$K$2*(G81^2))/1000</f>
        <v>47.417333065925931</v>
      </c>
      <c r="O81" s="5">
        <f t="shared" si="29"/>
        <v>-7.6365393910101498E-2</v>
      </c>
      <c r="P81" s="5">
        <f t="shared" si="30"/>
        <v>-7.6217465157670902E-2</v>
      </c>
      <c r="Q81" s="5">
        <f t="shared" si="31"/>
        <v>-4.3669390787199465</v>
      </c>
      <c r="R81" s="5">
        <f>($K$2*$G$2*SIN(Q81))</f>
        <v>4773.9921601452697</v>
      </c>
      <c r="S81" s="4">
        <f xml:space="preserve"> ($P$3*($K$2*$G$2))</f>
        <v>304.42392000000007</v>
      </c>
      <c r="T81" s="5">
        <f t="shared" si="32"/>
        <v>5.1694606601422706</v>
      </c>
      <c r="U81" s="5">
        <f t="shared" si="33"/>
        <v>70.000241183504272</v>
      </c>
      <c r="V81" s="27">
        <f t="shared" si="34"/>
        <v>13.04111111111111</v>
      </c>
      <c r="W81" s="27">
        <f t="shared" si="35"/>
        <v>0</v>
      </c>
      <c r="X81" s="27">
        <f t="shared" si="42"/>
        <v>-995.39678183807996</v>
      </c>
      <c r="Y81" s="28">
        <f t="shared" si="36"/>
        <v>13.04111111111111</v>
      </c>
      <c r="Z81" s="28">
        <f t="shared" si="43"/>
        <v>518.53265428535383</v>
      </c>
      <c r="AA81" s="27">
        <f t="shared" si="37"/>
        <v>2.5227218018430961</v>
      </c>
      <c r="AB81" s="4" cm="1">
        <f t="array" ref="AB81">_xlfn.IFS(AA81&lt;=4,1,AA81&lt;=8,2,AA81&gt;8,3)</f>
        <v>1</v>
      </c>
      <c r="AC81" s="29">
        <f>LOOKUP(AA81,$AP$5:$AP$46,$AQ$5:$AQ$46)</f>
        <v>4000</v>
      </c>
      <c r="AD81" s="4">
        <f>IF(V81&lt;0,1,MATCH(V81,BSFC!$P$21:$AD$21,1))</f>
        <v>11</v>
      </c>
      <c r="AE81" s="4">
        <f>MATCH(AC81,BSFC!$O$22:$O$36,1)</f>
        <v>8</v>
      </c>
      <c r="AF81" s="4" cm="1">
        <f t="array" ref="AF81">INDEX(BSFC!$P$22:$AD$36,AD81,AE81)</f>
        <v>431</v>
      </c>
      <c r="AG81" s="5">
        <f>IF(V81&lt;0,((V81=0)*AF81/760),V81*AF81/760)</f>
        <v>7.395682748538011</v>
      </c>
      <c r="AH81" s="28">
        <f t="shared" si="38"/>
        <v>2.0543563190383364E-3</v>
      </c>
      <c r="AI81" s="28">
        <f t="shared" si="44"/>
        <v>8.087577246958666E-2</v>
      </c>
      <c r="AJ81" s="28">
        <f t="shared" si="39"/>
        <v>112.3274617633148</v>
      </c>
      <c r="AK81" s="20"/>
      <c r="AL81" s="1"/>
      <c r="AM81" s="46">
        <f>(AM80/1.6)/1000</f>
        <v>1.2931250000000001</v>
      </c>
      <c r="AN81" s="11" t="s">
        <v>70</v>
      </c>
    </row>
    <row r="82" spans="1:41" x14ac:dyDescent="0.25">
      <c r="A82" s="4">
        <v>53.306350000000002</v>
      </c>
      <c r="B82" s="4">
        <v>-6.3700000000000007E-2</v>
      </c>
      <c r="C82" s="4">
        <v>119</v>
      </c>
      <c r="D82" s="5">
        <f t="shared" si="24"/>
        <v>995.21518987341972</v>
      </c>
      <c r="E82" s="4">
        <f t="shared" si="25"/>
        <v>18</v>
      </c>
      <c r="F82" s="4">
        <v>48.747999999999998</v>
      </c>
      <c r="G82" s="5">
        <f t="shared" si="26"/>
        <v>13.54111111111111</v>
      </c>
      <c r="H82" s="5">
        <f t="shared" si="27"/>
        <v>1.0276359626781821</v>
      </c>
      <c r="I82" s="5">
        <f t="shared" si="40"/>
        <v>81.66836164162028</v>
      </c>
      <c r="J82" s="5">
        <f t="shared" si="41"/>
        <v>0</v>
      </c>
      <c r="K82" s="5">
        <f>J82*$K$2</f>
        <v>0</v>
      </c>
      <c r="L82" s="5">
        <f t="shared" si="28"/>
        <v>91.044579996999985</v>
      </c>
      <c r="M82" s="5">
        <f>($K$2*$G$2*E82)/1000</f>
        <v>91.327176000000023</v>
      </c>
      <c r="N82" s="5">
        <f>(0.5*$K$2*(G82^2))/1000</f>
        <v>47.417333065925931</v>
      </c>
      <c r="O82" s="5">
        <f t="shared" si="29"/>
        <v>-7.6365393910101498E-2</v>
      </c>
      <c r="P82" s="5">
        <f t="shared" si="30"/>
        <v>-7.6217465157670902E-2</v>
      </c>
      <c r="Q82" s="5">
        <f t="shared" si="31"/>
        <v>-4.3669390787199465</v>
      </c>
      <c r="R82" s="5">
        <f>($K$2*$G$2*SIN(Q82))</f>
        <v>4773.9921601452697</v>
      </c>
      <c r="S82" s="4">
        <f xml:space="preserve"> ($P$3*($K$2*$G$2))</f>
        <v>304.42392000000007</v>
      </c>
      <c r="T82" s="5">
        <f t="shared" si="32"/>
        <v>5.1694606601422706</v>
      </c>
      <c r="U82" s="5">
        <f t="shared" si="33"/>
        <v>70.000241183504272</v>
      </c>
      <c r="V82" s="27">
        <f t="shared" si="34"/>
        <v>13.04111111111111</v>
      </c>
      <c r="W82" s="27">
        <f t="shared" si="35"/>
        <v>0</v>
      </c>
      <c r="X82" s="27">
        <f t="shared" si="42"/>
        <v>-995.39678183807996</v>
      </c>
      <c r="Y82" s="28">
        <f t="shared" si="36"/>
        <v>13.04111111111111</v>
      </c>
      <c r="Z82" s="28">
        <f t="shared" si="43"/>
        <v>531.57376539646498</v>
      </c>
      <c r="AA82" s="27">
        <f t="shared" si="37"/>
        <v>2.5227218018430961</v>
      </c>
      <c r="AB82" s="4" cm="1">
        <f t="array" ref="AB82">_xlfn.IFS(AA82&lt;=4,1,AA82&lt;=8,2,AA82&gt;8,3)</f>
        <v>1</v>
      </c>
      <c r="AC82" s="29">
        <f>LOOKUP(AA82,$AP$5:$AP$46,$AQ$5:$AQ$46)</f>
        <v>4000</v>
      </c>
      <c r="AD82" s="4">
        <f>IF(V82&lt;0,1,MATCH(V82,BSFC!$P$21:$AD$21,1))</f>
        <v>11</v>
      </c>
      <c r="AE82" s="4">
        <f>MATCH(AC82,BSFC!$O$22:$O$36,1)</f>
        <v>8</v>
      </c>
      <c r="AF82" s="4" cm="1">
        <f t="array" ref="AF82">INDEX(BSFC!$P$22:$AD$36,AD82,AE82)</f>
        <v>431</v>
      </c>
      <c r="AG82" s="5">
        <f>IF(V82&lt;0,((V82=0)*AF82/760),V82*AF82/760)</f>
        <v>7.395682748538011</v>
      </c>
      <c r="AH82" s="28">
        <f t="shared" si="38"/>
        <v>2.0543563190383364E-3</v>
      </c>
      <c r="AI82" s="28">
        <f t="shared" si="44"/>
        <v>8.293012878862499E-2</v>
      </c>
      <c r="AJ82" s="28">
        <f t="shared" si="39"/>
        <v>115.18073442864582</v>
      </c>
      <c r="AK82" s="20"/>
      <c r="AL82" s="1"/>
      <c r="AM82" s="46">
        <f>AI164</f>
        <v>0.15431067751126043</v>
      </c>
      <c r="AN82" s="11" t="s">
        <v>72</v>
      </c>
    </row>
    <row r="83" spans="1:41" x14ac:dyDescent="0.25">
      <c r="A83" s="4">
        <v>53.306460000000001</v>
      </c>
      <c r="B83" s="4">
        <v>-6.3509999999999997E-2</v>
      </c>
      <c r="C83" s="4">
        <v>118</v>
      </c>
      <c r="D83" s="5">
        <f t="shared" si="24"/>
        <v>1008.3101265822805</v>
      </c>
      <c r="E83" s="4">
        <f t="shared" si="25"/>
        <v>17</v>
      </c>
      <c r="F83" s="4">
        <v>43</v>
      </c>
      <c r="G83" s="5">
        <f t="shared" si="26"/>
        <v>11.944444444444445</v>
      </c>
      <c r="H83" s="5">
        <f t="shared" si="27"/>
        <v>1.2405729513657613</v>
      </c>
      <c r="I83" s="5">
        <f t="shared" si="40"/>
        <v>82.908934592986043</v>
      </c>
      <c r="J83" s="5">
        <f t="shared" si="41"/>
        <v>-1.2870397221774619</v>
      </c>
      <c r="K83" s="5">
        <f>J83*$K$2</f>
        <v>-665.65694431018335</v>
      </c>
      <c r="L83" s="5">
        <f t="shared" si="28"/>
        <v>70.839812500000008</v>
      </c>
      <c r="M83" s="5">
        <f>($K$2*$G$2*E83)/1000</f>
        <v>86.253444000000016</v>
      </c>
      <c r="N83" s="5">
        <f>(0.5*$K$2*(G83^2))/1000</f>
        <v>36.894398148148149</v>
      </c>
      <c r="O83" s="5">
        <f t="shared" si="29"/>
        <v>-7.6365393910101498E-2</v>
      </c>
      <c r="P83" s="5">
        <f t="shared" si="30"/>
        <v>-7.6217465157670902E-2</v>
      </c>
      <c r="Q83" s="5">
        <f t="shared" si="31"/>
        <v>-4.3669390787199465</v>
      </c>
      <c r="R83" s="5">
        <f>($K$2*$G$2*SIN(Q83))</f>
        <v>4773.9921601452697</v>
      </c>
      <c r="S83" s="4">
        <f xml:space="preserve"> ($P$3*($K$2*$G$2))</f>
        <v>304.42392000000007</v>
      </c>
      <c r="T83" s="5">
        <f t="shared" si="32"/>
        <v>4.4835989483350867</v>
      </c>
      <c r="U83" s="5">
        <f t="shared" si="33"/>
        <v>53.554098549557978</v>
      </c>
      <c r="V83" s="27">
        <f t="shared" si="34"/>
        <v>11.444444444444445</v>
      </c>
      <c r="W83" s="27">
        <f t="shared" si="35"/>
        <v>0</v>
      </c>
      <c r="X83" s="27">
        <f t="shared" si="42"/>
        <v>-995.39678183807996</v>
      </c>
      <c r="Y83" s="28">
        <f t="shared" si="36"/>
        <v>11.444444444444445</v>
      </c>
      <c r="Z83" s="28">
        <f t="shared" si="43"/>
        <v>543.01820984090944</v>
      </c>
      <c r="AA83" s="27">
        <f t="shared" si="37"/>
        <v>2.5525129647677693</v>
      </c>
      <c r="AB83" s="4" cm="1">
        <f t="array" ref="AB83">_xlfn.IFS(AA83&lt;=4,1,AA83&lt;=8,2,AA83&gt;8,3)</f>
        <v>1</v>
      </c>
      <c r="AC83" s="29">
        <f>LOOKUP(AA83,$AP$5:$AP$46,$AQ$5:$AQ$46)</f>
        <v>4000</v>
      </c>
      <c r="AD83" s="4">
        <f>IF(V83&lt;0,1,MATCH(V83,BSFC!$P$21:$AD$21,1))</f>
        <v>10</v>
      </c>
      <c r="AE83" s="4">
        <f>MATCH(AC83,BSFC!$O$22:$O$36,1)</f>
        <v>8</v>
      </c>
      <c r="AF83" s="4" cm="1">
        <f t="array" ref="AF83">INDEX(BSFC!$P$22:$AD$36,AD83,AE83)</f>
        <v>419</v>
      </c>
      <c r="AG83" s="5">
        <f>IF(V83&lt;0,((V83=0)*AF83/760),V83*AF83/760)</f>
        <v>6.3095029239766083</v>
      </c>
      <c r="AH83" s="28">
        <f t="shared" si="38"/>
        <v>1.7526397011046134E-3</v>
      </c>
      <c r="AI83" s="28">
        <f t="shared" si="44"/>
        <v>8.468276848972961E-2</v>
      </c>
      <c r="AJ83" s="28">
        <f t="shared" si="39"/>
        <v>117.61495623573558</v>
      </c>
      <c r="AK83" s="20"/>
      <c r="AL83" s="20"/>
      <c r="AM83" s="46">
        <v>4.55</v>
      </c>
      <c r="AN83" s="11" t="s">
        <v>73</v>
      </c>
    </row>
    <row r="84" spans="1:41" x14ac:dyDescent="0.25">
      <c r="A84" s="4">
        <v>53.306750000000001</v>
      </c>
      <c r="B84" s="4">
        <v>-6.318E-2</v>
      </c>
      <c r="C84" s="4">
        <v>117</v>
      </c>
      <c r="D84" s="5">
        <f t="shared" si="24"/>
        <v>1021.4050632911413</v>
      </c>
      <c r="E84" s="4">
        <f t="shared" si="25"/>
        <v>16</v>
      </c>
      <c r="F84" s="4">
        <v>33</v>
      </c>
      <c r="G84" s="5">
        <f t="shared" si="26"/>
        <v>9.1666666666666661</v>
      </c>
      <c r="H84" s="5">
        <f t="shared" si="27"/>
        <v>1.77893479818485</v>
      </c>
      <c r="I84" s="5">
        <f t="shared" si="40"/>
        <v>84.687869391170892</v>
      </c>
      <c r="J84" s="5">
        <f t="shared" si="41"/>
        <v>-1.5614837489334106</v>
      </c>
      <c r="K84" s="5">
        <f>J84*$K$2</f>
        <v>-807.59939494835999</v>
      </c>
      <c r="L84" s="5">
        <f t="shared" si="28"/>
        <v>41.722312500000001</v>
      </c>
      <c r="M84" s="5">
        <f>($K$2*$G$2*E84)/1000</f>
        <v>81.179712000000009</v>
      </c>
      <c r="N84" s="5">
        <f>(0.5*$K$2*(G84^2))/1000</f>
        <v>21.729583333333331</v>
      </c>
      <c r="O84" s="5">
        <f t="shared" si="29"/>
        <v>0</v>
      </c>
      <c r="P84" s="5">
        <f t="shared" si="30"/>
        <v>0</v>
      </c>
      <c r="Q84" s="5">
        <f t="shared" si="31"/>
        <v>0</v>
      </c>
      <c r="R84" s="5">
        <f>($K$2*$G$2*SIN(Q84))</f>
        <v>0</v>
      </c>
      <c r="S84" s="4">
        <f xml:space="preserve"> ($P$3*($K$2*$G$2))</f>
        <v>304.42392000000007</v>
      </c>
      <c r="T84" s="5">
        <f t="shared" si="32"/>
        <v>-0.46145316244835993</v>
      </c>
      <c r="U84" s="5">
        <f t="shared" si="33"/>
        <v>-4.2299873224432991</v>
      </c>
      <c r="V84" s="27">
        <f t="shared" si="34"/>
        <v>-4.2299873224432991</v>
      </c>
      <c r="W84" s="27">
        <f t="shared" si="35"/>
        <v>-4.2299873224432991</v>
      </c>
      <c r="X84" s="27">
        <f t="shared" si="42"/>
        <v>-999.62676916052328</v>
      </c>
      <c r="Y84" s="28">
        <f t="shared" si="36"/>
        <v>0</v>
      </c>
      <c r="Z84" s="28">
        <f t="shared" si="43"/>
        <v>543.01820984090944</v>
      </c>
      <c r="AA84" s="27">
        <f t="shared" si="37"/>
        <v>9.1666666666666661</v>
      </c>
      <c r="AB84" s="4" cm="1">
        <f t="array" ref="AB84">_xlfn.IFS(AA84&lt;=4,1,AA84&lt;=8,2,AA84&gt;8,3)</f>
        <v>3</v>
      </c>
      <c r="AC84" s="29">
        <f>LOOKUP(AA84,$AP$5:$AP$46,$AQ$5:$AQ$46)</f>
        <v>1000</v>
      </c>
      <c r="AD84" s="4">
        <f>IF(V84&lt;0,1,MATCH(V84,BSFC!$P$21:$AD$21,1))</f>
        <v>1</v>
      </c>
      <c r="AE84" s="4">
        <f>MATCH(AC84,BSFC!$O$22:$O$36,1)</f>
        <v>2</v>
      </c>
      <c r="AF84" s="4" cm="1">
        <f t="array" ref="AF84">INDEX(BSFC!$P$22:$AD$36,AD84,AE84)</f>
        <v>595</v>
      </c>
      <c r="AG84" s="5">
        <f>IF(V84&lt;0,((V84=0)*AF84/760),V84*AF84/760)</f>
        <v>0</v>
      </c>
      <c r="AH84" s="28">
        <f t="shared" si="38"/>
        <v>0</v>
      </c>
      <c r="AI84" s="28">
        <f t="shared" si="44"/>
        <v>8.468276848972961E-2</v>
      </c>
      <c r="AJ84" s="28">
        <f t="shared" si="39"/>
        <v>117.61495623573558</v>
      </c>
      <c r="AK84" s="20"/>
      <c r="AL84" s="1"/>
      <c r="AM84" s="42"/>
      <c r="AN84" s="43"/>
    </row>
    <row r="85" spans="1:41" x14ac:dyDescent="0.25">
      <c r="A85" s="4">
        <v>53.306950000000001</v>
      </c>
      <c r="B85" s="4">
        <v>-6.2950000000000006E-2</v>
      </c>
      <c r="C85" s="4">
        <v>117</v>
      </c>
      <c r="D85" s="5">
        <f t="shared" si="24"/>
        <v>1034.500000000002</v>
      </c>
      <c r="E85" s="4">
        <f t="shared" si="25"/>
        <v>16</v>
      </c>
      <c r="F85" s="4">
        <v>20</v>
      </c>
      <c r="G85" s="5">
        <f t="shared" si="26"/>
        <v>5.5555555555555554</v>
      </c>
      <c r="H85" s="5">
        <f t="shared" si="27"/>
        <v>2.8570771001150868</v>
      </c>
      <c r="I85" s="5">
        <f t="shared" si="40"/>
        <v>87.544946491285984</v>
      </c>
      <c r="J85" s="5">
        <f t="shared" si="41"/>
        <v>-1.2639179779102372</v>
      </c>
      <c r="K85" s="5">
        <f>J85*$K$2</f>
        <v>-653.69837817517475</v>
      </c>
      <c r="L85" s="5">
        <f t="shared" si="28"/>
        <v>15.324999999999999</v>
      </c>
      <c r="M85" s="5">
        <f>($K$2*$G$2*E85)/1000</f>
        <v>81.179712000000009</v>
      </c>
      <c r="N85" s="5">
        <f>(0.5*$K$2*(G85^2))/1000</f>
        <v>7.9814814814814818</v>
      </c>
      <c r="O85" s="5">
        <f t="shared" si="29"/>
        <v>0.152730787820203</v>
      </c>
      <c r="P85" s="5">
        <f t="shared" si="30"/>
        <v>0.15155956893708497</v>
      </c>
      <c r="Q85" s="5">
        <f t="shared" si="31"/>
        <v>8.6837236449170216</v>
      </c>
      <c r="R85" s="5">
        <f>($K$2*$G$2*SIN(Q85))</f>
        <v>3425.1045539960332</v>
      </c>
      <c r="S85" s="4">
        <f xml:space="preserve"> ($P$3*($K$2*$G$2))</f>
        <v>304.42392000000007</v>
      </c>
      <c r="T85" s="5">
        <f t="shared" si="32"/>
        <v>3.0911550958208585</v>
      </c>
      <c r="U85" s="5">
        <f t="shared" si="33"/>
        <v>17.173083865671437</v>
      </c>
      <c r="V85" s="27">
        <f t="shared" si="34"/>
        <v>5.0555555555555554</v>
      </c>
      <c r="W85" s="27">
        <f t="shared" si="35"/>
        <v>0</v>
      </c>
      <c r="X85" s="27">
        <f t="shared" si="42"/>
        <v>-999.62676916052328</v>
      </c>
      <c r="Y85" s="28">
        <f t="shared" si="36"/>
        <v>5.0555555555555554</v>
      </c>
      <c r="Z85" s="28">
        <f t="shared" si="43"/>
        <v>548.07376539646498</v>
      </c>
      <c r="AA85" s="27">
        <f t="shared" si="37"/>
        <v>1.6354907466113566</v>
      </c>
      <c r="AB85" s="4" cm="1">
        <f t="array" ref="AB85">_xlfn.IFS(AA85&lt;=4,1,AA85&lt;=8,2,AA85&gt;8,3)</f>
        <v>1</v>
      </c>
      <c r="AC85" s="29">
        <f>LOOKUP(AA85,$AP$5:$AP$46,$AQ$5:$AQ$46)</f>
        <v>2500</v>
      </c>
      <c r="AD85" s="4">
        <f>IF(V85&lt;0,1,MATCH(V85,BSFC!$P$21:$AD$21,1))</f>
        <v>6</v>
      </c>
      <c r="AE85" s="4">
        <f>MATCH(AC85,BSFC!$O$22:$O$36,1)</f>
        <v>5</v>
      </c>
      <c r="AF85" s="4" cm="1">
        <f t="array" ref="AF85">INDEX(BSFC!$P$22:$AD$36,AD85,AE85)</f>
        <v>504</v>
      </c>
      <c r="AG85" s="5">
        <f>IF(V85&lt;0,((V85=0)*AF85/760),V85*AF85/760)</f>
        <v>3.3526315789473684</v>
      </c>
      <c r="AH85" s="28">
        <f t="shared" si="38"/>
        <v>9.3128654970760238E-4</v>
      </c>
      <c r="AI85" s="28">
        <f t="shared" si="44"/>
        <v>8.5614055039437212E-2</v>
      </c>
      <c r="AJ85" s="28">
        <f t="shared" si="39"/>
        <v>118.90840977699612</v>
      </c>
      <c r="AK85" s="20"/>
      <c r="AL85" s="1"/>
      <c r="AM85" s="46">
        <f>(AM83/AM82)*AM81</f>
        <v>38.129044891081179</v>
      </c>
      <c r="AN85" s="11" t="s">
        <v>74</v>
      </c>
    </row>
    <row r="86" spans="1:41" x14ac:dyDescent="0.25">
      <c r="A86" s="4">
        <v>53.307119999999998</v>
      </c>
      <c r="B86" s="4">
        <v>-6.2630000000000005E-2</v>
      </c>
      <c r="C86" s="4">
        <v>119</v>
      </c>
      <c r="D86" s="5">
        <f t="shared" si="24"/>
        <v>1047.5949367088629</v>
      </c>
      <c r="E86" s="4">
        <f t="shared" si="25"/>
        <v>18</v>
      </c>
      <c r="F86" s="4">
        <v>13</v>
      </c>
      <c r="G86" s="5">
        <f t="shared" si="26"/>
        <v>3.6111111111111112</v>
      </c>
      <c r="H86" s="5">
        <f t="shared" si="27"/>
        <v>3.0414046549612217</v>
      </c>
      <c r="I86" s="5">
        <f t="shared" si="40"/>
        <v>90.58635114624721</v>
      </c>
      <c r="J86" s="5">
        <f t="shared" si="41"/>
        <v>-0.63932447833687989</v>
      </c>
      <c r="K86" s="5">
        <f>J86*$K$2</f>
        <v>-330.65862019583432</v>
      </c>
      <c r="L86" s="5">
        <f t="shared" si="28"/>
        <v>6.4748125000000005</v>
      </c>
      <c r="M86" s="5">
        <f>($K$2*$G$2*E86)/1000</f>
        <v>91.327176000000023</v>
      </c>
      <c r="N86" s="5">
        <f>(0.5*$K$2*(G86^2))/1000</f>
        <v>3.3721759259259261</v>
      </c>
      <c r="O86" s="5">
        <f t="shared" si="29"/>
        <v>7.6365393910101498E-2</v>
      </c>
      <c r="P86" s="5">
        <f t="shared" si="30"/>
        <v>7.6217465157670902E-2</v>
      </c>
      <c r="Q86" s="5">
        <f t="shared" si="31"/>
        <v>4.3669390787199465</v>
      </c>
      <c r="R86" s="5">
        <f>($K$2*$G$2*SIN(Q86))</f>
        <v>-4773.9921601452697</v>
      </c>
      <c r="S86" s="4">
        <f xml:space="preserve"> ($P$3*($K$2*$G$2))</f>
        <v>304.42392000000007</v>
      </c>
      <c r="T86" s="5">
        <f t="shared" si="32"/>
        <v>-4.793752047841104</v>
      </c>
      <c r="U86" s="5">
        <f t="shared" si="33"/>
        <v>-17.310771283870654</v>
      </c>
      <c r="V86" s="27">
        <f t="shared" si="34"/>
        <v>-17.310771283870654</v>
      </c>
      <c r="W86" s="27">
        <f t="shared" si="35"/>
        <v>-17.310771283870654</v>
      </c>
      <c r="X86" s="27">
        <f t="shared" si="42"/>
        <v>-1016.9375404443939</v>
      </c>
      <c r="Y86" s="28">
        <f t="shared" si="36"/>
        <v>0</v>
      </c>
      <c r="Z86" s="28">
        <f t="shared" si="43"/>
        <v>548.07376539646498</v>
      </c>
      <c r="AA86" s="27">
        <f t="shared" si="37"/>
        <v>3.6111111111111112</v>
      </c>
      <c r="AB86" s="4" cm="1">
        <f t="array" ref="AB86">_xlfn.IFS(AA86&lt;=4,1,AA86&lt;=8,2,AA86&gt;8,3)</f>
        <v>1</v>
      </c>
      <c r="AC86" s="29">
        <f>LOOKUP(AA86,$AP$5:$AP$46,$AQ$5:$AQ$46)</f>
        <v>5500</v>
      </c>
      <c r="AD86" s="4">
        <f>IF(V86&lt;0,1,MATCH(V86,BSFC!$P$21:$AD$21,1))</f>
        <v>1</v>
      </c>
      <c r="AE86" s="4">
        <f>MATCH(AC86,BSFC!$O$22:$O$36,1)</f>
        <v>11</v>
      </c>
      <c r="AF86" s="4" cm="1">
        <f t="array" ref="AF86">INDEX(BSFC!$P$22:$AD$36,AD86,AE86)</f>
        <v>486</v>
      </c>
      <c r="AG86" s="5">
        <f>IF(V86&lt;0,((V86=0)*AF86/760),V86*AF86/760)</f>
        <v>0</v>
      </c>
      <c r="AH86" s="28">
        <f t="shared" si="38"/>
        <v>0</v>
      </c>
      <c r="AI86" s="28">
        <f t="shared" si="44"/>
        <v>8.5614055039437212E-2</v>
      </c>
      <c r="AJ86" s="28">
        <f t="shared" si="39"/>
        <v>118.90840977699612</v>
      </c>
      <c r="AK86" s="20"/>
      <c r="AL86" s="1"/>
      <c r="AM86" s="2"/>
      <c r="AN86" s="20"/>
    </row>
    <row r="87" spans="1:41" x14ac:dyDescent="0.25">
      <c r="A87" s="4">
        <v>53.307290000000002</v>
      </c>
      <c r="B87" s="4">
        <v>-6.2330000000000003E-2</v>
      </c>
      <c r="C87" s="4">
        <v>120</v>
      </c>
      <c r="D87" s="5">
        <f t="shared" si="24"/>
        <v>1060.6898734177237</v>
      </c>
      <c r="E87" s="4">
        <f t="shared" si="25"/>
        <v>19</v>
      </c>
      <c r="F87" s="4">
        <v>18</v>
      </c>
      <c r="G87" s="5">
        <f t="shared" si="26"/>
        <v>5</v>
      </c>
      <c r="H87" s="5">
        <f t="shared" si="27"/>
        <v>2.1926405652046013</v>
      </c>
      <c r="I87" s="5">
        <f t="shared" si="40"/>
        <v>92.778991711451809</v>
      </c>
      <c r="J87" s="5">
        <f t="shared" si="41"/>
        <v>0.63343208683147278</v>
      </c>
      <c r="K87" s="5">
        <f>J87*$K$2</f>
        <v>327.61107530923778</v>
      </c>
      <c r="L87" s="5">
        <f t="shared" si="28"/>
        <v>12.41325</v>
      </c>
      <c r="M87" s="5">
        <f>($K$2*$G$2*E87)/1000</f>
        <v>96.400908000000015</v>
      </c>
      <c r="N87" s="5">
        <f>(0.5*$K$2*(G87^2))/1000</f>
        <v>6.4650000000000007</v>
      </c>
      <c r="O87" s="5">
        <f t="shared" si="29"/>
        <v>7.6365393910101498E-2</v>
      </c>
      <c r="P87" s="5">
        <f t="shared" si="30"/>
        <v>7.6217465157670902E-2</v>
      </c>
      <c r="Q87" s="5">
        <f t="shared" si="31"/>
        <v>4.3669390787199465</v>
      </c>
      <c r="R87" s="5">
        <f>($K$2*$G$2*SIN(Q87))</f>
        <v>-4773.9921601452697</v>
      </c>
      <c r="S87" s="4">
        <f xml:space="preserve"> ($P$3*($K$2*$G$2))</f>
        <v>304.42392000000007</v>
      </c>
      <c r="T87" s="5">
        <f t="shared" si="32"/>
        <v>-4.1295439148360318</v>
      </c>
      <c r="U87" s="5">
        <f t="shared" si="33"/>
        <v>-20.647719574180158</v>
      </c>
      <c r="V87" s="27">
        <f t="shared" si="34"/>
        <v>-20.647719574180158</v>
      </c>
      <c r="W87" s="27">
        <f t="shared" si="35"/>
        <v>-20.647719574180158</v>
      </c>
      <c r="X87" s="27">
        <f t="shared" si="42"/>
        <v>-1037.585260018574</v>
      </c>
      <c r="Y87" s="28">
        <f t="shared" si="36"/>
        <v>0</v>
      </c>
      <c r="Z87" s="28">
        <f t="shared" si="43"/>
        <v>548.07376539646498</v>
      </c>
      <c r="AA87" s="27">
        <f t="shared" si="37"/>
        <v>5</v>
      </c>
      <c r="AB87" s="4" cm="1">
        <f t="array" ref="AB87">_xlfn.IFS(AA87&lt;=4,1,AA87&lt;=8,2,AA87&gt;8,3)</f>
        <v>2</v>
      </c>
      <c r="AC87" s="29">
        <f>LOOKUP(AA87,$AP$5:$AP$46,$AQ$5:$AQ$46)</f>
        <v>1500</v>
      </c>
      <c r="AD87" s="4">
        <f>IF(V87&lt;0,1,MATCH(V87,BSFC!$P$21:$AD$21,1))</f>
        <v>1</v>
      </c>
      <c r="AE87" s="4">
        <f>MATCH(AC87,BSFC!$O$22:$O$36,1)</f>
        <v>3</v>
      </c>
      <c r="AF87" s="4" cm="1">
        <f t="array" ref="AF87">INDEX(BSFC!$P$22:$AD$36,AD87,AE87)</f>
        <v>584</v>
      </c>
      <c r="AG87" s="5">
        <f>IF(V87&lt;0,((V87=0)*AF87/760),V87*AF87/760)</f>
        <v>0</v>
      </c>
      <c r="AH87" s="28">
        <f t="shared" si="38"/>
        <v>0</v>
      </c>
      <c r="AI87" s="28">
        <f t="shared" si="44"/>
        <v>8.5614055039437212E-2</v>
      </c>
      <c r="AJ87" s="28">
        <f t="shared" si="39"/>
        <v>118.90840977699612</v>
      </c>
      <c r="AK87" s="20"/>
      <c r="AL87" s="1"/>
      <c r="AM87" s="2"/>
      <c r="AN87" s="20"/>
      <c r="AO87" s="20"/>
    </row>
    <row r="88" spans="1:41" x14ac:dyDescent="0.25">
      <c r="A88" s="4">
        <v>53.307459999999999</v>
      </c>
      <c r="B88" s="4">
        <v>-6.2019999999999999E-2</v>
      </c>
      <c r="C88" s="4">
        <v>121</v>
      </c>
      <c r="D88" s="5">
        <f t="shared" si="24"/>
        <v>1073.7848101265845</v>
      </c>
      <c r="E88" s="4">
        <f t="shared" si="25"/>
        <v>20</v>
      </c>
      <c r="F88" s="4">
        <v>25</v>
      </c>
      <c r="G88" s="5">
        <f t="shared" si="26"/>
        <v>6.9444444444444446</v>
      </c>
      <c r="H88" s="5">
        <f t="shared" si="27"/>
        <v>1.6255783500654803</v>
      </c>
      <c r="I88" s="5">
        <f t="shared" si="40"/>
        <v>94.40457006151729</v>
      </c>
      <c r="J88" s="5">
        <f t="shared" si="41"/>
        <v>1.1961554755980348</v>
      </c>
      <c r="K88" s="5">
        <f>J88*$K$2</f>
        <v>618.65161197930365</v>
      </c>
      <c r="L88" s="5">
        <f t="shared" si="28"/>
        <v>23.945312500000004</v>
      </c>
      <c r="M88" s="5">
        <f>($K$2*$G$2*E88)/1000</f>
        <v>101.47464000000001</v>
      </c>
      <c r="N88" s="5">
        <f>(0.5*$K$2*(G88^2))/1000</f>
        <v>12.471064814814815</v>
      </c>
      <c r="O88" s="5">
        <f t="shared" si="29"/>
        <v>0</v>
      </c>
      <c r="P88" s="5">
        <f t="shared" si="30"/>
        <v>0</v>
      </c>
      <c r="Q88" s="5">
        <f t="shared" si="31"/>
        <v>0</v>
      </c>
      <c r="R88" s="5">
        <f>($K$2*$G$2*SIN(Q88))</f>
        <v>0</v>
      </c>
      <c r="S88" s="4">
        <f xml:space="preserve"> ($P$3*($K$2*$G$2))</f>
        <v>304.42392000000007</v>
      </c>
      <c r="T88" s="5">
        <f t="shared" si="32"/>
        <v>0.94702084447930368</v>
      </c>
      <c r="U88" s="5">
        <f t="shared" si="33"/>
        <v>6.5765336422173872</v>
      </c>
      <c r="V88" s="27">
        <f t="shared" si="34"/>
        <v>6.5765336422173872</v>
      </c>
      <c r="W88" s="27">
        <f t="shared" si="35"/>
        <v>0</v>
      </c>
      <c r="X88" s="27">
        <f t="shared" si="42"/>
        <v>-1037.585260018574</v>
      </c>
      <c r="Y88" s="28">
        <f t="shared" si="36"/>
        <v>6.5765336422173872</v>
      </c>
      <c r="Z88" s="28">
        <f t="shared" si="43"/>
        <v>554.65029903868242</v>
      </c>
      <c r="AA88" s="27">
        <f t="shared" si="37"/>
        <v>6.9444444444444446</v>
      </c>
      <c r="AB88" s="4" cm="1">
        <f t="array" ref="AB88">_xlfn.IFS(AA88&lt;=4,1,AA88&lt;=8,2,AA88&gt;8,3)</f>
        <v>2</v>
      </c>
      <c r="AC88" s="29">
        <f>LOOKUP(AA88,$AP$5:$AP$46,$AQ$5:$AQ$46)</f>
        <v>4000</v>
      </c>
      <c r="AD88" s="4">
        <f>IF(V88&lt;0,1,MATCH(V88,BSFC!$P$21:$AD$21,1))</f>
        <v>7</v>
      </c>
      <c r="AE88" s="4">
        <f>MATCH(AC88,BSFC!$O$22:$O$36,1)</f>
        <v>8</v>
      </c>
      <c r="AF88" s="4" cm="1">
        <f t="array" ref="AF88">INDEX(BSFC!$P$22:$AD$36,AD88,AE88)</f>
        <v>428</v>
      </c>
      <c r="AG88" s="5">
        <f>IF(V88&lt;0,((V88=0)*AF88/760),V88*AF88/760)</f>
        <v>3.7036268406171602</v>
      </c>
      <c r="AH88" s="28">
        <f t="shared" si="38"/>
        <v>1.0287852335047667E-3</v>
      </c>
      <c r="AI88" s="28">
        <f t="shared" si="44"/>
        <v>8.6642840272941973E-2</v>
      </c>
      <c r="AJ88" s="28">
        <f t="shared" si="39"/>
        <v>120.33727815686386</v>
      </c>
      <c r="AK88" s="20"/>
      <c r="AL88" s="1"/>
      <c r="AM88" s="2"/>
      <c r="AN88" s="20"/>
      <c r="AO88" s="20"/>
    </row>
    <row r="89" spans="1:41" x14ac:dyDescent="0.25">
      <c r="A89" s="4">
        <v>53.307429999999997</v>
      </c>
      <c r="B89" s="4">
        <v>-6.1760000000000002E-2</v>
      </c>
      <c r="C89" s="4">
        <v>121</v>
      </c>
      <c r="D89" s="5">
        <f t="shared" si="24"/>
        <v>1086.8797468354453</v>
      </c>
      <c r="E89" s="4">
        <f t="shared" si="25"/>
        <v>20</v>
      </c>
      <c r="F89" s="4">
        <v>33</v>
      </c>
      <c r="G89" s="5">
        <f t="shared" si="26"/>
        <v>9.1666666666666661</v>
      </c>
      <c r="H89" s="5">
        <f t="shared" si="27"/>
        <v>1.2915554014218884</v>
      </c>
      <c r="I89" s="5">
        <f t="shared" si="40"/>
        <v>95.696125462939179</v>
      </c>
      <c r="J89" s="5">
        <f t="shared" si="41"/>
        <v>1.7205783195794397</v>
      </c>
      <c r="K89" s="5">
        <f>J89*$K$2</f>
        <v>889.8831068864863</v>
      </c>
      <c r="L89" s="5">
        <f t="shared" si="28"/>
        <v>41.722312500000001</v>
      </c>
      <c r="M89" s="5">
        <f>($K$2*$G$2*E89)/1000</f>
        <v>101.47464000000001</v>
      </c>
      <c r="N89" s="5">
        <f>(0.5*$K$2*(G89^2))/1000</f>
        <v>21.729583333333331</v>
      </c>
      <c r="O89" s="5">
        <f t="shared" si="29"/>
        <v>0</v>
      </c>
      <c r="P89" s="5">
        <f t="shared" si="30"/>
        <v>0</v>
      </c>
      <c r="Q89" s="5">
        <f t="shared" si="31"/>
        <v>0</v>
      </c>
      <c r="R89" s="5">
        <f>($K$2*$G$2*SIN(Q89))</f>
        <v>0</v>
      </c>
      <c r="S89" s="4">
        <f xml:space="preserve"> ($P$3*($K$2*$G$2))</f>
        <v>304.42392000000007</v>
      </c>
      <c r="T89" s="5">
        <f t="shared" si="32"/>
        <v>1.2360293393864863</v>
      </c>
      <c r="U89" s="5">
        <f t="shared" si="33"/>
        <v>11.330268944376124</v>
      </c>
      <c r="V89" s="27">
        <f t="shared" si="34"/>
        <v>11.330268944376124</v>
      </c>
      <c r="W89" s="27">
        <f t="shared" si="35"/>
        <v>0</v>
      </c>
      <c r="X89" s="27">
        <f t="shared" si="42"/>
        <v>-1037.585260018574</v>
      </c>
      <c r="Y89" s="28">
        <f t="shared" si="36"/>
        <v>11.330268944376124</v>
      </c>
      <c r="Z89" s="28">
        <f t="shared" si="43"/>
        <v>565.98056798305856</v>
      </c>
      <c r="AA89" s="27">
        <f t="shared" si="37"/>
        <v>9.1666666666666661</v>
      </c>
      <c r="AB89" s="4" cm="1">
        <f t="array" ref="AB89">_xlfn.IFS(AA89&lt;=4,1,AA89&lt;=8,2,AA89&gt;8,3)</f>
        <v>3</v>
      </c>
      <c r="AC89" s="29">
        <f>LOOKUP(AA89,$AP$5:$AP$46,$AQ$5:$AQ$46)</f>
        <v>1000</v>
      </c>
      <c r="AD89" s="4">
        <f>IF(V89&lt;0,1,MATCH(V89,BSFC!$P$21:$AD$21,1))</f>
        <v>10</v>
      </c>
      <c r="AE89" s="4">
        <f>MATCH(AC89,BSFC!$O$22:$O$36,1)</f>
        <v>2</v>
      </c>
      <c r="AF89" s="4" cm="1">
        <f t="array" ref="AF89">INDEX(BSFC!$P$22:$AD$36,AD89,AE89)</f>
        <v>488</v>
      </c>
      <c r="AG89" s="5">
        <f>IF(V89&lt;0,((V89=0)*AF89/760),V89*AF89/760)</f>
        <v>7.275225322178354</v>
      </c>
      <c r="AH89" s="28">
        <f t="shared" si="38"/>
        <v>2.0208959228273206E-3</v>
      </c>
      <c r="AI89" s="28">
        <f t="shared" si="44"/>
        <v>8.8663736195769297E-2</v>
      </c>
      <c r="AJ89" s="28">
        <f t="shared" si="39"/>
        <v>123.14407804967958</v>
      </c>
      <c r="AK89" s="20"/>
      <c r="AL89" s="1"/>
      <c r="AM89" s="2"/>
      <c r="AN89" s="20"/>
      <c r="AO89" s="20"/>
    </row>
    <row r="90" spans="1:41" x14ac:dyDescent="0.25">
      <c r="A90" s="4">
        <v>53.30744</v>
      </c>
      <c r="B90" s="4">
        <v>-6.1620000000000001E-2</v>
      </c>
      <c r="C90" s="4">
        <v>121</v>
      </c>
      <c r="D90" s="5">
        <f t="shared" si="24"/>
        <v>1099.9746835443061</v>
      </c>
      <c r="E90" s="4">
        <f t="shared" si="25"/>
        <v>20</v>
      </c>
      <c r="F90" s="4">
        <v>40</v>
      </c>
      <c r="G90" s="5">
        <f t="shared" si="26"/>
        <v>11.111111111111111</v>
      </c>
      <c r="H90" s="5">
        <f t="shared" si="27"/>
        <v>1.1092181682799749</v>
      </c>
      <c r="I90" s="5">
        <f t="shared" si="40"/>
        <v>96.805343631219159</v>
      </c>
      <c r="J90" s="5">
        <f t="shared" si="41"/>
        <v>1.7529864728591813</v>
      </c>
      <c r="K90" s="5">
        <f>J90*$K$2</f>
        <v>906.64460376276861</v>
      </c>
      <c r="L90" s="5">
        <f t="shared" si="28"/>
        <v>61.3</v>
      </c>
      <c r="M90" s="5">
        <f>($K$2*$G$2*E90)/1000</f>
        <v>101.47464000000001</v>
      </c>
      <c r="N90" s="5">
        <f>(0.5*$K$2*(G90^2))/1000</f>
        <v>31.925925925925927</v>
      </c>
      <c r="O90" s="5">
        <f t="shared" si="29"/>
        <v>7.6365393910101498E-2</v>
      </c>
      <c r="P90" s="5">
        <f t="shared" si="30"/>
        <v>7.6217465157670902E-2</v>
      </c>
      <c r="Q90" s="5">
        <f t="shared" si="31"/>
        <v>4.3669390787199465</v>
      </c>
      <c r="R90" s="5">
        <f>($K$2*$G$2*SIN(Q90))</f>
        <v>-4773.9921601452697</v>
      </c>
      <c r="S90" s="4">
        <f xml:space="preserve"> ($P$3*($K$2*$G$2))</f>
        <v>304.42392000000007</v>
      </c>
      <c r="T90" s="5">
        <f t="shared" si="32"/>
        <v>-3.5016236363825008</v>
      </c>
      <c r="U90" s="5">
        <f t="shared" si="33"/>
        <v>-38.906929293138894</v>
      </c>
      <c r="V90" s="27">
        <f t="shared" si="34"/>
        <v>-38.906929293138894</v>
      </c>
      <c r="W90" s="27">
        <f t="shared" si="35"/>
        <v>-38.906929293138894</v>
      </c>
      <c r="X90" s="27">
        <f t="shared" si="42"/>
        <v>-1076.492189311713</v>
      </c>
      <c r="Y90" s="28">
        <f t="shared" si="36"/>
        <v>0</v>
      </c>
      <c r="Z90" s="28">
        <f t="shared" si="43"/>
        <v>565.98056798305856</v>
      </c>
      <c r="AA90" s="27">
        <f t="shared" si="37"/>
        <v>11.111111111111111</v>
      </c>
      <c r="AB90" s="4" cm="1">
        <f t="array" ref="AB90">_xlfn.IFS(AA90&lt;=4,1,AA90&lt;=8,2,AA90&gt;8,3)</f>
        <v>3</v>
      </c>
      <c r="AC90" s="29">
        <f>LOOKUP(AA90,$AP$5:$AP$46,$AQ$5:$AQ$46)</f>
        <v>2999.6</v>
      </c>
      <c r="AD90" s="4">
        <f>IF(V90&lt;0,1,MATCH(V90,BSFC!$P$21:$AD$21,1))</f>
        <v>1</v>
      </c>
      <c r="AE90" s="4">
        <f>MATCH(AC90,BSFC!$O$22:$O$36,1)</f>
        <v>5</v>
      </c>
      <c r="AF90" s="4" cm="1">
        <f t="array" ref="AF90">INDEX(BSFC!$P$22:$AD$36,AD90,AE90)</f>
        <v>566</v>
      </c>
      <c r="AG90" s="5">
        <f>IF(V90&lt;0,((V90=0)*AF90/760),V90*AF90/760)</f>
        <v>0</v>
      </c>
      <c r="AH90" s="28">
        <f t="shared" si="38"/>
        <v>0</v>
      </c>
      <c r="AI90" s="28">
        <f t="shared" si="44"/>
        <v>8.8663736195769297E-2</v>
      </c>
      <c r="AJ90" s="28">
        <f t="shared" si="39"/>
        <v>123.14407804967958</v>
      </c>
      <c r="AK90" s="20"/>
      <c r="AL90" s="20"/>
      <c r="AM90" s="20"/>
      <c r="AN90" s="20"/>
      <c r="AO90" s="20"/>
    </row>
    <row r="91" spans="1:41" x14ac:dyDescent="0.25">
      <c r="A91" s="4">
        <v>53.307540000000003</v>
      </c>
      <c r="B91" s="4">
        <v>-6.1559999999999997E-2</v>
      </c>
      <c r="C91" s="4">
        <v>122</v>
      </c>
      <c r="D91" s="5">
        <f t="shared" si="24"/>
        <v>1113.0696202531669</v>
      </c>
      <c r="E91" s="4">
        <f t="shared" si="25"/>
        <v>21</v>
      </c>
      <c r="F91" s="4">
        <v>45</v>
      </c>
      <c r="G91" s="5">
        <f t="shared" si="26"/>
        <v>12.5</v>
      </c>
      <c r="H91" s="5">
        <f t="shared" si="27"/>
        <v>1.0248211337369333</v>
      </c>
      <c r="I91" s="5">
        <f t="shared" si="40"/>
        <v>97.830164764956095</v>
      </c>
      <c r="J91" s="5">
        <f t="shared" si="41"/>
        <v>1.3552500462440771</v>
      </c>
      <c r="K91" s="5">
        <f>J91*$K$2</f>
        <v>700.93532391743668</v>
      </c>
      <c r="L91" s="5">
        <f t="shared" si="28"/>
        <v>77.582812500000003</v>
      </c>
      <c r="M91" s="5">
        <f>($K$2*$G$2*E91)/1000</f>
        <v>106.54837200000001</v>
      </c>
      <c r="N91" s="5">
        <f>(0.5*$K$2*(G91^2))/1000</f>
        <v>40.40625</v>
      </c>
      <c r="O91" s="5">
        <f t="shared" si="29"/>
        <v>0</v>
      </c>
      <c r="P91" s="5">
        <f t="shared" si="30"/>
        <v>0</v>
      </c>
      <c r="Q91" s="5">
        <f t="shared" si="31"/>
        <v>0</v>
      </c>
      <c r="R91" s="5">
        <f>($K$2*$G$2*SIN(Q91))</f>
        <v>0</v>
      </c>
      <c r="S91" s="4">
        <f xml:space="preserve"> ($P$3*($K$2*$G$2))</f>
        <v>304.42392000000007</v>
      </c>
      <c r="T91" s="5">
        <f t="shared" si="32"/>
        <v>1.0829420564174368</v>
      </c>
      <c r="U91" s="5">
        <f t="shared" si="33"/>
        <v>13.536775705217959</v>
      </c>
      <c r="V91" s="27">
        <f t="shared" si="34"/>
        <v>12</v>
      </c>
      <c r="W91" s="27">
        <f t="shared" si="35"/>
        <v>0</v>
      </c>
      <c r="X91" s="27">
        <f t="shared" si="42"/>
        <v>-1076.492189311713</v>
      </c>
      <c r="Y91" s="28">
        <f t="shared" si="36"/>
        <v>12</v>
      </c>
      <c r="Z91" s="28">
        <f t="shared" si="43"/>
        <v>577.98056798305856</v>
      </c>
      <c r="AA91" s="27">
        <f t="shared" si="37"/>
        <v>11.080925271014143</v>
      </c>
      <c r="AB91" s="4" cm="1">
        <f t="array" ref="AB91">_xlfn.IFS(AA91&lt;=4,1,AA91&lt;=8,2,AA91&gt;8,3)</f>
        <v>3</v>
      </c>
      <c r="AC91" s="29">
        <f>LOOKUP(AA91,$AP$5:$AP$46,$AQ$5:$AQ$46)</f>
        <v>2999.6</v>
      </c>
      <c r="AD91" s="4">
        <f>IF(V91&lt;0,1,MATCH(V91,BSFC!$P$21:$AD$21,1))</f>
        <v>10</v>
      </c>
      <c r="AE91" s="4">
        <f>MATCH(AC91,BSFC!$O$22:$O$36,1)</f>
        <v>5</v>
      </c>
      <c r="AF91" s="4" cm="1">
        <f t="array" ref="AF91">INDEX(BSFC!$P$22:$AD$36,AD91,AE91)</f>
        <v>441</v>
      </c>
      <c r="AG91" s="5">
        <f>IF(V91&lt;0,((V91=0)*AF91/760),V91*AF91/760)</f>
        <v>6.9631578947368418</v>
      </c>
      <c r="AH91" s="28">
        <f t="shared" si="38"/>
        <v>1.9342105263157894E-3</v>
      </c>
      <c r="AI91" s="28">
        <f t="shared" si="44"/>
        <v>9.0597946722085085E-2</v>
      </c>
      <c r="AJ91" s="28">
        <f t="shared" si="39"/>
        <v>125.8304815584515</v>
      </c>
      <c r="AK91" s="20"/>
      <c r="AL91" s="20"/>
      <c r="AM91" s="20"/>
      <c r="AN91" s="20"/>
      <c r="AO91" s="20"/>
    </row>
    <row r="92" spans="1:41" x14ac:dyDescent="0.25">
      <c r="A92" s="4">
        <v>53.307690000000001</v>
      </c>
      <c r="B92" s="4">
        <v>-6.1449999999999998E-2</v>
      </c>
      <c r="C92" s="4">
        <v>122</v>
      </c>
      <c r="D92" s="5">
        <f t="shared" si="24"/>
        <v>1126.1645569620277</v>
      </c>
      <c r="E92" s="4">
        <f t="shared" si="25"/>
        <v>21</v>
      </c>
      <c r="F92" s="4">
        <v>47</v>
      </c>
      <c r="G92" s="5">
        <f t="shared" si="26"/>
        <v>13.055555555555555</v>
      </c>
      <c r="H92" s="5">
        <f t="shared" si="27"/>
        <v>0.98470510406272582</v>
      </c>
      <c r="I92" s="5">
        <f t="shared" si="40"/>
        <v>98.814869869018821</v>
      </c>
      <c r="J92" s="5">
        <f t="shared" si="41"/>
        <v>0.56418470185990433</v>
      </c>
      <c r="K92" s="5">
        <f>J92*$K$2</f>
        <v>291.79632780194254</v>
      </c>
      <c r="L92" s="5">
        <f t="shared" si="28"/>
        <v>84.632312499999998</v>
      </c>
      <c r="M92" s="5">
        <f>($K$2*$G$2*E92)/1000</f>
        <v>106.54837200000001</v>
      </c>
      <c r="N92" s="5">
        <f>(0.5*$K$2*(G92^2))/1000</f>
        <v>44.077731481481479</v>
      </c>
      <c r="O92" s="5">
        <f t="shared" si="29"/>
        <v>-7.6365393910101498E-2</v>
      </c>
      <c r="P92" s="5">
        <f t="shared" si="30"/>
        <v>-7.6217465157670902E-2</v>
      </c>
      <c r="Q92" s="5">
        <f t="shared" si="31"/>
        <v>-4.3669390787199465</v>
      </c>
      <c r="R92" s="5">
        <f>($K$2*$G$2*SIN(Q92))</f>
        <v>4773.9921601452697</v>
      </c>
      <c r="S92" s="4">
        <f xml:space="preserve"> ($P$3*($K$2*$G$2))</f>
        <v>304.42392000000007</v>
      </c>
      <c r="T92" s="5">
        <f t="shared" si="32"/>
        <v>5.4548447204472126</v>
      </c>
      <c r="U92" s="5">
        <f t="shared" si="33"/>
        <v>71.216028294727494</v>
      </c>
      <c r="V92" s="27">
        <f t="shared" si="34"/>
        <v>12.555555555555555</v>
      </c>
      <c r="W92" s="27">
        <f t="shared" si="35"/>
        <v>0</v>
      </c>
      <c r="X92" s="27">
        <f t="shared" si="42"/>
        <v>-1076.492189311713</v>
      </c>
      <c r="Y92" s="28">
        <f t="shared" si="36"/>
        <v>12.555555555555555</v>
      </c>
      <c r="Z92" s="28">
        <f t="shared" si="43"/>
        <v>590.53612353861411</v>
      </c>
      <c r="AA92" s="27">
        <f t="shared" si="37"/>
        <v>2.3017255667226757</v>
      </c>
      <c r="AB92" s="4" cm="1">
        <f t="array" ref="AB92">_xlfn.IFS(AA92&lt;=4,1,AA92&lt;=8,2,AA92&gt;8,3)</f>
        <v>1</v>
      </c>
      <c r="AC92" s="29">
        <f>LOOKUP(AA92,$AP$5:$AP$46,$AQ$5:$AQ$46)</f>
        <v>3500</v>
      </c>
      <c r="AD92" s="4">
        <f>IF(V92&lt;0,1,MATCH(V92,BSFC!$P$21:$AD$21,1))</f>
        <v>10</v>
      </c>
      <c r="AE92" s="4">
        <f>MATCH(AC92,BSFC!$O$22:$O$36,1)</f>
        <v>7</v>
      </c>
      <c r="AF92" s="4" cm="1">
        <f t="array" ref="AF92">INDEX(BSFC!$P$22:$AD$36,AD92,AE92)</f>
        <v>426</v>
      </c>
      <c r="AG92" s="5">
        <f>IF(V92&lt;0,((V92=0)*AF92/760),V92*AF92/760)</f>
        <v>7.037719298245614</v>
      </c>
      <c r="AH92" s="28">
        <f t="shared" si="38"/>
        <v>1.9549220272904485E-3</v>
      </c>
      <c r="AI92" s="28">
        <f t="shared" si="44"/>
        <v>9.255286874937553E-2</v>
      </c>
      <c r="AJ92" s="28">
        <f t="shared" si="39"/>
        <v>128.54565104079936</v>
      </c>
      <c r="AK92" s="20"/>
      <c r="AL92" s="20"/>
      <c r="AM92" s="20"/>
      <c r="AN92" s="20"/>
      <c r="AO92" s="20"/>
    </row>
    <row r="93" spans="1:41" x14ac:dyDescent="0.25">
      <c r="A93" s="4">
        <v>53.307850000000002</v>
      </c>
      <c r="B93" s="4">
        <v>-6.1350000000000002E-2</v>
      </c>
      <c r="C93" s="4">
        <v>121</v>
      </c>
      <c r="D93" s="5">
        <f t="shared" si="24"/>
        <v>1139.2594936708886</v>
      </c>
      <c r="E93" s="4">
        <f t="shared" si="25"/>
        <v>20</v>
      </c>
      <c r="F93" s="4">
        <v>48.747999999999998</v>
      </c>
      <c r="G93" s="5">
        <f t="shared" si="26"/>
        <v>13.54111111111111</v>
      </c>
      <c r="H93" s="5">
        <f t="shared" si="27"/>
        <v>1.0057125944425254</v>
      </c>
      <c r="I93" s="5">
        <f t="shared" si="40"/>
        <v>99.820582463461349</v>
      </c>
      <c r="J93" s="5">
        <f t="shared" si="41"/>
        <v>0.48279752907410012</v>
      </c>
      <c r="K93" s="5">
        <f>J93*$K$2</f>
        <v>249.7028820371246</v>
      </c>
      <c r="L93" s="5">
        <f t="shared" si="28"/>
        <v>91.044579996999985</v>
      </c>
      <c r="M93" s="5">
        <f>($K$2*$G$2*E93)/1000</f>
        <v>101.47464000000001</v>
      </c>
      <c r="N93" s="5">
        <f>(0.5*$K$2*(G93^2))/1000</f>
        <v>47.417333065925931</v>
      </c>
      <c r="O93" s="5">
        <f t="shared" si="29"/>
        <v>0</v>
      </c>
      <c r="P93" s="5">
        <f t="shared" si="30"/>
        <v>0</v>
      </c>
      <c r="Q93" s="5">
        <f t="shared" si="31"/>
        <v>0</v>
      </c>
      <c r="R93" s="5">
        <f>($K$2*$G$2*SIN(Q93))</f>
        <v>0</v>
      </c>
      <c r="S93" s="4">
        <f xml:space="preserve"> ($P$3*($K$2*$G$2))</f>
        <v>304.42392000000007</v>
      </c>
      <c r="T93" s="5">
        <f t="shared" si="32"/>
        <v>0.64517138203412472</v>
      </c>
      <c r="U93" s="5">
        <f t="shared" si="33"/>
        <v>8.7363373698331976</v>
      </c>
      <c r="V93" s="27">
        <f t="shared" si="34"/>
        <v>8.7363373698331976</v>
      </c>
      <c r="W93" s="27">
        <f t="shared" si="35"/>
        <v>0</v>
      </c>
      <c r="X93" s="27">
        <f t="shared" si="42"/>
        <v>-1076.492189311713</v>
      </c>
      <c r="Y93" s="28">
        <f t="shared" si="36"/>
        <v>8.7363373698331976</v>
      </c>
      <c r="Z93" s="28">
        <f t="shared" si="43"/>
        <v>599.27246090844733</v>
      </c>
      <c r="AA93" s="27">
        <f t="shared" si="37"/>
        <v>13.54111111111111</v>
      </c>
      <c r="AB93" s="4" cm="1">
        <f t="array" ref="AB93">_xlfn.IFS(AA93&lt;=4,1,AA93&lt;=8,2,AA93&gt;8,3)</f>
        <v>3</v>
      </c>
      <c r="AC93" s="29">
        <f>LOOKUP(AA93,$AP$5:$AP$46,$AQ$5:$AQ$46)</f>
        <v>5332.7</v>
      </c>
      <c r="AD93" s="4">
        <f>IF(V93&lt;0,1,MATCH(V93,BSFC!$P$21:$AD$21,1))</f>
        <v>8</v>
      </c>
      <c r="AE93" s="4">
        <f>MATCH(AC93,BSFC!$O$22:$O$36,1)</f>
        <v>10</v>
      </c>
      <c r="AF93" s="4" cm="1">
        <f t="array" ref="AF93">INDEX(BSFC!$P$22:$AD$36,AD93,AE93)</f>
        <v>394</v>
      </c>
      <c r="AG93" s="5">
        <f>IF(V93&lt;0,((V93=0)*AF93/760),V93*AF93/760)</f>
        <v>4.5291012154135259</v>
      </c>
      <c r="AH93" s="28">
        <f t="shared" si="38"/>
        <v>1.2580836709482016E-3</v>
      </c>
      <c r="AI93" s="28">
        <f t="shared" si="44"/>
        <v>9.3810952420323737E-2</v>
      </c>
      <c r="AJ93" s="28">
        <f t="shared" si="39"/>
        <v>130.29298947267188</v>
      </c>
      <c r="AK93" s="20"/>
      <c r="AL93" s="20"/>
      <c r="AM93" s="20"/>
      <c r="AN93" s="20"/>
      <c r="AO93" s="20"/>
    </row>
    <row r="94" spans="1:41" x14ac:dyDescent="0.25">
      <c r="A94" s="4">
        <v>53.307940000000002</v>
      </c>
      <c r="B94" s="4">
        <v>-6.1289999999999997E-2</v>
      </c>
      <c r="C94" s="4">
        <v>121</v>
      </c>
      <c r="D94" s="5">
        <f t="shared" si="24"/>
        <v>1152.3544303797494</v>
      </c>
      <c r="E94" s="4">
        <f t="shared" si="25"/>
        <v>20</v>
      </c>
      <c r="F94" s="4">
        <v>45</v>
      </c>
      <c r="G94" s="5">
        <f t="shared" si="26"/>
        <v>12.5</v>
      </c>
      <c r="H94" s="5">
        <f t="shared" si="27"/>
        <v>1.1062248539692348</v>
      </c>
      <c r="I94" s="5">
        <f t="shared" si="40"/>
        <v>100.92680731743059</v>
      </c>
      <c r="J94" s="5">
        <f t="shared" si="41"/>
        <v>-0.94113878148326446</v>
      </c>
      <c r="K94" s="5">
        <f>J94*$K$2</f>
        <v>-486.75697778314441</v>
      </c>
      <c r="L94" s="5">
        <f t="shared" si="28"/>
        <v>77.582812500000003</v>
      </c>
      <c r="M94" s="5">
        <f>($K$2*$G$2*E94)/1000</f>
        <v>101.47464000000001</v>
      </c>
      <c r="N94" s="5">
        <f>(0.5*$K$2*(G94^2))/1000</f>
        <v>40.40625</v>
      </c>
      <c r="O94" s="5">
        <f t="shared" si="29"/>
        <v>7.6365393910101498E-2</v>
      </c>
      <c r="P94" s="5">
        <f t="shared" si="30"/>
        <v>7.6217465157670902E-2</v>
      </c>
      <c r="Q94" s="5">
        <f t="shared" si="31"/>
        <v>4.3669390787199465</v>
      </c>
      <c r="R94" s="5">
        <f>($K$2*$G$2*SIN(Q94))</f>
        <v>-4773.9921601452697</v>
      </c>
      <c r="S94" s="4">
        <f xml:space="preserve"> ($P$3*($K$2*$G$2))</f>
        <v>304.42392000000007</v>
      </c>
      <c r="T94" s="5">
        <f t="shared" si="32"/>
        <v>-4.8787424054284134</v>
      </c>
      <c r="U94" s="5">
        <f t="shared" si="33"/>
        <v>-60.984280067855167</v>
      </c>
      <c r="V94" s="27">
        <f t="shared" si="34"/>
        <v>-60.984280067855167</v>
      </c>
      <c r="W94" s="27">
        <f t="shared" si="35"/>
        <v>-60.984280067855167</v>
      </c>
      <c r="X94" s="27">
        <f t="shared" si="42"/>
        <v>-1137.4764693795682</v>
      </c>
      <c r="Y94" s="28">
        <f t="shared" si="36"/>
        <v>0</v>
      </c>
      <c r="Z94" s="28">
        <f t="shared" si="43"/>
        <v>599.27246090844733</v>
      </c>
      <c r="AA94" s="27">
        <f t="shared" si="37"/>
        <v>12.5</v>
      </c>
      <c r="AB94" s="4" cm="1">
        <f t="array" ref="AB94">_xlfn.IFS(AA94&lt;=4,1,AA94&lt;=8,2,AA94&gt;8,3)</f>
        <v>3</v>
      </c>
      <c r="AC94" s="29">
        <f>LOOKUP(AA94,$AP$5:$AP$46,$AQ$5:$AQ$46)</f>
        <v>4332.8</v>
      </c>
      <c r="AD94" s="4">
        <f>IF(V94&lt;0,1,MATCH(V94,BSFC!$P$21:$AD$21,1))</f>
        <v>1</v>
      </c>
      <c r="AE94" s="4">
        <f>MATCH(AC94,BSFC!$O$22:$O$36,1)</f>
        <v>8</v>
      </c>
      <c r="AF94" s="4" cm="1">
        <f t="array" ref="AF94">INDEX(BSFC!$P$22:$AD$36,AD94,AE94)</f>
        <v>530</v>
      </c>
      <c r="AG94" s="5">
        <f>IF(V94&lt;0,((V94=0)*AF94/760),V94*AF94/760)</f>
        <v>0</v>
      </c>
      <c r="AH94" s="28">
        <f t="shared" si="38"/>
        <v>0</v>
      </c>
      <c r="AI94" s="28">
        <f t="shared" si="44"/>
        <v>9.3810952420323737E-2</v>
      </c>
      <c r="AJ94" s="28">
        <f t="shared" si="39"/>
        <v>130.29298947267188</v>
      </c>
      <c r="AK94" s="20"/>
      <c r="AL94" s="20"/>
      <c r="AM94" s="20"/>
      <c r="AN94" s="20"/>
      <c r="AO94" s="20"/>
    </row>
    <row r="95" spans="1:41" x14ac:dyDescent="0.25">
      <c r="A95" s="4">
        <v>53.308199999999999</v>
      </c>
      <c r="B95" s="4">
        <v>-6.1100000000000002E-2</v>
      </c>
      <c r="C95" s="4">
        <v>122</v>
      </c>
      <c r="D95" s="5">
        <f t="shared" si="24"/>
        <v>1165.4493670886102</v>
      </c>
      <c r="E95" s="4">
        <f t="shared" si="25"/>
        <v>21</v>
      </c>
      <c r="F95" s="4">
        <v>40.229999999999997</v>
      </c>
      <c r="G95" s="5">
        <f t="shared" si="26"/>
        <v>11.174999999999999</v>
      </c>
      <c r="H95" s="5">
        <f t="shared" si="27"/>
        <v>1.1062248539692348</v>
      </c>
      <c r="I95" s="5">
        <f t="shared" si="40"/>
        <v>102.03303217139982</v>
      </c>
      <c r="J95" s="5">
        <f t="shared" si="41"/>
        <v>-1.1977673392943378</v>
      </c>
      <c r="K95" s="5">
        <f>J95*$K$2</f>
        <v>-619.4852678830315</v>
      </c>
      <c r="L95" s="5">
        <f t="shared" si="28"/>
        <v>62.006976731249985</v>
      </c>
      <c r="M95" s="5">
        <f>($K$2*$G$2*E95)/1000</f>
        <v>106.54837200000001</v>
      </c>
      <c r="N95" s="5">
        <f>(0.5*$K$2*(G95^2))/1000</f>
        <v>32.294129624999997</v>
      </c>
      <c r="O95" s="5">
        <f t="shared" si="29"/>
        <v>7.6365393910101498E-2</v>
      </c>
      <c r="P95" s="5">
        <f t="shared" si="30"/>
        <v>7.6217465157670902E-2</v>
      </c>
      <c r="Q95" s="5">
        <f t="shared" si="31"/>
        <v>4.3669390787199465</v>
      </c>
      <c r="R95" s="5">
        <f>($K$2*$G$2*SIN(Q95))</f>
        <v>-4773.9921601452697</v>
      </c>
      <c r="S95" s="4">
        <f xml:space="preserve"> ($P$3*($K$2*$G$2))</f>
        <v>304.42392000000007</v>
      </c>
      <c r="T95" s="5">
        <f t="shared" si="32"/>
        <v>-5.0270465312970511</v>
      </c>
      <c r="U95" s="5">
        <f t="shared" si="33"/>
        <v>-56.177244987244542</v>
      </c>
      <c r="V95" s="27">
        <f t="shared" si="34"/>
        <v>-56.177244987244542</v>
      </c>
      <c r="W95" s="27">
        <f t="shared" si="35"/>
        <v>-56.177244987244542</v>
      </c>
      <c r="X95" s="27">
        <f t="shared" si="42"/>
        <v>-1193.6537143668129</v>
      </c>
      <c r="Y95" s="28">
        <f t="shared" si="36"/>
        <v>0</v>
      </c>
      <c r="Z95" s="28">
        <f t="shared" si="43"/>
        <v>599.27246090844733</v>
      </c>
      <c r="AA95" s="27">
        <f t="shared" si="37"/>
        <v>11.174999999999999</v>
      </c>
      <c r="AB95" s="4" cm="1">
        <f t="array" ref="AB95">_xlfn.IFS(AA95&lt;=4,1,AA95&lt;=8,2,AA95&gt;8,3)</f>
        <v>3</v>
      </c>
      <c r="AC95" s="29">
        <f>LOOKUP(AA95,$AP$5:$AP$46,$AQ$5:$AQ$46)</f>
        <v>2999.6</v>
      </c>
      <c r="AD95" s="4">
        <f>IF(V95&lt;0,1,MATCH(V95,BSFC!$P$21:$AD$21,1))</f>
        <v>1</v>
      </c>
      <c r="AE95" s="4">
        <f>MATCH(AC95,BSFC!$O$22:$O$36,1)</f>
        <v>5</v>
      </c>
      <c r="AF95" s="4" cm="1">
        <f t="array" ref="AF95">INDEX(BSFC!$P$22:$AD$36,AD95,AE95)</f>
        <v>566</v>
      </c>
      <c r="AG95" s="5">
        <f>IF(V95&lt;0,((V95=0)*AF95/760),V95*AF95/760)</f>
        <v>0</v>
      </c>
      <c r="AH95" s="28">
        <f t="shared" si="38"/>
        <v>0</v>
      </c>
      <c r="AI95" s="28">
        <f t="shared" si="44"/>
        <v>9.3810952420323737E-2</v>
      </c>
      <c r="AJ95" s="28">
        <f t="shared" si="39"/>
        <v>130.29298947267188</v>
      </c>
      <c r="AK95" s="20"/>
      <c r="AL95" s="20"/>
      <c r="AM95" s="20"/>
      <c r="AN95" s="20"/>
      <c r="AO95" s="20"/>
    </row>
    <row r="96" spans="1:41" x14ac:dyDescent="0.25">
      <c r="A96" s="4">
        <v>53.308369999999996</v>
      </c>
      <c r="B96" s="4">
        <v>-6.0970000000000003E-2</v>
      </c>
      <c r="C96" s="4">
        <v>123</v>
      </c>
      <c r="D96" s="5">
        <f t="shared" si="24"/>
        <v>1178.544303797471</v>
      </c>
      <c r="E96" s="4">
        <f t="shared" si="25"/>
        <v>22</v>
      </c>
      <c r="F96" s="4">
        <v>45</v>
      </c>
      <c r="G96" s="5">
        <f t="shared" si="26"/>
        <v>12.5</v>
      </c>
      <c r="H96" s="5">
        <f t="shared" si="27"/>
        <v>1.0057125944425254</v>
      </c>
      <c r="I96" s="5">
        <f t="shared" si="40"/>
        <v>103.03874476584235</v>
      </c>
      <c r="J96" s="5">
        <f t="shared" si="41"/>
        <v>1.3174738064550695</v>
      </c>
      <c r="K96" s="5">
        <f>J96*$K$2</f>
        <v>681.39745269856201</v>
      </c>
      <c r="L96" s="5">
        <f t="shared" si="28"/>
        <v>77.582812500000003</v>
      </c>
      <c r="M96" s="5">
        <f>($K$2*$G$2*E96)/1000</f>
        <v>111.62210400000002</v>
      </c>
      <c r="N96" s="5">
        <f>(0.5*$K$2*(G96^2))/1000</f>
        <v>40.40625</v>
      </c>
      <c r="O96" s="5">
        <f t="shared" si="29"/>
        <v>-7.6365393910101498E-2</v>
      </c>
      <c r="P96" s="5">
        <f t="shared" si="30"/>
        <v>-7.6217465157670902E-2</v>
      </c>
      <c r="Q96" s="5">
        <f t="shared" si="31"/>
        <v>-4.3669390787199465</v>
      </c>
      <c r="R96" s="5">
        <f>($K$2*$G$2*SIN(Q96))</f>
        <v>4773.9921601452697</v>
      </c>
      <c r="S96" s="4">
        <f xml:space="preserve"> ($P$3*($K$2*$G$2))</f>
        <v>304.42392000000007</v>
      </c>
      <c r="T96" s="5">
        <f t="shared" si="32"/>
        <v>5.8373963453438318</v>
      </c>
      <c r="U96" s="5">
        <f t="shared" si="33"/>
        <v>72.967454316797898</v>
      </c>
      <c r="V96" s="27">
        <f t="shared" si="34"/>
        <v>12</v>
      </c>
      <c r="W96" s="27">
        <f t="shared" si="35"/>
        <v>0</v>
      </c>
      <c r="X96" s="27">
        <f t="shared" si="42"/>
        <v>-1193.6537143668129</v>
      </c>
      <c r="Y96" s="28">
        <f t="shared" si="36"/>
        <v>12</v>
      </c>
      <c r="Z96" s="28">
        <f t="shared" si="43"/>
        <v>611.27246090844733</v>
      </c>
      <c r="AA96" s="27">
        <f t="shared" si="37"/>
        <v>2.0557110208169669</v>
      </c>
      <c r="AB96" s="4" cm="1">
        <f t="array" ref="AB96">_xlfn.IFS(AA96&lt;=4,1,AA96&lt;=8,2,AA96&gt;8,3)</f>
        <v>1</v>
      </c>
      <c r="AC96" s="29">
        <f>LOOKUP(AA96,$AP$5:$AP$46,$AQ$5:$AQ$46)</f>
        <v>3500</v>
      </c>
      <c r="AD96" s="4">
        <f>IF(V96&lt;0,1,MATCH(V96,BSFC!$P$21:$AD$21,1))</f>
        <v>10</v>
      </c>
      <c r="AE96" s="4">
        <f>MATCH(AC96,BSFC!$O$22:$O$36,1)</f>
        <v>7</v>
      </c>
      <c r="AF96" s="4" cm="1">
        <f t="array" ref="AF96">INDEX(BSFC!$P$22:$AD$36,AD96,AE96)</f>
        <v>426</v>
      </c>
      <c r="AG96" s="5">
        <f>IF(V96&lt;0,((V96=0)*AF96/760),V96*AF96/760)</f>
        <v>6.7263157894736842</v>
      </c>
      <c r="AH96" s="28">
        <f t="shared" si="38"/>
        <v>1.8684210526315789E-3</v>
      </c>
      <c r="AI96" s="28">
        <f t="shared" si="44"/>
        <v>9.5679373472955312E-2</v>
      </c>
      <c r="AJ96" s="28">
        <f t="shared" si="39"/>
        <v>132.88801871243794</v>
      </c>
      <c r="AK96" s="20"/>
      <c r="AL96" s="20"/>
      <c r="AM96" s="20"/>
      <c r="AN96" s="20"/>
      <c r="AO96" s="20"/>
    </row>
    <row r="97" spans="1:41" x14ac:dyDescent="0.25">
      <c r="A97" s="4">
        <v>53.308599999999998</v>
      </c>
      <c r="B97" s="4">
        <v>-6.0830000000000002E-2</v>
      </c>
      <c r="C97" s="4">
        <v>122</v>
      </c>
      <c r="D97" s="5">
        <f t="shared" si="24"/>
        <v>1191.6392405063318</v>
      </c>
      <c r="E97" s="4">
        <f t="shared" si="25"/>
        <v>21</v>
      </c>
      <c r="F97" s="4">
        <v>48.747999999999998</v>
      </c>
      <c r="G97" s="5">
        <f t="shared" si="26"/>
        <v>13.54111111111111</v>
      </c>
      <c r="H97" s="5">
        <f t="shared" si="27"/>
        <v>0.96705038467011839</v>
      </c>
      <c r="I97" s="5">
        <f t="shared" si="40"/>
        <v>104.00579515051247</v>
      </c>
      <c r="J97" s="5">
        <f t="shared" si="41"/>
        <v>1.0765841445440898</v>
      </c>
      <c r="K97" s="5">
        <f>J97*$K$2</f>
        <v>556.80931955820324</v>
      </c>
      <c r="L97" s="5">
        <f t="shared" si="28"/>
        <v>91.044579996999985</v>
      </c>
      <c r="M97" s="5">
        <f>($K$2*$G$2*E97)/1000</f>
        <v>106.54837200000001</v>
      </c>
      <c r="N97" s="5">
        <f>(0.5*$K$2*(G97^2))/1000</f>
        <v>47.417333065925931</v>
      </c>
      <c r="O97" s="5">
        <f t="shared" si="29"/>
        <v>-0.38182696955050749</v>
      </c>
      <c r="P97" s="5">
        <f t="shared" si="30"/>
        <v>-0.36474248385830815</v>
      </c>
      <c r="Q97" s="5">
        <f t="shared" si="31"/>
        <v>-20.898204934199612</v>
      </c>
      <c r="R97" s="5">
        <f>($K$2*$G$2*SIN(Q97))</f>
        <v>-4505.3951804553253</v>
      </c>
      <c r="S97" s="4">
        <f xml:space="preserve"> ($P$3*($K$2*$G$2))</f>
        <v>304.42392000000007</v>
      </c>
      <c r="T97" s="5">
        <f t="shared" si="32"/>
        <v>-3.5531173609001216</v>
      </c>
      <c r="U97" s="5">
        <f t="shared" si="33"/>
        <v>-48.113156974766426</v>
      </c>
      <c r="V97" s="27">
        <f t="shared" si="34"/>
        <v>-48.113156974766426</v>
      </c>
      <c r="W97" s="27">
        <f t="shared" si="35"/>
        <v>-48.113156974766426</v>
      </c>
      <c r="X97" s="27">
        <f t="shared" si="42"/>
        <v>-1241.7668713415794</v>
      </c>
      <c r="Y97" s="28">
        <f t="shared" si="36"/>
        <v>0</v>
      </c>
      <c r="Z97" s="28">
        <f t="shared" si="43"/>
        <v>611.27246090844733</v>
      </c>
      <c r="AA97" s="27">
        <f t="shared" si="37"/>
        <v>13.541111111111112</v>
      </c>
      <c r="AB97" s="4" cm="1">
        <f t="array" ref="AB97">_xlfn.IFS(AA97&lt;=4,1,AA97&lt;=8,2,AA97&gt;8,3)</f>
        <v>3</v>
      </c>
      <c r="AC97" s="29">
        <f>LOOKUP(AA97,$AP$5:$AP$46,$AQ$5:$AQ$46)</f>
        <v>5332.7</v>
      </c>
      <c r="AD97" s="4">
        <f>IF(V97&lt;0,1,MATCH(V97,BSFC!$P$21:$AD$21,1))</f>
        <v>1</v>
      </c>
      <c r="AE97" s="4">
        <f>MATCH(AC97,BSFC!$O$22:$O$36,1)</f>
        <v>10</v>
      </c>
      <c r="AF97" s="4" cm="1">
        <f t="array" ref="AF97">INDEX(BSFC!$P$22:$AD$36,AD97,AE97)</f>
        <v>500</v>
      </c>
      <c r="AG97" s="5">
        <f>IF(V97&lt;0,((V97=0)*AF97/760),V97*AF97/760)</f>
        <v>0</v>
      </c>
      <c r="AH97" s="28">
        <f t="shared" si="38"/>
        <v>0</v>
      </c>
      <c r="AI97" s="28">
        <f t="shared" si="44"/>
        <v>9.5679373472955312E-2</v>
      </c>
      <c r="AJ97" s="28">
        <f t="shared" si="39"/>
        <v>132.88801871243794</v>
      </c>
      <c r="AK97" s="20"/>
      <c r="AL97" s="20"/>
      <c r="AM97" s="20"/>
      <c r="AN97" s="20"/>
      <c r="AO97" s="20"/>
    </row>
    <row r="98" spans="1:41" x14ac:dyDescent="0.25">
      <c r="A98" s="4">
        <v>53.308819999999997</v>
      </c>
      <c r="B98" s="4">
        <v>-6.0690000000000001E-2</v>
      </c>
      <c r="C98" s="4">
        <v>117</v>
      </c>
      <c r="D98" s="5">
        <f t="shared" si="24"/>
        <v>1204.7341772151926</v>
      </c>
      <c r="E98" s="4">
        <f t="shared" si="25"/>
        <v>16</v>
      </c>
      <c r="F98" s="4">
        <v>48.747999999999998</v>
      </c>
      <c r="G98" s="5">
        <f t="shared" si="26"/>
        <v>13.54111111111111</v>
      </c>
      <c r="H98" s="5">
        <f t="shared" si="27"/>
        <v>0.96705038467011839</v>
      </c>
      <c r="I98" s="5">
        <f t="shared" si="40"/>
        <v>104.97284553518259</v>
      </c>
      <c r="J98" s="5">
        <f t="shared" si="41"/>
        <v>0</v>
      </c>
      <c r="K98" s="5">
        <f>J98*$K$2</f>
        <v>0</v>
      </c>
      <c r="L98" s="5">
        <f t="shared" si="28"/>
        <v>91.044579996999985</v>
      </c>
      <c r="M98" s="5">
        <f>($K$2*$G$2*E98)/1000</f>
        <v>81.179712000000009</v>
      </c>
      <c r="N98" s="5">
        <f>(0.5*$K$2*(G98^2))/1000</f>
        <v>47.417333065925931</v>
      </c>
      <c r="O98" s="5">
        <f t="shared" si="29"/>
        <v>-0.30546157564040599</v>
      </c>
      <c r="P98" s="5">
        <f t="shared" si="30"/>
        <v>-0.29645985199932912</v>
      </c>
      <c r="Q98" s="5">
        <f t="shared" si="31"/>
        <v>-16.985898314634579</v>
      </c>
      <c r="R98" s="5">
        <f>($K$2*$G$2*SIN(Q98))</f>
        <v>4857.7014449689023</v>
      </c>
      <c r="S98" s="4">
        <f xml:space="preserve"> ($P$3*($K$2*$G$2))</f>
        <v>304.42392000000007</v>
      </c>
      <c r="T98" s="5">
        <f t="shared" si="32"/>
        <v>5.2531699449659026</v>
      </c>
      <c r="U98" s="5">
        <f t="shared" si="33"/>
        <v>71.133757910332719</v>
      </c>
      <c r="V98" s="27">
        <f t="shared" si="34"/>
        <v>13.04111111111111</v>
      </c>
      <c r="W98" s="27">
        <f t="shared" si="35"/>
        <v>0</v>
      </c>
      <c r="X98" s="27">
        <f t="shared" si="42"/>
        <v>-1241.7668713415794</v>
      </c>
      <c r="Y98" s="28">
        <f t="shared" si="36"/>
        <v>13.04111111111111</v>
      </c>
      <c r="Z98" s="28">
        <f t="shared" si="43"/>
        <v>624.31357201955848</v>
      </c>
      <c r="AA98" s="27">
        <f t="shared" si="37"/>
        <v>2.4825222194854688</v>
      </c>
      <c r="AB98" s="4" cm="1">
        <f t="array" ref="AB98">_xlfn.IFS(AA98&lt;=4,1,AA98&lt;=8,2,AA98&gt;8,3)</f>
        <v>1</v>
      </c>
      <c r="AC98" s="29">
        <f>LOOKUP(AA98,$AP$5:$AP$46,$AQ$5:$AQ$46)</f>
        <v>4000</v>
      </c>
      <c r="AD98" s="4">
        <f>IF(V98&lt;0,1,MATCH(V98,BSFC!$P$21:$AD$21,1))</f>
        <v>11</v>
      </c>
      <c r="AE98" s="4">
        <f>MATCH(AC98,BSFC!$O$22:$O$36,1)</f>
        <v>8</v>
      </c>
      <c r="AF98" s="4" cm="1">
        <f t="array" ref="AF98">INDEX(BSFC!$P$22:$AD$36,AD98,AE98)</f>
        <v>431</v>
      </c>
      <c r="AG98" s="5">
        <f>IF(V98&lt;0,((V98=0)*AF98/760),V98*AF98/760)</f>
        <v>7.395682748538011</v>
      </c>
      <c r="AH98" s="28">
        <f t="shared" si="38"/>
        <v>2.0543563190383364E-3</v>
      </c>
      <c r="AI98" s="28">
        <f t="shared" si="44"/>
        <v>9.7733729791993643E-2</v>
      </c>
      <c r="AJ98" s="28">
        <f t="shared" si="39"/>
        <v>135.74129137776893</v>
      </c>
      <c r="AK98" s="20"/>
      <c r="AL98" s="20"/>
      <c r="AM98" s="20"/>
      <c r="AN98" s="20"/>
      <c r="AO98" s="20"/>
    </row>
    <row r="99" spans="1:41" x14ac:dyDescent="0.25">
      <c r="A99" s="4">
        <v>53.308979999999998</v>
      </c>
      <c r="B99" s="4">
        <v>-6.0609999999999997E-2</v>
      </c>
      <c r="C99" s="4">
        <v>113</v>
      </c>
      <c r="D99" s="5">
        <f t="shared" si="24"/>
        <v>1217.8291139240534</v>
      </c>
      <c r="E99" s="4">
        <f t="shared" si="25"/>
        <v>12</v>
      </c>
      <c r="F99" s="4">
        <v>48.747999999999998</v>
      </c>
      <c r="G99" s="5">
        <f t="shared" si="26"/>
        <v>13.54111111111111</v>
      </c>
      <c r="H99" s="5">
        <f t="shared" si="27"/>
        <v>0.96705038467011839</v>
      </c>
      <c r="I99" s="5">
        <f t="shared" si="40"/>
        <v>105.9398959198527</v>
      </c>
      <c r="J99" s="5">
        <f t="shared" si="41"/>
        <v>0</v>
      </c>
      <c r="K99" s="5">
        <f>J99*$K$2</f>
        <v>0</v>
      </c>
      <c r="L99" s="5">
        <f t="shared" si="28"/>
        <v>91.044579996999985</v>
      </c>
      <c r="M99" s="5">
        <f>($K$2*$G$2*E99)/1000</f>
        <v>60.884784000000018</v>
      </c>
      <c r="N99" s="5">
        <f>(0.5*$K$2*(G99^2))/1000</f>
        <v>47.417333065925931</v>
      </c>
      <c r="O99" s="5">
        <f t="shared" si="29"/>
        <v>-0.152730787820203</v>
      </c>
      <c r="P99" s="5">
        <f t="shared" si="30"/>
        <v>-0.15155956893708497</v>
      </c>
      <c r="Q99" s="5">
        <f t="shared" si="31"/>
        <v>-8.6837236449170216</v>
      </c>
      <c r="R99" s="5">
        <f>($K$2*$G$2*SIN(Q99))</f>
        <v>-3425.1045539960332</v>
      </c>
      <c r="S99" s="4">
        <f xml:space="preserve"> ($P$3*($K$2*$G$2))</f>
        <v>304.42392000000007</v>
      </c>
      <c r="T99" s="5">
        <f t="shared" si="32"/>
        <v>-3.0296360539990332</v>
      </c>
      <c r="U99" s="5">
        <f t="shared" si="33"/>
        <v>-41.024638433429132</v>
      </c>
      <c r="V99" s="27">
        <f t="shared" si="34"/>
        <v>-41.024638433429132</v>
      </c>
      <c r="W99" s="27">
        <f t="shared" si="35"/>
        <v>-41.024638433429132</v>
      </c>
      <c r="X99" s="27">
        <f t="shared" si="42"/>
        <v>-1282.7915097750085</v>
      </c>
      <c r="Y99" s="28">
        <f t="shared" si="36"/>
        <v>0</v>
      </c>
      <c r="Z99" s="28">
        <f t="shared" si="43"/>
        <v>624.31357201955848</v>
      </c>
      <c r="AA99" s="27">
        <f t="shared" si="37"/>
        <v>13.541111111111112</v>
      </c>
      <c r="AB99" s="4" cm="1">
        <f t="array" ref="AB99">_xlfn.IFS(AA99&lt;=4,1,AA99&lt;=8,2,AA99&gt;8,3)</f>
        <v>3</v>
      </c>
      <c r="AC99" s="29">
        <f>LOOKUP(AA99,$AP$5:$AP$46,$AQ$5:$AQ$46)</f>
        <v>5332.7</v>
      </c>
      <c r="AD99" s="4">
        <f>IF(V99&lt;0,1,MATCH(V99,BSFC!$P$21:$AD$21,1))</f>
        <v>1</v>
      </c>
      <c r="AE99" s="4">
        <f>MATCH(AC99,BSFC!$O$22:$O$36,1)</f>
        <v>10</v>
      </c>
      <c r="AF99" s="4" cm="1">
        <f t="array" ref="AF99">INDEX(BSFC!$P$22:$AD$36,AD99,AE99)</f>
        <v>500</v>
      </c>
      <c r="AG99" s="5">
        <f>IF(V99&lt;0,((V99=0)*AF99/760),V99*AF99/760)</f>
        <v>0</v>
      </c>
      <c r="AH99" s="28">
        <f t="shared" si="38"/>
        <v>0</v>
      </c>
      <c r="AI99" s="28">
        <f t="shared" si="44"/>
        <v>9.7733729791993643E-2</v>
      </c>
      <c r="AJ99" s="28">
        <f t="shared" si="39"/>
        <v>135.74129137776893</v>
      </c>
      <c r="AK99" s="20"/>
      <c r="AL99" s="20"/>
      <c r="AM99" s="20"/>
      <c r="AN99" s="20"/>
      <c r="AO99" s="20"/>
    </row>
    <row r="100" spans="1:41" x14ac:dyDescent="0.25">
      <c r="A100" s="4">
        <v>53.309089999999998</v>
      </c>
      <c r="B100" s="4">
        <v>-6.0600000000000001E-2</v>
      </c>
      <c r="C100" s="4">
        <v>111</v>
      </c>
      <c r="D100" s="5">
        <f t="shared" si="24"/>
        <v>1230.9240506329143</v>
      </c>
      <c r="E100" s="4">
        <f t="shared" si="25"/>
        <v>10</v>
      </c>
      <c r="F100" s="4">
        <v>48.747999999999998</v>
      </c>
      <c r="G100" s="5">
        <f t="shared" si="26"/>
        <v>13.54111111111111</v>
      </c>
      <c r="H100" s="5">
        <f t="shared" si="27"/>
        <v>1.0057125944425254</v>
      </c>
      <c r="I100" s="5">
        <f t="shared" si="40"/>
        <v>106.94560851429523</v>
      </c>
      <c r="J100" s="5">
        <f t="shared" si="41"/>
        <v>0</v>
      </c>
      <c r="K100" s="5">
        <f>J100*$K$2</f>
        <v>0</v>
      </c>
      <c r="L100" s="5">
        <f t="shared" si="28"/>
        <v>91.044579996999985</v>
      </c>
      <c r="M100" s="5">
        <f>($K$2*$G$2*E100)/1000</f>
        <v>50.737320000000004</v>
      </c>
      <c r="N100" s="5">
        <f>(0.5*$K$2*(G100^2))/1000</f>
        <v>47.417333065925931</v>
      </c>
      <c r="O100" s="5">
        <f t="shared" si="29"/>
        <v>-0.152730787820203</v>
      </c>
      <c r="P100" s="5">
        <f t="shared" si="30"/>
        <v>-0.15155956893708497</v>
      </c>
      <c r="Q100" s="5">
        <f t="shared" si="31"/>
        <v>-8.6837236449170216</v>
      </c>
      <c r="R100" s="5">
        <f>($K$2*$G$2*SIN(Q100))</f>
        <v>-3425.1045539960332</v>
      </c>
      <c r="S100" s="4">
        <f xml:space="preserve"> ($P$3*($K$2*$G$2))</f>
        <v>304.42392000000007</v>
      </c>
      <c r="T100" s="5">
        <f t="shared" si="32"/>
        <v>-3.0296360539990332</v>
      </c>
      <c r="U100" s="5">
        <f t="shared" si="33"/>
        <v>-41.024638433429132</v>
      </c>
      <c r="V100" s="27">
        <f t="shared" si="34"/>
        <v>-41.024638433429132</v>
      </c>
      <c r="W100" s="27">
        <f t="shared" si="35"/>
        <v>-41.024638433429132</v>
      </c>
      <c r="X100" s="27">
        <f t="shared" si="42"/>
        <v>-1323.8161482084377</v>
      </c>
      <c r="Y100" s="28">
        <f t="shared" si="36"/>
        <v>0</v>
      </c>
      <c r="Z100" s="28">
        <f t="shared" si="43"/>
        <v>624.31357201955848</v>
      </c>
      <c r="AA100" s="27">
        <f t="shared" si="37"/>
        <v>13.541111111111112</v>
      </c>
      <c r="AB100" s="4" cm="1">
        <f t="array" ref="AB100">_xlfn.IFS(AA100&lt;=4,1,AA100&lt;=8,2,AA100&gt;8,3)</f>
        <v>3</v>
      </c>
      <c r="AC100" s="29">
        <f>LOOKUP(AA100,$AP$5:$AP$46,$AQ$5:$AQ$46)</f>
        <v>5332.7</v>
      </c>
      <c r="AD100" s="4">
        <f>IF(V100&lt;0,1,MATCH(V100,BSFC!$P$21:$AD$21,1))</f>
        <v>1</v>
      </c>
      <c r="AE100" s="4">
        <f>MATCH(AC100,BSFC!$O$22:$O$36,1)</f>
        <v>10</v>
      </c>
      <c r="AF100" s="4" cm="1">
        <f t="array" ref="AF100">INDEX(BSFC!$P$22:$AD$36,AD100,AE100)</f>
        <v>500</v>
      </c>
      <c r="AG100" s="5">
        <f>IF(V100&lt;0,((V100=0)*AF100/760),V100*AF100/760)</f>
        <v>0</v>
      </c>
      <c r="AH100" s="28">
        <f t="shared" si="38"/>
        <v>0</v>
      </c>
      <c r="AI100" s="28">
        <f t="shared" si="44"/>
        <v>9.7733729791993643E-2</v>
      </c>
      <c r="AJ100" s="28">
        <f t="shared" si="39"/>
        <v>135.74129137776893</v>
      </c>
      <c r="AK100" s="20"/>
      <c r="AL100" s="20"/>
      <c r="AM100" s="20"/>
      <c r="AN100" s="20"/>
      <c r="AO100" s="20"/>
    </row>
    <row r="101" spans="1:41" x14ac:dyDescent="0.25">
      <c r="A101" s="4">
        <v>53.309190000000001</v>
      </c>
      <c r="B101" s="4">
        <v>-6.0639999999999999E-2</v>
      </c>
      <c r="C101" s="4">
        <v>109</v>
      </c>
      <c r="D101" s="5">
        <f t="shared" si="24"/>
        <v>1244.0189873417751</v>
      </c>
      <c r="E101" s="4">
        <f t="shared" si="25"/>
        <v>8</v>
      </c>
      <c r="F101" s="4">
        <v>45</v>
      </c>
      <c r="G101" s="5">
        <f t="shared" si="26"/>
        <v>12.5</v>
      </c>
      <c r="H101" s="5">
        <f t="shared" si="27"/>
        <v>1.1092181682799749</v>
      </c>
      <c r="I101" s="5">
        <f t="shared" si="40"/>
        <v>108.05482668257521</v>
      </c>
      <c r="J101" s="5">
        <f t="shared" si="41"/>
        <v>-0.9385990428966009</v>
      </c>
      <c r="K101" s="5">
        <f>J101*$K$2</f>
        <v>-485.44342498612201</v>
      </c>
      <c r="L101" s="5">
        <f t="shared" si="28"/>
        <v>77.582812500000003</v>
      </c>
      <c r="M101" s="5">
        <f>($K$2*$G$2*E101)/1000</f>
        <v>40.589856000000005</v>
      </c>
      <c r="N101" s="5">
        <f>(0.5*$K$2*(G101^2))/1000</f>
        <v>40.40625</v>
      </c>
      <c r="O101" s="5">
        <f t="shared" si="29"/>
        <v>-7.6365393910101498E-2</v>
      </c>
      <c r="P101" s="5">
        <f t="shared" si="30"/>
        <v>-7.6217465157670902E-2</v>
      </c>
      <c r="Q101" s="5">
        <f t="shared" si="31"/>
        <v>-4.3669390787199465</v>
      </c>
      <c r="R101" s="5">
        <f>($K$2*$G$2*SIN(Q101))</f>
        <v>4773.9921601452697</v>
      </c>
      <c r="S101" s="4">
        <f xml:space="preserve"> ($P$3*($K$2*$G$2))</f>
        <v>304.42392000000007</v>
      </c>
      <c r="T101" s="5">
        <f t="shared" si="32"/>
        <v>4.6705554676591472</v>
      </c>
      <c r="U101" s="5">
        <f t="shared" si="33"/>
        <v>58.381943345739337</v>
      </c>
      <c r="V101" s="27">
        <f t="shared" si="34"/>
        <v>12</v>
      </c>
      <c r="W101" s="27">
        <f t="shared" si="35"/>
        <v>0</v>
      </c>
      <c r="X101" s="27">
        <f t="shared" si="42"/>
        <v>-1323.8161482084377</v>
      </c>
      <c r="Y101" s="28">
        <f t="shared" si="36"/>
        <v>12</v>
      </c>
      <c r="Z101" s="28">
        <f t="shared" si="43"/>
        <v>636.31357201955848</v>
      </c>
      <c r="AA101" s="27">
        <f t="shared" si="37"/>
        <v>2.569287546865239</v>
      </c>
      <c r="AB101" s="4" cm="1">
        <f t="array" ref="AB101">_xlfn.IFS(AA101&lt;=4,1,AA101&lt;=8,2,AA101&gt;8,3)</f>
        <v>1</v>
      </c>
      <c r="AC101" s="29">
        <f>LOOKUP(AA101,$AP$5:$AP$46,$AQ$5:$AQ$46)</f>
        <v>4000</v>
      </c>
      <c r="AD101" s="4">
        <f>IF(V101&lt;0,1,MATCH(V101,BSFC!$P$21:$AD$21,1))</f>
        <v>10</v>
      </c>
      <c r="AE101" s="4">
        <f>MATCH(AC101,BSFC!$O$22:$O$36,1)</f>
        <v>8</v>
      </c>
      <c r="AF101" s="4" cm="1">
        <f t="array" ref="AF101">INDEX(BSFC!$P$22:$AD$36,AD101,AE101)</f>
        <v>419</v>
      </c>
      <c r="AG101" s="5">
        <f>IF(V101&lt;0,((V101=0)*AF101/760),V101*AF101/760)</f>
        <v>6.6157894736842104</v>
      </c>
      <c r="AH101" s="28">
        <f t="shared" si="38"/>
        <v>1.837719298245614E-3</v>
      </c>
      <c r="AI101" s="28">
        <f t="shared" si="44"/>
        <v>9.9571449090239253E-2</v>
      </c>
      <c r="AJ101" s="28">
        <f t="shared" si="39"/>
        <v>138.29367929199896</v>
      </c>
      <c r="AK101" s="20"/>
      <c r="AL101" s="20"/>
      <c r="AM101" s="20"/>
      <c r="AN101" s="20"/>
      <c r="AO101" s="20"/>
    </row>
    <row r="102" spans="1:41" x14ac:dyDescent="0.25">
      <c r="A102" s="4">
        <v>53.309289999999997</v>
      </c>
      <c r="B102" s="4">
        <v>-6.0769999999999998E-2</v>
      </c>
      <c r="C102" s="4">
        <v>108</v>
      </c>
      <c r="D102" s="5">
        <f t="shared" si="24"/>
        <v>1257.1139240506359</v>
      </c>
      <c r="E102" s="4">
        <f t="shared" si="25"/>
        <v>7</v>
      </c>
      <c r="F102" s="4">
        <v>40</v>
      </c>
      <c r="G102" s="5">
        <f t="shared" si="26"/>
        <v>11.111111111111111</v>
      </c>
      <c r="H102" s="5">
        <f t="shared" si="27"/>
        <v>1.2571139240506382</v>
      </c>
      <c r="I102" s="5">
        <f t="shared" si="40"/>
        <v>109.31194060662585</v>
      </c>
      <c r="J102" s="5">
        <f t="shared" si="41"/>
        <v>-1.1048234072641918</v>
      </c>
      <c r="K102" s="5">
        <f>J102*$K$2</f>
        <v>-571.41466623704002</v>
      </c>
      <c r="L102" s="5">
        <f t="shared" si="28"/>
        <v>61.3</v>
      </c>
      <c r="M102" s="5">
        <f>($K$2*$G$2*E102)/1000</f>
        <v>35.516124000000005</v>
      </c>
      <c r="N102" s="5">
        <f>(0.5*$K$2*(G102^2))/1000</f>
        <v>31.925925925925927</v>
      </c>
      <c r="O102" s="5">
        <f t="shared" si="29"/>
        <v>0</v>
      </c>
      <c r="P102" s="5">
        <f t="shared" si="30"/>
        <v>0</v>
      </c>
      <c r="Q102" s="5">
        <f t="shared" si="31"/>
        <v>0</v>
      </c>
      <c r="R102" s="5">
        <f>($K$2*$G$2*SIN(Q102))</f>
        <v>0</v>
      </c>
      <c r="S102" s="4">
        <f xml:space="preserve"> ($P$3*($K$2*$G$2))</f>
        <v>304.42392000000007</v>
      </c>
      <c r="T102" s="5">
        <f t="shared" si="32"/>
        <v>-0.20569074623703995</v>
      </c>
      <c r="U102" s="5">
        <f t="shared" si="33"/>
        <v>-2.2854527359671106</v>
      </c>
      <c r="V102" s="27">
        <f t="shared" si="34"/>
        <v>-2.2854527359671106</v>
      </c>
      <c r="W102" s="27">
        <f t="shared" si="35"/>
        <v>-2.2854527359671106</v>
      </c>
      <c r="X102" s="27">
        <f t="shared" si="42"/>
        <v>-1326.1016009444047</v>
      </c>
      <c r="Y102" s="28">
        <f t="shared" si="36"/>
        <v>0</v>
      </c>
      <c r="Z102" s="28">
        <f t="shared" si="43"/>
        <v>636.31357201955848</v>
      </c>
      <c r="AA102" s="27">
        <f t="shared" si="37"/>
        <v>11.111111111111111</v>
      </c>
      <c r="AB102" s="4" cm="1">
        <f t="array" ref="AB102">_xlfn.IFS(AA102&lt;=4,1,AA102&lt;=8,2,AA102&gt;8,3)</f>
        <v>3</v>
      </c>
      <c r="AC102" s="29">
        <f>LOOKUP(AA102,$AP$5:$AP$46,$AQ$5:$AQ$46)</f>
        <v>2999.6</v>
      </c>
      <c r="AD102" s="4">
        <f>IF(V102&lt;0,1,MATCH(V102,BSFC!$P$21:$AD$21,1))</f>
        <v>1</v>
      </c>
      <c r="AE102" s="4">
        <f>MATCH(AC102,BSFC!$O$22:$O$36,1)</f>
        <v>5</v>
      </c>
      <c r="AF102" s="4" cm="1">
        <f t="array" ref="AF102">INDEX(BSFC!$P$22:$AD$36,AD102,AE102)</f>
        <v>566</v>
      </c>
      <c r="AG102" s="5">
        <f>IF(V102&lt;0,((V102=0)*AF102/760),V102*AF102/760)</f>
        <v>0</v>
      </c>
      <c r="AH102" s="28">
        <f t="shared" si="38"/>
        <v>0</v>
      </c>
      <c r="AI102" s="28">
        <f t="shared" si="44"/>
        <v>9.9571449090239253E-2</v>
      </c>
      <c r="AJ102" s="28">
        <f t="shared" si="39"/>
        <v>138.29367929199896</v>
      </c>
      <c r="AK102" s="20"/>
      <c r="AL102" s="20"/>
      <c r="AM102" s="20"/>
      <c r="AN102" s="20"/>
      <c r="AO102" s="20"/>
    </row>
    <row r="103" spans="1:41" x14ac:dyDescent="0.25">
      <c r="A103" s="4">
        <v>53.309370000000001</v>
      </c>
      <c r="B103" s="4">
        <v>-6.0940000000000001E-2</v>
      </c>
      <c r="C103" s="4">
        <v>108</v>
      </c>
      <c r="D103" s="5">
        <f t="shared" ref="D103:D134" si="45">D102+$A$2</f>
        <v>1270.2088607594967</v>
      </c>
      <c r="E103" s="4">
        <f t="shared" si="25"/>
        <v>7</v>
      </c>
      <c r="F103" s="4">
        <v>35</v>
      </c>
      <c r="G103" s="5">
        <f t="shared" si="26"/>
        <v>9.7222222222222214</v>
      </c>
      <c r="H103" s="5">
        <f t="shared" si="27"/>
        <v>1.4505160662122747</v>
      </c>
      <c r="I103" s="5">
        <f t="shared" si="40"/>
        <v>110.76245667283813</v>
      </c>
      <c r="J103" s="5">
        <f t="shared" si="41"/>
        <v>-0.95751361962897052</v>
      </c>
      <c r="K103" s="5">
        <f>J103*$K$2</f>
        <v>-495.2260440721036</v>
      </c>
      <c r="L103" s="5">
        <f t="shared" si="28"/>
        <v>46.932812499999997</v>
      </c>
      <c r="M103" s="5">
        <f>($K$2*$G$2*E103)/1000</f>
        <v>35.516124000000005</v>
      </c>
      <c r="N103" s="5">
        <f>(0.5*$K$2*(G103^2))/1000</f>
        <v>24.443287037037038</v>
      </c>
      <c r="O103" s="5">
        <f t="shared" ref="O103:O134" si="46">(E104-E103)/$A$2</f>
        <v>7.6365393910101498E-2</v>
      </c>
      <c r="P103" s="5">
        <f t="shared" si="30"/>
        <v>7.6217465157670902E-2</v>
      </c>
      <c r="Q103" s="5">
        <f t="shared" si="31"/>
        <v>4.3669390787199465</v>
      </c>
      <c r="R103" s="5">
        <f>($K$2*$G$2*SIN(Q103))</f>
        <v>-4773.9921601452697</v>
      </c>
      <c r="S103" s="4">
        <f xml:space="preserve"> ($P$3*($K$2*$G$2))</f>
        <v>304.42392000000007</v>
      </c>
      <c r="T103" s="5">
        <f t="shared" si="32"/>
        <v>-4.917861471717373</v>
      </c>
      <c r="U103" s="5">
        <f t="shared" si="33"/>
        <v>-47.812542086141121</v>
      </c>
      <c r="V103" s="27">
        <f t="shared" si="34"/>
        <v>-47.812542086141121</v>
      </c>
      <c r="W103" s="27">
        <f t="shared" si="35"/>
        <v>-47.812542086141121</v>
      </c>
      <c r="X103" s="27">
        <f t="shared" si="42"/>
        <v>-1373.9141430305458</v>
      </c>
      <c r="Y103" s="28">
        <f t="shared" si="36"/>
        <v>0</v>
      </c>
      <c r="Z103" s="28">
        <f t="shared" si="43"/>
        <v>636.31357201955848</v>
      </c>
      <c r="AA103" s="27">
        <f t="shared" si="37"/>
        <v>9.7222222222222214</v>
      </c>
      <c r="AB103" s="4" cm="1">
        <f t="array" ref="AB103">_xlfn.IFS(AA103&lt;=4,1,AA103&lt;=8,2,AA103&gt;8,3)</f>
        <v>3</v>
      </c>
      <c r="AC103" s="29">
        <f>LOOKUP(AA103,$AP$5:$AP$46,$AQ$5:$AQ$46)</f>
        <v>1666</v>
      </c>
      <c r="AD103" s="4">
        <f>IF(V103&lt;0,1,MATCH(V103,BSFC!$P$21:$AD$21,1))</f>
        <v>1</v>
      </c>
      <c r="AE103" s="4">
        <f>MATCH(AC103,BSFC!$O$22:$O$36,1)</f>
        <v>3</v>
      </c>
      <c r="AF103" s="4" cm="1">
        <f t="array" ref="AF103">INDEX(BSFC!$P$22:$AD$36,AD103,AE103)</f>
        <v>584</v>
      </c>
      <c r="AG103" s="5">
        <f>IF(V103&lt;0,((V103=0)*AF103/760),V103*AF103/760)</f>
        <v>0</v>
      </c>
      <c r="AH103" s="28">
        <f t="shared" si="38"/>
        <v>0</v>
      </c>
      <c r="AI103" s="28">
        <f t="shared" si="44"/>
        <v>9.9571449090239253E-2</v>
      </c>
      <c r="AJ103" s="28">
        <f t="shared" si="39"/>
        <v>138.29367929199896</v>
      </c>
      <c r="AK103" s="20"/>
      <c r="AL103" s="20"/>
      <c r="AM103" s="20"/>
      <c r="AN103" s="20"/>
      <c r="AO103" s="20"/>
    </row>
    <row r="104" spans="1:41" x14ac:dyDescent="0.25">
      <c r="A104" s="4">
        <v>53.309429999999999</v>
      </c>
      <c r="B104" s="4">
        <v>-6.1109999999999998E-2</v>
      </c>
      <c r="C104" s="4">
        <v>109</v>
      </c>
      <c r="D104" s="5">
        <f t="shared" si="45"/>
        <v>1283.3037974683575</v>
      </c>
      <c r="E104" s="4">
        <f t="shared" si="25"/>
        <v>8</v>
      </c>
      <c r="F104" s="4">
        <v>30</v>
      </c>
      <c r="G104" s="5">
        <f t="shared" si="26"/>
        <v>8.3333333333333339</v>
      </c>
      <c r="H104" s="5">
        <f t="shared" si="27"/>
        <v>1.6397138139790934</v>
      </c>
      <c r="I104" s="5">
        <f t="shared" si="40"/>
        <v>112.40217048681723</v>
      </c>
      <c r="J104" s="5">
        <f t="shared" si="41"/>
        <v>-0.84703127890254559</v>
      </c>
      <c r="K104" s="5">
        <f>J104*$K$2</f>
        <v>-438.0845774483966</v>
      </c>
      <c r="L104" s="5">
        <f t="shared" si="28"/>
        <v>34.481250000000003</v>
      </c>
      <c r="M104" s="5">
        <f>($K$2*$G$2*E104)/1000</f>
        <v>40.589856000000005</v>
      </c>
      <c r="N104" s="5">
        <f>(0.5*$K$2*(G104^2))/1000</f>
        <v>17.958333333333339</v>
      </c>
      <c r="O104" s="5">
        <f t="shared" si="46"/>
        <v>0.152730787820203</v>
      </c>
      <c r="P104" s="5">
        <f t="shared" si="30"/>
        <v>0.15155956893708497</v>
      </c>
      <c r="Q104" s="5">
        <f t="shared" si="31"/>
        <v>8.6837236449170216</v>
      </c>
      <c r="R104" s="5">
        <f>($K$2*$G$2*SIN(Q104))</f>
        <v>3425.1045539960332</v>
      </c>
      <c r="S104" s="4">
        <f xml:space="preserve"> ($P$3*($K$2*$G$2))</f>
        <v>304.42392000000007</v>
      </c>
      <c r="T104" s="5">
        <f t="shared" si="32"/>
        <v>3.3259251465476369</v>
      </c>
      <c r="U104" s="5">
        <f t="shared" si="33"/>
        <v>27.716042887896975</v>
      </c>
      <c r="V104" s="27">
        <f t="shared" si="34"/>
        <v>7.8333333333333339</v>
      </c>
      <c r="W104" s="27">
        <f t="shared" si="35"/>
        <v>0</v>
      </c>
      <c r="X104" s="27">
        <f t="shared" si="42"/>
        <v>-1373.9141430305458</v>
      </c>
      <c r="Y104" s="28">
        <f t="shared" si="36"/>
        <v>7.8333333333333339</v>
      </c>
      <c r="Z104" s="28">
        <f t="shared" si="43"/>
        <v>644.14690535289185</v>
      </c>
      <c r="AA104" s="27">
        <f t="shared" si="37"/>
        <v>2.355234404918721</v>
      </c>
      <c r="AB104" s="4" cm="1">
        <f t="array" ref="AB104">_xlfn.IFS(AA104&lt;=4,1,AA104&lt;=8,2,AA104&gt;8,3)</f>
        <v>1</v>
      </c>
      <c r="AC104" s="29">
        <f>LOOKUP(AA104,$AP$5:$AP$46,$AQ$5:$AQ$46)</f>
        <v>4000</v>
      </c>
      <c r="AD104" s="4">
        <f>IF(V104&lt;0,1,MATCH(V104,BSFC!$P$21:$AD$21,1))</f>
        <v>7</v>
      </c>
      <c r="AE104" s="4">
        <f>MATCH(AC104,BSFC!$O$22:$O$36,1)</f>
        <v>8</v>
      </c>
      <c r="AF104" s="4" cm="1">
        <f t="array" ref="AF104">INDEX(BSFC!$P$22:$AD$36,AD104,AE104)</f>
        <v>428</v>
      </c>
      <c r="AG104" s="5">
        <f>IF(V104&lt;0,((V104=0)*AF104/760),V104*AF104/760)</f>
        <v>4.4114035087719303</v>
      </c>
      <c r="AH104" s="28">
        <f t="shared" si="38"/>
        <v>1.2253898635477584E-3</v>
      </c>
      <c r="AI104" s="28">
        <f t="shared" si="44"/>
        <v>0.10079683895378701</v>
      </c>
      <c r="AJ104" s="28">
        <f t="shared" si="39"/>
        <v>139.99560965803749</v>
      </c>
      <c r="AK104" s="20"/>
      <c r="AL104" s="20"/>
      <c r="AM104" s="20"/>
      <c r="AN104" s="20"/>
      <c r="AO104" s="20"/>
    </row>
    <row r="105" spans="1:41" x14ac:dyDescent="0.25">
      <c r="A105" s="4">
        <v>53.3095</v>
      </c>
      <c r="B105" s="4">
        <v>-6.1260000000000002E-2</v>
      </c>
      <c r="C105" s="4">
        <v>111</v>
      </c>
      <c r="D105" s="5">
        <f t="shared" si="45"/>
        <v>1296.3987341772183</v>
      </c>
      <c r="E105" s="4">
        <f t="shared" si="25"/>
        <v>10</v>
      </c>
      <c r="F105" s="4">
        <v>27.5</v>
      </c>
      <c r="G105" s="5">
        <f t="shared" si="26"/>
        <v>7.6388888888888884</v>
      </c>
      <c r="H105" s="5">
        <f t="shared" si="27"/>
        <v>1.5845973832571068</v>
      </c>
      <c r="I105" s="5">
        <f t="shared" si="40"/>
        <v>113.98676787007433</v>
      </c>
      <c r="J105" s="5">
        <f t="shared" si="41"/>
        <v>-0.43824661821479877</v>
      </c>
      <c r="K105" s="5">
        <f>J105*$K$2</f>
        <v>-226.66115094069394</v>
      </c>
      <c r="L105" s="5">
        <f t="shared" si="28"/>
        <v>28.973828124999997</v>
      </c>
      <c r="M105" s="5">
        <f>($K$2*$G$2*E105)/1000</f>
        <v>50.737320000000004</v>
      </c>
      <c r="N105" s="5">
        <f>(0.5*$K$2*(G105^2))/1000</f>
        <v>15.089988425925926</v>
      </c>
      <c r="O105" s="5">
        <f t="shared" si="46"/>
        <v>7.6365393910101498E-2</v>
      </c>
      <c r="P105" s="5">
        <f t="shared" si="30"/>
        <v>7.6217465157670902E-2</v>
      </c>
      <c r="Q105" s="5">
        <f t="shared" si="31"/>
        <v>4.3669390787199465</v>
      </c>
      <c r="R105" s="5">
        <f>($K$2*$G$2*SIN(Q105))</f>
        <v>-4773.9921601452697</v>
      </c>
      <c r="S105" s="4">
        <f xml:space="preserve"> ($P$3*($K$2*$G$2))</f>
        <v>304.42392000000007</v>
      </c>
      <c r="T105" s="5">
        <f t="shared" si="32"/>
        <v>-4.6672555629609631</v>
      </c>
      <c r="U105" s="5">
        <f t="shared" si="33"/>
        <v>-35.652646661507355</v>
      </c>
      <c r="V105" s="27">
        <f t="shared" si="34"/>
        <v>-35.652646661507355</v>
      </c>
      <c r="W105" s="27">
        <f t="shared" si="35"/>
        <v>-35.652646661507355</v>
      </c>
      <c r="X105" s="27">
        <f t="shared" si="42"/>
        <v>-1409.5667896920531</v>
      </c>
      <c r="Y105" s="28">
        <f t="shared" si="36"/>
        <v>0</v>
      </c>
      <c r="Z105" s="28">
        <f t="shared" si="43"/>
        <v>644.14690535289185</v>
      </c>
      <c r="AA105" s="27">
        <f t="shared" si="37"/>
        <v>7.6388888888888884</v>
      </c>
      <c r="AB105" s="4" cm="1">
        <f t="array" ref="AB105">_xlfn.IFS(AA105&lt;=4,1,AA105&lt;=8,2,AA105&gt;8,3)</f>
        <v>2</v>
      </c>
      <c r="AC105" s="29">
        <f>LOOKUP(AA105,$AP$5:$AP$46,$AQ$5:$AQ$46)</f>
        <v>5000</v>
      </c>
      <c r="AD105" s="4">
        <f>IF(V105&lt;0,1,MATCH(V105,BSFC!$P$21:$AD$21,1))</f>
        <v>1</v>
      </c>
      <c r="AE105" s="4">
        <f>MATCH(AC105,BSFC!$O$22:$O$36,1)</f>
        <v>10</v>
      </c>
      <c r="AF105" s="4" cm="1">
        <f t="array" ref="AF105">INDEX(BSFC!$P$22:$AD$36,AD105,AE105)</f>
        <v>500</v>
      </c>
      <c r="AG105" s="5">
        <f>IF(V105&lt;0,((V105=0)*AF105/760),V105*AF105/760)</f>
        <v>0</v>
      </c>
      <c r="AH105" s="28">
        <f t="shared" si="38"/>
        <v>0</v>
      </c>
      <c r="AI105" s="28">
        <f t="shared" si="44"/>
        <v>0.10079683895378701</v>
      </c>
      <c r="AJ105" s="28">
        <f t="shared" si="39"/>
        <v>139.99560965803749</v>
      </c>
      <c r="AK105" s="20"/>
      <c r="AL105" s="20"/>
      <c r="AM105" s="20"/>
      <c r="AN105" s="20"/>
      <c r="AO105" s="20"/>
    </row>
    <row r="106" spans="1:41" x14ac:dyDescent="0.25">
      <c r="A106" s="4">
        <v>53.309609999999999</v>
      </c>
      <c r="B106" s="4">
        <v>-6.1269999999999998E-2</v>
      </c>
      <c r="C106" s="4">
        <v>112</v>
      </c>
      <c r="D106" s="5">
        <f t="shared" si="45"/>
        <v>1309.4936708860791</v>
      </c>
      <c r="E106" s="4">
        <f t="shared" si="25"/>
        <v>11</v>
      </c>
      <c r="F106" s="4">
        <v>32</v>
      </c>
      <c r="G106" s="5">
        <f t="shared" si="26"/>
        <v>8.8888888888888893</v>
      </c>
      <c r="H106" s="5">
        <f t="shared" si="27"/>
        <v>1.3664281783159111</v>
      </c>
      <c r="I106" s="5">
        <f t="shared" si="40"/>
        <v>115.35319604839025</v>
      </c>
      <c r="J106" s="5">
        <f t="shared" si="41"/>
        <v>0.91479378121475241</v>
      </c>
      <c r="K106" s="5">
        <f>J106*$K$2</f>
        <v>473.13134364426998</v>
      </c>
      <c r="L106" s="5">
        <f t="shared" si="28"/>
        <v>39.231999999999999</v>
      </c>
      <c r="M106" s="5">
        <f>($K$2*$G$2*E106)/1000</f>
        <v>55.811052000000011</v>
      </c>
      <c r="N106" s="5">
        <f>(0.5*$K$2*(G106^2))/1000</f>
        <v>20.432592592592599</v>
      </c>
      <c r="O106" s="5">
        <f t="shared" si="46"/>
        <v>0.22909618173030449</v>
      </c>
      <c r="P106" s="5">
        <f t="shared" si="30"/>
        <v>0.22520981023036191</v>
      </c>
      <c r="Q106" s="5">
        <f t="shared" si="31"/>
        <v>12.903571631141928</v>
      </c>
      <c r="R106" s="5">
        <f>($K$2*$G$2*SIN(Q106))</f>
        <v>1678.6291874694264</v>
      </c>
      <c r="S106" s="4">
        <f xml:space="preserve"> ($P$3*($K$2*$G$2))</f>
        <v>304.42392000000007</v>
      </c>
      <c r="T106" s="5">
        <f t="shared" si="32"/>
        <v>2.4954164511136963</v>
      </c>
      <c r="U106" s="5">
        <f t="shared" si="33"/>
        <v>22.181479565455078</v>
      </c>
      <c r="V106" s="27">
        <f t="shared" si="34"/>
        <v>8.3888888888888893</v>
      </c>
      <c r="W106" s="27">
        <f t="shared" si="35"/>
        <v>0</v>
      </c>
      <c r="X106" s="27">
        <f t="shared" si="42"/>
        <v>-1409.5667896920531</v>
      </c>
      <c r="Y106" s="28">
        <f t="shared" si="36"/>
        <v>8.3888888888888893</v>
      </c>
      <c r="Z106" s="28">
        <f t="shared" si="43"/>
        <v>652.53579424178076</v>
      </c>
      <c r="AA106" s="27">
        <f t="shared" si="37"/>
        <v>3.3617189969012808</v>
      </c>
      <c r="AB106" s="4" cm="1">
        <f t="array" ref="AB106">_xlfn.IFS(AA106&lt;=4,1,AA106&lt;=8,2,AA106&gt;8,3)</f>
        <v>1</v>
      </c>
      <c r="AC106" s="29">
        <f>LOOKUP(AA106,$AP$5:$AP$46,$AQ$5:$AQ$46)</f>
        <v>5500</v>
      </c>
      <c r="AD106" s="4">
        <f>IF(V106&lt;0,1,MATCH(V106,BSFC!$P$21:$AD$21,1))</f>
        <v>8</v>
      </c>
      <c r="AE106" s="4">
        <f>MATCH(AC106,BSFC!$O$22:$O$36,1)</f>
        <v>11</v>
      </c>
      <c r="AF106" s="4" cm="1">
        <f t="array" ref="AF106">INDEX(BSFC!$P$22:$AD$36,AD106,AE106)</f>
        <v>394</v>
      </c>
      <c r="AG106" s="5">
        <f>IF(V106&lt;0,((V106=0)*AF106/760),V106*AF106/760)</f>
        <v>4.3489766081871348</v>
      </c>
      <c r="AH106" s="28">
        <f t="shared" si="38"/>
        <v>1.2080490578297597E-3</v>
      </c>
      <c r="AI106" s="28">
        <f t="shared" si="44"/>
        <v>0.10200488801161676</v>
      </c>
      <c r="AJ106" s="28">
        <f t="shared" si="39"/>
        <v>141.67345557168994</v>
      </c>
      <c r="AK106" s="20"/>
      <c r="AL106" s="20"/>
      <c r="AM106" s="20"/>
      <c r="AN106" s="20"/>
      <c r="AO106" s="20"/>
    </row>
    <row r="107" spans="1:41" x14ac:dyDescent="0.25">
      <c r="A107" s="4">
        <v>53.309800000000003</v>
      </c>
      <c r="B107" s="4">
        <v>-6.1280000000000001E-2</v>
      </c>
      <c r="C107" s="4">
        <v>115</v>
      </c>
      <c r="D107" s="5">
        <f t="shared" si="45"/>
        <v>1322.58860759494</v>
      </c>
      <c r="E107" s="4">
        <f t="shared" si="25"/>
        <v>14</v>
      </c>
      <c r="F107" s="4">
        <v>37</v>
      </c>
      <c r="G107" s="5">
        <f t="shared" si="26"/>
        <v>10.277777777777777</v>
      </c>
      <c r="H107" s="5">
        <f t="shared" si="27"/>
        <v>1.1934625861240236</v>
      </c>
      <c r="I107" s="5">
        <f t="shared" si="40"/>
        <v>116.54665863451427</v>
      </c>
      <c r="J107" s="5">
        <f t="shared" si="41"/>
        <v>1.1637473223182804</v>
      </c>
      <c r="K107" s="5">
        <f>J107*$K$2</f>
        <v>601.89011510301464</v>
      </c>
      <c r="L107" s="5">
        <f t="shared" si="28"/>
        <v>52.449812499999993</v>
      </c>
      <c r="M107" s="5">
        <f>($K$2*$G$2*E107)/1000</f>
        <v>71.03224800000001</v>
      </c>
      <c r="N107" s="5">
        <f>(0.5*$K$2*(G107^2))/1000</f>
        <v>27.316620370370369</v>
      </c>
      <c r="O107" s="5">
        <f t="shared" si="46"/>
        <v>0.22909618173030449</v>
      </c>
      <c r="P107" s="5">
        <f t="shared" si="30"/>
        <v>0.22520981023036191</v>
      </c>
      <c r="Q107" s="5">
        <f t="shared" si="31"/>
        <v>12.903571631141928</v>
      </c>
      <c r="R107" s="5">
        <f>($K$2*$G$2*SIN(Q107))</f>
        <v>1678.6291874694264</v>
      </c>
      <c r="S107" s="4">
        <f xml:space="preserve"> ($P$3*($K$2*$G$2))</f>
        <v>304.42392000000007</v>
      </c>
      <c r="T107" s="5">
        <f t="shared" si="32"/>
        <v>2.6373930350724408</v>
      </c>
      <c r="U107" s="5">
        <f t="shared" si="33"/>
        <v>27.106539527133418</v>
      </c>
      <c r="V107" s="27">
        <f t="shared" si="34"/>
        <v>9.7777777777777768</v>
      </c>
      <c r="W107" s="27">
        <f t="shared" si="35"/>
        <v>0</v>
      </c>
      <c r="X107" s="27">
        <f t="shared" si="42"/>
        <v>-1409.5667896920531</v>
      </c>
      <c r="Y107" s="28">
        <f t="shared" si="36"/>
        <v>9.7777777777777768</v>
      </c>
      <c r="Z107" s="28">
        <f t="shared" si="43"/>
        <v>662.31357201955859</v>
      </c>
      <c r="AA107" s="27">
        <f t="shared" si="37"/>
        <v>3.7073646770699127</v>
      </c>
      <c r="AB107" s="4" cm="1">
        <f t="array" ref="AB107">_xlfn.IFS(AA107&lt;=4,1,AA107&lt;=8,2,AA107&gt;8,3)</f>
        <v>1</v>
      </c>
      <c r="AC107" s="29">
        <f>LOOKUP(AA107,$AP$5:$AP$46,$AQ$5:$AQ$46)</f>
        <v>6000</v>
      </c>
      <c r="AD107" s="4">
        <f>IF(V107&lt;0,1,MATCH(V107,BSFC!$P$21:$AD$21,1))</f>
        <v>9</v>
      </c>
      <c r="AE107" s="4">
        <f>MATCH(AC107,BSFC!$O$22:$O$36,1)</f>
        <v>12</v>
      </c>
      <c r="AF107" s="4" cm="1">
        <f t="array" ref="AF107">INDEX(BSFC!$P$22:$AD$36,AD107,AE107)</f>
        <v>394</v>
      </c>
      <c r="AG107" s="5">
        <f>IF(V107&lt;0,((V107=0)*AF107/760),V107*AF107/760)</f>
        <v>5.0690058479532158</v>
      </c>
      <c r="AH107" s="28">
        <f t="shared" si="38"/>
        <v>1.4080571799870044E-3</v>
      </c>
      <c r="AI107" s="28">
        <f t="shared" si="44"/>
        <v>0.10341294519160377</v>
      </c>
      <c r="AJ107" s="28">
        <f t="shared" si="39"/>
        <v>143.62909054389414</v>
      </c>
      <c r="AK107" s="20"/>
      <c r="AL107" s="20"/>
      <c r="AM107" s="20"/>
      <c r="AN107" s="20"/>
      <c r="AO107" s="20"/>
    </row>
    <row r="108" spans="1:41" x14ac:dyDescent="0.25">
      <c r="A108" s="4">
        <v>53.30997</v>
      </c>
      <c r="B108" s="4">
        <v>-6.1219999999999997E-2</v>
      </c>
      <c r="C108" s="4">
        <v>118</v>
      </c>
      <c r="D108" s="5">
        <f t="shared" si="45"/>
        <v>1335.6835443038008</v>
      </c>
      <c r="E108" s="4">
        <f t="shared" si="25"/>
        <v>17</v>
      </c>
      <c r="F108" s="4">
        <v>42</v>
      </c>
      <c r="G108" s="5">
        <f t="shared" si="26"/>
        <v>11.666666666666666</v>
      </c>
      <c r="H108" s="5">
        <f t="shared" si="27"/>
        <v>1.0605573037547567</v>
      </c>
      <c r="I108" s="5">
        <f t="shared" si="40"/>
        <v>117.60721593826904</v>
      </c>
      <c r="J108" s="5">
        <f t="shared" si="41"/>
        <v>1.309584012077152</v>
      </c>
      <c r="K108" s="5">
        <f>J108*$K$2</f>
        <v>677.3168510463031</v>
      </c>
      <c r="L108" s="5">
        <f t="shared" si="28"/>
        <v>67.583249999999992</v>
      </c>
      <c r="M108" s="5">
        <f>($K$2*$G$2*E108)/1000</f>
        <v>86.253444000000016</v>
      </c>
      <c r="N108" s="5">
        <f>(0.5*$K$2*(G108^2))/1000</f>
        <v>35.198333333333331</v>
      </c>
      <c r="O108" s="5">
        <f t="shared" si="46"/>
        <v>0.152730787820203</v>
      </c>
      <c r="P108" s="5">
        <f t="shared" si="30"/>
        <v>0.15155956893708497</v>
      </c>
      <c r="Q108" s="5">
        <f t="shared" si="31"/>
        <v>8.6837236449170216</v>
      </c>
      <c r="R108" s="5">
        <f>($K$2*$G$2*SIN(Q108))</f>
        <v>3425.1045539960332</v>
      </c>
      <c r="S108" s="4">
        <f xml:space="preserve"> ($P$3*($K$2*$G$2))</f>
        <v>304.42392000000007</v>
      </c>
      <c r="T108" s="5">
        <f t="shared" si="32"/>
        <v>4.4744285750423369</v>
      </c>
      <c r="U108" s="5">
        <f t="shared" si="33"/>
        <v>52.201666708827261</v>
      </c>
      <c r="V108" s="27">
        <f t="shared" si="34"/>
        <v>11.166666666666666</v>
      </c>
      <c r="W108" s="27">
        <f t="shared" si="35"/>
        <v>0</v>
      </c>
      <c r="X108" s="27">
        <f t="shared" si="42"/>
        <v>-1409.5667896920531</v>
      </c>
      <c r="Y108" s="28">
        <f t="shared" si="36"/>
        <v>11.166666666666666</v>
      </c>
      <c r="Z108" s="28">
        <f t="shared" si="43"/>
        <v>673.48023868622522</v>
      </c>
      <c r="AA108" s="27">
        <f t="shared" si="37"/>
        <v>2.4956631845578197</v>
      </c>
      <c r="AB108" s="4" cm="1">
        <f t="array" ref="AB108">_xlfn.IFS(AA108&lt;=4,1,AA108&lt;=8,2,AA108&gt;8,3)</f>
        <v>1</v>
      </c>
      <c r="AC108" s="29">
        <f>LOOKUP(AA108,$AP$5:$AP$46,$AQ$5:$AQ$46)</f>
        <v>4000</v>
      </c>
      <c r="AD108" s="4">
        <f>IF(V108&lt;0,1,MATCH(V108,BSFC!$P$21:$AD$21,1))</f>
        <v>10</v>
      </c>
      <c r="AE108" s="4">
        <f>MATCH(AC108,BSFC!$O$22:$O$36,1)</f>
        <v>8</v>
      </c>
      <c r="AF108" s="4" cm="1">
        <f t="array" ref="AF108">INDEX(BSFC!$P$22:$AD$36,AD108,AE108)</f>
        <v>419</v>
      </c>
      <c r="AG108" s="5">
        <f>IF(V108&lt;0,((V108=0)*AF108/760),V108*AF108/760)</f>
        <v>6.1563596491228063</v>
      </c>
      <c r="AH108" s="28">
        <f t="shared" si="38"/>
        <v>1.7100999025341128E-3</v>
      </c>
      <c r="AI108" s="28">
        <f t="shared" si="44"/>
        <v>0.10512304509413788</v>
      </c>
      <c r="AJ108" s="28">
        <f t="shared" si="39"/>
        <v>146.00422929741373</v>
      </c>
      <c r="AK108" s="20"/>
      <c r="AL108" s="20"/>
      <c r="AM108" s="20"/>
      <c r="AN108" s="20"/>
      <c r="AO108" s="20"/>
    </row>
    <row r="109" spans="1:41" x14ac:dyDescent="0.25">
      <c r="A109" s="4">
        <v>53.310110000000002</v>
      </c>
      <c r="B109" s="4">
        <v>-6.1150000000000003E-2</v>
      </c>
      <c r="C109" s="4">
        <v>120</v>
      </c>
      <c r="D109" s="5">
        <f t="shared" si="45"/>
        <v>1348.7784810126616</v>
      </c>
      <c r="E109" s="4">
        <f t="shared" si="25"/>
        <v>19</v>
      </c>
      <c r="F109" s="4">
        <v>46.9</v>
      </c>
      <c r="G109" s="5">
        <f t="shared" si="26"/>
        <v>13.027777777777777</v>
      </c>
      <c r="H109" s="5">
        <f t="shared" si="27"/>
        <v>0.98573461341374491</v>
      </c>
      <c r="I109" s="5">
        <f t="shared" si="40"/>
        <v>118.59295055168278</v>
      </c>
      <c r="J109" s="5">
        <f t="shared" si="41"/>
        <v>1.380808883637948</v>
      </c>
      <c r="K109" s="5">
        <f>J109*$K$2</f>
        <v>714.1543546175468</v>
      </c>
      <c r="L109" s="5">
        <f t="shared" si="28"/>
        <v>84.272558124999989</v>
      </c>
      <c r="M109" s="5">
        <f>($K$2*$G$2*E109)/1000</f>
        <v>96.400908000000015</v>
      </c>
      <c r="N109" s="5">
        <f>(0.5*$K$2*(G109^2))/1000</f>
        <v>43.890366203703707</v>
      </c>
      <c r="O109" s="5">
        <f t="shared" si="46"/>
        <v>0</v>
      </c>
      <c r="P109" s="5">
        <f t="shared" si="30"/>
        <v>0</v>
      </c>
      <c r="Q109" s="5">
        <f t="shared" si="31"/>
        <v>0</v>
      </c>
      <c r="R109" s="5">
        <f>($K$2*$G$2*SIN(Q109))</f>
        <v>0</v>
      </c>
      <c r="S109" s="4">
        <f xml:space="preserve"> ($P$3*($K$2*$G$2))</f>
        <v>304.42392000000007</v>
      </c>
      <c r="T109" s="5">
        <f t="shared" si="32"/>
        <v>1.1028508327425468</v>
      </c>
      <c r="U109" s="5">
        <f t="shared" si="33"/>
        <v>14.367695571007067</v>
      </c>
      <c r="V109" s="27">
        <f t="shared" si="34"/>
        <v>12.527777777777777</v>
      </c>
      <c r="W109" s="27">
        <f t="shared" si="35"/>
        <v>0</v>
      </c>
      <c r="X109" s="27">
        <f t="shared" si="42"/>
        <v>-1409.5667896920531</v>
      </c>
      <c r="Y109" s="28">
        <f t="shared" si="36"/>
        <v>12.527777777777777</v>
      </c>
      <c r="Z109" s="28">
        <f t="shared" si="43"/>
        <v>686.00801646400305</v>
      </c>
      <c r="AA109" s="27">
        <f t="shared" si="37"/>
        <v>11.359448989691522</v>
      </c>
      <c r="AB109" s="4" cm="1">
        <f t="array" ref="AB109">_xlfn.IFS(AA109&lt;=4,1,AA109&lt;=8,2,AA109&gt;8,3)</f>
        <v>3</v>
      </c>
      <c r="AC109" s="29">
        <f>LOOKUP(AA109,$AP$5:$AP$46,$AQ$5:$AQ$46)</f>
        <v>3332.9</v>
      </c>
      <c r="AD109" s="4">
        <f>IF(V109&lt;0,1,MATCH(V109,BSFC!$P$21:$AD$21,1))</f>
        <v>10</v>
      </c>
      <c r="AE109" s="4">
        <f>MATCH(AC109,BSFC!$O$22:$O$36,1)</f>
        <v>6</v>
      </c>
      <c r="AF109" s="4" cm="1">
        <f t="array" ref="AF109">INDEX(BSFC!$P$22:$AD$36,AD109,AE109)</f>
        <v>432</v>
      </c>
      <c r="AG109" s="5">
        <f>IF(V109&lt;0,((V109=0)*AF109/760),V109*AF109/760)</f>
        <v>7.1210526315789471</v>
      </c>
      <c r="AH109" s="28">
        <f t="shared" si="38"/>
        <v>1.9780701754385966E-3</v>
      </c>
      <c r="AI109" s="28">
        <f t="shared" si="44"/>
        <v>0.10710111526957647</v>
      </c>
      <c r="AJ109" s="28">
        <f t="shared" si="39"/>
        <v>148.75154898552287</v>
      </c>
      <c r="AK109" s="20"/>
      <c r="AL109" s="20"/>
      <c r="AM109" s="20"/>
      <c r="AN109" s="20"/>
      <c r="AO109" s="20"/>
    </row>
    <row r="110" spans="1:41" x14ac:dyDescent="0.25">
      <c r="A110" s="4">
        <v>53.31035</v>
      </c>
      <c r="B110" s="4">
        <v>-6.0999999999999999E-2</v>
      </c>
      <c r="C110" s="4">
        <v>120</v>
      </c>
      <c r="D110" s="5">
        <f t="shared" si="45"/>
        <v>1361.8734177215224</v>
      </c>
      <c r="E110" s="4">
        <f t="shared" si="25"/>
        <v>19</v>
      </c>
      <c r="F110" s="4">
        <v>48.747999999999998</v>
      </c>
      <c r="G110" s="5">
        <f t="shared" si="26"/>
        <v>13.54111111111111</v>
      </c>
      <c r="H110" s="5">
        <f t="shared" si="27"/>
        <v>0.96705038467011839</v>
      </c>
      <c r="I110" s="5">
        <f t="shared" si="40"/>
        <v>119.56000093635289</v>
      </c>
      <c r="J110" s="5">
        <f t="shared" si="41"/>
        <v>0.53082377244329781</v>
      </c>
      <c r="K110" s="5">
        <f>J110*$K$2</f>
        <v>274.54205510767366</v>
      </c>
      <c r="L110" s="5">
        <f t="shared" si="28"/>
        <v>91.044579996999985</v>
      </c>
      <c r="M110" s="5">
        <f>($K$2*$G$2*E110)/1000</f>
        <v>96.400908000000015</v>
      </c>
      <c r="N110" s="5">
        <f>(0.5*$K$2*(G110^2))/1000</f>
        <v>47.417333065925931</v>
      </c>
      <c r="O110" s="5">
        <f t="shared" si="46"/>
        <v>-0.152730787820203</v>
      </c>
      <c r="P110" s="5">
        <f t="shared" si="30"/>
        <v>-0.15155956893708497</v>
      </c>
      <c r="Q110" s="5">
        <f t="shared" si="31"/>
        <v>-8.6837236449170216</v>
      </c>
      <c r="R110" s="5">
        <f>($K$2*$G$2*SIN(Q110))</f>
        <v>-3425.1045539960332</v>
      </c>
      <c r="S110" s="4">
        <f xml:space="preserve"> ($P$3*($K$2*$G$2))</f>
        <v>304.42392000000007</v>
      </c>
      <c r="T110" s="5">
        <f t="shared" si="32"/>
        <v>-2.7550939988913599</v>
      </c>
      <c r="U110" s="5">
        <f t="shared" si="33"/>
        <v>-37.307033960543336</v>
      </c>
      <c r="V110" s="27">
        <f t="shared" si="34"/>
        <v>-37.307033960543336</v>
      </c>
      <c r="W110" s="27">
        <f t="shared" si="35"/>
        <v>-37.307033960543336</v>
      </c>
      <c r="X110" s="27">
        <f t="shared" si="42"/>
        <v>-1446.8738236525965</v>
      </c>
      <c r="Y110" s="28">
        <f t="shared" si="36"/>
        <v>0</v>
      </c>
      <c r="Z110" s="28">
        <f t="shared" si="43"/>
        <v>686.00801646400305</v>
      </c>
      <c r="AA110" s="27">
        <f t="shared" si="37"/>
        <v>13.54111111111111</v>
      </c>
      <c r="AB110" s="4" cm="1">
        <f t="array" ref="AB110">_xlfn.IFS(AA110&lt;=4,1,AA110&lt;=8,2,AA110&gt;8,3)</f>
        <v>3</v>
      </c>
      <c r="AC110" s="29">
        <f>LOOKUP(AA110,$AP$5:$AP$46,$AQ$5:$AQ$46)</f>
        <v>5332.7</v>
      </c>
      <c r="AD110" s="4">
        <f>IF(V110&lt;0,1,MATCH(V110,BSFC!$P$21:$AD$21,1))</f>
        <v>1</v>
      </c>
      <c r="AE110" s="4">
        <f>MATCH(AC110,BSFC!$O$22:$O$36,1)</f>
        <v>10</v>
      </c>
      <c r="AF110" s="4" cm="1">
        <f t="array" ref="AF110">INDEX(BSFC!$P$22:$AD$36,AD110,AE110)</f>
        <v>500</v>
      </c>
      <c r="AG110" s="5">
        <f>IF(V110&lt;0,((V110=0)*AF110/760),V110*AF110/760)</f>
        <v>0</v>
      </c>
      <c r="AH110" s="28">
        <f t="shared" si="38"/>
        <v>0</v>
      </c>
      <c r="AI110" s="28">
        <f t="shared" si="44"/>
        <v>0.10710111526957647</v>
      </c>
      <c r="AJ110" s="28">
        <f t="shared" si="39"/>
        <v>148.75154898552287</v>
      </c>
      <c r="AK110" s="20"/>
      <c r="AL110" s="20"/>
      <c r="AM110" s="20"/>
      <c r="AN110" s="20"/>
      <c r="AO110" s="20"/>
    </row>
    <row r="111" spans="1:41" x14ac:dyDescent="0.25">
      <c r="A111" s="4">
        <v>53.310600000000001</v>
      </c>
      <c r="B111" s="4">
        <v>-6.087E-2</v>
      </c>
      <c r="C111" s="4">
        <v>118</v>
      </c>
      <c r="D111" s="5">
        <f t="shared" si="45"/>
        <v>1374.9683544303832</v>
      </c>
      <c r="E111" s="4">
        <f t="shared" si="25"/>
        <v>17</v>
      </c>
      <c r="F111" s="4">
        <v>48.747999999999998</v>
      </c>
      <c r="G111" s="5">
        <f t="shared" si="26"/>
        <v>13.54111111111111</v>
      </c>
      <c r="H111" s="5">
        <f t="shared" si="27"/>
        <v>0.96705038467011839</v>
      </c>
      <c r="I111" s="5">
        <f t="shared" si="40"/>
        <v>120.52705132102301</v>
      </c>
      <c r="J111" s="5">
        <f t="shared" si="41"/>
        <v>0</v>
      </c>
      <c r="K111" s="5">
        <f>J111*$K$2</f>
        <v>0</v>
      </c>
      <c r="L111" s="5">
        <f t="shared" si="28"/>
        <v>91.044579996999985</v>
      </c>
      <c r="M111" s="5">
        <f>($K$2*$G$2*E111)/1000</f>
        <v>86.253444000000016</v>
      </c>
      <c r="N111" s="5">
        <f>(0.5*$K$2*(G111^2))/1000</f>
        <v>47.417333065925931</v>
      </c>
      <c r="O111" s="5">
        <f t="shared" si="46"/>
        <v>-7.6365393910101498E-2</v>
      </c>
      <c r="P111" s="5">
        <f t="shared" si="30"/>
        <v>-7.6217465157670902E-2</v>
      </c>
      <c r="Q111" s="5">
        <f t="shared" si="31"/>
        <v>-4.3669390787199465</v>
      </c>
      <c r="R111" s="5">
        <f>($K$2*$G$2*SIN(Q111))</f>
        <v>4773.9921601452697</v>
      </c>
      <c r="S111" s="4">
        <f xml:space="preserve"> ($P$3*($K$2*$G$2))</f>
        <v>304.42392000000007</v>
      </c>
      <c r="T111" s="5">
        <f t="shared" si="32"/>
        <v>5.1694606601422706</v>
      </c>
      <c r="U111" s="5">
        <f t="shared" si="33"/>
        <v>70.000241183504272</v>
      </c>
      <c r="V111" s="27">
        <f t="shared" si="34"/>
        <v>13.04111111111111</v>
      </c>
      <c r="W111" s="27">
        <f t="shared" si="35"/>
        <v>0</v>
      </c>
      <c r="X111" s="27">
        <f t="shared" si="42"/>
        <v>-1446.8738236525965</v>
      </c>
      <c r="Y111" s="28">
        <f t="shared" si="36"/>
        <v>13.04111111111111</v>
      </c>
      <c r="Z111" s="28">
        <f t="shared" si="43"/>
        <v>699.0491275751142</v>
      </c>
      <c r="AA111" s="27">
        <f t="shared" si="37"/>
        <v>2.5227218018430961</v>
      </c>
      <c r="AB111" s="4" cm="1">
        <f t="array" ref="AB111">_xlfn.IFS(AA111&lt;=4,1,AA111&lt;=8,2,AA111&gt;8,3)</f>
        <v>1</v>
      </c>
      <c r="AC111" s="29">
        <f>LOOKUP(AA111,$AP$5:$AP$46,$AQ$5:$AQ$46)</f>
        <v>4000</v>
      </c>
      <c r="AD111" s="4">
        <f>IF(V111&lt;0,1,MATCH(V111,BSFC!$P$21:$AD$21,1))</f>
        <v>11</v>
      </c>
      <c r="AE111" s="4">
        <f>MATCH(AC111,BSFC!$O$22:$O$36,1)</f>
        <v>8</v>
      </c>
      <c r="AF111" s="4" cm="1">
        <f t="array" ref="AF111">INDEX(BSFC!$P$22:$AD$36,AD111,AE111)</f>
        <v>431</v>
      </c>
      <c r="AG111" s="5">
        <f>IF(V111&lt;0,((V111=0)*AF111/760),V111*AF111/760)</f>
        <v>7.395682748538011</v>
      </c>
      <c r="AH111" s="28">
        <f t="shared" si="38"/>
        <v>2.0543563190383364E-3</v>
      </c>
      <c r="AI111" s="28">
        <f t="shared" si="44"/>
        <v>0.1091554715886148</v>
      </c>
      <c r="AJ111" s="28">
        <f t="shared" si="39"/>
        <v>151.60482165085389</v>
      </c>
      <c r="AK111" s="20"/>
      <c r="AL111" s="20"/>
      <c r="AM111" s="20"/>
      <c r="AN111" s="20"/>
      <c r="AO111" s="20"/>
    </row>
    <row r="112" spans="1:41" x14ac:dyDescent="0.25">
      <c r="A112" s="4">
        <v>53.310769999999998</v>
      </c>
      <c r="B112" s="4">
        <v>-6.0749999999999998E-2</v>
      </c>
      <c r="C112" s="4">
        <v>117</v>
      </c>
      <c r="D112" s="5">
        <f t="shared" si="45"/>
        <v>1388.063291139244</v>
      </c>
      <c r="E112" s="4">
        <f t="shared" si="25"/>
        <v>16</v>
      </c>
      <c r="F112" s="4">
        <v>48.747999999999998</v>
      </c>
      <c r="G112" s="5">
        <f t="shared" si="26"/>
        <v>13.54111111111111</v>
      </c>
      <c r="H112" s="5">
        <f t="shared" si="27"/>
        <v>0.96705038467011839</v>
      </c>
      <c r="I112" s="5">
        <f t="shared" si="40"/>
        <v>121.49410170569313</v>
      </c>
      <c r="J112" s="5">
        <f t="shared" si="41"/>
        <v>0</v>
      </c>
      <c r="K112" s="5">
        <f>J112*$K$2</f>
        <v>0</v>
      </c>
      <c r="L112" s="5">
        <f t="shared" si="28"/>
        <v>91.044579996999985</v>
      </c>
      <c r="M112" s="5">
        <f>($K$2*$G$2*E112)/1000</f>
        <v>81.179712000000009</v>
      </c>
      <c r="N112" s="5">
        <f>(0.5*$K$2*(G112^2))/1000</f>
        <v>47.417333065925931</v>
      </c>
      <c r="O112" s="5">
        <f t="shared" si="46"/>
        <v>7.6365393910101498E-2</v>
      </c>
      <c r="P112" s="5">
        <f t="shared" si="30"/>
        <v>7.6217465157670902E-2</v>
      </c>
      <c r="Q112" s="5">
        <f t="shared" si="31"/>
        <v>4.3669390787199465</v>
      </c>
      <c r="R112" s="5">
        <f>($K$2*$G$2*SIN(Q112))</f>
        <v>-4773.9921601452697</v>
      </c>
      <c r="S112" s="4">
        <f xml:space="preserve"> ($P$3*($K$2*$G$2))</f>
        <v>304.42392000000007</v>
      </c>
      <c r="T112" s="5">
        <f t="shared" si="32"/>
        <v>-4.3785236601482689</v>
      </c>
      <c r="U112" s="5">
        <f t="shared" si="33"/>
        <v>-59.290075384696614</v>
      </c>
      <c r="V112" s="27">
        <f t="shared" si="34"/>
        <v>-59.290075384696614</v>
      </c>
      <c r="W112" s="27">
        <f t="shared" si="35"/>
        <v>-59.290075384696614</v>
      </c>
      <c r="X112" s="27">
        <f t="shared" si="42"/>
        <v>-1506.163899037293</v>
      </c>
      <c r="Y112" s="28">
        <f t="shared" si="36"/>
        <v>0</v>
      </c>
      <c r="Z112" s="28">
        <f t="shared" si="43"/>
        <v>699.0491275751142</v>
      </c>
      <c r="AA112" s="27">
        <f t="shared" si="37"/>
        <v>13.54111111111111</v>
      </c>
      <c r="AB112" s="4" cm="1">
        <f t="array" ref="AB112">_xlfn.IFS(AA112&lt;=4,1,AA112&lt;=8,2,AA112&gt;8,3)</f>
        <v>3</v>
      </c>
      <c r="AC112" s="29">
        <f>LOOKUP(AA112,$AP$5:$AP$46,$AQ$5:$AQ$46)</f>
        <v>5332.7</v>
      </c>
      <c r="AD112" s="4">
        <f>IF(V112&lt;0,1,MATCH(V112,BSFC!$P$21:$AD$21,1))</f>
        <v>1</v>
      </c>
      <c r="AE112" s="4">
        <f>MATCH(AC112,BSFC!$O$22:$O$36,1)</f>
        <v>10</v>
      </c>
      <c r="AF112" s="4" cm="1">
        <f t="array" ref="AF112">INDEX(BSFC!$P$22:$AD$36,AD112,AE112)</f>
        <v>500</v>
      </c>
      <c r="AG112" s="5">
        <f>IF(V112&lt;0,((V112=0)*AF112/760),V112*AF112/760)</f>
        <v>0</v>
      </c>
      <c r="AH112" s="28">
        <f t="shared" si="38"/>
        <v>0</v>
      </c>
      <c r="AI112" s="28">
        <f t="shared" si="44"/>
        <v>0.1091554715886148</v>
      </c>
      <c r="AJ112" s="28">
        <f t="shared" si="39"/>
        <v>151.60482165085389</v>
      </c>
      <c r="AK112" s="20"/>
      <c r="AL112" s="20"/>
      <c r="AM112" s="20"/>
      <c r="AN112" s="20"/>
      <c r="AO112" s="20"/>
    </row>
    <row r="113" spans="1:41" x14ac:dyDescent="0.25">
      <c r="A113" s="4">
        <v>53.31091</v>
      </c>
      <c r="B113" s="4">
        <v>-6.0659999999999999E-2</v>
      </c>
      <c r="C113" s="4">
        <v>118</v>
      </c>
      <c r="D113" s="5">
        <f t="shared" si="45"/>
        <v>1401.1582278481048</v>
      </c>
      <c r="E113" s="4">
        <f t="shared" si="25"/>
        <v>17</v>
      </c>
      <c r="F113" s="4">
        <v>48.747999999999998</v>
      </c>
      <c r="G113" s="5">
        <f t="shared" si="26"/>
        <v>13.54111111111111</v>
      </c>
      <c r="H113" s="5">
        <f t="shared" si="27"/>
        <v>0.96705038467011839</v>
      </c>
      <c r="I113" s="5">
        <f t="shared" si="40"/>
        <v>122.46115209036324</v>
      </c>
      <c r="J113" s="5">
        <f t="shared" si="41"/>
        <v>0</v>
      </c>
      <c r="K113" s="5">
        <f>J113*$K$2</f>
        <v>0</v>
      </c>
      <c r="L113" s="5">
        <f t="shared" si="28"/>
        <v>91.044579996999985</v>
      </c>
      <c r="M113" s="5">
        <f>($K$2*$G$2*E113)/1000</f>
        <v>86.253444000000016</v>
      </c>
      <c r="N113" s="5">
        <f>(0.5*$K$2*(G113^2))/1000</f>
        <v>47.417333065925931</v>
      </c>
      <c r="O113" s="5">
        <f t="shared" si="46"/>
        <v>7.6365393910101498E-2</v>
      </c>
      <c r="P113" s="5">
        <f t="shared" si="30"/>
        <v>7.6217465157670902E-2</v>
      </c>
      <c r="Q113" s="5">
        <f t="shared" si="31"/>
        <v>4.3669390787199465</v>
      </c>
      <c r="R113" s="5">
        <f>($K$2*$G$2*SIN(Q113))</f>
        <v>-4773.9921601452697</v>
      </c>
      <c r="S113" s="4">
        <f xml:space="preserve"> ($P$3*($K$2*$G$2))</f>
        <v>304.42392000000007</v>
      </c>
      <c r="T113" s="5">
        <f t="shared" si="32"/>
        <v>-4.3785236601482689</v>
      </c>
      <c r="U113" s="5">
        <f t="shared" si="33"/>
        <v>-59.290075384696614</v>
      </c>
      <c r="V113" s="27">
        <f t="shared" si="34"/>
        <v>-59.290075384696614</v>
      </c>
      <c r="W113" s="27">
        <f t="shared" si="35"/>
        <v>-59.290075384696614</v>
      </c>
      <c r="X113" s="27">
        <f t="shared" si="42"/>
        <v>-1565.4539744219896</v>
      </c>
      <c r="Y113" s="28">
        <f t="shared" si="36"/>
        <v>0</v>
      </c>
      <c r="Z113" s="28">
        <f t="shared" si="43"/>
        <v>699.0491275751142</v>
      </c>
      <c r="AA113" s="27">
        <f t="shared" si="37"/>
        <v>13.54111111111111</v>
      </c>
      <c r="AB113" s="4" cm="1">
        <f t="array" ref="AB113">_xlfn.IFS(AA113&lt;=4,1,AA113&lt;=8,2,AA113&gt;8,3)</f>
        <v>3</v>
      </c>
      <c r="AC113" s="29">
        <f>LOOKUP(AA113,$AP$5:$AP$46,$AQ$5:$AQ$46)</f>
        <v>5332.7</v>
      </c>
      <c r="AD113" s="4">
        <f>IF(V113&lt;0,1,MATCH(V113,BSFC!$P$21:$AD$21,1))</f>
        <v>1</v>
      </c>
      <c r="AE113" s="4">
        <f>MATCH(AC113,BSFC!$O$22:$O$36,1)</f>
        <v>10</v>
      </c>
      <c r="AF113" s="4" cm="1">
        <f t="array" ref="AF113">INDEX(BSFC!$P$22:$AD$36,AD113,AE113)</f>
        <v>500</v>
      </c>
      <c r="AG113" s="5">
        <f>IF(V113&lt;0,((V113=0)*AF113/760),V113*AF113/760)</f>
        <v>0</v>
      </c>
      <c r="AH113" s="28">
        <f t="shared" si="38"/>
        <v>0</v>
      </c>
      <c r="AI113" s="28">
        <f t="shared" si="44"/>
        <v>0.1091554715886148</v>
      </c>
      <c r="AJ113" s="28">
        <f t="shared" si="39"/>
        <v>151.60482165085389</v>
      </c>
      <c r="AK113" s="20"/>
      <c r="AL113" s="20"/>
      <c r="AM113" s="20"/>
      <c r="AN113" s="20"/>
      <c r="AO113" s="20"/>
    </row>
    <row r="114" spans="1:41" x14ac:dyDescent="0.25">
      <c r="A114" s="4">
        <v>53.311050000000002</v>
      </c>
      <c r="B114" s="4">
        <v>-6.0569999999999999E-2</v>
      </c>
      <c r="C114" s="4">
        <v>119</v>
      </c>
      <c r="D114" s="5">
        <f t="shared" si="45"/>
        <v>1414.2531645569657</v>
      </c>
      <c r="E114" s="4">
        <f t="shared" si="25"/>
        <v>18</v>
      </c>
      <c r="F114" s="4">
        <v>48.747999999999998</v>
      </c>
      <c r="G114" s="5">
        <f t="shared" si="26"/>
        <v>13.54111111111111</v>
      </c>
      <c r="H114" s="5">
        <f t="shared" si="27"/>
        <v>0.96705038467011839</v>
      </c>
      <c r="I114" s="5">
        <f t="shared" si="40"/>
        <v>123.42820247503336</v>
      </c>
      <c r="J114" s="5">
        <f t="shared" si="41"/>
        <v>0</v>
      </c>
      <c r="K114" s="5">
        <f>J114*$K$2</f>
        <v>0</v>
      </c>
      <c r="L114" s="5">
        <f t="shared" si="28"/>
        <v>91.044579996999985</v>
      </c>
      <c r="M114" s="5">
        <f>($K$2*$G$2*E114)/1000</f>
        <v>91.327176000000023</v>
      </c>
      <c r="N114" s="5">
        <f>(0.5*$K$2*(G114^2))/1000</f>
        <v>47.417333065925931</v>
      </c>
      <c r="O114" s="5">
        <f t="shared" si="46"/>
        <v>0.152730787820203</v>
      </c>
      <c r="P114" s="5">
        <f t="shared" si="30"/>
        <v>0.15155956893708497</v>
      </c>
      <c r="Q114" s="5">
        <f t="shared" si="31"/>
        <v>8.6837236449170216</v>
      </c>
      <c r="R114" s="5">
        <f>($K$2*$G$2*SIN(Q114))</f>
        <v>3425.1045539960332</v>
      </c>
      <c r="S114" s="4">
        <f xml:space="preserve"> ($P$3*($K$2*$G$2))</f>
        <v>304.42392000000007</v>
      </c>
      <c r="T114" s="5">
        <f t="shared" si="32"/>
        <v>3.8205730539930332</v>
      </c>
      <c r="U114" s="5">
        <f t="shared" si="33"/>
        <v>51.734804232236769</v>
      </c>
      <c r="V114" s="27">
        <f t="shared" si="34"/>
        <v>13.04111111111111</v>
      </c>
      <c r="W114" s="27">
        <f t="shared" si="35"/>
        <v>0</v>
      </c>
      <c r="X114" s="27">
        <f t="shared" si="42"/>
        <v>-1565.4539744219896</v>
      </c>
      <c r="Y114" s="28">
        <f t="shared" si="36"/>
        <v>13.04111111111111</v>
      </c>
      <c r="Z114" s="28">
        <f t="shared" si="43"/>
        <v>712.09023868622535</v>
      </c>
      <c r="AA114" s="27">
        <f t="shared" si="37"/>
        <v>3.413391375275844</v>
      </c>
      <c r="AB114" s="4" cm="1">
        <f t="array" ref="AB114">_xlfn.IFS(AA114&lt;=4,1,AA114&lt;=8,2,AA114&gt;8,3)</f>
        <v>1</v>
      </c>
      <c r="AC114" s="29">
        <f>LOOKUP(AA114,$AP$5:$AP$46,$AQ$5:$AQ$46)</f>
        <v>5500</v>
      </c>
      <c r="AD114" s="4">
        <f>IF(V114&lt;0,1,MATCH(V114,BSFC!$P$21:$AD$21,1))</f>
        <v>11</v>
      </c>
      <c r="AE114" s="4">
        <f>MATCH(AC114,BSFC!$O$22:$O$36,1)</f>
        <v>11</v>
      </c>
      <c r="AF114" s="4" cm="1">
        <f t="array" ref="AF114">INDEX(BSFC!$P$22:$AD$36,AD114,AE114)</f>
        <v>394</v>
      </c>
      <c r="AG114" s="5">
        <f>IF(V114&lt;0,((V114=0)*AF114/760),V114*AF114/760)</f>
        <v>6.7607865497076016</v>
      </c>
      <c r="AH114" s="28">
        <f t="shared" si="38"/>
        <v>1.8779962638076672E-3</v>
      </c>
      <c r="AI114" s="28">
        <f t="shared" si="44"/>
        <v>0.11103346785242246</v>
      </c>
      <c r="AJ114" s="28">
        <f t="shared" si="39"/>
        <v>154.2131497950312</v>
      </c>
      <c r="AK114" s="20"/>
      <c r="AL114" s="20"/>
      <c r="AM114" s="20"/>
      <c r="AN114" s="20"/>
      <c r="AO114" s="20"/>
    </row>
    <row r="115" spans="1:41" x14ac:dyDescent="0.25">
      <c r="A115" s="4">
        <v>53.311169999999997</v>
      </c>
      <c r="B115" s="4">
        <v>-6.0510000000000001E-2</v>
      </c>
      <c r="C115" s="4">
        <v>121</v>
      </c>
      <c r="D115" s="5">
        <f t="shared" si="45"/>
        <v>1427.3481012658265</v>
      </c>
      <c r="E115" s="4">
        <f t="shared" si="25"/>
        <v>20</v>
      </c>
      <c r="F115" s="4">
        <v>48.747999999999998</v>
      </c>
      <c r="G115" s="5">
        <f t="shared" si="26"/>
        <v>13.54111111111111</v>
      </c>
      <c r="H115" s="5">
        <f t="shared" si="27"/>
        <v>0.96705038467011839</v>
      </c>
      <c r="I115" s="5">
        <f t="shared" si="40"/>
        <v>124.39525285970348</v>
      </c>
      <c r="J115" s="5">
        <f t="shared" si="41"/>
        <v>0</v>
      </c>
      <c r="K115" s="5">
        <f>J115*$K$2</f>
        <v>0</v>
      </c>
      <c r="L115" s="5">
        <f t="shared" si="28"/>
        <v>91.044579996999985</v>
      </c>
      <c r="M115" s="5">
        <f>($K$2*$G$2*E115)/1000</f>
        <v>101.47464000000001</v>
      </c>
      <c r="N115" s="5">
        <f>(0.5*$K$2*(G115^2))/1000</f>
        <v>47.417333065925931</v>
      </c>
      <c r="O115" s="5">
        <f t="shared" si="46"/>
        <v>0</v>
      </c>
      <c r="P115" s="5">
        <f t="shared" si="30"/>
        <v>0</v>
      </c>
      <c r="Q115" s="5">
        <f t="shared" si="31"/>
        <v>0</v>
      </c>
      <c r="R115" s="5">
        <f>($K$2*$G$2*SIN(Q115))</f>
        <v>0</v>
      </c>
      <c r="S115" s="4">
        <f xml:space="preserve"> ($P$3*($K$2*$G$2))</f>
        <v>304.42392000000007</v>
      </c>
      <c r="T115" s="5">
        <f t="shared" si="32"/>
        <v>0.39546849999700001</v>
      </c>
      <c r="U115" s="5">
        <f t="shared" si="33"/>
        <v>5.3550828994038211</v>
      </c>
      <c r="V115" s="27">
        <f t="shared" si="34"/>
        <v>5.3550828994038211</v>
      </c>
      <c r="W115" s="27">
        <f t="shared" si="35"/>
        <v>0</v>
      </c>
      <c r="X115" s="27">
        <f t="shared" si="42"/>
        <v>-1565.4539744219896</v>
      </c>
      <c r="Y115" s="28">
        <f t="shared" si="36"/>
        <v>5.3550828994038211</v>
      </c>
      <c r="Z115" s="28">
        <f t="shared" si="43"/>
        <v>717.44532158562913</v>
      </c>
      <c r="AA115" s="27">
        <f t="shared" si="37"/>
        <v>13.54111111111111</v>
      </c>
      <c r="AB115" s="4" cm="1">
        <f t="array" ref="AB115">_xlfn.IFS(AA115&lt;=4,1,AA115&lt;=8,2,AA115&gt;8,3)</f>
        <v>3</v>
      </c>
      <c r="AC115" s="29">
        <f>LOOKUP(AA115,$AP$5:$AP$46,$AQ$5:$AQ$46)</f>
        <v>5332.7</v>
      </c>
      <c r="AD115" s="4">
        <f>IF(V115&lt;0,1,MATCH(V115,BSFC!$P$21:$AD$21,1))</f>
        <v>6</v>
      </c>
      <c r="AE115" s="4">
        <f>MATCH(AC115,BSFC!$O$22:$O$36,1)</f>
        <v>10</v>
      </c>
      <c r="AF115" s="4" cm="1">
        <f t="array" ref="AF115">INDEX(BSFC!$P$22:$AD$36,AD115,AE115)</f>
        <v>429</v>
      </c>
      <c r="AG115" s="5">
        <f>IF(V115&lt;0,((V115=0)*AF115/760),V115*AF115/760)</f>
        <v>3.0228033734792623</v>
      </c>
      <c r="AH115" s="28">
        <f t="shared" si="38"/>
        <v>8.3966760374423949E-4</v>
      </c>
      <c r="AI115" s="28">
        <f t="shared" si="44"/>
        <v>0.1118731354561667</v>
      </c>
      <c r="AJ115" s="28">
        <f t="shared" si="39"/>
        <v>155.37935480023154</v>
      </c>
      <c r="AK115" s="20"/>
      <c r="AL115" s="20"/>
      <c r="AM115" s="20"/>
      <c r="AN115" s="20"/>
      <c r="AO115" s="20"/>
    </row>
    <row r="116" spans="1:41" x14ac:dyDescent="0.25">
      <c r="A116" s="4">
        <v>53.311259999999997</v>
      </c>
      <c r="B116" s="4">
        <v>-6.0420000000000001E-2</v>
      </c>
      <c r="C116" s="4">
        <v>121</v>
      </c>
      <c r="D116" s="5">
        <f t="shared" si="45"/>
        <v>1440.4430379746873</v>
      </c>
      <c r="E116" s="4">
        <f t="shared" si="25"/>
        <v>20</v>
      </c>
      <c r="F116" s="4">
        <v>48.747999999999998</v>
      </c>
      <c r="G116" s="5">
        <f t="shared" si="26"/>
        <v>13.54111111111111</v>
      </c>
      <c r="H116" s="5">
        <f t="shared" si="27"/>
        <v>0.96705038467011839</v>
      </c>
      <c r="I116" s="5">
        <f t="shared" si="40"/>
        <v>125.36230324437359</v>
      </c>
      <c r="J116" s="5">
        <f t="shared" si="41"/>
        <v>0</v>
      </c>
      <c r="K116" s="5">
        <f>J116*$K$2</f>
        <v>0</v>
      </c>
      <c r="L116" s="5">
        <f t="shared" si="28"/>
        <v>91.044579996999985</v>
      </c>
      <c r="M116" s="5">
        <f>($K$2*$G$2*E116)/1000</f>
        <v>101.47464000000001</v>
      </c>
      <c r="N116" s="5">
        <f>(0.5*$K$2*(G116^2))/1000</f>
        <v>47.417333065925931</v>
      </c>
      <c r="O116" s="5">
        <f t="shared" si="46"/>
        <v>0</v>
      </c>
      <c r="P116" s="5">
        <f t="shared" si="30"/>
        <v>0</v>
      </c>
      <c r="Q116" s="5">
        <f t="shared" si="31"/>
        <v>0</v>
      </c>
      <c r="R116" s="5">
        <f>($K$2*$G$2*SIN(Q116))</f>
        <v>0</v>
      </c>
      <c r="S116" s="4">
        <f xml:space="preserve"> ($P$3*($K$2*$G$2))</f>
        <v>304.42392000000007</v>
      </c>
      <c r="T116" s="5">
        <f t="shared" si="32"/>
        <v>0.39546849999700001</v>
      </c>
      <c r="U116" s="5">
        <f t="shared" si="33"/>
        <v>5.3550828994038211</v>
      </c>
      <c r="V116" s="27">
        <f t="shared" si="34"/>
        <v>5.3550828994038211</v>
      </c>
      <c r="W116" s="27">
        <f t="shared" si="35"/>
        <v>0</v>
      </c>
      <c r="X116" s="27">
        <f t="shared" si="42"/>
        <v>-1565.4539744219896</v>
      </c>
      <c r="Y116" s="28">
        <f t="shared" si="36"/>
        <v>5.3550828994038211</v>
      </c>
      <c r="Z116" s="28">
        <f t="shared" si="43"/>
        <v>722.80040448503291</v>
      </c>
      <c r="AA116" s="27">
        <f t="shared" si="37"/>
        <v>13.54111111111111</v>
      </c>
      <c r="AB116" s="4" cm="1">
        <f t="array" ref="AB116">_xlfn.IFS(AA116&lt;=4,1,AA116&lt;=8,2,AA116&gt;8,3)</f>
        <v>3</v>
      </c>
      <c r="AC116" s="29">
        <f>LOOKUP(AA116,$AP$5:$AP$46,$AQ$5:$AQ$46)</f>
        <v>5332.7</v>
      </c>
      <c r="AD116" s="4">
        <f>IF(V116&lt;0,1,MATCH(V116,BSFC!$P$21:$AD$21,1))</f>
        <v>6</v>
      </c>
      <c r="AE116" s="4">
        <f>MATCH(AC116,BSFC!$O$22:$O$36,1)</f>
        <v>10</v>
      </c>
      <c r="AF116" s="4" cm="1">
        <f t="array" ref="AF116">INDEX(BSFC!$P$22:$AD$36,AD116,AE116)</f>
        <v>429</v>
      </c>
      <c r="AG116" s="5">
        <f>IF(V116&lt;0,((V116=0)*AF116/760),V116*AF116/760)</f>
        <v>3.0228033734792623</v>
      </c>
      <c r="AH116" s="28">
        <f t="shared" si="38"/>
        <v>8.3966760374423949E-4</v>
      </c>
      <c r="AI116" s="28">
        <f t="shared" si="44"/>
        <v>0.11271280305991094</v>
      </c>
      <c r="AJ116" s="28">
        <f t="shared" si="39"/>
        <v>156.54555980543185</v>
      </c>
      <c r="AK116" s="20"/>
      <c r="AL116" s="20"/>
      <c r="AM116" s="20"/>
      <c r="AN116" s="20"/>
      <c r="AO116" s="20"/>
    </row>
    <row r="117" spans="1:41" x14ac:dyDescent="0.25">
      <c r="A117" s="4">
        <v>53.311329999999998</v>
      </c>
      <c r="B117" s="4">
        <v>-6.0249999999999998E-2</v>
      </c>
      <c r="C117" s="4">
        <v>121</v>
      </c>
      <c r="D117" s="5">
        <f t="shared" si="45"/>
        <v>1453.5379746835481</v>
      </c>
      <c r="E117" s="4">
        <f t="shared" si="25"/>
        <v>20</v>
      </c>
      <c r="F117" s="4">
        <v>48.747999999999998</v>
      </c>
      <c r="G117" s="5">
        <f t="shared" si="26"/>
        <v>13.54111111111111</v>
      </c>
      <c r="H117" s="5">
        <f t="shared" si="27"/>
        <v>1.0057125944425254</v>
      </c>
      <c r="I117" s="5">
        <f t="shared" si="40"/>
        <v>126.36801583881612</v>
      </c>
      <c r="J117" s="5">
        <f t="shared" si="41"/>
        <v>0</v>
      </c>
      <c r="K117" s="5">
        <f>J117*$K$2</f>
        <v>0</v>
      </c>
      <c r="L117" s="5">
        <f t="shared" si="28"/>
        <v>91.044579996999985</v>
      </c>
      <c r="M117" s="5">
        <f>($K$2*$G$2*E117)/1000</f>
        <v>101.47464000000001</v>
      </c>
      <c r="N117" s="5">
        <f>(0.5*$K$2*(G117^2))/1000</f>
        <v>47.417333065925931</v>
      </c>
      <c r="O117" s="5">
        <f t="shared" si="46"/>
        <v>0</v>
      </c>
      <c r="P117" s="5">
        <f t="shared" si="30"/>
        <v>0</v>
      </c>
      <c r="Q117" s="5">
        <f t="shared" si="31"/>
        <v>0</v>
      </c>
      <c r="R117" s="5">
        <f>($K$2*$G$2*SIN(Q117))</f>
        <v>0</v>
      </c>
      <c r="S117" s="4">
        <f xml:space="preserve"> ($P$3*($K$2*$G$2))</f>
        <v>304.42392000000007</v>
      </c>
      <c r="T117" s="5">
        <f t="shared" si="32"/>
        <v>0.39546849999700001</v>
      </c>
      <c r="U117" s="5">
        <f t="shared" si="33"/>
        <v>5.3550828994038211</v>
      </c>
      <c r="V117" s="27">
        <f t="shared" si="34"/>
        <v>5.3550828994038211</v>
      </c>
      <c r="W117" s="27">
        <f t="shared" si="35"/>
        <v>0</v>
      </c>
      <c r="X117" s="27">
        <f t="shared" si="42"/>
        <v>-1565.4539744219896</v>
      </c>
      <c r="Y117" s="28">
        <f t="shared" si="36"/>
        <v>5.3550828994038211</v>
      </c>
      <c r="Z117" s="28">
        <f t="shared" si="43"/>
        <v>728.1554873844367</v>
      </c>
      <c r="AA117" s="27">
        <f t="shared" si="37"/>
        <v>13.54111111111111</v>
      </c>
      <c r="AB117" s="4" cm="1">
        <f t="array" ref="AB117">_xlfn.IFS(AA117&lt;=4,1,AA117&lt;=8,2,AA117&gt;8,3)</f>
        <v>3</v>
      </c>
      <c r="AC117" s="29">
        <f>LOOKUP(AA117,$AP$5:$AP$46,$AQ$5:$AQ$46)</f>
        <v>5332.7</v>
      </c>
      <c r="AD117" s="4">
        <f>IF(V117&lt;0,1,MATCH(V117,BSFC!$P$21:$AD$21,1))</f>
        <v>6</v>
      </c>
      <c r="AE117" s="4">
        <f>MATCH(AC117,BSFC!$O$22:$O$36,1)</f>
        <v>10</v>
      </c>
      <c r="AF117" s="4" cm="1">
        <f t="array" ref="AF117">INDEX(BSFC!$P$22:$AD$36,AD117,AE117)</f>
        <v>429</v>
      </c>
      <c r="AG117" s="5">
        <f>IF(V117&lt;0,((V117=0)*AF117/760),V117*AF117/760)</f>
        <v>3.0228033734792623</v>
      </c>
      <c r="AH117" s="28">
        <f t="shared" si="38"/>
        <v>8.3966760374423949E-4</v>
      </c>
      <c r="AI117" s="28">
        <f t="shared" si="44"/>
        <v>0.11355247066365518</v>
      </c>
      <c r="AJ117" s="28">
        <f t="shared" si="39"/>
        <v>157.71176481063222</v>
      </c>
      <c r="AK117" s="20"/>
      <c r="AL117" s="20"/>
      <c r="AM117" s="20"/>
      <c r="AN117" s="20"/>
      <c r="AO117" s="20"/>
    </row>
    <row r="118" spans="1:41" x14ac:dyDescent="0.25">
      <c r="A118" s="4">
        <v>53.31138</v>
      </c>
      <c r="B118" s="4">
        <v>-6.0089999999999998E-2</v>
      </c>
      <c r="C118" s="4">
        <v>121</v>
      </c>
      <c r="D118" s="5">
        <f t="shared" si="45"/>
        <v>1466.6329113924089</v>
      </c>
      <c r="E118" s="4">
        <f t="shared" si="25"/>
        <v>20</v>
      </c>
      <c r="F118" s="4">
        <v>45</v>
      </c>
      <c r="G118" s="5">
        <f t="shared" si="26"/>
        <v>12.5</v>
      </c>
      <c r="H118" s="5">
        <f t="shared" si="27"/>
        <v>1.1092181682799749</v>
      </c>
      <c r="I118" s="5">
        <f t="shared" si="40"/>
        <v>127.4772340070961</v>
      </c>
      <c r="J118" s="5">
        <f t="shared" si="41"/>
        <v>-0.9385990428966009</v>
      </c>
      <c r="K118" s="5">
        <f>J118*$K$2</f>
        <v>-485.44342498612201</v>
      </c>
      <c r="L118" s="5">
        <f t="shared" si="28"/>
        <v>77.582812500000003</v>
      </c>
      <c r="M118" s="5">
        <f>($K$2*$G$2*E118)/1000</f>
        <v>101.47464000000001</v>
      </c>
      <c r="N118" s="5">
        <f>(0.5*$K$2*(G118^2))/1000</f>
        <v>40.40625</v>
      </c>
      <c r="O118" s="5">
        <f t="shared" si="46"/>
        <v>-7.6365393910101498E-2</v>
      </c>
      <c r="P118" s="5">
        <f t="shared" si="30"/>
        <v>-7.6217465157670902E-2</v>
      </c>
      <c r="Q118" s="5">
        <f t="shared" si="31"/>
        <v>-4.3669390787199465</v>
      </c>
      <c r="R118" s="5">
        <f>($K$2*$G$2*SIN(Q118))</f>
        <v>4773.9921601452697</v>
      </c>
      <c r="S118" s="4">
        <f xml:space="preserve"> ($P$3*($K$2*$G$2))</f>
        <v>304.42392000000007</v>
      </c>
      <c r="T118" s="5">
        <f t="shared" si="32"/>
        <v>4.6705554676591472</v>
      </c>
      <c r="U118" s="5">
        <f t="shared" si="33"/>
        <v>58.381943345739337</v>
      </c>
      <c r="V118" s="27">
        <f t="shared" si="34"/>
        <v>12</v>
      </c>
      <c r="W118" s="27">
        <f t="shared" si="35"/>
        <v>0</v>
      </c>
      <c r="X118" s="27">
        <f t="shared" si="42"/>
        <v>-1565.4539744219896</v>
      </c>
      <c r="Y118" s="28">
        <f t="shared" si="36"/>
        <v>12</v>
      </c>
      <c r="Z118" s="28">
        <f t="shared" si="43"/>
        <v>740.1554873844367</v>
      </c>
      <c r="AA118" s="27">
        <f t="shared" si="37"/>
        <v>2.569287546865239</v>
      </c>
      <c r="AB118" s="4" cm="1">
        <f t="array" ref="AB118">_xlfn.IFS(AA118&lt;=4,1,AA118&lt;=8,2,AA118&gt;8,3)</f>
        <v>1</v>
      </c>
      <c r="AC118" s="29">
        <f>LOOKUP(AA118,$AP$5:$AP$46,$AQ$5:$AQ$46)</f>
        <v>4000</v>
      </c>
      <c r="AD118" s="4">
        <f>IF(V118&lt;0,1,MATCH(V118,BSFC!$P$21:$AD$21,1))</f>
        <v>10</v>
      </c>
      <c r="AE118" s="4">
        <f>MATCH(AC118,BSFC!$O$22:$O$36,1)</f>
        <v>8</v>
      </c>
      <c r="AF118" s="4" cm="1">
        <f t="array" ref="AF118">INDEX(BSFC!$P$22:$AD$36,AD118,AE118)</f>
        <v>419</v>
      </c>
      <c r="AG118" s="5">
        <f>IF(V118&lt;0,((V118=0)*AF118/760),V118*AF118/760)</f>
        <v>6.6157894736842104</v>
      </c>
      <c r="AH118" s="28">
        <f t="shared" si="38"/>
        <v>1.837719298245614E-3</v>
      </c>
      <c r="AI118" s="28">
        <f t="shared" si="44"/>
        <v>0.11539018996190079</v>
      </c>
      <c r="AJ118" s="28">
        <f t="shared" si="39"/>
        <v>160.26415272486221</v>
      </c>
      <c r="AK118" s="20"/>
      <c r="AL118" s="20"/>
      <c r="AM118" s="20"/>
      <c r="AN118" s="20"/>
      <c r="AO118" s="20"/>
    </row>
    <row r="119" spans="1:41" x14ac:dyDescent="0.25">
      <c r="A119" s="4">
        <v>53.311459999999997</v>
      </c>
      <c r="B119" s="4">
        <v>-5.9959999999999999E-2</v>
      </c>
      <c r="C119" s="4">
        <v>120</v>
      </c>
      <c r="D119" s="5">
        <f t="shared" si="45"/>
        <v>1479.7278481012697</v>
      </c>
      <c r="E119" s="4">
        <f t="shared" si="25"/>
        <v>19</v>
      </c>
      <c r="F119" s="4">
        <v>40</v>
      </c>
      <c r="G119" s="5">
        <f t="shared" si="26"/>
        <v>11.111111111111111</v>
      </c>
      <c r="H119" s="5">
        <f t="shared" si="27"/>
        <v>1.2571139240506382</v>
      </c>
      <c r="I119" s="5">
        <f t="shared" si="40"/>
        <v>128.73434793114674</v>
      </c>
      <c r="J119" s="5">
        <f t="shared" si="41"/>
        <v>-1.1048234072641918</v>
      </c>
      <c r="K119" s="5">
        <f>J119*$K$2</f>
        <v>-571.41466623704002</v>
      </c>
      <c r="L119" s="5">
        <f t="shared" si="28"/>
        <v>61.3</v>
      </c>
      <c r="M119" s="5">
        <f>($K$2*$G$2*E119)/1000</f>
        <v>96.400908000000015</v>
      </c>
      <c r="N119" s="5">
        <f>(0.5*$K$2*(G119^2))/1000</f>
        <v>31.925925925925927</v>
      </c>
      <c r="O119" s="5">
        <f t="shared" si="46"/>
        <v>-0.152730787820203</v>
      </c>
      <c r="P119" s="5">
        <f t="shared" si="30"/>
        <v>-0.15155956893708497</v>
      </c>
      <c r="Q119" s="5">
        <f t="shared" si="31"/>
        <v>-8.6837236449170216</v>
      </c>
      <c r="R119" s="5">
        <f>($K$2*$G$2*SIN(Q119))</f>
        <v>-3425.1045539960332</v>
      </c>
      <c r="S119" s="4">
        <f xml:space="preserve"> ($P$3*($K$2*$G$2))</f>
        <v>304.42392000000007</v>
      </c>
      <c r="T119" s="5">
        <f t="shared" si="32"/>
        <v>-3.6307953002330726</v>
      </c>
      <c r="U119" s="5">
        <f t="shared" si="33"/>
        <v>-40.342170002589697</v>
      </c>
      <c r="V119" s="27">
        <f t="shared" si="34"/>
        <v>-40.342170002589697</v>
      </c>
      <c r="W119" s="27">
        <f t="shared" si="35"/>
        <v>-40.342170002589697</v>
      </c>
      <c r="X119" s="27">
        <f t="shared" si="42"/>
        <v>-1605.7961444245793</v>
      </c>
      <c r="Y119" s="28">
        <f t="shared" si="36"/>
        <v>0</v>
      </c>
      <c r="Z119" s="28">
        <f t="shared" si="43"/>
        <v>740.1554873844367</v>
      </c>
      <c r="AA119" s="27">
        <f t="shared" si="37"/>
        <v>11.111111111111111</v>
      </c>
      <c r="AB119" s="4" cm="1">
        <f t="array" ref="AB119">_xlfn.IFS(AA119&lt;=4,1,AA119&lt;=8,2,AA119&gt;8,3)</f>
        <v>3</v>
      </c>
      <c r="AC119" s="29">
        <f>LOOKUP(AA119,$AP$5:$AP$46,$AQ$5:$AQ$46)</f>
        <v>2999.6</v>
      </c>
      <c r="AD119" s="4">
        <f>IF(V119&lt;0,1,MATCH(V119,BSFC!$P$21:$AD$21,1))</f>
        <v>1</v>
      </c>
      <c r="AE119" s="4">
        <f>MATCH(AC119,BSFC!$O$22:$O$36,1)</f>
        <v>5</v>
      </c>
      <c r="AF119" s="4" cm="1">
        <f t="array" ref="AF119">INDEX(BSFC!$P$22:$AD$36,AD119,AE119)</f>
        <v>566</v>
      </c>
      <c r="AG119" s="5">
        <f>IF(V119&lt;0,((V119=0)*AF119/760),V119*AF119/760)</f>
        <v>0</v>
      </c>
      <c r="AH119" s="28">
        <f t="shared" si="38"/>
        <v>0</v>
      </c>
      <c r="AI119" s="28">
        <f t="shared" si="44"/>
        <v>0.11539018996190079</v>
      </c>
      <c r="AJ119" s="28">
        <f t="shared" si="39"/>
        <v>160.26415272486221</v>
      </c>
      <c r="AK119" s="20"/>
      <c r="AL119" s="20"/>
      <c r="AM119" s="20"/>
      <c r="AN119" s="20"/>
      <c r="AO119" s="20"/>
    </row>
    <row r="120" spans="1:41" x14ac:dyDescent="0.25">
      <c r="A120" s="4">
        <v>53.31156</v>
      </c>
      <c r="B120" s="4">
        <v>-5.9839999999999997E-2</v>
      </c>
      <c r="C120" s="4">
        <v>118</v>
      </c>
      <c r="D120" s="5">
        <f t="shared" si="45"/>
        <v>1492.8227848101305</v>
      </c>
      <c r="E120" s="4">
        <f t="shared" si="25"/>
        <v>17</v>
      </c>
      <c r="F120" s="4">
        <v>35</v>
      </c>
      <c r="G120" s="5">
        <f t="shared" si="26"/>
        <v>9.7222222222222214</v>
      </c>
      <c r="H120" s="5">
        <f t="shared" si="27"/>
        <v>1.4505160662122747</v>
      </c>
      <c r="I120" s="5">
        <f t="shared" si="40"/>
        <v>130.18486399735903</v>
      </c>
      <c r="J120" s="5">
        <f t="shared" si="41"/>
        <v>-0.95751361962896109</v>
      </c>
      <c r="K120" s="5">
        <f>J120*$K$2</f>
        <v>-495.22604407209872</v>
      </c>
      <c r="L120" s="5">
        <f t="shared" si="28"/>
        <v>46.932812499999997</v>
      </c>
      <c r="M120" s="5">
        <f>($K$2*$G$2*E120)/1000</f>
        <v>86.253444000000016</v>
      </c>
      <c r="N120" s="5">
        <f>(0.5*$K$2*(G120^2))/1000</f>
        <v>24.443287037037038</v>
      </c>
      <c r="O120" s="5">
        <f t="shared" si="46"/>
        <v>0</v>
      </c>
      <c r="P120" s="5">
        <f t="shared" si="30"/>
        <v>0</v>
      </c>
      <c r="Q120" s="5">
        <f t="shared" si="31"/>
        <v>0</v>
      </c>
      <c r="R120" s="5">
        <f>($K$2*$G$2*SIN(Q120))</f>
        <v>0</v>
      </c>
      <c r="S120" s="4">
        <f xml:space="preserve"> ($P$3*($K$2*$G$2))</f>
        <v>304.42392000000007</v>
      </c>
      <c r="T120" s="5">
        <f t="shared" si="32"/>
        <v>-0.14386931157209865</v>
      </c>
      <c r="U120" s="5">
        <f t="shared" si="33"/>
        <v>-1.39872941806207</v>
      </c>
      <c r="V120" s="27">
        <f t="shared" si="34"/>
        <v>-1.39872941806207</v>
      </c>
      <c r="W120" s="27">
        <f t="shared" si="35"/>
        <v>-1.39872941806207</v>
      </c>
      <c r="X120" s="27">
        <f t="shared" si="42"/>
        <v>-1607.1948738426413</v>
      </c>
      <c r="Y120" s="28">
        <f t="shared" si="36"/>
        <v>0</v>
      </c>
      <c r="Z120" s="28">
        <f t="shared" si="43"/>
        <v>740.1554873844367</v>
      </c>
      <c r="AA120" s="27">
        <f t="shared" si="37"/>
        <v>9.7222222222222214</v>
      </c>
      <c r="AB120" s="4" cm="1">
        <f t="array" ref="AB120">_xlfn.IFS(AA120&lt;=4,1,AA120&lt;=8,2,AA120&gt;8,3)</f>
        <v>3</v>
      </c>
      <c r="AC120" s="29">
        <f>LOOKUP(AA120,$AP$5:$AP$46,$AQ$5:$AQ$46)</f>
        <v>1666</v>
      </c>
      <c r="AD120" s="4">
        <f>IF(V120&lt;0,1,MATCH(V120,BSFC!$P$21:$AD$21,1))</f>
        <v>1</v>
      </c>
      <c r="AE120" s="4">
        <f>MATCH(AC120,BSFC!$O$22:$O$36,1)</f>
        <v>3</v>
      </c>
      <c r="AF120" s="4" cm="1">
        <f t="array" ref="AF120">INDEX(BSFC!$P$22:$AD$36,AD120,AE120)</f>
        <v>584</v>
      </c>
      <c r="AG120" s="5">
        <f>IF(V120&lt;0,((V120=0)*AF120/760),V120*AF120/760)</f>
        <v>0</v>
      </c>
      <c r="AH120" s="28">
        <f t="shared" si="38"/>
        <v>0</v>
      </c>
      <c r="AI120" s="28">
        <f t="shared" si="44"/>
        <v>0.11539018996190079</v>
      </c>
      <c r="AJ120" s="28">
        <f t="shared" si="39"/>
        <v>160.26415272486221</v>
      </c>
      <c r="AK120" s="20"/>
      <c r="AL120" s="20"/>
      <c r="AM120" s="20"/>
      <c r="AN120" s="20"/>
      <c r="AO120" s="20"/>
    </row>
    <row r="121" spans="1:41" x14ac:dyDescent="0.25">
      <c r="A121" s="4">
        <v>53.311700000000002</v>
      </c>
      <c r="B121" s="4">
        <v>-5.9749999999999998E-2</v>
      </c>
      <c r="C121" s="4">
        <v>118</v>
      </c>
      <c r="D121" s="5">
        <f t="shared" si="45"/>
        <v>1505.9177215189914</v>
      </c>
      <c r="E121" s="4">
        <f t="shared" si="25"/>
        <v>17</v>
      </c>
      <c r="F121" s="4">
        <v>30</v>
      </c>
      <c r="G121" s="5">
        <f t="shared" si="26"/>
        <v>8.3333333333333339</v>
      </c>
      <c r="H121" s="5">
        <f t="shared" si="27"/>
        <v>1.6397138139790934</v>
      </c>
      <c r="I121" s="5">
        <f t="shared" si="40"/>
        <v>131.82457781133812</v>
      </c>
      <c r="J121" s="5">
        <f t="shared" si="41"/>
        <v>-0.84703127890255292</v>
      </c>
      <c r="K121" s="5">
        <f>J121*$K$2</f>
        <v>-438.08457744840041</v>
      </c>
      <c r="L121" s="5">
        <f t="shared" si="28"/>
        <v>34.481250000000003</v>
      </c>
      <c r="M121" s="5">
        <f>($K$2*$G$2*E121)/1000</f>
        <v>86.253444000000016</v>
      </c>
      <c r="N121" s="5">
        <f>(0.5*$K$2*(G121^2))/1000</f>
        <v>17.958333333333339</v>
      </c>
      <c r="O121" s="5">
        <f t="shared" si="46"/>
        <v>0.22909618173030449</v>
      </c>
      <c r="P121" s="5">
        <f t="shared" si="30"/>
        <v>0.22520981023036191</v>
      </c>
      <c r="Q121" s="5">
        <f t="shared" si="31"/>
        <v>12.903571631141928</v>
      </c>
      <c r="R121" s="5">
        <f>($K$2*$G$2*SIN(Q121))</f>
        <v>1678.6291874694264</v>
      </c>
      <c r="S121" s="4">
        <f xml:space="preserve"> ($P$3*($K$2*$G$2))</f>
        <v>304.42392000000007</v>
      </c>
      <c r="T121" s="5">
        <f t="shared" si="32"/>
        <v>1.5794497800210261</v>
      </c>
      <c r="U121" s="5">
        <f t="shared" si="33"/>
        <v>13.162081500175219</v>
      </c>
      <c r="V121" s="27">
        <f t="shared" si="34"/>
        <v>13.162081500175219</v>
      </c>
      <c r="W121" s="27">
        <f t="shared" si="35"/>
        <v>0</v>
      </c>
      <c r="X121" s="27">
        <f t="shared" si="42"/>
        <v>-1607.1948738426413</v>
      </c>
      <c r="Y121" s="28">
        <f t="shared" si="36"/>
        <v>13.162081500175219</v>
      </c>
      <c r="Z121" s="28">
        <f t="shared" si="43"/>
        <v>753.31756888461189</v>
      </c>
      <c r="AA121" s="27">
        <f t="shared" si="37"/>
        <v>8.3333333333333339</v>
      </c>
      <c r="AB121" s="4" cm="1">
        <f t="array" ref="AB121">_xlfn.IFS(AA121&lt;=4,1,AA121&lt;=8,2,AA121&gt;8,3)</f>
        <v>3</v>
      </c>
      <c r="AC121" s="29">
        <f>LOOKUP(AA121,$AP$5:$AP$46,$AQ$5:$AQ$46)</f>
        <v>6000</v>
      </c>
      <c r="AD121" s="4">
        <f>IF(V121&lt;0,1,MATCH(V121,BSFC!$P$21:$AD$21,1))</f>
        <v>11</v>
      </c>
      <c r="AE121" s="4">
        <f>MATCH(AC121,BSFC!$O$22:$O$36,1)</f>
        <v>12</v>
      </c>
      <c r="AF121" s="4" cm="1">
        <f t="array" ref="AF121">INDEX(BSFC!$P$22:$AD$36,AD121,AE121)</f>
        <v>415</v>
      </c>
      <c r="AG121" s="5">
        <f>IF(V121&lt;0,((V121=0)*AF121/760),V121*AF121/760)</f>
        <v>7.1871892402272577</v>
      </c>
      <c r="AH121" s="28">
        <f t="shared" si="38"/>
        <v>1.9964414556186828E-3</v>
      </c>
      <c r="AI121" s="28">
        <f t="shared" si="44"/>
        <v>0.11738663141751947</v>
      </c>
      <c r="AJ121" s="28">
        <f t="shared" si="39"/>
        <v>163.03698807988815</v>
      </c>
      <c r="AK121" s="20"/>
      <c r="AL121" s="20"/>
      <c r="AM121" s="20"/>
      <c r="AN121" s="20"/>
      <c r="AO121" s="20"/>
    </row>
    <row r="122" spans="1:41" x14ac:dyDescent="0.25">
      <c r="A122" s="4">
        <v>53.31185</v>
      </c>
      <c r="B122" s="4">
        <v>-5.9740000000000001E-2</v>
      </c>
      <c r="C122" s="4">
        <v>121</v>
      </c>
      <c r="D122" s="5">
        <f t="shared" si="45"/>
        <v>1519.0126582278522</v>
      </c>
      <c r="E122" s="4">
        <f t="shared" si="25"/>
        <v>20</v>
      </c>
      <c r="F122" s="4">
        <v>27.5</v>
      </c>
      <c r="G122" s="5">
        <f t="shared" si="26"/>
        <v>7.6388888888888884</v>
      </c>
      <c r="H122" s="5">
        <f t="shared" si="27"/>
        <v>1.5085367088607657</v>
      </c>
      <c r="I122" s="5">
        <f t="shared" si="40"/>
        <v>133.33311452019888</v>
      </c>
      <c r="J122" s="5">
        <f t="shared" si="41"/>
        <v>-0.46034308636008392</v>
      </c>
      <c r="K122" s="5">
        <f>J122*$K$2</f>
        <v>-238.08944426543542</v>
      </c>
      <c r="L122" s="5">
        <f t="shared" si="28"/>
        <v>28.973828124999997</v>
      </c>
      <c r="M122" s="5">
        <f>($K$2*$G$2*E122)/1000</f>
        <v>101.47464000000001</v>
      </c>
      <c r="N122" s="5">
        <f>(0.5*$K$2*(G122^2))/1000</f>
        <v>15.089988425925926</v>
      </c>
      <c r="O122" s="5">
        <f t="shared" si="46"/>
        <v>0.152730787820203</v>
      </c>
      <c r="P122" s="5">
        <f t="shared" si="30"/>
        <v>0.15155956893708497</v>
      </c>
      <c r="Q122" s="5">
        <f t="shared" si="31"/>
        <v>8.6837236449170216</v>
      </c>
      <c r="R122" s="5">
        <f>($K$2*$G$2*SIN(Q122))</f>
        <v>3425.1045539960332</v>
      </c>
      <c r="S122" s="4">
        <f xml:space="preserve"> ($P$3*($K$2*$G$2))</f>
        <v>304.42392000000007</v>
      </c>
      <c r="T122" s="5">
        <f t="shared" si="32"/>
        <v>3.5204128578555984</v>
      </c>
      <c r="U122" s="5">
        <f t="shared" si="33"/>
        <v>26.89204266417471</v>
      </c>
      <c r="V122" s="27">
        <f t="shared" si="34"/>
        <v>7.1388888888888884</v>
      </c>
      <c r="W122" s="27">
        <f t="shared" si="35"/>
        <v>0</v>
      </c>
      <c r="X122" s="27">
        <f t="shared" si="42"/>
        <v>-1607.1948738426413</v>
      </c>
      <c r="Y122" s="28">
        <f t="shared" si="36"/>
        <v>7.1388888888888884</v>
      </c>
      <c r="Z122" s="28">
        <f t="shared" si="43"/>
        <v>760.4564577735008</v>
      </c>
      <c r="AA122" s="27">
        <f t="shared" si="37"/>
        <v>2.027855588857673</v>
      </c>
      <c r="AB122" s="4" cm="1">
        <f t="array" ref="AB122">_xlfn.IFS(AA122&lt;=4,1,AA122&lt;=8,2,AA122&gt;8,3)</f>
        <v>1</v>
      </c>
      <c r="AC122" s="29">
        <f>LOOKUP(AA122,$AP$5:$AP$46,$AQ$5:$AQ$46)</f>
        <v>3500</v>
      </c>
      <c r="AD122" s="4">
        <f>IF(V122&lt;0,1,MATCH(V122,BSFC!$P$21:$AD$21,1))</f>
        <v>7</v>
      </c>
      <c r="AE122" s="4">
        <f>MATCH(AC122,BSFC!$O$22:$O$36,1)</f>
        <v>7</v>
      </c>
      <c r="AF122" s="4" cm="1">
        <f t="array" ref="AF122">INDEX(BSFC!$P$22:$AD$36,AD122,AE122)</f>
        <v>434</v>
      </c>
      <c r="AG122" s="5">
        <f>IF(V122&lt;0,((V122=0)*AF122/760),V122*AF122/760)</f>
        <v>4.0766812865497073</v>
      </c>
      <c r="AH122" s="28">
        <f t="shared" si="38"/>
        <v>1.1324114684860298E-3</v>
      </c>
      <c r="AI122" s="28">
        <f t="shared" si="44"/>
        <v>0.1185190428860055</v>
      </c>
      <c r="AJ122" s="28">
        <f t="shared" si="39"/>
        <v>164.60978178611876</v>
      </c>
      <c r="AK122" s="20"/>
      <c r="AL122" s="20"/>
      <c r="AM122" s="20"/>
      <c r="AN122" s="20"/>
      <c r="AO122" s="20"/>
    </row>
    <row r="123" spans="1:41" x14ac:dyDescent="0.25">
      <c r="A123" s="4">
        <v>53.311999999999998</v>
      </c>
      <c r="B123" s="4">
        <v>-5.9790000000000003E-2</v>
      </c>
      <c r="C123" s="4">
        <v>123</v>
      </c>
      <c r="D123" s="5">
        <f t="shared" si="45"/>
        <v>1532.107594936713</v>
      </c>
      <c r="E123" s="4">
        <f t="shared" si="25"/>
        <v>22</v>
      </c>
      <c r="F123" s="4">
        <v>35</v>
      </c>
      <c r="G123" s="5">
        <f t="shared" si="26"/>
        <v>9.7222222222222214</v>
      </c>
      <c r="H123" s="5">
        <f t="shared" si="27"/>
        <v>1.5713924050632979</v>
      </c>
      <c r="I123" s="5">
        <f t="shared" si="40"/>
        <v>134.90450692526218</v>
      </c>
      <c r="J123" s="5">
        <f t="shared" si="41"/>
        <v>1.3257880887170266</v>
      </c>
      <c r="K123" s="5">
        <f>J123*$K$2</f>
        <v>685.69759948444619</v>
      </c>
      <c r="L123" s="5">
        <f t="shared" si="28"/>
        <v>46.932812499999997</v>
      </c>
      <c r="M123" s="5">
        <f>($K$2*$G$2*E123)/1000</f>
        <v>111.62210400000002</v>
      </c>
      <c r="N123" s="5">
        <f>(0.5*$K$2*(G123^2))/1000</f>
        <v>24.443287037037038</v>
      </c>
      <c r="O123" s="5">
        <f t="shared" si="46"/>
        <v>7.6365393910101498E-2</v>
      </c>
      <c r="P123" s="5">
        <f t="shared" si="30"/>
        <v>7.6217465157670902E-2</v>
      </c>
      <c r="Q123" s="5">
        <f t="shared" si="31"/>
        <v>4.3669390787199465</v>
      </c>
      <c r="R123" s="5">
        <f>($K$2*$G$2*SIN(Q123))</f>
        <v>-4773.9921601452697</v>
      </c>
      <c r="S123" s="4">
        <f xml:space="preserve"> ($P$3*($K$2*$G$2))</f>
        <v>304.42392000000007</v>
      </c>
      <c r="T123" s="5">
        <f t="shared" si="32"/>
        <v>-3.7369378281608232</v>
      </c>
      <c r="U123" s="5">
        <f t="shared" si="33"/>
        <v>-36.331339996007998</v>
      </c>
      <c r="V123" s="27">
        <f t="shared" si="34"/>
        <v>-36.331339996007998</v>
      </c>
      <c r="W123" s="27">
        <f t="shared" si="35"/>
        <v>-36.331339996007998</v>
      </c>
      <c r="X123" s="27">
        <f t="shared" si="42"/>
        <v>-1643.5262138386493</v>
      </c>
      <c r="Y123" s="28">
        <f t="shared" si="36"/>
        <v>0</v>
      </c>
      <c r="Z123" s="28">
        <f t="shared" si="43"/>
        <v>760.4564577735008</v>
      </c>
      <c r="AA123" s="27">
        <f t="shared" si="37"/>
        <v>9.7222222222222214</v>
      </c>
      <c r="AB123" s="4" cm="1">
        <f t="array" ref="AB123">_xlfn.IFS(AA123&lt;=4,1,AA123&lt;=8,2,AA123&gt;8,3)</f>
        <v>3</v>
      </c>
      <c r="AC123" s="29">
        <f>LOOKUP(AA123,$AP$5:$AP$46,$AQ$5:$AQ$46)</f>
        <v>1666</v>
      </c>
      <c r="AD123" s="4">
        <f>IF(V123&lt;0,1,MATCH(V123,BSFC!$P$21:$AD$21,1))</f>
        <v>1</v>
      </c>
      <c r="AE123" s="4">
        <f>MATCH(AC123,BSFC!$O$22:$O$36,1)</f>
        <v>3</v>
      </c>
      <c r="AF123" s="4" cm="1">
        <f t="array" ref="AF123">INDEX(BSFC!$P$22:$AD$36,AD123,AE123)</f>
        <v>584</v>
      </c>
      <c r="AG123" s="5">
        <f>IF(V123&lt;0,((V123=0)*AF123/760),V123*AF123/760)</f>
        <v>0</v>
      </c>
      <c r="AH123" s="28">
        <f t="shared" si="38"/>
        <v>0</v>
      </c>
      <c r="AI123" s="28">
        <f t="shared" si="44"/>
        <v>0.1185190428860055</v>
      </c>
      <c r="AJ123" s="28">
        <f t="shared" si="39"/>
        <v>164.60978178611876</v>
      </c>
      <c r="AK123" s="20"/>
      <c r="AL123" s="20"/>
      <c r="AM123" s="20"/>
      <c r="AN123" s="20"/>
      <c r="AO123" s="20"/>
    </row>
    <row r="124" spans="1:41" x14ac:dyDescent="0.25">
      <c r="A124" s="4">
        <v>53.312150000000003</v>
      </c>
      <c r="B124" s="4">
        <v>-5.9810000000000002E-2</v>
      </c>
      <c r="C124" s="4">
        <v>124</v>
      </c>
      <c r="D124" s="5">
        <f t="shared" si="45"/>
        <v>1545.2025316455738</v>
      </c>
      <c r="E124" s="4">
        <f t="shared" si="25"/>
        <v>23</v>
      </c>
      <c r="F124" s="4">
        <v>25</v>
      </c>
      <c r="G124" s="5">
        <f t="shared" si="26"/>
        <v>6.9444444444444446</v>
      </c>
      <c r="H124" s="5">
        <f t="shared" si="27"/>
        <v>1.9241539653836299</v>
      </c>
      <c r="I124" s="5">
        <f t="shared" si="40"/>
        <v>136.82866089064581</v>
      </c>
      <c r="J124" s="5">
        <f t="shared" si="41"/>
        <v>-1.443635918825219</v>
      </c>
      <c r="K124" s="5">
        <f>J124*$K$2</f>
        <v>-746.64849721640337</v>
      </c>
      <c r="L124" s="5">
        <f t="shared" si="28"/>
        <v>23.945312500000004</v>
      </c>
      <c r="M124" s="5">
        <f>($K$2*$G$2*E124)/1000</f>
        <v>116.69583600000003</v>
      </c>
      <c r="N124" s="5">
        <f>(0.5*$K$2*(G124^2))/1000</f>
        <v>12.471064814814815</v>
      </c>
      <c r="O124" s="5">
        <f t="shared" si="46"/>
        <v>0</v>
      </c>
      <c r="P124" s="5">
        <f t="shared" si="30"/>
        <v>0</v>
      </c>
      <c r="Q124" s="5">
        <f t="shared" si="31"/>
        <v>0</v>
      </c>
      <c r="R124" s="5">
        <f>($K$2*$G$2*SIN(Q124))</f>
        <v>0</v>
      </c>
      <c r="S124" s="4">
        <f xml:space="preserve"> ($P$3*($K$2*$G$2))</f>
        <v>304.42392000000007</v>
      </c>
      <c r="T124" s="5">
        <f t="shared" si="32"/>
        <v>-0.41827926471640331</v>
      </c>
      <c r="U124" s="5">
        <f t="shared" si="33"/>
        <v>-2.9047171160861343</v>
      </c>
      <c r="V124" s="27">
        <f t="shared" si="34"/>
        <v>-2.9047171160861343</v>
      </c>
      <c r="W124" s="27">
        <f t="shared" si="35"/>
        <v>-2.9047171160861343</v>
      </c>
      <c r="X124" s="27">
        <f t="shared" si="42"/>
        <v>-1646.4309309547355</v>
      </c>
      <c r="Y124" s="28">
        <f t="shared" si="36"/>
        <v>0</v>
      </c>
      <c r="Z124" s="28">
        <f t="shared" si="43"/>
        <v>760.4564577735008</v>
      </c>
      <c r="AA124" s="27">
        <f t="shared" si="37"/>
        <v>6.9444444444444446</v>
      </c>
      <c r="AB124" s="4" cm="1">
        <f t="array" ref="AB124">_xlfn.IFS(AA124&lt;=4,1,AA124&lt;=8,2,AA124&gt;8,3)</f>
        <v>2</v>
      </c>
      <c r="AC124" s="29">
        <f>LOOKUP(AA124,$AP$5:$AP$46,$AQ$5:$AQ$46)</f>
        <v>4000</v>
      </c>
      <c r="AD124" s="4">
        <f>IF(V124&lt;0,1,MATCH(V124,BSFC!$P$21:$AD$21,1))</f>
        <v>1</v>
      </c>
      <c r="AE124" s="4">
        <f>MATCH(AC124,BSFC!$O$22:$O$36,1)</f>
        <v>8</v>
      </c>
      <c r="AF124" s="4" cm="1">
        <f t="array" ref="AF124">INDEX(BSFC!$P$22:$AD$36,AD124,AE124)</f>
        <v>530</v>
      </c>
      <c r="AG124" s="5">
        <f>IF(V124&lt;0,((V124=0)*AF124/760),V124*AF124/760)</f>
        <v>0</v>
      </c>
      <c r="AH124" s="28">
        <f t="shared" si="38"/>
        <v>0</v>
      </c>
      <c r="AI124" s="28">
        <f t="shared" si="44"/>
        <v>0.1185190428860055</v>
      </c>
      <c r="AJ124" s="28">
        <f t="shared" si="39"/>
        <v>164.60978178611876</v>
      </c>
      <c r="AK124" s="20"/>
      <c r="AL124" s="20"/>
      <c r="AM124" s="20"/>
      <c r="AN124" s="20"/>
      <c r="AO124" s="20"/>
    </row>
    <row r="125" spans="1:41" x14ac:dyDescent="0.25">
      <c r="A125" s="4">
        <v>53.312150000000003</v>
      </c>
      <c r="B125" s="4">
        <v>-5.9799999999999999E-2</v>
      </c>
      <c r="C125" s="4">
        <v>124</v>
      </c>
      <c r="D125" s="5">
        <f t="shared" si="45"/>
        <v>1558.2974683544346</v>
      </c>
      <c r="E125" s="4">
        <f t="shared" si="25"/>
        <v>23</v>
      </c>
      <c r="F125" s="4">
        <v>24</v>
      </c>
      <c r="G125" s="5">
        <f t="shared" si="26"/>
        <v>6.6666666666666661</v>
      </c>
      <c r="H125" s="5">
        <f t="shared" si="27"/>
        <v>1.7459915611814418</v>
      </c>
      <c r="I125" s="5">
        <f t="shared" si="40"/>
        <v>138.57465245182726</v>
      </c>
      <c r="J125" s="5">
        <f t="shared" si="41"/>
        <v>-0.15909457064604338</v>
      </c>
      <c r="K125" s="5">
        <f>J125*$K$2</f>
        <v>-82.283711938133635</v>
      </c>
      <c r="L125" s="5">
        <f t="shared" si="28"/>
        <v>22.067999999999998</v>
      </c>
      <c r="M125" s="5">
        <f>($K$2*$G$2*E125)/1000</f>
        <v>116.69583600000003</v>
      </c>
      <c r="N125" s="5">
        <f>(0.5*$K$2*(G125^2))/1000</f>
        <v>11.493333333333332</v>
      </c>
      <c r="O125" s="5">
        <f t="shared" si="46"/>
        <v>7.6365393910101498E-2</v>
      </c>
      <c r="P125" s="5">
        <f t="shared" si="30"/>
        <v>7.6217465157670902E-2</v>
      </c>
      <c r="Q125" s="5">
        <f t="shared" si="31"/>
        <v>4.3669390787199465</v>
      </c>
      <c r="R125" s="5">
        <f>($K$2*$G$2*SIN(Q125))</f>
        <v>-4773.9921601452697</v>
      </c>
      <c r="S125" s="4">
        <f xml:space="preserve"> ($P$3*($K$2*$G$2))</f>
        <v>304.42392000000007</v>
      </c>
      <c r="T125" s="5">
        <f t="shared" si="32"/>
        <v>-4.5297839520834033</v>
      </c>
      <c r="U125" s="5">
        <f t="shared" si="33"/>
        <v>-30.19855968055602</v>
      </c>
      <c r="V125" s="27">
        <f t="shared" si="34"/>
        <v>-30.19855968055602</v>
      </c>
      <c r="W125" s="27">
        <f t="shared" si="35"/>
        <v>-30.19855968055602</v>
      </c>
      <c r="X125" s="27">
        <f t="shared" si="42"/>
        <v>-1676.6294906352914</v>
      </c>
      <c r="Y125" s="28">
        <f t="shared" si="36"/>
        <v>0</v>
      </c>
      <c r="Z125" s="28">
        <f t="shared" si="43"/>
        <v>760.4564577735008</v>
      </c>
      <c r="AA125" s="27">
        <f t="shared" si="37"/>
        <v>6.6666666666666661</v>
      </c>
      <c r="AB125" s="4" cm="1">
        <f t="array" ref="AB125">_xlfn.IFS(AA125&lt;=4,1,AA125&lt;=8,2,AA125&gt;8,3)</f>
        <v>2</v>
      </c>
      <c r="AC125" s="29">
        <f>LOOKUP(AA125,$AP$5:$AP$46,$AQ$5:$AQ$46)</f>
        <v>3500</v>
      </c>
      <c r="AD125" s="4">
        <f>IF(V125&lt;0,1,MATCH(V125,BSFC!$P$21:$AD$21,1))</f>
        <v>1</v>
      </c>
      <c r="AE125" s="4">
        <f>MATCH(AC125,BSFC!$O$22:$O$36,1)</f>
        <v>7</v>
      </c>
      <c r="AF125" s="4" cm="1">
        <f t="array" ref="AF125">INDEX(BSFC!$P$22:$AD$36,AD125,AE125)</f>
        <v>544</v>
      </c>
      <c r="AG125" s="5">
        <f>IF(V125&lt;0,((V125=0)*AF125/760),V125*AF125/760)</f>
        <v>0</v>
      </c>
      <c r="AH125" s="28">
        <f t="shared" si="38"/>
        <v>0</v>
      </c>
      <c r="AI125" s="28">
        <f t="shared" si="44"/>
        <v>0.1185190428860055</v>
      </c>
      <c r="AJ125" s="28">
        <f t="shared" si="39"/>
        <v>164.60978178611876</v>
      </c>
      <c r="AK125" s="20"/>
      <c r="AL125" s="20"/>
      <c r="AM125" s="20"/>
      <c r="AN125" s="20"/>
      <c r="AO125" s="20"/>
    </row>
    <row r="126" spans="1:41" x14ac:dyDescent="0.25">
      <c r="A126" s="4">
        <v>53.312249999999999</v>
      </c>
      <c r="B126" s="4">
        <v>-5.9729999999999998E-2</v>
      </c>
      <c r="C126" s="4">
        <v>125</v>
      </c>
      <c r="D126" s="5">
        <f t="shared" si="45"/>
        <v>1571.3924050632954</v>
      </c>
      <c r="E126" s="4">
        <f t="shared" si="25"/>
        <v>24</v>
      </c>
      <c r="F126" s="4">
        <v>30</v>
      </c>
      <c r="G126" s="5">
        <f t="shared" si="26"/>
        <v>8.3333333333333339</v>
      </c>
      <c r="H126" s="5">
        <f t="shared" si="27"/>
        <v>1.4505160662122747</v>
      </c>
      <c r="I126" s="5">
        <f t="shared" si="40"/>
        <v>140.02516851803955</v>
      </c>
      <c r="J126" s="5">
        <f t="shared" si="41"/>
        <v>1.1490163435547538</v>
      </c>
      <c r="K126" s="5">
        <f>J126*$K$2</f>
        <v>594.27125288651871</v>
      </c>
      <c r="L126" s="5">
        <f t="shared" si="28"/>
        <v>34.481250000000003</v>
      </c>
      <c r="M126" s="5">
        <f>($K$2*$G$2*E126)/1000</f>
        <v>121.76956800000004</v>
      </c>
      <c r="N126" s="5">
        <f>(0.5*$K$2*(G126^2))/1000</f>
        <v>17.958333333333339</v>
      </c>
      <c r="O126" s="5">
        <f t="shared" si="46"/>
        <v>0</v>
      </c>
      <c r="P126" s="5">
        <f t="shared" si="30"/>
        <v>0</v>
      </c>
      <c r="Q126" s="5">
        <f t="shared" si="31"/>
        <v>0</v>
      </c>
      <c r="R126" s="5">
        <f>($K$2*$G$2*SIN(Q126))</f>
        <v>0</v>
      </c>
      <c r="S126" s="4">
        <f xml:space="preserve"> ($P$3*($K$2*$G$2))</f>
        <v>304.42392000000007</v>
      </c>
      <c r="T126" s="5">
        <f t="shared" si="32"/>
        <v>0.93317642288651881</v>
      </c>
      <c r="U126" s="5">
        <f t="shared" si="33"/>
        <v>7.7764701907209908</v>
      </c>
      <c r="V126" s="27">
        <f t="shared" si="34"/>
        <v>7.7764701907209908</v>
      </c>
      <c r="W126" s="27">
        <f t="shared" si="35"/>
        <v>0</v>
      </c>
      <c r="X126" s="27">
        <f t="shared" si="42"/>
        <v>-1676.6294906352914</v>
      </c>
      <c r="Y126" s="28">
        <f t="shared" si="36"/>
        <v>7.7764701907209908</v>
      </c>
      <c r="Z126" s="28">
        <f t="shared" si="43"/>
        <v>768.23292796422174</v>
      </c>
      <c r="AA126" s="27">
        <f t="shared" si="37"/>
        <v>8.3333333333333339</v>
      </c>
      <c r="AB126" s="4" cm="1">
        <f t="array" ref="AB126">_xlfn.IFS(AA126&lt;=4,1,AA126&lt;=8,2,AA126&gt;8,3)</f>
        <v>3</v>
      </c>
      <c r="AC126" s="29">
        <f>LOOKUP(AA126,$AP$5:$AP$46,$AQ$5:$AQ$46)</f>
        <v>6000</v>
      </c>
      <c r="AD126" s="4">
        <f>IF(V126&lt;0,1,MATCH(V126,BSFC!$P$21:$AD$21,1))</f>
        <v>7</v>
      </c>
      <c r="AE126" s="4">
        <f>MATCH(AC126,BSFC!$O$22:$O$36,1)</f>
        <v>12</v>
      </c>
      <c r="AF126" s="4" cm="1">
        <f t="array" ref="AF126">INDEX(BSFC!$P$22:$AD$36,AD126,AE126)</f>
        <v>413</v>
      </c>
      <c r="AG126" s="5">
        <f>IF(V126&lt;0,((V126=0)*AF126/760),V126*AF126/760)</f>
        <v>4.2258976167996964</v>
      </c>
      <c r="AH126" s="28">
        <f t="shared" si="38"/>
        <v>1.1738604491110269E-3</v>
      </c>
      <c r="AI126" s="28">
        <f t="shared" si="44"/>
        <v>0.11969290333511652</v>
      </c>
      <c r="AJ126" s="28">
        <f t="shared" si="39"/>
        <v>166.24014352099516</v>
      </c>
      <c r="AK126" s="20"/>
      <c r="AL126" s="20"/>
      <c r="AM126" s="20"/>
      <c r="AN126" s="20"/>
      <c r="AO126" s="20"/>
    </row>
    <row r="127" spans="1:41" x14ac:dyDescent="0.25">
      <c r="A127" s="4">
        <v>53.312429999999999</v>
      </c>
      <c r="B127" s="4">
        <v>-5.9540000000000003E-2</v>
      </c>
      <c r="C127" s="4">
        <v>125</v>
      </c>
      <c r="D127" s="5">
        <f t="shared" si="45"/>
        <v>1584.4873417721562</v>
      </c>
      <c r="E127" s="4">
        <f t="shared" si="25"/>
        <v>24</v>
      </c>
      <c r="F127" s="4">
        <v>35</v>
      </c>
      <c r="G127" s="5">
        <f t="shared" si="26"/>
        <v>9.7222222222222214</v>
      </c>
      <c r="H127" s="5">
        <f t="shared" si="27"/>
        <v>1.2571139240506382</v>
      </c>
      <c r="I127" s="5">
        <f t="shared" si="40"/>
        <v>141.28228244209018</v>
      </c>
      <c r="J127" s="5">
        <f t="shared" si="41"/>
        <v>1.1048234072642027</v>
      </c>
      <c r="K127" s="5">
        <f>J127*$K$2</f>
        <v>571.41466623704571</v>
      </c>
      <c r="L127" s="5">
        <f t="shared" si="28"/>
        <v>46.932812499999997</v>
      </c>
      <c r="M127" s="5">
        <f>($K$2*$G$2*E127)/1000</f>
        <v>121.76956800000004</v>
      </c>
      <c r="N127" s="5">
        <f>(0.5*$K$2*(G127^2))/1000</f>
        <v>24.443287037037038</v>
      </c>
      <c r="O127" s="5">
        <f t="shared" si="46"/>
        <v>0</v>
      </c>
      <c r="P127" s="5">
        <f t="shared" si="30"/>
        <v>0</v>
      </c>
      <c r="Q127" s="5">
        <f t="shared" si="31"/>
        <v>0</v>
      </c>
      <c r="R127" s="5">
        <f>($K$2*$G$2*SIN(Q127))</f>
        <v>0</v>
      </c>
      <c r="S127" s="4">
        <f xml:space="preserve"> ($P$3*($K$2*$G$2))</f>
        <v>304.42392000000007</v>
      </c>
      <c r="T127" s="5">
        <f t="shared" si="32"/>
        <v>0.92277139873704572</v>
      </c>
      <c r="U127" s="5">
        <f t="shared" si="33"/>
        <v>8.9713885988323874</v>
      </c>
      <c r="V127" s="27">
        <f t="shared" si="34"/>
        <v>8.9713885988323874</v>
      </c>
      <c r="W127" s="27">
        <f t="shared" si="35"/>
        <v>0</v>
      </c>
      <c r="X127" s="27">
        <f t="shared" si="42"/>
        <v>-1676.6294906352914</v>
      </c>
      <c r="Y127" s="28">
        <f t="shared" si="36"/>
        <v>8.9713885988323874</v>
      </c>
      <c r="Z127" s="28">
        <f t="shared" si="43"/>
        <v>777.20431656305414</v>
      </c>
      <c r="AA127" s="27">
        <f t="shared" si="37"/>
        <v>9.7222222222222197</v>
      </c>
      <c r="AB127" s="4" cm="1">
        <f t="array" ref="AB127">_xlfn.IFS(AA127&lt;=4,1,AA127&lt;=8,2,AA127&gt;8,3)</f>
        <v>3</v>
      </c>
      <c r="AC127" s="29">
        <f>LOOKUP(AA127,$AP$5:$AP$46,$AQ$5:$AQ$46)</f>
        <v>1666</v>
      </c>
      <c r="AD127" s="4">
        <f>IF(V127&lt;0,1,MATCH(V127,BSFC!$P$21:$AD$21,1))</f>
        <v>8</v>
      </c>
      <c r="AE127" s="4">
        <f>MATCH(AC127,BSFC!$O$22:$O$36,1)</f>
        <v>3</v>
      </c>
      <c r="AF127" s="4" cm="1">
        <f t="array" ref="AF127">INDEX(BSFC!$P$22:$AD$36,AD127,AE127)</f>
        <v>507</v>
      </c>
      <c r="AG127" s="5">
        <f>IF(V127&lt;0,((V127=0)*AF127/760),V127*AF127/760)</f>
        <v>5.9848605521158165</v>
      </c>
      <c r="AH127" s="28">
        <f t="shared" si="38"/>
        <v>1.6624612644766156E-3</v>
      </c>
      <c r="AI127" s="28">
        <f t="shared" si="44"/>
        <v>0.12135536459959313</v>
      </c>
      <c r="AJ127" s="28">
        <f t="shared" si="39"/>
        <v>168.54911749943491</v>
      </c>
      <c r="AK127" s="20"/>
      <c r="AL127" s="20"/>
      <c r="AM127" s="20"/>
      <c r="AN127" s="20"/>
      <c r="AO127" s="20"/>
    </row>
    <row r="128" spans="1:41" x14ac:dyDescent="0.25">
      <c r="A128" s="4">
        <v>53.312600000000003</v>
      </c>
      <c r="B128" s="4">
        <v>-5.9450000000000003E-2</v>
      </c>
      <c r="C128" s="4">
        <v>125</v>
      </c>
      <c r="D128" s="5">
        <f t="shared" si="45"/>
        <v>1597.5822784810171</v>
      </c>
      <c r="E128" s="4">
        <f t="shared" si="25"/>
        <v>24</v>
      </c>
      <c r="F128" s="4">
        <v>40</v>
      </c>
      <c r="G128" s="5">
        <f t="shared" si="26"/>
        <v>11.111111111111111</v>
      </c>
      <c r="H128" s="5">
        <f t="shared" si="27"/>
        <v>1.1092181682799749</v>
      </c>
      <c r="I128" s="5">
        <f t="shared" si="40"/>
        <v>142.39150061037014</v>
      </c>
      <c r="J128" s="5">
        <f t="shared" si="41"/>
        <v>1.2521331948994314</v>
      </c>
      <c r="K128" s="5">
        <f>J128*$K$2</f>
        <v>647.60328840198599</v>
      </c>
      <c r="L128" s="5">
        <f t="shared" si="28"/>
        <v>61.3</v>
      </c>
      <c r="M128" s="5">
        <f>($K$2*$G$2*E128)/1000</f>
        <v>121.76956800000004</v>
      </c>
      <c r="N128" s="5">
        <f>(0.5*$K$2*(G128^2))/1000</f>
        <v>31.925925925925927</v>
      </c>
      <c r="O128" s="5">
        <f t="shared" si="46"/>
        <v>-7.6365393910101498E-2</v>
      </c>
      <c r="P128" s="5">
        <f t="shared" si="30"/>
        <v>-7.6217465157670902E-2</v>
      </c>
      <c r="Q128" s="5">
        <f t="shared" si="31"/>
        <v>-4.3669390787199465</v>
      </c>
      <c r="R128" s="5">
        <f>($K$2*$G$2*SIN(Q128))</f>
        <v>4773.9921601452697</v>
      </c>
      <c r="S128" s="4">
        <f xml:space="preserve"> ($P$3*($K$2*$G$2))</f>
        <v>304.42392000000007</v>
      </c>
      <c r="T128" s="5">
        <f t="shared" si="32"/>
        <v>5.7873193685472559</v>
      </c>
      <c r="U128" s="5">
        <f t="shared" si="33"/>
        <v>64.303548539413953</v>
      </c>
      <c r="V128" s="27">
        <f t="shared" si="34"/>
        <v>10.611111111111111</v>
      </c>
      <c r="W128" s="27">
        <f t="shared" si="35"/>
        <v>0</v>
      </c>
      <c r="X128" s="27">
        <f t="shared" si="42"/>
        <v>-1676.6294906352914</v>
      </c>
      <c r="Y128" s="28">
        <f t="shared" si="36"/>
        <v>10.611111111111111</v>
      </c>
      <c r="Z128" s="28">
        <f t="shared" si="43"/>
        <v>787.81542767416522</v>
      </c>
      <c r="AA128" s="27">
        <f t="shared" si="37"/>
        <v>1.8335105487317753</v>
      </c>
      <c r="AB128" s="4" cm="1">
        <f t="array" ref="AB128">_xlfn.IFS(AA128&lt;=4,1,AA128&lt;=8,2,AA128&gt;8,3)</f>
        <v>1</v>
      </c>
      <c r="AC128" s="29">
        <f>LOOKUP(AA128,$AP$5:$AP$46,$AQ$5:$AQ$46)</f>
        <v>3000</v>
      </c>
      <c r="AD128" s="4">
        <f>IF(V128&lt;0,1,MATCH(V128,BSFC!$P$21:$AD$21,1))</f>
        <v>9</v>
      </c>
      <c r="AE128" s="4">
        <f>MATCH(AC128,BSFC!$O$22:$O$36,1)</f>
        <v>6</v>
      </c>
      <c r="AF128" s="4" cm="1">
        <f t="array" ref="AF128">INDEX(BSFC!$P$22:$AD$36,AD128,AE128)</f>
        <v>434</v>
      </c>
      <c r="AG128" s="5">
        <f>IF(V128&lt;0,((V128=0)*AF128/760),V128*AF128/760)</f>
        <v>6.0595029239766074</v>
      </c>
      <c r="AH128" s="28">
        <f t="shared" si="38"/>
        <v>1.6831952566601688E-3</v>
      </c>
      <c r="AI128" s="28">
        <f t="shared" si="44"/>
        <v>0.1230385598562533</v>
      </c>
      <c r="AJ128" s="28">
        <f t="shared" si="39"/>
        <v>170.88688868924072</v>
      </c>
      <c r="AK128" s="20"/>
      <c r="AL128" s="20"/>
      <c r="AM128" s="20"/>
      <c r="AN128" s="20"/>
      <c r="AO128" s="20"/>
    </row>
    <row r="129" spans="1:41" x14ac:dyDescent="0.25">
      <c r="A129" s="4">
        <v>53.312739999999998</v>
      </c>
      <c r="B129" s="4">
        <v>-5.9470000000000002E-2</v>
      </c>
      <c r="C129" s="4">
        <v>124</v>
      </c>
      <c r="D129" s="5">
        <f t="shared" si="45"/>
        <v>1610.6772151898779</v>
      </c>
      <c r="E129" s="4">
        <f t="shared" si="25"/>
        <v>23</v>
      </c>
      <c r="F129" s="4">
        <v>45</v>
      </c>
      <c r="G129" s="5">
        <f t="shared" si="26"/>
        <v>12.5</v>
      </c>
      <c r="H129" s="5">
        <f t="shared" si="27"/>
        <v>1.0057125944425254</v>
      </c>
      <c r="I129" s="5">
        <f t="shared" si="40"/>
        <v>143.39721320481266</v>
      </c>
      <c r="J129" s="5">
        <f t="shared" si="41"/>
        <v>1.3809997971227332</v>
      </c>
      <c r="K129" s="5">
        <f>J129*$K$2</f>
        <v>714.25309507187774</v>
      </c>
      <c r="L129" s="5">
        <f t="shared" si="28"/>
        <v>77.582812500000003</v>
      </c>
      <c r="M129" s="5">
        <f>($K$2*$G$2*E129)/1000</f>
        <v>116.69583600000003</v>
      </c>
      <c r="N129" s="5">
        <f>(0.5*$K$2*(G129^2))/1000</f>
        <v>40.40625</v>
      </c>
      <c r="O129" s="5">
        <f t="shared" si="46"/>
        <v>-0.30546157564040599</v>
      </c>
      <c r="P129" s="5">
        <f t="shared" si="30"/>
        <v>-0.29645985199932912</v>
      </c>
      <c r="Q129" s="5">
        <f t="shared" si="31"/>
        <v>-16.985898314634579</v>
      </c>
      <c r="R129" s="5">
        <f>($K$2*$G$2*SIN(Q129))</f>
        <v>4857.7014449689023</v>
      </c>
      <c r="S129" s="4">
        <f xml:space="preserve"> ($P$3*($K$2*$G$2))</f>
        <v>304.42392000000007</v>
      </c>
      <c r="T129" s="5">
        <f t="shared" si="32"/>
        <v>5.9539612725407798</v>
      </c>
      <c r="U129" s="5">
        <f t="shared" si="33"/>
        <v>74.424515906759751</v>
      </c>
      <c r="V129" s="27">
        <f t="shared" si="34"/>
        <v>12</v>
      </c>
      <c r="W129" s="27">
        <f t="shared" si="35"/>
        <v>0</v>
      </c>
      <c r="X129" s="27">
        <f t="shared" si="42"/>
        <v>-1676.6294906352914</v>
      </c>
      <c r="Y129" s="28">
        <f t="shared" si="36"/>
        <v>12</v>
      </c>
      <c r="Z129" s="28">
        <f t="shared" si="43"/>
        <v>799.81542767416522</v>
      </c>
      <c r="AA129" s="27">
        <f t="shared" si="37"/>
        <v>2.0154649065896844</v>
      </c>
      <c r="AB129" s="4" cm="1">
        <f t="array" ref="AB129">_xlfn.IFS(AA129&lt;=4,1,AA129&lt;=8,2,AA129&gt;8,3)</f>
        <v>1</v>
      </c>
      <c r="AC129" s="29">
        <f>LOOKUP(AA129,$AP$5:$AP$46,$AQ$5:$AQ$46)</f>
        <v>3500</v>
      </c>
      <c r="AD129" s="4">
        <f>IF(V129&lt;0,1,MATCH(V129,BSFC!$P$21:$AD$21,1))</f>
        <v>10</v>
      </c>
      <c r="AE129" s="4">
        <f>MATCH(AC129,BSFC!$O$22:$O$36,1)</f>
        <v>7</v>
      </c>
      <c r="AF129" s="4" cm="1">
        <f t="array" ref="AF129">INDEX(BSFC!$P$22:$AD$36,AD129,AE129)</f>
        <v>426</v>
      </c>
      <c r="AG129" s="5">
        <f>IF(V129&lt;0,((V129=0)*AF129/760),V129*AF129/760)</f>
        <v>6.7263157894736842</v>
      </c>
      <c r="AH129" s="28">
        <f t="shared" si="38"/>
        <v>1.8684210526315789E-3</v>
      </c>
      <c r="AI129" s="28">
        <f t="shared" si="44"/>
        <v>0.12490698090888487</v>
      </c>
      <c r="AJ129" s="28">
        <f t="shared" si="39"/>
        <v>173.48191792900678</v>
      </c>
      <c r="AK129" s="20"/>
      <c r="AL129" s="20"/>
      <c r="AM129" s="20"/>
      <c r="AN129" s="20"/>
      <c r="AO129" s="20"/>
    </row>
    <row r="130" spans="1:41" x14ac:dyDescent="0.25">
      <c r="A130" s="4">
        <v>53.312919999999998</v>
      </c>
      <c r="B130" s="4">
        <v>-5.9520000000000003E-2</v>
      </c>
      <c r="C130" s="4">
        <v>120</v>
      </c>
      <c r="D130" s="5">
        <f t="shared" si="45"/>
        <v>1623.7721518987387</v>
      </c>
      <c r="E130" s="4">
        <f t="shared" si="25"/>
        <v>19</v>
      </c>
      <c r="F130" s="4">
        <v>48.747999999999998</v>
      </c>
      <c r="G130" s="5">
        <f t="shared" si="26"/>
        <v>13.54111111111111</v>
      </c>
      <c r="H130" s="5">
        <f t="shared" si="27"/>
        <v>0.96705038467011839</v>
      </c>
      <c r="I130" s="5">
        <f t="shared" si="40"/>
        <v>144.36426358948279</v>
      </c>
      <c r="J130" s="5">
        <f t="shared" si="41"/>
        <v>1.076584144544074</v>
      </c>
      <c r="K130" s="5">
        <f>J130*$K$2</f>
        <v>556.80931955819517</v>
      </c>
      <c r="L130" s="5">
        <f t="shared" si="28"/>
        <v>91.044579996999985</v>
      </c>
      <c r="M130" s="5">
        <f>($K$2*$G$2*E130)/1000</f>
        <v>96.400908000000015</v>
      </c>
      <c r="N130" s="5">
        <f>(0.5*$K$2*(G130^2))/1000</f>
        <v>47.417333065925931</v>
      </c>
      <c r="O130" s="5">
        <f t="shared" si="46"/>
        <v>-7.6365393910101498E-2</v>
      </c>
      <c r="P130" s="5">
        <f t="shared" si="30"/>
        <v>-7.6217465157670902E-2</v>
      </c>
      <c r="Q130" s="5">
        <f t="shared" si="31"/>
        <v>-4.3669390787199465</v>
      </c>
      <c r="R130" s="5">
        <f>($K$2*$G$2*SIN(Q130))</f>
        <v>4773.9921601452697</v>
      </c>
      <c r="S130" s="4">
        <f xml:space="preserve"> ($P$3*($K$2*$G$2))</f>
        <v>304.42392000000007</v>
      </c>
      <c r="T130" s="5">
        <f t="shared" si="32"/>
        <v>5.726269979700465</v>
      </c>
      <c r="U130" s="5">
        <f t="shared" si="33"/>
        <v>77.540058047343962</v>
      </c>
      <c r="V130" s="27">
        <f t="shared" si="34"/>
        <v>13.04111111111111</v>
      </c>
      <c r="W130" s="27">
        <f t="shared" si="35"/>
        <v>0</v>
      </c>
      <c r="X130" s="27">
        <f t="shared" si="42"/>
        <v>-1676.6294906352914</v>
      </c>
      <c r="Y130" s="28">
        <f t="shared" si="36"/>
        <v>13.04111111111111</v>
      </c>
      <c r="Z130" s="28">
        <f t="shared" si="43"/>
        <v>812.85653878527637</v>
      </c>
      <c r="AA130" s="27">
        <f t="shared" si="37"/>
        <v>2.2774181373462374</v>
      </c>
      <c r="AB130" s="4" cm="1">
        <f t="array" ref="AB130">_xlfn.IFS(AA130&lt;=4,1,AA130&lt;=8,2,AA130&gt;8,3)</f>
        <v>1</v>
      </c>
      <c r="AC130" s="29">
        <f>LOOKUP(AA130,$AP$5:$AP$46,$AQ$5:$AQ$46)</f>
        <v>3500</v>
      </c>
      <c r="AD130" s="4">
        <f>IF(V130&lt;0,1,MATCH(V130,BSFC!$P$21:$AD$21,1))</f>
        <v>11</v>
      </c>
      <c r="AE130" s="4">
        <f>MATCH(AC130,BSFC!$O$22:$O$36,1)</f>
        <v>7</v>
      </c>
      <c r="AF130" s="4" cm="1">
        <f t="array" ref="AF130">INDEX(BSFC!$P$22:$AD$36,AD130,AE130)</f>
        <v>438</v>
      </c>
      <c r="AG130" s="5">
        <f>IF(V130&lt;0,((V130=0)*AF130/760),V130*AF130/760)</f>
        <v>7.5157982456140342</v>
      </c>
      <c r="AH130" s="28">
        <f t="shared" si="38"/>
        <v>2.0877217348927871E-3</v>
      </c>
      <c r="AI130" s="28">
        <f t="shared" si="44"/>
        <v>0.12699470264377766</v>
      </c>
      <c r="AJ130" s="28">
        <f t="shared" si="39"/>
        <v>176.38153144969121</v>
      </c>
      <c r="AK130" s="20"/>
      <c r="AL130" s="20"/>
      <c r="AM130" s="20"/>
      <c r="AN130" s="20"/>
      <c r="AO130" s="20"/>
    </row>
    <row r="131" spans="1:41" x14ac:dyDescent="0.25">
      <c r="A131" s="4">
        <v>53.313020000000002</v>
      </c>
      <c r="B131" s="4">
        <v>-5.9549999999999999E-2</v>
      </c>
      <c r="C131" s="4">
        <v>119</v>
      </c>
      <c r="D131" s="5">
        <f t="shared" si="45"/>
        <v>1636.8670886075995</v>
      </c>
      <c r="E131" s="4">
        <f t="shared" si="25"/>
        <v>18</v>
      </c>
      <c r="F131" s="4">
        <v>48.747999999999998</v>
      </c>
      <c r="G131" s="5">
        <f t="shared" si="26"/>
        <v>13.54111111111111</v>
      </c>
      <c r="H131" s="5">
        <f t="shared" si="27"/>
        <v>0.96705038467011839</v>
      </c>
      <c r="I131" s="5">
        <f t="shared" si="40"/>
        <v>145.33131397415292</v>
      </c>
      <c r="J131" s="5">
        <f t="shared" si="41"/>
        <v>0</v>
      </c>
      <c r="K131" s="5">
        <f>J131*$K$2</f>
        <v>0</v>
      </c>
      <c r="L131" s="5">
        <f t="shared" si="28"/>
        <v>91.044579996999985</v>
      </c>
      <c r="M131" s="5">
        <f>($K$2*$G$2*E131)/1000</f>
        <v>91.327176000000023</v>
      </c>
      <c r="N131" s="5">
        <f>(0.5*$K$2*(G131^2))/1000</f>
        <v>47.417333065925931</v>
      </c>
      <c r="O131" s="5">
        <f t="shared" si="46"/>
        <v>-0.152730787820203</v>
      </c>
      <c r="P131" s="5">
        <f t="shared" si="30"/>
        <v>-0.15155956893708497</v>
      </c>
      <c r="Q131" s="5">
        <f t="shared" si="31"/>
        <v>-8.6837236449170216</v>
      </c>
      <c r="R131" s="5">
        <f>($K$2*$G$2*SIN(Q131))</f>
        <v>-3425.1045539960332</v>
      </c>
      <c r="S131" s="4">
        <f xml:space="preserve"> ($P$3*($K$2*$G$2))</f>
        <v>304.42392000000007</v>
      </c>
      <c r="T131" s="5">
        <f t="shared" si="32"/>
        <v>-3.0296360539990332</v>
      </c>
      <c r="U131" s="5">
        <f t="shared" si="33"/>
        <v>-41.024638433429132</v>
      </c>
      <c r="V131" s="27">
        <f t="shared" si="34"/>
        <v>-41.024638433429132</v>
      </c>
      <c r="W131" s="27">
        <f t="shared" si="35"/>
        <v>-41.024638433429132</v>
      </c>
      <c r="X131" s="27">
        <f t="shared" si="42"/>
        <v>-1717.6541290687205</v>
      </c>
      <c r="Y131" s="28">
        <f t="shared" si="36"/>
        <v>0</v>
      </c>
      <c r="Z131" s="28">
        <f t="shared" si="43"/>
        <v>812.85653878527637</v>
      </c>
      <c r="AA131" s="27">
        <f t="shared" si="37"/>
        <v>13.541111111111112</v>
      </c>
      <c r="AB131" s="4" cm="1">
        <f t="array" ref="AB131">_xlfn.IFS(AA131&lt;=4,1,AA131&lt;=8,2,AA131&gt;8,3)</f>
        <v>3</v>
      </c>
      <c r="AC131" s="29">
        <f>LOOKUP(AA131,$AP$5:$AP$46,$AQ$5:$AQ$46)</f>
        <v>5332.7</v>
      </c>
      <c r="AD131" s="4">
        <f>IF(V131&lt;0,1,MATCH(V131,BSFC!$P$21:$AD$21,1))</f>
        <v>1</v>
      </c>
      <c r="AE131" s="4">
        <f>MATCH(AC131,BSFC!$O$22:$O$36,1)</f>
        <v>10</v>
      </c>
      <c r="AF131" s="4" cm="1">
        <f t="array" ref="AF131">INDEX(BSFC!$P$22:$AD$36,AD131,AE131)</f>
        <v>500</v>
      </c>
      <c r="AG131" s="5">
        <f>IF(V131&lt;0,((V131=0)*AF131/760),V131*AF131/760)</f>
        <v>0</v>
      </c>
      <c r="AH131" s="28">
        <f t="shared" si="38"/>
        <v>0</v>
      </c>
      <c r="AI131" s="28">
        <f t="shared" si="44"/>
        <v>0.12699470264377766</v>
      </c>
      <c r="AJ131" s="28">
        <f t="shared" si="39"/>
        <v>176.38153144969121</v>
      </c>
      <c r="AK131" s="20"/>
      <c r="AL131" s="20"/>
      <c r="AM131" s="20"/>
      <c r="AN131" s="20"/>
      <c r="AO131" s="20"/>
    </row>
    <row r="132" spans="1:41" x14ac:dyDescent="0.25">
      <c r="A132" s="4">
        <v>53.313079999999999</v>
      </c>
      <c r="B132" s="4">
        <v>-5.9459999999999999E-2</v>
      </c>
      <c r="C132" s="4">
        <v>117</v>
      </c>
      <c r="D132" s="5">
        <f t="shared" si="45"/>
        <v>1649.9620253164603</v>
      </c>
      <c r="E132" s="4">
        <f t="shared" si="25"/>
        <v>16</v>
      </c>
      <c r="F132" s="4">
        <v>48.747999999999998</v>
      </c>
      <c r="G132" s="5">
        <f t="shared" si="26"/>
        <v>13.54111111111111</v>
      </c>
      <c r="H132" s="5">
        <f t="shared" si="27"/>
        <v>1.0057125944425254</v>
      </c>
      <c r="I132" s="5">
        <f t="shared" si="40"/>
        <v>146.33702656859543</v>
      </c>
      <c r="J132" s="5">
        <f t="shared" si="41"/>
        <v>0</v>
      </c>
      <c r="K132" s="5">
        <f>J132*$K$2</f>
        <v>0</v>
      </c>
      <c r="L132" s="5">
        <f t="shared" si="28"/>
        <v>91.044579996999985</v>
      </c>
      <c r="M132" s="5">
        <f>($K$2*$G$2*E132)/1000</f>
        <v>81.179712000000009</v>
      </c>
      <c r="N132" s="5">
        <f>(0.5*$K$2*(G132^2))/1000</f>
        <v>47.417333065925931</v>
      </c>
      <c r="O132" s="5">
        <f t="shared" si="46"/>
        <v>-0.152730787820203</v>
      </c>
      <c r="P132" s="5">
        <f t="shared" si="30"/>
        <v>-0.15155956893708497</v>
      </c>
      <c r="Q132" s="5">
        <f t="shared" si="31"/>
        <v>-8.6837236449170216</v>
      </c>
      <c r="R132" s="5">
        <f>($K$2*$G$2*SIN(Q132))</f>
        <v>-3425.1045539960332</v>
      </c>
      <c r="S132" s="4">
        <f xml:space="preserve"> ($P$3*($K$2*$G$2))</f>
        <v>304.42392000000007</v>
      </c>
      <c r="T132" s="5">
        <f t="shared" si="32"/>
        <v>-3.0296360539990332</v>
      </c>
      <c r="U132" s="5">
        <f t="shared" si="33"/>
        <v>-41.024638433429132</v>
      </c>
      <c r="V132" s="27">
        <f t="shared" si="34"/>
        <v>-41.024638433429132</v>
      </c>
      <c r="W132" s="27">
        <f t="shared" si="35"/>
        <v>-41.024638433429132</v>
      </c>
      <c r="X132" s="27">
        <f t="shared" si="42"/>
        <v>-1758.6787675021496</v>
      </c>
      <c r="Y132" s="28">
        <f t="shared" si="36"/>
        <v>0</v>
      </c>
      <c r="Z132" s="28">
        <f t="shared" si="43"/>
        <v>812.85653878527637</v>
      </c>
      <c r="AA132" s="27">
        <f t="shared" si="37"/>
        <v>13.541111111111112</v>
      </c>
      <c r="AB132" s="4" cm="1">
        <f t="array" ref="AB132">_xlfn.IFS(AA132&lt;=4,1,AA132&lt;=8,2,AA132&gt;8,3)</f>
        <v>3</v>
      </c>
      <c r="AC132" s="29">
        <f>LOOKUP(AA132,$AP$5:$AP$46,$AQ$5:$AQ$46)</f>
        <v>5332.7</v>
      </c>
      <c r="AD132" s="4">
        <f>IF(V132&lt;0,1,MATCH(V132,BSFC!$P$21:$AD$21,1))</f>
        <v>1</v>
      </c>
      <c r="AE132" s="4">
        <f>MATCH(AC132,BSFC!$O$22:$O$36,1)</f>
        <v>10</v>
      </c>
      <c r="AF132" s="4" cm="1">
        <f t="array" ref="AF132">INDEX(BSFC!$P$22:$AD$36,AD132,AE132)</f>
        <v>500</v>
      </c>
      <c r="AG132" s="5">
        <f>IF(V132&lt;0,((V132=0)*AF132/760),V132*AF132/760)</f>
        <v>0</v>
      </c>
      <c r="AH132" s="28">
        <f t="shared" si="38"/>
        <v>0</v>
      </c>
      <c r="AI132" s="28">
        <f t="shared" si="44"/>
        <v>0.12699470264377766</v>
      </c>
      <c r="AJ132" s="28">
        <f t="shared" si="39"/>
        <v>176.38153144969121</v>
      </c>
      <c r="AK132" s="20"/>
      <c r="AL132" s="20"/>
      <c r="AM132" s="20"/>
      <c r="AN132" s="20"/>
      <c r="AO132" s="20"/>
    </row>
    <row r="133" spans="1:41" x14ac:dyDescent="0.25">
      <c r="A133" s="4">
        <v>53.313119999999998</v>
      </c>
      <c r="B133" s="4">
        <v>-5.9299999999999999E-2</v>
      </c>
      <c r="C133" s="4">
        <v>115</v>
      </c>
      <c r="D133" s="5">
        <f t="shared" si="45"/>
        <v>1663.0569620253211</v>
      </c>
      <c r="E133" s="4">
        <f t="shared" si="25"/>
        <v>14</v>
      </c>
      <c r="F133" s="4">
        <v>45</v>
      </c>
      <c r="G133" s="5">
        <f t="shared" si="26"/>
        <v>12.5</v>
      </c>
      <c r="H133" s="5">
        <f t="shared" si="27"/>
        <v>1.0304212492218348</v>
      </c>
      <c r="I133" s="5">
        <f t="shared" si="40"/>
        <v>147.36744781781726</v>
      </c>
      <c r="J133" s="5">
        <f t="shared" si="41"/>
        <v>-1.0103742638239963</v>
      </c>
      <c r="K133" s="5">
        <f>J133*$K$2</f>
        <v>-522.56556924977099</v>
      </c>
      <c r="L133" s="5">
        <f t="shared" si="28"/>
        <v>77.582812500000003</v>
      </c>
      <c r="M133" s="5">
        <f>($K$2*$G$2*E133)/1000</f>
        <v>71.03224800000001</v>
      </c>
      <c r="N133" s="5">
        <f>(0.5*$K$2*(G133^2))/1000</f>
        <v>40.40625</v>
      </c>
      <c r="O133" s="5">
        <f t="shared" si="46"/>
        <v>7.6365393910101498E-2</v>
      </c>
      <c r="P133" s="5">
        <f t="shared" si="30"/>
        <v>7.6217465157670902E-2</v>
      </c>
      <c r="Q133" s="5">
        <f t="shared" si="31"/>
        <v>4.3669390787199465</v>
      </c>
      <c r="R133" s="5">
        <f>($K$2*$G$2*SIN(Q133))</f>
        <v>-4773.9921601452697</v>
      </c>
      <c r="S133" s="4">
        <f xml:space="preserve"> ($P$3*($K$2*$G$2))</f>
        <v>304.42392000000007</v>
      </c>
      <c r="T133" s="5">
        <f t="shared" si="32"/>
        <v>-4.9145509968950414</v>
      </c>
      <c r="U133" s="5">
        <f t="shared" si="33"/>
        <v>-61.431887461188019</v>
      </c>
      <c r="V133" s="27">
        <f t="shared" si="34"/>
        <v>-61.431887461188019</v>
      </c>
      <c r="W133" s="27">
        <f t="shared" si="35"/>
        <v>-61.431887461188019</v>
      </c>
      <c r="X133" s="27">
        <f t="shared" si="42"/>
        <v>-1820.1106549633378</v>
      </c>
      <c r="Y133" s="28">
        <f t="shared" si="36"/>
        <v>0</v>
      </c>
      <c r="Z133" s="28">
        <f t="shared" si="43"/>
        <v>812.85653878527637</v>
      </c>
      <c r="AA133" s="27">
        <f t="shared" si="37"/>
        <v>12.5</v>
      </c>
      <c r="AB133" s="4" cm="1">
        <f t="array" ref="AB133">_xlfn.IFS(AA133&lt;=4,1,AA133&lt;=8,2,AA133&gt;8,3)</f>
        <v>3</v>
      </c>
      <c r="AC133" s="29">
        <f>LOOKUP(AA133,$AP$5:$AP$46,$AQ$5:$AQ$46)</f>
        <v>4332.8</v>
      </c>
      <c r="AD133" s="4">
        <f>IF(V133&lt;0,1,MATCH(V133,BSFC!$P$21:$AD$21,1))</f>
        <v>1</v>
      </c>
      <c r="AE133" s="4">
        <f>MATCH(AC133,BSFC!$O$22:$O$36,1)</f>
        <v>8</v>
      </c>
      <c r="AF133" s="4" cm="1">
        <f t="array" ref="AF133">INDEX(BSFC!$P$22:$AD$36,AD133,AE133)</f>
        <v>530</v>
      </c>
      <c r="AG133" s="5">
        <f>IF(V133&lt;0,((V133=0)*AF133/760),V133*AF133/760)</f>
        <v>0</v>
      </c>
      <c r="AH133" s="28">
        <f t="shared" si="38"/>
        <v>0</v>
      </c>
      <c r="AI133" s="28">
        <f t="shared" si="44"/>
        <v>0.12699470264377766</v>
      </c>
      <c r="AJ133" s="28">
        <f t="shared" si="39"/>
        <v>176.38153144969121</v>
      </c>
      <c r="AK133" s="20"/>
      <c r="AL133" s="20"/>
      <c r="AM133" s="20"/>
      <c r="AN133" s="20"/>
      <c r="AO133" s="20"/>
    </row>
    <row r="134" spans="1:41" x14ac:dyDescent="0.25">
      <c r="A134" s="4">
        <v>53.313079999999999</v>
      </c>
      <c r="B134" s="4">
        <v>-5.9150000000000001E-2</v>
      </c>
      <c r="C134" s="4">
        <v>116</v>
      </c>
      <c r="D134" s="5">
        <f t="shared" si="45"/>
        <v>1676.1518987341819</v>
      </c>
      <c r="E134" s="4">
        <f t="shared" si="25"/>
        <v>15</v>
      </c>
      <c r="F134" s="4">
        <v>46.5</v>
      </c>
      <c r="G134" s="5">
        <f t="shared" si="26"/>
        <v>12.916666666666666</v>
      </c>
      <c r="H134" s="5">
        <f t="shared" si="27"/>
        <v>1.0062277940640112</v>
      </c>
      <c r="I134" s="5">
        <f t="shared" si="40"/>
        <v>148.37367561188128</v>
      </c>
      <c r="J134" s="5">
        <f t="shared" si="41"/>
        <v>0.41408781304261738</v>
      </c>
      <c r="K134" s="5">
        <f>J134*$K$2</f>
        <v>214.16621690564173</v>
      </c>
      <c r="L134" s="5">
        <f t="shared" si="28"/>
        <v>82.841203124999993</v>
      </c>
      <c r="M134" s="5">
        <f>($K$2*$G$2*E134)/1000</f>
        <v>76.105980000000017</v>
      </c>
      <c r="N134" s="5">
        <f>(0.5*$K$2*(G134^2))/1000</f>
        <v>43.144895833333337</v>
      </c>
      <c r="O134" s="5">
        <f t="shared" si="46"/>
        <v>-7.6365393910101498E-2</v>
      </c>
      <c r="P134" s="5">
        <f t="shared" si="30"/>
        <v>-7.6217465157670902E-2</v>
      </c>
      <c r="Q134" s="5">
        <f t="shared" si="31"/>
        <v>-4.3669390787199465</v>
      </c>
      <c r="R134" s="5">
        <f>($K$2*$G$2*SIN(Q134))</f>
        <v>4773.9921601452697</v>
      </c>
      <c r="S134" s="4">
        <f xml:space="preserve"> ($P$3*($K$2*$G$2))</f>
        <v>304.42392000000007</v>
      </c>
      <c r="T134" s="5">
        <f t="shared" si="32"/>
        <v>5.3754235001759119</v>
      </c>
      <c r="U134" s="5">
        <f t="shared" si="33"/>
        <v>69.432553543938852</v>
      </c>
      <c r="V134" s="27">
        <f t="shared" si="34"/>
        <v>12.416666666666666</v>
      </c>
      <c r="W134" s="27">
        <f t="shared" si="35"/>
        <v>0</v>
      </c>
      <c r="X134" s="27">
        <f t="shared" si="42"/>
        <v>-1820.1106549633378</v>
      </c>
      <c r="Y134" s="28">
        <f t="shared" si="36"/>
        <v>12.416666666666666</v>
      </c>
      <c r="Z134" s="28">
        <f t="shared" si="43"/>
        <v>825.273205451943</v>
      </c>
      <c r="AA134" s="27">
        <f t="shared" si="37"/>
        <v>2.3098955210245906</v>
      </c>
      <c r="AB134" s="4" cm="1">
        <f t="array" ref="AB134">_xlfn.IFS(AA134&lt;=4,1,AA134&lt;=8,2,AA134&gt;8,3)</f>
        <v>1</v>
      </c>
      <c r="AC134" s="29">
        <f>LOOKUP(AA134,$AP$5:$AP$46,$AQ$5:$AQ$46)</f>
        <v>3500</v>
      </c>
      <c r="AD134" s="4">
        <f>IF(V134&lt;0,1,MATCH(V134,BSFC!$P$21:$AD$21,1))</f>
        <v>10</v>
      </c>
      <c r="AE134" s="4">
        <f>MATCH(AC134,BSFC!$O$22:$O$36,1)</f>
        <v>7</v>
      </c>
      <c r="AF134" s="4" cm="1">
        <f t="array" ref="AF134">INDEX(BSFC!$P$22:$AD$36,AD134,AE134)</f>
        <v>426</v>
      </c>
      <c r="AG134" s="5">
        <f>IF(V134&lt;0,((V134=0)*AF134/760),V134*AF134/760)</f>
        <v>6.9598684210526311</v>
      </c>
      <c r="AH134" s="28">
        <f t="shared" si="38"/>
        <v>1.9332967836257309E-3</v>
      </c>
      <c r="AI134" s="28">
        <f t="shared" si="44"/>
        <v>0.12892799942740338</v>
      </c>
      <c r="AJ134" s="28">
        <f t="shared" si="39"/>
        <v>179.06666587139358</v>
      </c>
      <c r="AK134" s="20"/>
      <c r="AL134" s="20"/>
      <c r="AM134" s="20"/>
      <c r="AN134" s="20"/>
      <c r="AO134" s="20"/>
    </row>
    <row r="135" spans="1:41" x14ac:dyDescent="0.25">
      <c r="A135" s="6">
        <v>53.313040000000001</v>
      </c>
      <c r="B135" s="6">
        <v>-5.8880000000000002E-2</v>
      </c>
      <c r="C135" s="6">
        <v>115</v>
      </c>
      <c r="D135" s="7">
        <f t="shared" ref="D135:D164" si="47">D134+$A$2</f>
        <v>1689.2468354430428</v>
      </c>
      <c r="E135" s="6">
        <f t="shared" ref="E135:E164" si="48">C135-101</f>
        <v>14</v>
      </c>
      <c r="F135" s="6">
        <v>47.2</v>
      </c>
      <c r="G135" s="7">
        <f t="shared" ref="G135:G164" si="49">F135/3.6</f>
        <v>13.111111111111111</v>
      </c>
      <c r="H135" s="7">
        <f t="shared" ref="H135:H163" si="50">(2*(D136-D135))/(G136+G135)</f>
        <v>1.0569904069932496</v>
      </c>
      <c r="I135" s="7">
        <f t="shared" si="40"/>
        <v>149.43066601887452</v>
      </c>
      <c r="J135" s="7">
        <f t="shared" si="41"/>
        <v>0.18396046279887276</v>
      </c>
      <c r="K135" s="7">
        <f>J135*$K$2</f>
        <v>95.144351359577001</v>
      </c>
      <c r="L135" s="7">
        <f t="shared" ref="L135:L164" si="51">0.5*1.226*(G135^2)*$D$2*$E$2</f>
        <v>85.35411999999998</v>
      </c>
      <c r="M135" s="7">
        <f>($K$2*$G$2*E135)/1000</f>
        <v>71.03224800000001</v>
      </c>
      <c r="N135" s="7">
        <f>(0.5*$K$2*(G135^2))/1000</f>
        <v>44.453659259259254</v>
      </c>
      <c r="O135" s="7">
        <f t="shared" ref="O135:O164" si="52">(E136-E135)/$A$2</f>
        <v>0</v>
      </c>
      <c r="P135" s="7">
        <f t="shared" ref="P135:P164" si="53">ATAN(O135)</f>
        <v>0</v>
      </c>
      <c r="Q135" s="7">
        <f t="shared" ref="Q135:Q164" si="54">P135*(180/PI())</f>
        <v>0</v>
      </c>
      <c r="R135" s="7">
        <f>($K$2*$G$2*SIN(Q135))</f>
        <v>0</v>
      </c>
      <c r="S135" s="6">
        <f xml:space="preserve"> ($P$3*($K$2*$G$2))</f>
        <v>304.42392000000007</v>
      </c>
      <c r="T135" s="7">
        <f t="shared" ref="T135:T164" si="55">(S135+R135+L135+K135)/1000</f>
        <v>0.48492239135957704</v>
      </c>
      <c r="U135" s="7">
        <f t="shared" ref="U135:U164" si="56">(T135*G135)</f>
        <v>6.3578713533811211</v>
      </c>
      <c r="V135" s="24">
        <f t="shared" ref="V135:V164" si="57">IF(U135&gt;13.4,G135-0.5,U135)</f>
        <v>6.3578713533811211</v>
      </c>
      <c r="W135" s="24">
        <f t="shared" ref="W135:W164" si="58">IF(V135&gt;0,0,V135)</f>
        <v>0</v>
      </c>
      <c r="X135" s="24">
        <f t="shared" si="42"/>
        <v>-1820.1106549633378</v>
      </c>
      <c r="Y135" s="25">
        <f t="shared" ref="Y135:Y164" si="59">IF(V135&lt;0,0,V135)</f>
        <v>6.3578713533811211</v>
      </c>
      <c r="Z135" s="25">
        <f t="shared" si="43"/>
        <v>831.63107680532414</v>
      </c>
      <c r="AA135" s="24">
        <f t="shared" ref="AA135:AA164" si="60">V135/T135</f>
        <v>13.111111111111111</v>
      </c>
      <c r="AB135" s="6" cm="1">
        <f t="array" ref="AB135">_xlfn.IFS(AA135&lt;=4,1,AA135&lt;=8,2,AA135&gt;8,3)</f>
        <v>3</v>
      </c>
      <c r="AC135" s="26">
        <f>LOOKUP(AA135,$AP$5:$AP$46,$AQ$5:$AQ$46)</f>
        <v>4999.3999999999996</v>
      </c>
      <c r="AD135" s="6">
        <f>IF(V135&lt;0,1,MATCH(V135,BSFC!$P$21:$AD$21,1))</f>
        <v>7</v>
      </c>
      <c r="AE135" s="6">
        <f>MATCH(AC135,BSFC!$O$22:$O$36,1)</f>
        <v>9</v>
      </c>
      <c r="AF135" s="6" cm="1">
        <f t="array" ref="AF135">INDEX(BSFC!$P$22:$AD$36,AD135,AE135)</f>
        <v>424</v>
      </c>
      <c r="AG135" s="7">
        <f>IF(V135&lt;0,((V135=0)*AF135/760),V135*AF135/760)</f>
        <v>3.5470229655705201</v>
      </c>
      <c r="AH135" s="25">
        <f t="shared" ref="AH135:AH164" si="61">AG135/3600</f>
        <v>9.8528415710292215E-4</v>
      </c>
      <c r="AI135" s="25">
        <f t="shared" si="44"/>
        <v>0.12991328358450629</v>
      </c>
      <c r="AJ135" s="25">
        <f t="shared" ref="AJ135:AJ164" si="62">(AI135/0.72)*1000</f>
        <v>180.4351160895921</v>
      </c>
      <c r="AK135" s="20"/>
      <c r="AL135" s="20"/>
      <c r="AM135" s="20"/>
      <c r="AN135" s="20"/>
      <c r="AO135" s="20"/>
    </row>
    <row r="136" spans="1:41" x14ac:dyDescent="0.25">
      <c r="A136" s="6">
        <v>53.313040000000001</v>
      </c>
      <c r="B136" s="6">
        <v>-5.8860000000000003E-2</v>
      </c>
      <c r="C136" s="6">
        <v>115</v>
      </c>
      <c r="D136" s="7">
        <f t="shared" si="47"/>
        <v>1702.3417721519036</v>
      </c>
      <c r="E136" s="6">
        <f t="shared" si="48"/>
        <v>14</v>
      </c>
      <c r="F136" s="6">
        <v>42</v>
      </c>
      <c r="G136" s="7">
        <f t="shared" si="49"/>
        <v>11.666666666666666</v>
      </c>
      <c r="H136" s="7">
        <f t="shared" si="50"/>
        <v>1.2212894339870191</v>
      </c>
      <c r="I136" s="7">
        <f t="shared" ref="I136:I164" si="63">I135+H136</f>
        <v>150.65195545286153</v>
      </c>
      <c r="J136" s="7">
        <f t="shared" ref="J136:J164" si="64">(G136-G135)/(I136-I135)</f>
        <v>-1.1827208229657113</v>
      </c>
      <c r="K136" s="7">
        <f>J136*$K$2</f>
        <v>-611.70320963786594</v>
      </c>
      <c r="L136" s="7">
        <f t="shared" si="51"/>
        <v>67.583249999999992</v>
      </c>
      <c r="M136" s="7">
        <f>($K$2*$G$2*E136)/1000</f>
        <v>71.03224800000001</v>
      </c>
      <c r="N136" s="7">
        <f>(0.5*$K$2*(G136^2))/1000</f>
        <v>35.198333333333331</v>
      </c>
      <c r="O136" s="7">
        <f t="shared" si="52"/>
        <v>-0.152730787820203</v>
      </c>
      <c r="P136" s="7">
        <f t="shared" si="53"/>
        <v>-0.15155956893708497</v>
      </c>
      <c r="Q136" s="7">
        <f t="shared" si="54"/>
        <v>-8.6837236449170216</v>
      </c>
      <c r="R136" s="7">
        <f>($K$2*$G$2*SIN(Q136))</f>
        <v>-3425.1045539960332</v>
      </c>
      <c r="S136" s="6">
        <f xml:space="preserve"> ($P$3*($K$2*$G$2))</f>
        <v>304.42392000000007</v>
      </c>
      <c r="T136" s="7">
        <f t="shared" si="55"/>
        <v>-3.6648005936338985</v>
      </c>
      <c r="U136" s="7">
        <f t="shared" si="56"/>
        <v>-42.756006925728812</v>
      </c>
      <c r="V136" s="24">
        <f t="shared" si="57"/>
        <v>-42.756006925728812</v>
      </c>
      <c r="W136" s="24">
        <f t="shared" si="58"/>
        <v>-42.756006925728812</v>
      </c>
      <c r="X136" s="24">
        <f t="shared" ref="X136:X164" si="65">X135+W136</f>
        <v>-1862.8666618890666</v>
      </c>
      <c r="Y136" s="25">
        <f t="shared" si="59"/>
        <v>0</v>
      </c>
      <c r="Z136" s="25">
        <f t="shared" ref="Z136:Z164" si="66">Z135+Y136</f>
        <v>831.63107680532414</v>
      </c>
      <c r="AA136" s="24">
        <f t="shared" si="60"/>
        <v>11.666666666666666</v>
      </c>
      <c r="AB136" s="6" cm="1">
        <f t="array" ref="AB136">_xlfn.IFS(AA136&lt;=4,1,AA136&lt;=8,2,AA136&gt;8,3)</f>
        <v>3</v>
      </c>
      <c r="AC136" s="26">
        <f>LOOKUP(AA136,$AP$5:$AP$46,$AQ$5:$AQ$46)</f>
        <v>3332.9</v>
      </c>
      <c r="AD136" s="6">
        <f>IF(V136&lt;0,1,MATCH(V136,BSFC!$P$21:$AD$21,1))</f>
        <v>1</v>
      </c>
      <c r="AE136" s="6">
        <f>MATCH(AC136,BSFC!$O$22:$O$36,1)</f>
        <v>6</v>
      </c>
      <c r="AF136" s="6" cm="1">
        <f t="array" ref="AF136">INDEX(BSFC!$P$22:$AD$36,AD136,AE136)</f>
        <v>557</v>
      </c>
      <c r="AG136" s="7">
        <f>IF(V136&lt;0,((V136=0)*AF136/760),V136*AF136/760)</f>
        <v>0</v>
      </c>
      <c r="AH136" s="25">
        <f t="shared" si="61"/>
        <v>0</v>
      </c>
      <c r="AI136" s="25">
        <f t="shared" si="44"/>
        <v>0.12991328358450629</v>
      </c>
      <c r="AJ136" s="25">
        <f t="shared" si="62"/>
        <v>180.4351160895921</v>
      </c>
      <c r="AK136" s="20"/>
      <c r="AL136" s="20"/>
      <c r="AM136" s="20"/>
      <c r="AN136" s="20"/>
      <c r="AO136" s="20"/>
    </row>
    <row r="137" spans="1:41" x14ac:dyDescent="0.25">
      <c r="A137" s="6">
        <v>53.312980000000003</v>
      </c>
      <c r="B137" s="6">
        <v>-5.8459999999999998E-2</v>
      </c>
      <c r="C137" s="6">
        <v>113</v>
      </c>
      <c r="D137" s="7">
        <f t="shared" si="47"/>
        <v>1715.4367088607644</v>
      </c>
      <c r="E137" s="6">
        <f t="shared" si="48"/>
        <v>12</v>
      </c>
      <c r="F137" s="6">
        <v>35.200000000000003</v>
      </c>
      <c r="G137" s="7">
        <f t="shared" si="49"/>
        <v>9.7777777777777786</v>
      </c>
      <c r="H137" s="7">
        <f t="shared" si="50"/>
        <v>1.3058662645955381</v>
      </c>
      <c r="I137" s="7">
        <f t="shared" si="63"/>
        <v>151.95782171745708</v>
      </c>
      <c r="J137" s="7">
        <f t="shared" si="64"/>
        <v>-1.4464642667477967</v>
      </c>
      <c r="K137" s="7">
        <f>J137*$K$2</f>
        <v>-748.11131876196055</v>
      </c>
      <c r="L137" s="7">
        <f t="shared" si="51"/>
        <v>47.47072</v>
      </c>
      <c r="M137" s="7">
        <f>($K$2*$G$2*E137)/1000</f>
        <v>60.884784000000018</v>
      </c>
      <c r="N137" s="7">
        <f>(0.5*$K$2*(G137^2))/1000</f>
        <v>24.723437037037041</v>
      </c>
      <c r="O137" s="7">
        <f t="shared" si="52"/>
        <v>0</v>
      </c>
      <c r="P137" s="7">
        <f t="shared" si="53"/>
        <v>0</v>
      </c>
      <c r="Q137" s="7">
        <f t="shared" si="54"/>
        <v>0</v>
      </c>
      <c r="R137" s="7">
        <f>($K$2*$G$2*SIN(Q137))</f>
        <v>0</v>
      </c>
      <c r="S137" s="6">
        <f xml:space="preserve"> ($P$3*($K$2*$G$2))</f>
        <v>304.42392000000007</v>
      </c>
      <c r="T137" s="7">
        <f t="shared" si="55"/>
        <v>-0.39621667876196043</v>
      </c>
      <c r="U137" s="7">
        <f t="shared" si="56"/>
        <v>-3.8741186367836136</v>
      </c>
      <c r="V137" s="24">
        <f t="shared" si="57"/>
        <v>-3.8741186367836136</v>
      </c>
      <c r="W137" s="24">
        <f t="shared" si="58"/>
        <v>-3.8741186367836136</v>
      </c>
      <c r="X137" s="24">
        <f t="shared" si="65"/>
        <v>-1866.7407805258501</v>
      </c>
      <c r="Y137" s="25">
        <f t="shared" si="59"/>
        <v>0</v>
      </c>
      <c r="Z137" s="25">
        <f t="shared" si="66"/>
        <v>831.63107680532414</v>
      </c>
      <c r="AA137" s="24">
        <f t="shared" si="60"/>
        <v>9.7777777777777786</v>
      </c>
      <c r="AB137" s="6" cm="1">
        <f t="array" ref="AB137">_xlfn.IFS(AA137&lt;=4,1,AA137&lt;=8,2,AA137&gt;8,3)</f>
        <v>3</v>
      </c>
      <c r="AC137" s="26">
        <f>LOOKUP(AA137,$AP$5:$AP$46,$AQ$5:$AQ$46)</f>
        <v>1666</v>
      </c>
      <c r="AD137" s="6">
        <f>IF(V137&lt;0,1,MATCH(V137,BSFC!$P$21:$AD$21,1))</f>
        <v>1</v>
      </c>
      <c r="AE137" s="6">
        <f>MATCH(AC137,BSFC!$O$22:$O$36,1)</f>
        <v>3</v>
      </c>
      <c r="AF137" s="6" cm="1">
        <f t="array" ref="AF137">INDEX(BSFC!$P$22:$AD$36,AD137,AE137)</f>
        <v>584</v>
      </c>
      <c r="AG137" s="7">
        <f>IF(V137&lt;0,((V137=0)*AF137/760),V137*AF137/760)</f>
        <v>0</v>
      </c>
      <c r="AH137" s="25">
        <f t="shared" si="61"/>
        <v>0</v>
      </c>
      <c r="AI137" s="25">
        <f t="shared" ref="AI137:AI164" si="67">AI136+AH137</f>
        <v>0.12991328358450629</v>
      </c>
      <c r="AJ137" s="25">
        <f t="shared" si="62"/>
        <v>180.4351160895921</v>
      </c>
      <c r="AK137" s="20"/>
      <c r="AL137" s="20"/>
      <c r="AM137" s="20"/>
      <c r="AN137" s="20"/>
      <c r="AO137" s="20"/>
    </row>
    <row r="138" spans="1:41" x14ac:dyDescent="0.25">
      <c r="A138" s="6">
        <v>53.312910000000002</v>
      </c>
      <c r="B138" s="6">
        <v>-5.8049999999999997E-2</v>
      </c>
      <c r="C138" s="6">
        <v>113</v>
      </c>
      <c r="D138" s="7">
        <f t="shared" si="47"/>
        <v>1728.5316455696252</v>
      </c>
      <c r="E138" s="6">
        <f t="shared" si="48"/>
        <v>12</v>
      </c>
      <c r="F138" s="6">
        <v>37</v>
      </c>
      <c r="G138" s="7">
        <f t="shared" si="49"/>
        <v>10.277777777777777</v>
      </c>
      <c r="H138" s="7">
        <f t="shared" si="50"/>
        <v>1.2324646314221943</v>
      </c>
      <c r="I138" s="7">
        <f t="shared" si="63"/>
        <v>153.19028634887928</v>
      </c>
      <c r="J138" s="7">
        <f t="shared" si="64"/>
        <v>0.405691155147408</v>
      </c>
      <c r="K138" s="7">
        <f>J138*$K$2</f>
        <v>209.82346544223944</v>
      </c>
      <c r="L138" s="7">
        <f t="shared" si="51"/>
        <v>52.449812499999993</v>
      </c>
      <c r="M138" s="7">
        <f>($K$2*$G$2*E138)/1000</f>
        <v>60.884784000000018</v>
      </c>
      <c r="N138" s="7">
        <f>(0.5*$K$2*(G138^2))/1000</f>
        <v>27.316620370370369</v>
      </c>
      <c r="O138" s="7">
        <f t="shared" si="52"/>
        <v>0</v>
      </c>
      <c r="P138" s="7">
        <f t="shared" si="53"/>
        <v>0</v>
      </c>
      <c r="Q138" s="7">
        <f t="shared" si="54"/>
        <v>0</v>
      </c>
      <c r="R138" s="7">
        <f>($K$2*$G$2*SIN(Q138))</f>
        <v>0</v>
      </c>
      <c r="S138" s="6">
        <f xml:space="preserve"> ($P$3*($K$2*$G$2))</f>
        <v>304.42392000000007</v>
      </c>
      <c r="T138" s="7">
        <f t="shared" si="55"/>
        <v>0.56669719794223949</v>
      </c>
      <c r="U138" s="7">
        <f t="shared" si="56"/>
        <v>5.8243878677396834</v>
      </c>
      <c r="V138" s="24">
        <f t="shared" si="57"/>
        <v>5.8243878677396834</v>
      </c>
      <c r="W138" s="24">
        <f t="shared" si="58"/>
        <v>0</v>
      </c>
      <c r="X138" s="24">
        <f t="shared" si="65"/>
        <v>-1866.7407805258501</v>
      </c>
      <c r="Y138" s="25">
        <f t="shared" si="59"/>
        <v>5.8243878677396834</v>
      </c>
      <c r="Z138" s="25">
        <f t="shared" si="66"/>
        <v>837.45546467306383</v>
      </c>
      <c r="AA138" s="24">
        <f t="shared" si="60"/>
        <v>10.277777777777777</v>
      </c>
      <c r="AB138" s="6" cm="1">
        <f t="array" ref="AB138">_xlfn.IFS(AA138&lt;=4,1,AA138&lt;=8,2,AA138&gt;8,3)</f>
        <v>3</v>
      </c>
      <c r="AC138" s="26">
        <f>LOOKUP(AA138,$AP$5:$AP$46,$AQ$5:$AQ$46)</f>
        <v>2000</v>
      </c>
      <c r="AD138" s="6">
        <f>IF(V138&lt;0,1,MATCH(V138,BSFC!$P$21:$AD$21,1))</f>
        <v>6</v>
      </c>
      <c r="AE138" s="6">
        <f>MATCH(AC138,BSFC!$O$22:$O$36,1)</f>
        <v>4</v>
      </c>
      <c r="AF138" s="6" cm="1">
        <f t="array" ref="AF138">INDEX(BSFC!$P$22:$AD$36,AD138,AE138)</f>
        <v>519</v>
      </c>
      <c r="AG138" s="7">
        <f>IF(V138&lt;0,((V138=0)*AF138/760),V138*AF138/760)</f>
        <v>3.9774438202064415</v>
      </c>
      <c r="AH138" s="25">
        <f t="shared" si="61"/>
        <v>1.1048455056129004E-3</v>
      </c>
      <c r="AI138" s="25">
        <f t="shared" si="67"/>
        <v>0.1310181290901192</v>
      </c>
      <c r="AJ138" s="25">
        <f t="shared" si="62"/>
        <v>181.96962373627667</v>
      </c>
      <c r="AK138" s="20"/>
      <c r="AL138" s="20"/>
      <c r="AM138" s="20"/>
      <c r="AN138" s="20"/>
      <c r="AO138" s="20"/>
    </row>
    <row r="139" spans="1:41" x14ac:dyDescent="0.25">
      <c r="A139" s="6">
        <v>53.312910000000002</v>
      </c>
      <c r="B139" s="6">
        <v>-5.8040000000000001E-2</v>
      </c>
      <c r="C139" s="6">
        <v>113</v>
      </c>
      <c r="D139" s="7">
        <f t="shared" si="47"/>
        <v>1741.626582278486</v>
      </c>
      <c r="E139" s="6">
        <f t="shared" si="48"/>
        <v>12</v>
      </c>
      <c r="F139" s="8">
        <v>39.5</v>
      </c>
      <c r="G139" s="7">
        <f t="shared" si="49"/>
        <v>10.972222222222221</v>
      </c>
      <c r="H139" s="7">
        <f t="shared" si="50"/>
        <v>1.1568533043410782</v>
      </c>
      <c r="I139" s="7">
        <f t="shared" si="63"/>
        <v>154.34713965322035</v>
      </c>
      <c r="J139" s="7">
        <f t="shared" si="64"/>
        <v>0.60028738461355069</v>
      </c>
      <c r="K139" s="7">
        <f>J139*$K$2</f>
        <v>310.46863532212842</v>
      </c>
      <c r="L139" s="7">
        <f t="shared" si="51"/>
        <v>59.777078124999996</v>
      </c>
      <c r="M139" s="7">
        <f>($K$2*$G$2*E139)/1000</f>
        <v>60.884784000000018</v>
      </c>
      <c r="N139" s="7">
        <f>(0.5*$K$2*(G139^2))/1000</f>
        <v>31.132766203703699</v>
      </c>
      <c r="O139" s="7">
        <f t="shared" si="52"/>
        <v>-0.152730787820203</v>
      </c>
      <c r="P139" s="7">
        <f t="shared" si="53"/>
        <v>-0.15155956893708497</v>
      </c>
      <c r="Q139" s="7">
        <f t="shared" si="54"/>
        <v>-8.6837236449170216</v>
      </c>
      <c r="R139" s="7">
        <f>($K$2*$G$2*SIN(Q139))</f>
        <v>-3425.1045539960332</v>
      </c>
      <c r="S139" s="6">
        <f xml:space="preserve"> ($P$3*($K$2*$G$2))</f>
        <v>304.42392000000007</v>
      </c>
      <c r="T139" s="7">
        <f t="shared" si="55"/>
        <v>-2.7504349205489045</v>
      </c>
      <c r="U139" s="7">
        <f t="shared" si="56"/>
        <v>-30.178383156022701</v>
      </c>
      <c r="V139" s="24">
        <f t="shared" si="57"/>
        <v>-30.178383156022701</v>
      </c>
      <c r="W139" s="24">
        <f t="shared" si="58"/>
        <v>-30.178383156022701</v>
      </c>
      <c r="X139" s="24">
        <f t="shared" si="65"/>
        <v>-1896.9191636818728</v>
      </c>
      <c r="Y139" s="25">
        <f t="shared" si="59"/>
        <v>0</v>
      </c>
      <c r="Z139" s="25">
        <f t="shared" si="66"/>
        <v>837.45546467306383</v>
      </c>
      <c r="AA139" s="24">
        <f t="shared" si="60"/>
        <v>10.972222222222221</v>
      </c>
      <c r="AB139" s="6" cm="1">
        <f t="array" ref="AB139">_xlfn.IFS(AA139&lt;=4,1,AA139&lt;=8,2,AA139&gt;8,3)</f>
        <v>3</v>
      </c>
      <c r="AC139" s="26">
        <f>LOOKUP(AA139,$AP$5:$AP$46,$AQ$5:$AQ$46)</f>
        <v>2666.3</v>
      </c>
      <c r="AD139" s="6">
        <f>IF(V139&lt;0,1,MATCH(V139,BSFC!$P$21:$AD$21,1))</f>
        <v>1</v>
      </c>
      <c r="AE139" s="6">
        <f>MATCH(AC139,BSFC!$O$22:$O$36,1)</f>
        <v>5</v>
      </c>
      <c r="AF139" s="6" cm="1">
        <f t="array" ref="AF139">INDEX(BSFC!$P$22:$AD$36,AD139,AE139)</f>
        <v>566</v>
      </c>
      <c r="AG139" s="7">
        <f>IF(V139&lt;0,((V139=0)*AF139/760),V139*AF139/760)</f>
        <v>0</v>
      </c>
      <c r="AH139" s="25">
        <f t="shared" si="61"/>
        <v>0</v>
      </c>
      <c r="AI139" s="25">
        <f t="shared" si="67"/>
        <v>0.1310181290901192</v>
      </c>
      <c r="AJ139" s="25">
        <f t="shared" si="62"/>
        <v>181.96962373627667</v>
      </c>
      <c r="AK139" s="20"/>
      <c r="AL139" s="20"/>
      <c r="AM139" s="20"/>
      <c r="AN139" s="20"/>
      <c r="AO139" s="20"/>
    </row>
    <row r="140" spans="1:41" x14ac:dyDescent="0.25">
      <c r="A140" s="6">
        <v>53.312860000000001</v>
      </c>
      <c r="B140" s="6">
        <v>-5.7820000000000003E-2</v>
      </c>
      <c r="C140" s="6">
        <v>111</v>
      </c>
      <c r="D140" s="7">
        <f t="shared" si="47"/>
        <v>1754.7215189873468</v>
      </c>
      <c r="E140" s="6">
        <f t="shared" si="48"/>
        <v>10</v>
      </c>
      <c r="F140" s="6">
        <v>42</v>
      </c>
      <c r="G140" s="7">
        <f t="shared" si="49"/>
        <v>11.666666666666666</v>
      </c>
      <c r="H140" s="7">
        <f t="shared" si="50"/>
        <v>1.1497993207780226</v>
      </c>
      <c r="I140" s="7">
        <f t="shared" si="63"/>
        <v>155.49693897399837</v>
      </c>
      <c r="J140" s="7">
        <f t="shared" si="64"/>
        <v>0.60397012930443073</v>
      </c>
      <c r="K140" s="7">
        <f>J140*$K$2</f>
        <v>312.37335087625161</v>
      </c>
      <c r="L140" s="7">
        <f t="shared" si="51"/>
        <v>67.583249999999992</v>
      </c>
      <c r="M140" s="7">
        <f>($K$2*$G$2*E140)/1000</f>
        <v>50.737320000000004</v>
      </c>
      <c r="N140" s="7">
        <f>(0.5*$K$2*(G140^2))/1000</f>
        <v>35.198333333333331</v>
      </c>
      <c r="O140" s="7">
        <f t="shared" si="52"/>
        <v>0</v>
      </c>
      <c r="P140" s="7">
        <f t="shared" si="53"/>
        <v>0</v>
      </c>
      <c r="Q140" s="7">
        <f t="shared" si="54"/>
        <v>0</v>
      </c>
      <c r="R140" s="7">
        <f>($K$2*$G$2*SIN(Q140))</f>
        <v>0</v>
      </c>
      <c r="S140" s="6">
        <f xml:space="preserve"> ($P$3*($K$2*$G$2))</f>
        <v>304.42392000000007</v>
      </c>
      <c r="T140" s="7">
        <f t="shared" si="55"/>
        <v>0.68438052087625167</v>
      </c>
      <c r="U140" s="7">
        <f t="shared" si="56"/>
        <v>7.9844394102229357</v>
      </c>
      <c r="V140" s="24">
        <f t="shared" si="57"/>
        <v>7.9844394102229357</v>
      </c>
      <c r="W140" s="24">
        <f t="shared" si="58"/>
        <v>0</v>
      </c>
      <c r="X140" s="24">
        <f t="shared" si="65"/>
        <v>-1896.9191636818728</v>
      </c>
      <c r="Y140" s="25">
        <f t="shared" si="59"/>
        <v>7.9844394102229357</v>
      </c>
      <c r="Z140" s="25">
        <f t="shared" si="66"/>
        <v>845.43990408328682</v>
      </c>
      <c r="AA140" s="24">
        <f t="shared" si="60"/>
        <v>11.666666666666666</v>
      </c>
      <c r="AB140" s="6" cm="1">
        <f t="array" ref="AB140">_xlfn.IFS(AA140&lt;=4,1,AA140&lt;=8,2,AA140&gt;8,3)</f>
        <v>3</v>
      </c>
      <c r="AC140" s="26">
        <f>LOOKUP(AA140,$AP$5:$AP$46,$AQ$5:$AQ$46)</f>
        <v>3332.9</v>
      </c>
      <c r="AD140" s="6">
        <f>IF(V140&lt;0,1,MATCH(V140,BSFC!$P$21:$AD$21,1))</f>
        <v>7</v>
      </c>
      <c r="AE140" s="6">
        <f>MATCH(AC140,BSFC!$O$22:$O$36,1)</f>
        <v>6</v>
      </c>
      <c r="AF140" s="6" cm="1">
        <f t="array" ref="AF140">INDEX(BSFC!$P$22:$AD$36,AD140,AE140)</f>
        <v>453</v>
      </c>
      <c r="AG140" s="7">
        <f>IF(V140&lt;0,((V140=0)*AF140/760),V140*AF140/760)</f>
        <v>4.7591461221460394</v>
      </c>
      <c r="AH140" s="25">
        <f t="shared" si="61"/>
        <v>1.3219850339294553E-3</v>
      </c>
      <c r="AI140" s="25">
        <f t="shared" si="67"/>
        <v>0.13234011412404867</v>
      </c>
      <c r="AJ140" s="25">
        <f t="shared" si="62"/>
        <v>183.80571406117872</v>
      </c>
      <c r="AK140" s="20"/>
      <c r="AL140" s="20"/>
      <c r="AM140" s="20"/>
      <c r="AN140" s="20"/>
      <c r="AO140" s="20"/>
    </row>
    <row r="141" spans="1:41" x14ac:dyDescent="0.25">
      <c r="A141" s="6">
        <v>53.312779999999997</v>
      </c>
      <c r="B141" s="6">
        <v>-5.7700000000000001E-2</v>
      </c>
      <c r="C141" s="6">
        <v>111</v>
      </c>
      <c r="D141" s="7">
        <f t="shared" si="47"/>
        <v>1767.8164556962076</v>
      </c>
      <c r="E141" s="6">
        <f t="shared" si="48"/>
        <v>10</v>
      </c>
      <c r="F141" s="6">
        <v>40</v>
      </c>
      <c r="G141" s="7">
        <f t="shared" si="49"/>
        <v>11.111111111111111</v>
      </c>
      <c r="H141" s="7">
        <f t="shared" si="50"/>
        <v>1.346907775768541</v>
      </c>
      <c r="I141" s="7">
        <f t="shared" si="63"/>
        <v>156.8438467497669</v>
      </c>
      <c r="J141" s="7">
        <f t="shared" si="64"/>
        <v>-0.41246740537863658</v>
      </c>
      <c r="K141" s="7">
        <f>J141*$K$2</f>
        <v>-213.32814206183085</v>
      </c>
      <c r="L141" s="7">
        <f t="shared" si="51"/>
        <v>61.3</v>
      </c>
      <c r="M141" s="7">
        <f>($K$2*$G$2*E141)/1000</f>
        <v>50.737320000000004</v>
      </c>
      <c r="N141" s="7">
        <f>(0.5*$K$2*(G141^2))/1000</f>
        <v>31.925925925925927</v>
      </c>
      <c r="O141" s="7">
        <f t="shared" si="52"/>
        <v>-7.6365393910101498E-2</v>
      </c>
      <c r="P141" s="7">
        <f t="shared" si="53"/>
        <v>-7.6217465157670902E-2</v>
      </c>
      <c r="Q141" s="7">
        <f t="shared" si="54"/>
        <v>-4.3669390787199465</v>
      </c>
      <c r="R141" s="7">
        <f>($K$2*$G$2*SIN(Q141))</f>
        <v>4773.9921601452697</v>
      </c>
      <c r="S141" s="6">
        <f xml:space="preserve"> ($P$3*($K$2*$G$2))</f>
        <v>304.42392000000007</v>
      </c>
      <c r="T141" s="7">
        <f t="shared" si="55"/>
        <v>4.9263879380834394</v>
      </c>
      <c r="U141" s="7">
        <f t="shared" si="56"/>
        <v>54.737643756482662</v>
      </c>
      <c r="V141" s="24">
        <f t="shared" si="57"/>
        <v>10.611111111111111</v>
      </c>
      <c r="W141" s="24">
        <f t="shared" si="58"/>
        <v>0</v>
      </c>
      <c r="X141" s="24">
        <f t="shared" si="65"/>
        <v>-1896.9191636818728</v>
      </c>
      <c r="Y141" s="25">
        <f t="shared" si="59"/>
        <v>10.611111111111111</v>
      </c>
      <c r="Z141" s="25">
        <f t="shared" si="66"/>
        <v>856.05101519439791</v>
      </c>
      <c r="AA141" s="24">
        <f t="shared" si="60"/>
        <v>2.153933316757684</v>
      </c>
      <c r="AB141" s="6" cm="1">
        <f t="array" ref="AB141">_xlfn.IFS(AA141&lt;=4,1,AA141&lt;=8,2,AA141&gt;8,3)</f>
        <v>1</v>
      </c>
      <c r="AC141" s="26">
        <f>LOOKUP(AA141,$AP$5:$AP$46,$AQ$5:$AQ$46)</f>
        <v>3500</v>
      </c>
      <c r="AD141" s="6">
        <f>IF(V141&lt;0,1,MATCH(V141,BSFC!$P$21:$AD$21,1))</f>
        <v>9</v>
      </c>
      <c r="AE141" s="6">
        <f>MATCH(AC141,BSFC!$O$22:$O$36,1)</f>
        <v>7</v>
      </c>
      <c r="AF141" s="6" cm="1">
        <f t="array" ref="AF141">INDEX(BSFC!$P$22:$AD$36,AD141,AE141)</f>
        <v>425</v>
      </c>
      <c r="AG141" s="7">
        <f>IF(V141&lt;0,((V141=0)*AF141/760),V141*AF141/760)</f>
        <v>5.9338450292397651</v>
      </c>
      <c r="AH141" s="25">
        <f t="shared" si="61"/>
        <v>1.6482902858999348E-3</v>
      </c>
      <c r="AI141" s="25">
        <f t="shared" si="67"/>
        <v>0.13398840440994861</v>
      </c>
      <c r="AJ141" s="25">
        <f t="shared" si="62"/>
        <v>186.09500612492863</v>
      </c>
      <c r="AK141" s="20"/>
      <c r="AL141" s="20"/>
      <c r="AM141" s="20"/>
      <c r="AN141" s="20"/>
      <c r="AO141" s="20"/>
    </row>
    <row r="142" spans="1:41" x14ac:dyDescent="0.25">
      <c r="A142" s="6">
        <v>53.31268</v>
      </c>
      <c r="B142" s="6">
        <v>-5.7639999999999997E-2</v>
      </c>
      <c r="C142" s="6">
        <v>110</v>
      </c>
      <c r="D142" s="7">
        <f t="shared" si="47"/>
        <v>1780.9113924050685</v>
      </c>
      <c r="E142" s="6">
        <f t="shared" si="48"/>
        <v>9</v>
      </c>
      <c r="F142" s="6">
        <v>30</v>
      </c>
      <c r="G142" s="7">
        <f t="shared" si="49"/>
        <v>8.3333333333333339</v>
      </c>
      <c r="H142" s="7">
        <f t="shared" si="50"/>
        <v>2.0951898734177301</v>
      </c>
      <c r="I142" s="7">
        <f t="shared" si="63"/>
        <v>158.93903662318462</v>
      </c>
      <c r="J142" s="7">
        <f t="shared" si="64"/>
        <v>-1.3257880887170381</v>
      </c>
      <c r="K142" s="7">
        <f>J142*$K$2</f>
        <v>-685.69759948445221</v>
      </c>
      <c r="L142" s="7">
        <f t="shared" si="51"/>
        <v>34.481250000000003</v>
      </c>
      <c r="M142" s="7">
        <f>($K$2*$G$2*E142)/1000</f>
        <v>45.663588000000011</v>
      </c>
      <c r="N142" s="7">
        <f>(0.5*$K$2*(G142^2))/1000</f>
        <v>17.958333333333339</v>
      </c>
      <c r="O142" s="7">
        <f t="shared" si="52"/>
        <v>-7.6365393910101498E-2</v>
      </c>
      <c r="P142" s="7">
        <f t="shared" si="53"/>
        <v>-7.6217465157670902E-2</v>
      </c>
      <c r="Q142" s="7">
        <f t="shared" si="54"/>
        <v>-4.3669390787199465</v>
      </c>
      <c r="R142" s="7">
        <f>($K$2*$G$2*SIN(Q142))</f>
        <v>4773.9921601452697</v>
      </c>
      <c r="S142" s="6">
        <f xml:space="preserve"> ($P$3*($K$2*$G$2))</f>
        <v>304.42392000000007</v>
      </c>
      <c r="T142" s="7">
        <f t="shared" si="55"/>
        <v>4.4271997306608171</v>
      </c>
      <c r="U142" s="7">
        <f t="shared" si="56"/>
        <v>36.893331088840142</v>
      </c>
      <c r="V142" s="24">
        <f t="shared" si="57"/>
        <v>7.8333333333333339</v>
      </c>
      <c r="W142" s="24">
        <f t="shared" si="58"/>
        <v>0</v>
      </c>
      <c r="X142" s="24">
        <f t="shared" si="65"/>
        <v>-1896.9191636818728</v>
      </c>
      <c r="Y142" s="25">
        <f t="shared" si="59"/>
        <v>7.8333333333333339</v>
      </c>
      <c r="Z142" s="25">
        <f t="shared" si="66"/>
        <v>863.88434852773128</v>
      </c>
      <c r="AA142" s="24">
        <f t="shared" si="60"/>
        <v>1.769365244374034</v>
      </c>
      <c r="AB142" s="6" cm="1">
        <f t="array" ref="AB142">_xlfn.IFS(AA142&lt;=4,1,AA142&lt;=8,2,AA142&gt;8,3)</f>
        <v>1</v>
      </c>
      <c r="AC142" s="26">
        <f>LOOKUP(AA142,$AP$5:$AP$46,$AQ$5:$AQ$46)</f>
        <v>3000</v>
      </c>
      <c r="AD142" s="6">
        <f>IF(V142&lt;0,1,MATCH(V142,BSFC!$P$21:$AD$21,1))</f>
        <v>7</v>
      </c>
      <c r="AE142" s="6">
        <f>MATCH(AC142,BSFC!$O$22:$O$36,1)</f>
        <v>6</v>
      </c>
      <c r="AF142" s="6" cm="1">
        <f t="array" ref="AF142">INDEX(BSFC!$P$22:$AD$36,AD142,AE142)</f>
        <v>453</v>
      </c>
      <c r="AG142" s="7">
        <f>IF(V142&lt;0,((V142=0)*AF142/760),V142*AF142/760)</f>
        <v>4.6690789473684218</v>
      </c>
      <c r="AH142" s="25">
        <f t="shared" si="61"/>
        <v>1.2969663742690061E-3</v>
      </c>
      <c r="AI142" s="25">
        <f t="shared" si="67"/>
        <v>0.13528537078421762</v>
      </c>
      <c r="AJ142" s="25">
        <f t="shared" si="62"/>
        <v>187.89634831141339</v>
      </c>
      <c r="AK142" s="20"/>
      <c r="AL142" s="20"/>
      <c r="AM142" s="20"/>
      <c r="AN142" s="20"/>
      <c r="AO142" s="20"/>
    </row>
    <row r="143" spans="1:41" x14ac:dyDescent="0.25">
      <c r="A143" s="6">
        <v>53.312570000000001</v>
      </c>
      <c r="B143" s="6">
        <v>-5.7590000000000002E-2</v>
      </c>
      <c r="C143" s="6">
        <v>109</v>
      </c>
      <c r="D143" s="7">
        <f t="shared" si="47"/>
        <v>1794.0063291139293</v>
      </c>
      <c r="E143" s="6">
        <f t="shared" si="48"/>
        <v>8</v>
      </c>
      <c r="F143" s="6">
        <v>15</v>
      </c>
      <c r="G143" s="7">
        <f t="shared" si="49"/>
        <v>4.166666666666667</v>
      </c>
      <c r="H143" s="7">
        <f t="shared" si="50"/>
        <v>2.6938155515370821</v>
      </c>
      <c r="I143" s="7">
        <f t="shared" si="63"/>
        <v>161.63285217472171</v>
      </c>
      <c r="J143" s="7">
        <f t="shared" si="64"/>
        <v>-1.5467527701698716</v>
      </c>
      <c r="K143" s="7">
        <f>J143*$K$2</f>
        <v>-799.98053273185769</v>
      </c>
      <c r="L143" s="7">
        <f t="shared" si="51"/>
        <v>8.6203125000000007</v>
      </c>
      <c r="M143" s="7">
        <f>($K$2*$G$2*E143)/1000</f>
        <v>40.589856000000005</v>
      </c>
      <c r="N143" s="7">
        <f>(0.5*$K$2*(G143^2))/1000</f>
        <v>4.4895833333333348</v>
      </c>
      <c r="O143" s="7">
        <f t="shared" si="52"/>
        <v>0</v>
      </c>
      <c r="P143" s="7">
        <f t="shared" si="53"/>
        <v>0</v>
      </c>
      <c r="Q143" s="7">
        <f t="shared" si="54"/>
        <v>0</v>
      </c>
      <c r="R143" s="7">
        <f>($K$2*$G$2*SIN(Q143))</f>
        <v>0</v>
      </c>
      <c r="S143" s="6">
        <f xml:space="preserve"> ($P$3*($K$2*$G$2))</f>
        <v>304.42392000000007</v>
      </c>
      <c r="T143" s="7">
        <f t="shared" si="55"/>
        <v>-0.48693630023185763</v>
      </c>
      <c r="U143" s="7">
        <f t="shared" si="56"/>
        <v>-2.0289012509660735</v>
      </c>
      <c r="V143" s="24">
        <f t="shared" si="57"/>
        <v>-2.0289012509660735</v>
      </c>
      <c r="W143" s="24">
        <f t="shared" si="58"/>
        <v>-2.0289012509660735</v>
      </c>
      <c r="X143" s="24">
        <f t="shared" si="65"/>
        <v>-1898.9480649328389</v>
      </c>
      <c r="Y143" s="25">
        <f t="shared" si="59"/>
        <v>0</v>
      </c>
      <c r="Z143" s="25">
        <f t="shared" si="66"/>
        <v>863.88434852773128</v>
      </c>
      <c r="AA143" s="24">
        <f t="shared" si="60"/>
        <v>4.166666666666667</v>
      </c>
      <c r="AB143" s="6" cm="1">
        <f t="array" ref="AB143">_xlfn.IFS(AA143&lt;=4,1,AA143&lt;=8,2,AA143&gt;8,3)</f>
        <v>2</v>
      </c>
      <c r="AC143" s="26">
        <f>LOOKUP(AA143,$AP$5:$AP$46,$AQ$5:$AQ$46)</f>
        <v>6500</v>
      </c>
      <c r="AD143" s="6">
        <f>IF(V143&lt;0,1,MATCH(V143,BSFC!$P$21:$AD$21,1))</f>
        <v>1</v>
      </c>
      <c r="AE143" s="6">
        <f>MATCH(AC143,BSFC!$O$22:$O$36,1)</f>
        <v>13</v>
      </c>
      <c r="AF143" s="6" cm="1">
        <f t="array" ref="AF143">INDEX(BSFC!$P$22:$AD$36,AD143,AE143)</f>
        <v>450</v>
      </c>
      <c r="AG143" s="7">
        <f>IF(V143&lt;0,((V143=0)*AF143/760),V143*AF143/760)</f>
        <v>0</v>
      </c>
      <c r="AH143" s="25">
        <f t="shared" si="61"/>
        <v>0</v>
      </c>
      <c r="AI143" s="25">
        <f t="shared" si="67"/>
        <v>0.13528537078421762</v>
      </c>
      <c r="AJ143" s="25">
        <f t="shared" si="62"/>
        <v>187.89634831141339</v>
      </c>
      <c r="AK143" s="20"/>
      <c r="AL143" s="20"/>
      <c r="AM143" s="20"/>
      <c r="AN143" s="20"/>
      <c r="AO143" s="20"/>
    </row>
    <row r="144" spans="1:41" x14ac:dyDescent="0.25">
      <c r="A144" s="6">
        <v>53.312469999999998</v>
      </c>
      <c r="B144" s="6">
        <v>-5.7599999999999998E-2</v>
      </c>
      <c r="C144" s="6">
        <v>109</v>
      </c>
      <c r="D144" s="7">
        <f t="shared" si="47"/>
        <v>1807.1012658227901</v>
      </c>
      <c r="E144" s="6">
        <f t="shared" si="48"/>
        <v>8</v>
      </c>
      <c r="F144" s="6">
        <v>20</v>
      </c>
      <c r="G144" s="7">
        <f t="shared" si="49"/>
        <v>5.5555555555555554</v>
      </c>
      <c r="H144" s="7">
        <f t="shared" si="50"/>
        <v>2.0060328575276141</v>
      </c>
      <c r="I144" s="7">
        <f t="shared" si="63"/>
        <v>163.63888503224931</v>
      </c>
      <c r="J144" s="7">
        <f t="shared" si="64"/>
        <v>0.6923560018855669</v>
      </c>
      <c r="K144" s="7">
        <f>J144*$K$2</f>
        <v>358.08652417521523</v>
      </c>
      <c r="L144" s="7">
        <f t="shared" si="51"/>
        <v>15.324999999999999</v>
      </c>
      <c r="M144" s="7">
        <f>($K$2*$G$2*E144)/1000</f>
        <v>40.589856000000005</v>
      </c>
      <c r="N144" s="7">
        <f>(0.5*$K$2*(G144^2))/1000</f>
        <v>7.9814814814814818</v>
      </c>
      <c r="O144" s="7">
        <f t="shared" si="52"/>
        <v>-0.152730787820203</v>
      </c>
      <c r="P144" s="7">
        <f t="shared" si="53"/>
        <v>-0.15155956893708497</v>
      </c>
      <c r="Q144" s="7">
        <f t="shared" si="54"/>
        <v>-8.6837236449170216</v>
      </c>
      <c r="R144" s="7">
        <f>($K$2*$G$2*SIN(Q144))</f>
        <v>-3425.1045539960332</v>
      </c>
      <c r="S144" s="6">
        <f xml:space="preserve"> ($P$3*($K$2*$G$2))</f>
        <v>304.42392000000007</v>
      </c>
      <c r="T144" s="7">
        <f t="shared" si="55"/>
        <v>-2.747269109820818</v>
      </c>
      <c r="U144" s="7">
        <f t="shared" si="56"/>
        <v>-15.26260616567121</v>
      </c>
      <c r="V144" s="24">
        <f t="shared" si="57"/>
        <v>-15.26260616567121</v>
      </c>
      <c r="W144" s="24">
        <f t="shared" si="58"/>
        <v>-15.26260616567121</v>
      </c>
      <c r="X144" s="24">
        <f t="shared" si="65"/>
        <v>-1914.2106710985101</v>
      </c>
      <c r="Y144" s="25">
        <f t="shared" si="59"/>
        <v>0</v>
      </c>
      <c r="Z144" s="25">
        <f t="shared" si="66"/>
        <v>863.88434852773128</v>
      </c>
      <c r="AA144" s="24">
        <f t="shared" si="60"/>
        <v>5.5555555555555554</v>
      </c>
      <c r="AB144" s="6" cm="1">
        <f t="array" ref="AB144">_xlfn.IFS(AA144&lt;=4,1,AA144&lt;=8,2,AA144&gt;8,3)</f>
        <v>2</v>
      </c>
      <c r="AC144" s="26">
        <f>LOOKUP(AA144,$AP$5:$AP$46,$AQ$5:$AQ$46)</f>
        <v>2000</v>
      </c>
      <c r="AD144" s="6">
        <f>IF(V144&lt;0,1,MATCH(V144,BSFC!$P$21:$AD$21,1))</f>
        <v>1</v>
      </c>
      <c r="AE144" s="6">
        <f>MATCH(AC144,BSFC!$O$22:$O$36,1)</f>
        <v>4</v>
      </c>
      <c r="AF144" s="6" cm="1">
        <f t="array" ref="AF144">INDEX(BSFC!$P$22:$AD$36,AD144,AE144)</f>
        <v>577</v>
      </c>
      <c r="AG144" s="7">
        <f>IF(V144&lt;0,((V144=0)*AF144/760),V144*AF144/760)</f>
        <v>0</v>
      </c>
      <c r="AH144" s="25">
        <f t="shared" si="61"/>
        <v>0</v>
      </c>
      <c r="AI144" s="25">
        <f t="shared" si="67"/>
        <v>0.13528537078421762</v>
      </c>
      <c r="AJ144" s="25">
        <f t="shared" si="62"/>
        <v>187.89634831141339</v>
      </c>
      <c r="AK144" s="20"/>
      <c r="AL144" s="20"/>
      <c r="AM144" s="20"/>
      <c r="AN144" s="20"/>
      <c r="AO144" s="20"/>
    </row>
    <row r="145" spans="1:41" x14ac:dyDescent="0.25">
      <c r="A145" s="6">
        <v>53.3123</v>
      </c>
      <c r="B145" s="6">
        <v>-5.7680000000000002E-2</v>
      </c>
      <c r="C145" s="6">
        <v>107</v>
      </c>
      <c r="D145" s="7">
        <f t="shared" si="47"/>
        <v>1820.1962025316509</v>
      </c>
      <c r="E145" s="6">
        <f t="shared" si="48"/>
        <v>6</v>
      </c>
      <c r="F145" s="6">
        <v>27</v>
      </c>
      <c r="G145" s="7">
        <f t="shared" si="49"/>
        <v>7.5</v>
      </c>
      <c r="H145" s="7">
        <f t="shared" si="50"/>
        <v>1.5980261746406417</v>
      </c>
      <c r="I145" s="7">
        <f t="shared" si="63"/>
        <v>165.23691120688994</v>
      </c>
      <c r="J145" s="7">
        <f t="shared" si="64"/>
        <v>1.2167788458669708</v>
      </c>
      <c r="K145" s="7">
        <f>J145*$K$2</f>
        <v>629.31801908239731</v>
      </c>
      <c r="L145" s="7">
        <f t="shared" si="51"/>
        <v>27.929812500000004</v>
      </c>
      <c r="M145" s="7">
        <f>($K$2*$G$2*E145)/1000</f>
        <v>30.442392000000009</v>
      </c>
      <c r="N145" s="7">
        <f>(0.5*$K$2*(G145^2))/1000</f>
        <v>14.546250000000002</v>
      </c>
      <c r="O145" s="7">
        <f t="shared" si="52"/>
        <v>-7.6365393910101498E-2</v>
      </c>
      <c r="P145" s="7">
        <f t="shared" si="53"/>
        <v>-7.6217465157670902E-2</v>
      </c>
      <c r="Q145" s="7">
        <f t="shared" si="54"/>
        <v>-4.3669390787199465</v>
      </c>
      <c r="R145" s="7">
        <f>($K$2*$G$2*SIN(Q145))</f>
        <v>4773.9921601452697</v>
      </c>
      <c r="S145" s="6">
        <f xml:space="preserve"> ($P$3*($K$2*$G$2))</f>
        <v>304.42392000000007</v>
      </c>
      <c r="T145" s="7">
        <f t="shared" si="55"/>
        <v>5.7356639117276664</v>
      </c>
      <c r="U145" s="7">
        <f t="shared" si="56"/>
        <v>43.017479337957496</v>
      </c>
      <c r="V145" s="24">
        <f t="shared" si="57"/>
        <v>7</v>
      </c>
      <c r="W145" s="24">
        <f t="shared" si="58"/>
        <v>0</v>
      </c>
      <c r="X145" s="24">
        <f t="shared" si="65"/>
        <v>-1914.2106710985101</v>
      </c>
      <c r="Y145" s="25">
        <f t="shared" si="59"/>
        <v>7</v>
      </c>
      <c r="Z145" s="25">
        <f t="shared" si="66"/>
        <v>870.88434852773128</v>
      </c>
      <c r="AA145" s="24">
        <f t="shared" si="60"/>
        <v>1.2204341306831377</v>
      </c>
      <c r="AB145" s="6" cm="1">
        <f t="array" ref="AB145">_xlfn.IFS(AA145&lt;=4,1,AA145&lt;=8,2,AA145&gt;8,3)</f>
        <v>1</v>
      </c>
      <c r="AC145" s="26">
        <f>LOOKUP(AA145,$AP$5:$AP$46,$AQ$5:$AQ$46)</f>
        <v>2000</v>
      </c>
      <c r="AD145" s="6">
        <f>IF(V145&lt;0,1,MATCH(V145,BSFC!$P$21:$AD$21,1))</f>
        <v>7</v>
      </c>
      <c r="AE145" s="6">
        <f>MATCH(AC145,BSFC!$O$22:$O$36,1)</f>
        <v>4</v>
      </c>
      <c r="AF145" s="6" cm="1">
        <f t="array" ref="AF145">INDEX(BSFC!$P$22:$AD$36,AD145,AE145)</f>
        <v>498</v>
      </c>
      <c r="AG145" s="7">
        <f>IF(V145&lt;0,((V145=0)*AF145/760),V145*AF145/760)</f>
        <v>4.5868421052631581</v>
      </c>
      <c r="AH145" s="25">
        <f t="shared" si="61"/>
        <v>1.2741228070175439E-3</v>
      </c>
      <c r="AI145" s="25">
        <f t="shared" si="67"/>
        <v>0.13655949359123518</v>
      </c>
      <c r="AJ145" s="25">
        <f t="shared" si="62"/>
        <v>189.66596332115998</v>
      </c>
      <c r="AK145" s="20"/>
      <c r="AL145" s="20"/>
      <c r="AM145" s="20"/>
      <c r="AN145" s="20"/>
      <c r="AO145" s="20"/>
    </row>
    <row r="146" spans="1:41" x14ac:dyDescent="0.25">
      <c r="A146" s="6">
        <v>53.312159999999999</v>
      </c>
      <c r="B146" s="6">
        <v>-5.781E-2</v>
      </c>
      <c r="C146" s="6">
        <v>106</v>
      </c>
      <c r="D146" s="7">
        <f t="shared" si="47"/>
        <v>1833.2911392405117</v>
      </c>
      <c r="E146" s="6">
        <f t="shared" si="48"/>
        <v>5</v>
      </c>
      <c r="F146" s="6">
        <v>32</v>
      </c>
      <c r="G146" s="7">
        <f t="shared" si="49"/>
        <v>8.8888888888888893</v>
      </c>
      <c r="H146" s="7">
        <f t="shared" si="50"/>
        <v>1.3664281783159111</v>
      </c>
      <c r="I146" s="7">
        <f t="shared" si="63"/>
        <v>166.60333938520586</v>
      </c>
      <c r="J146" s="7">
        <f t="shared" si="64"/>
        <v>1.0164375346830579</v>
      </c>
      <c r="K146" s="7">
        <f>J146*$K$2</f>
        <v>525.70149293807754</v>
      </c>
      <c r="L146" s="7">
        <f t="shared" si="51"/>
        <v>39.231999999999999</v>
      </c>
      <c r="M146" s="7">
        <f>($K$2*$G$2*E146)/1000</f>
        <v>25.368660000000002</v>
      </c>
      <c r="N146" s="7">
        <f>(0.5*$K$2*(G146^2))/1000</f>
        <v>20.432592592592599</v>
      </c>
      <c r="O146" s="7">
        <f t="shared" si="52"/>
        <v>0</v>
      </c>
      <c r="P146" s="7">
        <f t="shared" si="53"/>
        <v>0</v>
      </c>
      <c r="Q146" s="7">
        <f t="shared" si="54"/>
        <v>0</v>
      </c>
      <c r="R146" s="7">
        <f>($K$2*$G$2*SIN(Q146))</f>
        <v>0</v>
      </c>
      <c r="S146" s="6">
        <f xml:space="preserve"> ($P$3*($K$2*$G$2))</f>
        <v>304.42392000000007</v>
      </c>
      <c r="T146" s="7">
        <f t="shared" si="55"/>
        <v>0.86935741293807756</v>
      </c>
      <c r="U146" s="7">
        <f t="shared" si="56"/>
        <v>7.7276214483384678</v>
      </c>
      <c r="V146" s="24">
        <f t="shared" si="57"/>
        <v>7.7276214483384678</v>
      </c>
      <c r="W146" s="24">
        <f t="shared" si="58"/>
        <v>0</v>
      </c>
      <c r="X146" s="24">
        <f t="shared" si="65"/>
        <v>-1914.2106710985101</v>
      </c>
      <c r="Y146" s="25">
        <f t="shared" si="59"/>
        <v>7.7276214483384678</v>
      </c>
      <c r="Z146" s="25">
        <f t="shared" si="66"/>
        <v>878.61196997606976</v>
      </c>
      <c r="AA146" s="24">
        <f t="shared" si="60"/>
        <v>8.8888888888888893</v>
      </c>
      <c r="AB146" s="6" cm="1">
        <f t="array" ref="AB146">_xlfn.IFS(AA146&lt;=4,1,AA146&lt;=8,2,AA146&gt;8,3)</f>
        <v>3</v>
      </c>
      <c r="AC146" s="26">
        <f>LOOKUP(AA146,$AP$5:$AP$46,$AQ$5:$AQ$46)</f>
        <v>666</v>
      </c>
      <c r="AD146" s="6">
        <f>IF(V146&lt;0,1,MATCH(V146,BSFC!$P$21:$AD$21,1))</f>
        <v>7</v>
      </c>
      <c r="AE146" s="6">
        <f>MATCH(AC146,BSFC!$O$22:$O$36,1)</f>
        <v>1</v>
      </c>
      <c r="AF146" s="6" cm="1">
        <f t="array" ref="AF146">INDEX(BSFC!$P$22:$AD$36,AD146,AE146)</f>
        <v>540</v>
      </c>
      <c r="AG146" s="7">
        <f>IF(V146&lt;0,((V146=0)*AF146/760),V146*AF146/760)</f>
        <v>5.4906783975036477</v>
      </c>
      <c r="AH146" s="25">
        <f t="shared" si="61"/>
        <v>1.5251884437510132E-3</v>
      </c>
      <c r="AI146" s="25">
        <f t="shared" si="67"/>
        <v>0.13808468203498619</v>
      </c>
      <c r="AJ146" s="25">
        <f t="shared" si="62"/>
        <v>191.78428060414751</v>
      </c>
      <c r="AK146" s="20"/>
      <c r="AL146" s="20"/>
      <c r="AM146" s="20"/>
      <c r="AN146" s="20"/>
      <c r="AO146" s="20"/>
    </row>
    <row r="147" spans="1:41" x14ac:dyDescent="0.25">
      <c r="A147" s="6">
        <v>53.312019999999997</v>
      </c>
      <c r="B147" s="6">
        <v>-5.7919999999999999E-2</v>
      </c>
      <c r="C147" s="6">
        <v>106</v>
      </c>
      <c r="D147" s="7">
        <f t="shared" si="47"/>
        <v>1846.3860759493725</v>
      </c>
      <c r="E147" s="6">
        <f t="shared" si="48"/>
        <v>5</v>
      </c>
      <c r="F147" s="6">
        <v>37</v>
      </c>
      <c r="G147" s="7">
        <f t="shared" si="49"/>
        <v>10.277777777777777</v>
      </c>
      <c r="H147" s="7">
        <f t="shared" si="50"/>
        <v>1.2915554014218884</v>
      </c>
      <c r="I147" s="7">
        <f t="shared" si="63"/>
        <v>167.89489478662773</v>
      </c>
      <c r="J147" s="7">
        <f t="shared" si="64"/>
        <v>1.0753614497371609</v>
      </c>
      <c r="K147" s="7">
        <f>J147*$K$2</f>
        <v>556.17694180405965</v>
      </c>
      <c r="L147" s="7">
        <f t="shared" si="51"/>
        <v>52.449812499999993</v>
      </c>
      <c r="M147" s="7">
        <f>($K$2*$G$2*E147)/1000</f>
        <v>25.368660000000002</v>
      </c>
      <c r="N147" s="7">
        <f>(0.5*$K$2*(G147^2))/1000</f>
        <v>27.316620370370369</v>
      </c>
      <c r="O147" s="7">
        <f t="shared" si="52"/>
        <v>-7.6365393910101498E-2</v>
      </c>
      <c r="P147" s="7">
        <f t="shared" si="53"/>
        <v>-7.6217465157670902E-2</v>
      </c>
      <c r="Q147" s="7">
        <f t="shared" si="54"/>
        <v>-4.3669390787199465</v>
      </c>
      <c r="R147" s="7">
        <f>($K$2*$G$2*SIN(Q147))</f>
        <v>4773.9921601452697</v>
      </c>
      <c r="S147" s="6">
        <f xml:space="preserve"> ($P$3*($K$2*$G$2))</f>
        <v>304.42392000000007</v>
      </c>
      <c r="T147" s="7">
        <f t="shared" si="55"/>
        <v>5.6870428344493291</v>
      </c>
      <c r="U147" s="7">
        <f t="shared" si="56"/>
        <v>58.450162465173655</v>
      </c>
      <c r="V147" s="24">
        <f t="shared" si="57"/>
        <v>9.7777777777777768</v>
      </c>
      <c r="W147" s="24">
        <f t="shared" si="58"/>
        <v>0</v>
      </c>
      <c r="X147" s="24">
        <f t="shared" si="65"/>
        <v>-1914.2106710985101</v>
      </c>
      <c r="Y147" s="25">
        <f t="shared" si="59"/>
        <v>9.7777777777777768</v>
      </c>
      <c r="Z147" s="25">
        <f t="shared" si="66"/>
        <v>888.38974775384759</v>
      </c>
      <c r="AA147" s="24">
        <f t="shared" si="60"/>
        <v>1.7193079184402784</v>
      </c>
      <c r="AB147" s="6" cm="1">
        <f t="array" ref="AB147">_xlfn.IFS(AA147&lt;=4,1,AA147&lt;=8,2,AA147&gt;8,3)</f>
        <v>1</v>
      </c>
      <c r="AC147" s="26">
        <f>LOOKUP(AA147,$AP$5:$AP$46,$AQ$5:$AQ$46)</f>
        <v>3000</v>
      </c>
      <c r="AD147" s="6">
        <f>IF(V147&lt;0,1,MATCH(V147,BSFC!$P$21:$AD$21,1))</f>
        <v>9</v>
      </c>
      <c r="AE147" s="6">
        <f>MATCH(AC147,BSFC!$O$22:$O$36,1)</f>
        <v>6</v>
      </c>
      <c r="AF147" s="6" cm="1">
        <f t="array" ref="AF147">INDEX(BSFC!$P$22:$AD$36,AD147,AE147)</f>
        <v>434</v>
      </c>
      <c r="AG147" s="7">
        <f>IF(V147&lt;0,((V147=0)*AF147/760),V147*AF147/760)</f>
        <v>5.583625730994151</v>
      </c>
      <c r="AH147" s="25">
        <f t="shared" si="61"/>
        <v>1.5510071474983754E-3</v>
      </c>
      <c r="AI147" s="25">
        <f t="shared" si="67"/>
        <v>0.13963568918248456</v>
      </c>
      <c r="AJ147" s="25">
        <f t="shared" si="62"/>
        <v>193.93845719789525</v>
      </c>
      <c r="AK147" s="20"/>
      <c r="AL147" s="20"/>
      <c r="AM147" s="20"/>
      <c r="AN147" s="20"/>
      <c r="AO147" s="20"/>
    </row>
    <row r="148" spans="1:41" x14ac:dyDescent="0.25">
      <c r="A148" s="6">
        <v>53.311909999999997</v>
      </c>
      <c r="B148" s="6">
        <v>-5.8009999999999999E-2</v>
      </c>
      <c r="C148" s="6">
        <v>105</v>
      </c>
      <c r="D148" s="7">
        <f t="shared" si="47"/>
        <v>1859.4810126582333</v>
      </c>
      <c r="E148" s="6">
        <f t="shared" si="48"/>
        <v>4</v>
      </c>
      <c r="F148" s="6">
        <v>36</v>
      </c>
      <c r="G148" s="7">
        <f t="shared" si="49"/>
        <v>10</v>
      </c>
      <c r="H148" s="7">
        <f t="shared" si="50"/>
        <v>1.426377372220845</v>
      </c>
      <c r="I148" s="7">
        <f t="shared" si="63"/>
        <v>169.32127215884859</v>
      </c>
      <c r="J148" s="7">
        <f t="shared" si="64"/>
        <v>-0.19474353925376672</v>
      </c>
      <c r="K148" s="7">
        <f>J148*$K$2</f>
        <v>-100.72135850204816</v>
      </c>
      <c r="L148" s="7">
        <f t="shared" si="51"/>
        <v>49.652999999999999</v>
      </c>
      <c r="M148" s="7">
        <f>($K$2*$G$2*E148)/1000</f>
        <v>20.294928000000002</v>
      </c>
      <c r="N148" s="7">
        <f>(0.5*$K$2*(G148^2))/1000</f>
        <v>25.860000000000003</v>
      </c>
      <c r="O148" s="7">
        <f t="shared" si="52"/>
        <v>0</v>
      </c>
      <c r="P148" s="7">
        <f t="shared" si="53"/>
        <v>0</v>
      </c>
      <c r="Q148" s="7">
        <f t="shared" si="54"/>
        <v>0</v>
      </c>
      <c r="R148" s="7">
        <f>($K$2*$G$2*SIN(Q148))</f>
        <v>0</v>
      </c>
      <c r="S148" s="6">
        <f xml:space="preserve"> ($P$3*($K$2*$G$2))</f>
        <v>304.42392000000007</v>
      </c>
      <c r="T148" s="7">
        <f t="shared" si="55"/>
        <v>0.25335556149795191</v>
      </c>
      <c r="U148" s="7">
        <f t="shared" si="56"/>
        <v>2.5335556149795191</v>
      </c>
      <c r="V148" s="24">
        <f t="shared" si="57"/>
        <v>2.5335556149795191</v>
      </c>
      <c r="W148" s="24">
        <f t="shared" si="58"/>
        <v>0</v>
      </c>
      <c r="X148" s="24">
        <f t="shared" si="65"/>
        <v>-1914.2106710985101</v>
      </c>
      <c r="Y148" s="25">
        <f t="shared" si="59"/>
        <v>2.5335556149795191</v>
      </c>
      <c r="Z148" s="25">
        <f t="shared" si="66"/>
        <v>890.92330336882708</v>
      </c>
      <c r="AA148" s="24">
        <f t="shared" si="60"/>
        <v>10</v>
      </c>
      <c r="AB148" s="6" cm="1">
        <f t="array" ref="AB148">_xlfn.IFS(AA148&lt;=4,1,AA148&lt;=8,2,AA148&gt;8,3)</f>
        <v>3</v>
      </c>
      <c r="AC148" s="26">
        <f>LOOKUP(AA148,$AP$5:$AP$46,$AQ$5:$AQ$46)</f>
        <v>1666</v>
      </c>
      <c r="AD148" s="6">
        <f>IF(V148&lt;0,1,MATCH(V148,BSFC!$P$21:$AD$21,1))</f>
        <v>4</v>
      </c>
      <c r="AE148" s="6">
        <f>MATCH(AC148,BSFC!$O$22:$O$36,1)</f>
        <v>3</v>
      </c>
      <c r="AF148" s="6" cm="1">
        <f t="array" ref="AF148">INDEX(BSFC!$P$22:$AD$36,AD148,AE148)</f>
        <v>563</v>
      </c>
      <c r="AG148" s="7">
        <f>IF(V148&lt;0,((V148=0)*AF148/760),V148*AF148/760)</f>
        <v>1.8768313305703543</v>
      </c>
      <c r="AH148" s="25">
        <f t="shared" si="61"/>
        <v>5.2134203626954287E-4</v>
      </c>
      <c r="AI148" s="25">
        <f t="shared" si="67"/>
        <v>0.14015703121875411</v>
      </c>
      <c r="AJ148" s="25">
        <f t="shared" si="62"/>
        <v>194.66254335938072</v>
      </c>
      <c r="AK148" s="20"/>
      <c r="AL148" s="20"/>
      <c r="AM148" s="20"/>
      <c r="AN148" s="20"/>
      <c r="AO148" s="20"/>
    </row>
    <row r="149" spans="1:41" x14ac:dyDescent="0.25">
      <c r="A149" s="6">
        <v>53.311799999999998</v>
      </c>
      <c r="B149" s="6">
        <v>-5.8130000000000001E-2</v>
      </c>
      <c r="C149" s="6">
        <v>105</v>
      </c>
      <c r="D149" s="7">
        <f t="shared" si="47"/>
        <v>1872.5759493670942</v>
      </c>
      <c r="E149" s="6">
        <f t="shared" si="48"/>
        <v>4</v>
      </c>
      <c r="F149" s="6">
        <v>30.1</v>
      </c>
      <c r="G149" s="7">
        <f t="shared" si="49"/>
        <v>8.3611111111111107</v>
      </c>
      <c r="H149" s="7">
        <f t="shared" si="50"/>
        <v>1.4482879309339149</v>
      </c>
      <c r="I149" s="7">
        <f t="shared" si="63"/>
        <v>170.76956008978249</v>
      </c>
      <c r="J149" s="7">
        <f t="shared" si="64"/>
        <v>-1.1316043266562905</v>
      </c>
      <c r="K149" s="7">
        <f>J149*$K$2</f>
        <v>-585.26575774663354</v>
      </c>
      <c r="L149" s="7">
        <f t="shared" si="51"/>
        <v>34.711508125000002</v>
      </c>
      <c r="M149" s="7">
        <f>($K$2*$G$2*E149)/1000</f>
        <v>20.294928000000002</v>
      </c>
      <c r="N149" s="7">
        <f>(0.5*$K$2*(G149^2))/1000</f>
        <v>18.078255092592592</v>
      </c>
      <c r="O149" s="7">
        <f t="shared" si="52"/>
        <v>0</v>
      </c>
      <c r="P149" s="7">
        <f t="shared" si="53"/>
        <v>0</v>
      </c>
      <c r="Q149" s="7">
        <f t="shared" si="54"/>
        <v>0</v>
      </c>
      <c r="R149" s="7">
        <f>($K$2*$G$2*SIN(Q149))</f>
        <v>0</v>
      </c>
      <c r="S149" s="6">
        <f xml:space="preserve"> ($P$3*($K$2*$G$2))</f>
        <v>304.42392000000007</v>
      </c>
      <c r="T149" s="7">
        <f t="shared" si="55"/>
        <v>-0.24613032962163345</v>
      </c>
      <c r="U149" s="7">
        <f t="shared" si="56"/>
        <v>-2.0579230337808796</v>
      </c>
      <c r="V149" s="24">
        <f t="shared" si="57"/>
        <v>-2.0579230337808796</v>
      </c>
      <c r="W149" s="24">
        <f t="shared" si="58"/>
        <v>-2.0579230337808796</v>
      </c>
      <c r="X149" s="24">
        <f t="shared" si="65"/>
        <v>-1916.2685941322911</v>
      </c>
      <c r="Y149" s="25">
        <f t="shared" si="59"/>
        <v>0</v>
      </c>
      <c r="Z149" s="25">
        <f t="shared" si="66"/>
        <v>890.92330336882708</v>
      </c>
      <c r="AA149" s="24">
        <f t="shared" si="60"/>
        <v>8.3611111111111107</v>
      </c>
      <c r="AB149" s="6" cm="1">
        <f t="array" ref="AB149">_xlfn.IFS(AA149&lt;=4,1,AA149&lt;=8,2,AA149&gt;8,3)</f>
        <v>3</v>
      </c>
      <c r="AC149" s="26">
        <v>500</v>
      </c>
      <c r="AD149" s="6">
        <f>IF(V149&lt;0,1,MATCH(V149,BSFC!$P$21:$AD$21,1))</f>
        <v>1</v>
      </c>
      <c r="AE149" s="6">
        <f>MATCH(AC149,BSFC!$O$22:$O$36,1)</f>
        <v>1</v>
      </c>
      <c r="AF149" s="6" cm="1">
        <f t="array" ref="AF149">INDEX(BSFC!$P$22:$AD$36,AD149,AE149)</f>
        <v>600</v>
      </c>
      <c r="AG149" s="7">
        <f>IF(V149&lt;0,((V149=0)*AF149/760),V149*AF149/760)</f>
        <v>0</v>
      </c>
      <c r="AH149" s="25">
        <f t="shared" si="61"/>
        <v>0</v>
      </c>
      <c r="AI149" s="25">
        <f t="shared" si="67"/>
        <v>0.14015703121875411</v>
      </c>
      <c r="AJ149" s="25">
        <f t="shared" si="62"/>
        <v>194.66254335938072</v>
      </c>
      <c r="AK149" s="20"/>
      <c r="AL149" s="20"/>
      <c r="AM149" s="20"/>
      <c r="AN149" s="20"/>
      <c r="AO149" s="20"/>
    </row>
    <row r="150" spans="1:41" x14ac:dyDescent="0.25">
      <c r="A150" s="6">
        <v>53.311790000000002</v>
      </c>
      <c r="B150" s="6">
        <v>-5.8130000000000001E-2</v>
      </c>
      <c r="C150" s="6">
        <v>105</v>
      </c>
      <c r="D150" s="7">
        <f t="shared" si="47"/>
        <v>1885.670886075955</v>
      </c>
      <c r="E150" s="6">
        <f t="shared" si="48"/>
        <v>4</v>
      </c>
      <c r="F150" s="6">
        <v>35</v>
      </c>
      <c r="G150" s="7">
        <f t="shared" si="49"/>
        <v>9.7222222222222214</v>
      </c>
      <c r="H150" s="7">
        <f t="shared" si="50"/>
        <v>1.2915554014218884</v>
      </c>
      <c r="I150" s="7">
        <f t="shared" si="63"/>
        <v>172.06111549120436</v>
      </c>
      <c r="J150" s="7">
        <f t="shared" si="64"/>
        <v>1.0538542207424184</v>
      </c>
      <c r="K150" s="7">
        <f>J150*$K$2</f>
        <v>545.05340296797885</v>
      </c>
      <c r="L150" s="7">
        <f t="shared" si="51"/>
        <v>46.932812499999997</v>
      </c>
      <c r="M150" s="7">
        <f>($K$2*$G$2*E150)/1000</f>
        <v>20.294928000000002</v>
      </c>
      <c r="N150" s="7">
        <f>(0.5*$K$2*(G150^2))/1000</f>
        <v>24.443287037037038</v>
      </c>
      <c r="O150" s="7">
        <f t="shared" si="52"/>
        <v>-7.6365393910101498E-2</v>
      </c>
      <c r="P150" s="7">
        <f t="shared" si="53"/>
        <v>-7.6217465157670902E-2</v>
      </c>
      <c r="Q150" s="7">
        <f t="shared" si="54"/>
        <v>-4.3669390787199465</v>
      </c>
      <c r="R150" s="7">
        <f>($K$2*$G$2*SIN(Q150))</f>
        <v>4773.9921601452697</v>
      </c>
      <c r="S150" s="6">
        <f xml:space="preserve"> ($P$3*($K$2*$G$2))</f>
        <v>304.42392000000007</v>
      </c>
      <c r="T150" s="7">
        <f t="shared" si="55"/>
        <v>5.6704022956132487</v>
      </c>
      <c r="U150" s="7">
        <f t="shared" si="56"/>
        <v>55.128911207351024</v>
      </c>
      <c r="V150" s="24">
        <f t="shared" si="57"/>
        <v>9.2222222222222214</v>
      </c>
      <c r="W150" s="24">
        <f t="shared" si="58"/>
        <v>0</v>
      </c>
      <c r="X150" s="24">
        <f t="shared" si="65"/>
        <v>-1916.2685941322911</v>
      </c>
      <c r="Y150" s="25">
        <f t="shared" si="59"/>
        <v>9.2222222222222214</v>
      </c>
      <c r="Z150" s="25">
        <f t="shared" si="66"/>
        <v>900.14552559104925</v>
      </c>
      <c r="AA150" s="24">
        <f t="shared" si="60"/>
        <v>1.6263788248951474</v>
      </c>
      <c r="AB150" s="6" cm="1">
        <f t="array" ref="AB150">_xlfn.IFS(AA150&lt;=4,1,AA150&lt;=8,2,AA150&gt;8,3)</f>
        <v>1</v>
      </c>
      <c r="AC150" s="26">
        <f>LOOKUP(AA150,$AP$5:$AP$46,$AQ$5:$AQ$46)</f>
        <v>2500</v>
      </c>
      <c r="AD150" s="6">
        <f>IF(V150&lt;0,1,MATCH(V150,BSFC!$P$21:$AD$21,1))</f>
        <v>8</v>
      </c>
      <c r="AE150" s="6">
        <f>MATCH(AC150,BSFC!$O$22:$O$36,1)</f>
        <v>5</v>
      </c>
      <c r="AF150" s="6" cm="1">
        <f t="array" ref="AF150">INDEX(BSFC!$P$22:$AD$36,AD150,AE150)</f>
        <v>472</v>
      </c>
      <c r="AG150" s="7">
        <f>IF(V150&lt;0,((V150=0)*AF150/760),V150*AF150/760)</f>
        <v>5.727485380116959</v>
      </c>
      <c r="AH150" s="25">
        <f t="shared" si="61"/>
        <v>1.5909681611435997E-3</v>
      </c>
      <c r="AI150" s="25">
        <f t="shared" si="67"/>
        <v>0.14174799937989771</v>
      </c>
      <c r="AJ150" s="25">
        <f t="shared" si="62"/>
        <v>196.87222136096904</v>
      </c>
      <c r="AK150" s="20"/>
      <c r="AL150" s="20"/>
      <c r="AM150" s="20"/>
      <c r="AN150" s="20"/>
      <c r="AO150" s="20"/>
    </row>
    <row r="151" spans="1:41" x14ac:dyDescent="0.25">
      <c r="A151" s="6">
        <v>53.311689999999999</v>
      </c>
      <c r="B151" s="6">
        <v>-5.8220000000000001E-2</v>
      </c>
      <c r="C151" s="6">
        <v>104</v>
      </c>
      <c r="D151" s="7">
        <f t="shared" si="47"/>
        <v>1898.7658227848158</v>
      </c>
      <c r="E151" s="6">
        <f t="shared" si="48"/>
        <v>3</v>
      </c>
      <c r="F151" s="6">
        <v>38</v>
      </c>
      <c r="G151" s="7">
        <f t="shared" si="49"/>
        <v>10.555555555555555</v>
      </c>
      <c r="H151" s="7">
        <f t="shared" si="50"/>
        <v>1.2087633885102291</v>
      </c>
      <c r="I151" s="7">
        <f t="shared" si="63"/>
        <v>173.26987887971458</v>
      </c>
      <c r="J151" s="7">
        <f t="shared" si="64"/>
        <v>0.68940980613286307</v>
      </c>
      <c r="K151" s="7">
        <f>J151*$K$2</f>
        <v>356.56275173191682</v>
      </c>
      <c r="L151" s="7">
        <f t="shared" si="51"/>
        <v>55.323250000000002</v>
      </c>
      <c r="M151" s="7">
        <f>($K$2*$G$2*E151)/1000</f>
        <v>15.221196000000004</v>
      </c>
      <c r="N151" s="7">
        <f>(0.5*$K$2*(G151^2))/1000</f>
        <v>28.813148148148148</v>
      </c>
      <c r="O151" s="7">
        <f t="shared" si="52"/>
        <v>-0.152730787820203</v>
      </c>
      <c r="P151" s="7">
        <f t="shared" si="53"/>
        <v>-0.15155956893708497</v>
      </c>
      <c r="Q151" s="7">
        <f t="shared" si="54"/>
        <v>-8.6837236449170216</v>
      </c>
      <c r="R151" s="7">
        <f>($K$2*$G$2*SIN(Q151))</f>
        <v>-3425.1045539960332</v>
      </c>
      <c r="S151" s="6">
        <f xml:space="preserve"> ($P$3*($K$2*$G$2))</f>
        <v>304.42392000000007</v>
      </c>
      <c r="T151" s="7">
        <f t="shared" si="55"/>
        <v>-2.7087946322641163</v>
      </c>
      <c r="U151" s="7">
        <f t="shared" si="56"/>
        <v>-28.592832229454562</v>
      </c>
      <c r="V151" s="24">
        <f t="shared" si="57"/>
        <v>-28.592832229454562</v>
      </c>
      <c r="W151" s="24">
        <f t="shared" si="58"/>
        <v>-28.592832229454562</v>
      </c>
      <c r="X151" s="24">
        <f t="shared" si="65"/>
        <v>-1944.8614263617458</v>
      </c>
      <c r="Y151" s="25">
        <f t="shared" si="59"/>
        <v>0</v>
      </c>
      <c r="Z151" s="25">
        <f t="shared" si="66"/>
        <v>900.14552559104925</v>
      </c>
      <c r="AA151" s="24">
        <f t="shared" si="60"/>
        <v>10.555555555555555</v>
      </c>
      <c r="AB151" s="6" cm="1">
        <f t="array" ref="AB151">_xlfn.IFS(AA151&lt;=4,1,AA151&lt;=8,2,AA151&gt;8,3)</f>
        <v>3</v>
      </c>
      <c r="AC151" s="26">
        <f>LOOKUP(AA151,$AP$5:$AP$46,$AQ$5:$AQ$46)</f>
        <v>2333</v>
      </c>
      <c r="AD151" s="6">
        <f>IF(V151&lt;0,1,MATCH(V151,BSFC!$P$21:$AD$21,1))</f>
        <v>1</v>
      </c>
      <c r="AE151" s="6">
        <f>MATCH(AC151,BSFC!$O$22:$O$36,1)</f>
        <v>4</v>
      </c>
      <c r="AF151" s="6" cm="1">
        <f t="array" ref="AF151">INDEX(BSFC!$P$22:$AD$36,AD151,AE151)</f>
        <v>577</v>
      </c>
      <c r="AG151" s="7">
        <f>IF(V151&lt;0,((V151=0)*AF151/760),V151*AF151/760)</f>
        <v>0</v>
      </c>
      <c r="AH151" s="25">
        <f t="shared" si="61"/>
        <v>0</v>
      </c>
      <c r="AI151" s="25">
        <f t="shared" si="67"/>
        <v>0.14174799937989771</v>
      </c>
      <c r="AJ151" s="25">
        <f t="shared" si="62"/>
        <v>196.87222136096904</v>
      </c>
      <c r="AK151" s="20"/>
      <c r="AL151" s="20"/>
      <c r="AM151" s="20"/>
      <c r="AN151" s="20"/>
      <c r="AO151" s="20"/>
    </row>
    <row r="152" spans="1:41" x14ac:dyDescent="0.25">
      <c r="A152" s="6">
        <v>53.311549999999997</v>
      </c>
      <c r="B152" s="6">
        <v>-5.8360000000000002E-2</v>
      </c>
      <c r="C152" s="6">
        <v>102</v>
      </c>
      <c r="D152" s="7">
        <f t="shared" si="47"/>
        <v>1911.8607594936766</v>
      </c>
      <c r="E152" s="6">
        <f t="shared" si="48"/>
        <v>1</v>
      </c>
      <c r="F152" s="6">
        <v>40</v>
      </c>
      <c r="G152" s="7">
        <f t="shared" si="49"/>
        <v>11.111111111111111</v>
      </c>
      <c r="H152" s="7">
        <f t="shared" si="50"/>
        <v>1.1373165778503964</v>
      </c>
      <c r="I152" s="7">
        <f t="shared" si="63"/>
        <v>174.40719545756497</v>
      </c>
      <c r="J152" s="7">
        <f t="shared" si="64"/>
        <v>0.48847925579841445</v>
      </c>
      <c r="K152" s="7">
        <f>J152*$K$2</f>
        <v>252.64147109893997</v>
      </c>
      <c r="L152" s="7">
        <f t="shared" si="51"/>
        <v>61.3</v>
      </c>
      <c r="M152" s="7">
        <f>($K$2*$G$2*E152)/1000</f>
        <v>5.0737320000000006</v>
      </c>
      <c r="N152" s="7">
        <f>(0.5*$K$2*(G152^2))/1000</f>
        <v>31.925925925925927</v>
      </c>
      <c r="O152" s="7">
        <f t="shared" si="52"/>
        <v>0</v>
      </c>
      <c r="P152" s="7">
        <f t="shared" si="53"/>
        <v>0</v>
      </c>
      <c r="Q152" s="7">
        <f t="shared" si="54"/>
        <v>0</v>
      </c>
      <c r="R152" s="7">
        <f>($K$2*$G$2*SIN(Q152))</f>
        <v>0</v>
      </c>
      <c r="S152" s="6">
        <f xml:space="preserve"> ($P$3*($K$2*$G$2))</f>
        <v>304.42392000000007</v>
      </c>
      <c r="T152" s="7">
        <f t="shared" si="55"/>
        <v>0.61836539109894006</v>
      </c>
      <c r="U152" s="7">
        <f t="shared" si="56"/>
        <v>6.8707265677660008</v>
      </c>
      <c r="V152" s="24">
        <f t="shared" si="57"/>
        <v>6.8707265677660008</v>
      </c>
      <c r="W152" s="24">
        <f t="shared" si="58"/>
        <v>0</v>
      </c>
      <c r="X152" s="24">
        <f t="shared" si="65"/>
        <v>-1944.8614263617458</v>
      </c>
      <c r="Y152" s="25">
        <f t="shared" si="59"/>
        <v>6.8707265677660008</v>
      </c>
      <c r="Z152" s="25">
        <f t="shared" si="66"/>
        <v>907.01625215881529</v>
      </c>
      <c r="AA152" s="24">
        <f t="shared" si="60"/>
        <v>11.111111111111111</v>
      </c>
      <c r="AB152" s="6" cm="1">
        <f t="array" ref="AB152">_xlfn.IFS(AA152&lt;=4,1,AA152&lt;=8,2,AA152&gt;8,3)</f>
        <v>3</v>
      </c>
      <c r="AC152" s="26">
        <f>LOOKUP(AA152,$AP$5:$AP$46,$AQ$5:$AQ$46)</f>
        <v>2999.6</v>
      </c>
      <c r="AD152" s="6">
        <f>IF(V152&lt;0,1,MATCH(V152,BSFC!$P$21:$AD$21,1))</f>
        <v>7</v>
      </c>
      <c r="AE152" s="6">
        <f>MATCH(AC152,BSFC!$O$22:$O$36,1)</f>
        <v>5</v>
      </c>
      <c r="AF152" s="6" cm="1">
        <f t="array" ref="AF152">INDEX(BSFC!$P$22:$AD$36,AD152,AE152)</f>
        <v>481</v>
      </c>
      <c r="AG152" s="7">
        <f>IF(V152&lt;0,((V152=0)*AF152/760),V152*AF152/760)</f>
        <v>4.3484466830203239</v>
      </c>
      <c r="AH152" s="25">
        <f t="shared" si="61"/>
        <v>1.2079018563945344E-3</v>
      </c>
      <c r="AI152" s="25">
        <f t="shared" si="67"/>
        <v>0.14295590123629223</v>
      </c>
      <c r="AJ152" s="25">
        <f t="shared" si="62"/>
        <v>198.54986282818365</v>
      </c>
      <c r="AK152" s="20"/>
      <c r="AL152" s="20"/>
      <c r="AM152" s="20"/>
      <c r="AN152" s="20"/>
      <c r="AO152" s="20"/>
    </row>
    <row r="153" spans="1:41" x14ac:dyDescent="0.25">
      <c r="A153" s="6">
        <v>53.311410000000002</v>
      </c>
      <c r="B153" s="6">
        <v>-5.851E-2</v>
      </c>
      <c r="C153" s="6">
        <v>102</v>
      </c>
      <c r="D153" s="7">
        <f t="shared" si="47"/>
        <v>1924.9556962025374</v>
      </c>
      <c r="E153" s="6">
        <f t="shared" si="48"/>
        <v>1</v>
      </c>
      <c r="F153" s="6">
        <v>42.9</v>
      </c>
      <c r="G153" s="7">
        <f t="shared" si="49"/>
        <v>11.916666666666666</v>
      </c>
      <c r="H153" s="7">
        <f t="shared" si="50"/>
        <v>1.1373165778503964</v>
      </c>
      <c r="I153" s="7">
        <f t="shared" si="63"/>
        <v>175.54451203541535</v>
      </c>
      <c r="J153" s="7">
        <f t="shared" si="64"/>
        <v>0.70829492090770096</v>
      </c>
      <c r="K153" s="7">
        <f>J153*$K$2</f>
        <v>366.33013309346296</v>
      </c>
      <c r="L153" s="7">
        <f t="shared" si="51"/>
        <v>70.510708124999994</v>
      </c>
      <c r="M153" s="7">
        <f>($K$2*$G$2*E153)/1000</f>
        <v>5.0737320000000006</v>
      </c>
      <c r="N153" s="7">
        <f>(0.5*$K$2*(G153^2))/1000</f>
        <v>36.722995833333336</v>
      </c>
      <c r="O153" s="7">
        <f t="shared" si="52"/>
        <v>0</v>
      </c>
      <c r="P153" s="7">
        <f t="shared" si="53"/>
        <v>0</v>
      </c>
      <c r="Q153" s="7">
        <f t="shared" si="54"/>
        <v>0</v>
      </c>
      <c r="R153" s="7">
        <f>($K$2*$G$2*SIN(Q153))</f>
        <v>0</v>
      </c>
      <c r="S153" s="6">
        <f xml:space="preserve"> ($P$3*($K$2*$G$2))</f>
        <v>304.42392000000007</v>
      </c>
      <c r="T153" s="7">
        <f t="shared" si="55"/>
        <v>0.74126476121846308</v>
      </c>
      <c r="U153" s="7">
        <f t="shared" si="56"/>
        <v>8.8334050711866841</v>
      </c>
      <c r="V153" s="24">
        <f t="shared" si="57"/>
        <v>8.8334050711866841</v>
      </c>
      <c r="W153" s="24">
        <f t="shared" si="58"/>
        <v>0</v>
      </c>
      <c r="X153" s="24">
        <f t="shared" si="65"/>
        <v>-1944.8614263617458</v>
      </c>
      <c r="Y153" s="25">
        <f t="shared" si="59"/>
        <v>8.8334050711866841</v>
      </c>
      <c r="Z153" s="25">
        <f t="shared" si="66"/>
        <v>915.84965723000198</v>
      </c>
      <c r="AA153" s="24">
        <f t="shared" si="60"/>
        <v>11.916666666666666</v>
      </c>
      <c r="AB153" s="6" cm="1">
        <f t="array" ref="AB153">_xlfn.IFS(AA153&lt;=4,1,AA153&lt;=8,2,AA153&gt;8,3)</f>
        <v>3</v>
      </c>
      <c r="AC153" s="26">
        <f>LOOKUP(AA153,$AP$5:$AP$46,$AQ$5:$AQ$46)</f>
        <v>3666.2</v>
      </c>
      <c r="AD153" s="6">
        <f>IF(V153&lt;0,1,MATCH(V153,BSFC!$P$21:$AD$21,1))</f>
        <v>8</v>
      </c>
      <c r="AE153" s="6">
        <f>MATCH(AC153,BSFC!$O$22:$O$36,1)</f>
        <v>7</v>
      </c>
      <c r="AF153" s="6" cm="1">
        <f t="array" ref="AF153">INDEX(BSFC!$P$22:$AD$36,AD153,AE153)</f>
        <v>427</v>
      </c>
      <c r="AG153" s="7">
        <f>IF(V153&lt;0,((V153=0)*AF153/760),V153*AF153/760)</f>
        <v>4.962978901837781</v>
      </c>
      <c r="AH153" s="25">
        <f t="shared" si="61"/>
        <v>1.3786052505104947E-3</v>
      </c>
      <c r="AI153" s="25">
        <f t="shared" si="67"/>
        <v>0.14433450648680274</v>
      </c>
      <c r="AJ153" s="25">
        <f t="shared" si="62"/>
        <v>200.46459234278157</v>
      </c>
      <c r="AK153" s="20"/>
      <c r="AL153" s="20"/>
      <c r="AM153" s="20"/>
      <c r="AN153" s="20"/>
      <c r="AO153" s="20"/>
    </row>
    <row r="154" spans="1:41" x14ac:dyDescent="0.25">
      <c r="A154" s="6">
        <v>53.311320000000002</v>
      </c>
      <c r="B154" s="6">
        <v>-5.8569999999999997E-2</v>
      </c>
      <c r="C154" s="6">
        <v>102</v>
      </c>
      <c r="D154" s="7">
        <f t="shared" si="47"/>
        <v>1938.0506329113982</v>
      </c>
      <c r="E154" s="6">
        <f t="shared" si="48"/>
        <v>1</v>
      </c>
      <c r="F154" s="6">
        <v>40</v>
      </c>
      <c r="G154" s="7">
        <f t="shared" si="49"/>
        <v>11.111111111111111</v>
      </c>
      <c r="H154" s="7">
        <f t="shared" si="50"/>
        <v>1.1470017555206551</v>
      </c>
      <c r="I154" s="7">
        <f t="shared" si="63"/>
        <v>176.691513790936</v>
      </c>
      <c r="J154" s="7">
        <f t="shared" si="64"/>
        <v>-0.70231414352970778</v>
      </c>
      <c r="K154" s="7">
        <f>J154*$K$2</f>
        <v>-363.2368750335649</v>
      </c>
      <c r="L154" s="7">
        <f t="shared" si="51"/>
        <v>61.3</v>
      </c>
      <c r="M154" s="7">
        <f>($K$2*$G$2*E154)/1000</f>
        <v>5.0737320000000006</v>
      </c>
      <c r="N154" s="7">
        <f>(0.5*$K$2*(G154^2))/1000</f>
        <v>31.925925925925927</v>
      </c>
      <c r="O154" s="7">
        <f t="shared" si="52"/>
        <v>-7.6365393910101498E-2</v>
      </c>
      <c r="P154" s="7">
        <f t="shared" si="53"/>
        <v>-7.6217465157670902E-2</v>
      </c>
      <c r="Q154" s="7">
        <f t="shared" si="54"/>
        <v>-4.3669390787199465</v>
      </c>
      <c r="R154" s="7">
        <f>($K$2*$G$2*SIN(Q154))</f>
        <v>4773.9921601452697</v>
      </c>
      <c r="S154" s="6">
        <f xml:space="preserve"> ($P$3*($K$2*$G$2))</f>
        <v>304.42392000000007</v>
      </c>
      <c r="T154" s="7">
        <f t="shared" si="55"/>
        <v>4.7764792051117055</v>
      </c>
      <c r="U154" s="7">
        <f t="shared" si="56"/>
        <v>53.071991167907839</v>
      </c>
      <c r="V154" s="24">
        <f t="shared" si="57"/>
        <v>10.611111111111111</v>
      </c>
      <c r="W154" s="24">
        <f t="shared" si="58"/>
        <v>0</v>
      </c>
      <c r="X154" s="24">
        <f t="shared" si="65"/>
        <v>-1944.8614263617458</v>
      </c>
      <c r="Y154" s="25">
        <f t="shared" si="59"/>
        <v>10.611111111111111</v>
      </c>
      <c r="Z154" s="25">
        <f t="shared" si="66"/>
        <v>926.46076834111307</v>
      </c>
      <c r="AA154" s="24">
        <f t="shared" si="60"/>
        <v>2.2215340327987367</v>
      </c>
      <c r="AB154" s="6" cm="1">
        <f t="array" ref="AB154">_xlfn.IFS(AA154&lt;=4,1,AA154&lt;=8,2,AA154&gt;8,3)</f>
        <v>1</v>
      </c>
      <c r="AC154" s="26">
        <f>LOOKUP(AA154,$AP$5:$AP$46,$AQ$5:$AQ$46)</f>
        <v>3500</v>
      </c>
      <c r="AD154" s="6">
        <f>IF(V154&lt;0,1,MATCH(V154,BSFC!$P$21:$AD$21,1))</f>
        <v>9</v>
      </c>
      <c r="AE154" s="6">
        <f>MATCH(AC154,BSFC!$O$22:$O$36,1)</f>
        <v>7</v>
      </c>
      <c r="AF154" s="6" cm="1">
        <f t="array" ref="AF154">INDEX(BSFC!$P$22:$AD$36,AD154,AE154)</f>
        <v>425</v>
      </c>
      <c r="AG154" s="7">
        <f>IF(V154&lt;0,((V154=0)*AF154/760),V154*AF154/760)</f>
        <v>5.9338450292397651</v>
      </c>
      <c r="AH154" s="25">
        <f t="shared" si="61"/>
        <v>1.6482902858999348E-3</v>
      </c>
      <c r="AI154" s="25">
        <f t="shared" si="67"/>
        <v>0.14598279677270268</v>
      </c>
      <c r="AJ154" s="25">
        <f t="shared" si="62"/>
        <v>202.75388440653151</v>
      </c>
      <c r="AK154" s="20"/>
      <c r="AL154" s="20"/>
      <c r="AM154" s="20"/>
      <c r="AN154" s="20"/>
      <c r="AO154" s="20"/>
    </row>
    <row r="155" spans="1:41" x14ac:dyDescent="0.25">
      <c r="A155" s="6">
        <v>53.311169999999997</v>
      </c>
      <c r="B155" s="6">
        <v>-5.8709999999999998E-2</v>
      </c>
      <c r="C155" s="6">
        <v>101</v>
      </c>
      <c r="D155" s="7">
        <f t="shared" si="47"/>
        <v>1951.145569620259</v>
      </c>
      <c r="E155" s="6">
        <f t="shared" si="48"/>
        <v>0</v>
      </c>
      <c r="F155" s="6">
        <v>42.2</v>
      </c>
      <c r="G155" s="7">
        <f t="shared" si="49"/>
        <v>11.722222222222223</v>
      </c>
      <c r="H155" s="7">
        <f t="shared" si="50"/>
        <v>1.1197570582398795</v>
      </c>
      <c r="I155" s="7">
        <f t="shared" si="63"/>
        <v>177.81127084917588</v>
      </c>
      <c r="J155" s="7">
        <f t="shared" si="64"/>
        <v>0.54575330123098453</v>
      </c>
      <c r="K155" s="7">
        <f>J155*$K$2</f>
        <v>282.26360739666524</v>
      </c>
      <c r="L155" s="7">
        <f t="shared" si="51"/>
        <v>68.228432500000011</v>
      </c>
      <c r="M155" s="7">
        <f>($K$2*$G$2*E155)/1000</f>
        <v>0</v>
      </c>
      <c r="N155" s="7">
        <f>(0.5*$K$2*(G155^2))/1000</f>
        <v>35.534353703703708</v>
      </c>
      <c r="O155" s="7">
        <f t="shared" si="52"/>
        <v>0</v>
      </c>
      <c r="P155" s="7">
        <f t="shared" si="53"/>
        <v>0</v>
      </c>
      <c r="Q155" s="7">
        <f t="shared" si="54"/>
        <v>0</v>
      </c>
      <c r="R155" s="7">
        <f>($K$2*$G$2*SIN(Q155))</f>
        <v>0</v>
      </c>
      <c r="S155" s="6">
        <f xml:space="preserve"> ($P$3*($K$2*$G$2))</f>
        <v>304.42392000000007</v>
      </c>
      <c r="T155" s="7">
        <f t="shared" si="55"/>
        <v>0.65491595989666529</v>
      </c>
      <c r="U155" s="7">
        <f t="shared" si="56"/>
        <v>7.6770704187886878</v>
      </c>
      <c r="V155" s="24">
        <f t="shared" si="57"/>
        <v>7.6770704187886878</v>
      </c>
      <c r="W155" s="24">
        <f t="shared" si="58"/>
        <v>0</v>
      </c>
      <c r="X155" s="24">
        <f t="shared" si="65"/>
        <v>-1944.8614263617458</v>
      </c>
      <c r="Y155" s="25">
        <f t="shared" si="59"/>
        <v>7.6770704187886878</v>
      </c>
      <c r="Z155" s="25">
        <f t="shared" si="66"/>
        <v>934.1378387599018</v>
      </c>
      <c r="AA155" s="24">
        <f t="shared" si="60"/>
        <v>11.722222222222223</v>
      </c>
      <c r="AB155" s="6" cm="1">
        <f t="array" ref="AB155">_xlfn.IFS(AA155&lt;=4,1,AA155&lt;=8,2,AA155&gt;8,3)</f>
        <v>3</v>
      </c>
      <c r="AC155" s="26">
        <f>LOOKUP(AA155,$AP$5:$AP$46,$AQ$5:$AQ$46)</f>
        <v>3666.2</v>
      </c>
      <c r="AD155" s="6">
        <f>IF(V155&lt;0,1,MATCH(V155,BSFC!$P$21:$AD$21,1))</f>
        <v>7</v>
      </c>
      <c r="AE155" s="6">
        <f>MATCH(AC155,BSFC!$O$22:$O$36,1)</f>
        <v>7</v>
      </c>
      <c r="AF155" s="6" cm="1">
        <f t="array" ref="AF155">INDEX(BSFC!$P$22:$AD$36,AD155,AE155)</f>
        <v>434</v>
      </c>
      <c r="AG155" s="7">
        <f>IF(V155&lt;0,((V155=0)*AF155/760),V155*AF155/760)</f>
        <v>4.3840112654661718</v>
      </c>
      <c r="AH155" s="25">
        <f t="shared" si="61"/>
        <v>1.2177809070739367E-3</v>
      </c>
      <c r="AI155" s="25">
        <f t="shared" si="67"/>
        <v>0.14720057767977662</v>
      </c>
      <c r="AJ155" s="25">
        <f t="shared" si="62"/>
        <v>204.44524677746753</v>
      </c>
      <c r="AK155" s="20"/>
      <c r="AL155" s="20"/>
      <c r="AM155" s="20"/>
      <c r="AN155" s="20"/>
      <c r="AO155" s="20"/>
    </row>
    <row r="156" spans="1:41" x14ac:dyDescent="0.25">
      <c r="A156" s="6">
        <v>53.311019999999999</v>
      </c>
      <c r="B156" s="6">
        <v>-5.885E-2</v>
      </c>
      <c r="C156" s="6">
        <v>101</v>
      </c>
      <c r="D156" s="7">
        <f t="shared" si="47"/>
        <v>1964.2405063291199</v>
      </c>
      <c r="E156" s="6">
        <f t="shared" si="48"/>
        <v>0</v>
      </c>
      <c r="F156" s="6">
        <v>42</v>
      </c>
      <c r="G156" s="7">
        <f t="shared" si="49"/>
        <v>11.666666666666666</v>
      </c>
      <c r="H156" s="7">
        <f t="shared" si="50"/>
        <v>1.2504448846657543</v>
      </c>
      <c r="I156" s="7">
        <f t="shared" si="63"/>
        <v>179.06171573384165</v>
      </c>
      <c r="J156" s="7">
        <f t="shared" si="64"/>
        <v>-4.442863195078494E-2</v>
      </c>
      <c r="K156" s="7">
        <f>J156*$K$2</f>
        <v>-22.978488444945974</v>
      </c>
      <c r="L156" s="7">
        <f t="shared" si="51"/>
        <v>67.583249999999992</v>
      </c>
      <c r="M156" s="7">
        <f>($K$2*$G$2*E156)/1000</f>
        <v>0</v>
      </c>
      <c r="N156" s="7">
        <f>(0.5*$K$2*(G156^2))/1000</f>
        <v>35.198333333333331</v>
      </c>
      <c r="O156" s="7">
        <f t="shared" si="52"/>
        <v>7.6365393910101498E-2</v>
      </c>
      <c r="P156" s="7">
        <f t="shared" si="53"/>
        <v>7.6217465157670902E-2</v>
      </c>
      <c r="Q156" s="7">
        <f t="shared" si="54"/>
        <v>4.3669390787199465</v>
      </c>
      <c r="R156" s="7">
        <f>($K$2*$G$2*SIN(Q156))</f>
        <v>-4773.9921601452697</v>
      </c>
      <c r="S156" s="6">
        <f xml:space="preserve"> ($P$3*($K$2*$G$2))</f>
        <v>304.42392000000007</v>
      </c>
      <c r="T156" s="7">
        <f t="shared" si="55"/>
        <v>-4.4249634785902163</v>
      </c>
      <c r="U156" s="7">
        <f t="shared" si="56"/>
        <v>-51.624573916885858</v>
      </c>
      <c r="V156" s="24">
        <f t="shared" si="57"/>
        <v>-51.624573916885858</v>
      </c>
      <c r="W156" s="24">
        <f t="shared" si="58"/>
        <v>-51.624573916885858</v>
      </c>
      <c r="X156" s="24">
        <f t="shared" si="65"/>
        <v>-1996.4860002786315</v>
      </c>
      <c r="Y156" s="25">
        <f t="shared" si="59"/>
        <v>0</v>
      </c>
      <c r="Z156" s="25">
        <f t="shared" si="66"/>
        <v>934.1378387599018</v>
      </c>
      <c r="AA156" s="24">
        <f t="shared" si="60"/>
        <v>11.666666666666666</v>
      </c>
      <c r="AB156" s="6" cm="1">
        <f t="array" ref="AB156">_xlfn.IFS(AA156&lt;=4,1,AA156&lt;=8,2,AA156&gt;8,3)</f>
        <v>3</v>
      </c>
      <c r="AC156" s="26">
        <f>LOOKUP(AA156,$AP$5:$AP$46,$AQ$5:$AQ$46)</f>
        <v>3332.9</v>
      </c>
      <c r="AD156" s="6">
        <f>IF(V156&lt;0,1,MATCH(V156,BSFC!$P$21:$AD$21,1))</f>
        <v>1</v>
      </c>
      <c r="AE156" s="6">
        <f>MATCH(AC156,BSFC!$O$22:$O$36,1)</f>
        <v>6</v>
      </c>
      <c r="AF156" s="6" cm="1">
        <f t="array" ref="AF156">INDEX(BSFC!$P$22:$AD$36,AD156,AE156)</f>
        <v>557</v>
      </c>
      <c r="AG156" s="7">
        <f>IF(V156&lt;0,((V156=0)*AF156/760),V156*AF156/760)</f>
        <v>0</v>
      </c>
      <c r="AH156" s="25">
        <f t="shared" si="61"/>
        <v>0</v>
      </c>
      <c r="AI156" s="25">
        <f t="shared" si="67"/>
        <v>0.14720057767977662</v>
      </c>
      <c r="AJ156" s="25">
        <f t="shared" si="62"/>
        <v>204.44524677746753</v>
      </c>
      <c r="AK156" s="20"/>
      <c r="AL156" s="20"/>
      <c r="AM156" s="20"/>
      <c r="AN156" s="20"/>
      <c r="AO156" s="20"/>
    </row>
    <row r="157" spans="1:41" x14ac:dyDescent="0.25">
      <c r="A157" s="6">
        <v>53.310850000000002</v>
      </c>
      <c r="B157" s="6">
        <v>-5.8999999999999997E-2</v>
      </c>
      <c r="C157" s="6">
        <v>102</v>
      </c>
      <c r="D157" s="7">
        <f t="shared" si="47"/>
        <v>1977.3354430379807</v>
      </c>
      <c r="E157" s="6">
        <f t="shared" si="48"/>
        <v>1</v>
      </c>
      <c r="F157" s="6">
        <v>33.4</v>
      </c>
      <c r="G157" s="7">
        <f t="shared" si="49"/>
        <v>9.2777777777777768</v>
      </c>
      <c r="H157" s="7">
        <f t="shared" si="50"/>
        <v>1.5609858328443353</v>
      </c>
      <c r="I157" s="7">
        <f t="shared" si="63"/>
        <v>180.62270156668598</v>
      </c>
      <c r="J157" s="7">
        <f t="shared" si="64"/>
        <v>-1.5303719217848479</v>
      </c>
      <c r="K157" s="7">
        <f>J157*$K$2</f>
        <v>-791.50835794712339</v>
      </c>
      <c r="L157" s="7">
        <f t="shared" si="51"/>
        <v>42.739892499999989</v>
      </c>
      <c r="M157" s="7">
        <f>($K$2*$G$2*E157)/1000</f>
        <v>5.0737320000000006</v>
      </c>
      <c r="N157" s="7">
        <f>(0.5*$K$2*(G157^2))/1000</f>
        <v>22.259553703703698</v>
      </c>
      <c r="O157" s="7">
        <f t="shared" si="52"/>
        <v>7.6365393910101498E-2</v>
      </c>
      <c r="P157" s="7">
        <f t="shared" si="53"/>
        <v>7.6217465157670902E-2</v>
      </c>
      <c r="Q157" s="7">
        <f t="shared" si="54"/>
        <v>4.3669390787199465</v>
      </c>
      <c r="R157" s="7">
        <f>($K$2*$G$2*SIN(Q157))</f>
        <v>-4773.9921601452697</v>
      </c>
      <c r="S157" s="6">
        <f xml:space="preserve"> ($P$3*($K$2*$G$2))</f>
        <v>304.42392000000007</v>
      </c>
      <c r="T157" s="7">
        <f t="shared" si="55"/>
        <v>-5.2183367055923933</v>
      </c>
      <c r="U157" s="7">
        <f t="shared" si="56"/>
        <v>-48.414568324107201</v>
      </c>
      <c r="V157" s="24">
        <f t="shared" si="57"/>
        <v>-48.414568324107201</v>
      </c>
      <c r="W157" s="24">
        <f t="shared" si="58"/>
        <v>-48.414568324107201</v>
      </c>
      <c r="X157" s="24">
        <f t="shared" si="65"/>
        <v>-2044.9005686027388</v>
      </c>
      <c r="Y157" s="25">
        <f t="shared" si="59"/>
        <v>0</v>
      </c>
      <c r="Z157" s="25">
        <f t="shared" si="66"/>
        <v>934.1378387599018</v>
      </c>
      <c r="AA157" s="24">
        <f t="shared" si="60"/>
        <v>9.2777777777777768</v>
      </c>
      <c r="AB157" s="6" cm="1">
        <f t="array" ref="AB157">_xlfn.IFS(AA157&lt;=4,1,AA157&lt;=8,2,AA157&gt;8,3)</f>
        <v>3</v>
      </c>
      <c r="AC157" s="26">
        <f>LOOKUP(AA157,$AP$5:$AP$46,$AQ$5:$AQ$46)</f>
        <v>1000</v>
      </c>
      <c r="AD157" s="6">
        <f>IF(V157&lt;0,1,MATCH(V157,BSFC!$P$21:$AD$21,1))</f>
        <v>1</v>
      </c>
      <c r="AE157" s="6">
        <f>MATCH(AC157,BSFC!$O$22:$O$36,1)</f>
        <v>2</v>
      </c>
      <c r="AF157" s="6" cm="1">
        <f t="array" ref="AF157">INDEX(BSFC!$P$22:$AD$36,AD157,AE157)</f>
        <v>595</v>
      </c>
      <c r="AG157" s="7">
        <f>IF(V157&lt;0,((V157=0)*AF157/760),V157*AF157/760)</f>
        <v>0</v>
      </c>
      <c r="AH157" s="25">
        <f t="shared" si="61"/>
        <v>0</v>
      </c>
      <c r="AI157" s="25">
        <f t="shared" si="67"/>
        <v>0.14720057767977662</v>
      </c>
      <c r="AJ157" s="25">
        <f t="shared" si="62"/>
        <v>204.44524677746753</v>
      </c>
      <c r="AK157" s="20"/>
      <c r="AL157" s="20"/>
      <c r="AM157" s="20"/>
      <c r="AN157" s="20"/>
      <c r="AO157" s="20"/>
    </row>
    <row r="158" spans="1:41" x14ac:dyDescent="0.25">
      <c r="A158" s="6">
        <v>53.310699999999997</v>
      </c>
      <c r="B158" s="6">
        <v>-5.9110000000000003E-2</v>
      </c>
      <c r="C158" s="6">
        <v>103</v>
      </c>
      <c r="D158" s="7">
        <f t="shared" si="47"/>
        <v>1990.4303797468415</v>
      </c>
      <c r="E158" s="6">
        <f t="shared" si="48"/>
        <v>2</v>
      </c>
      <c r="F158" s="6">
        <v>27</v>
      </c>
      <c r="G158" s="7">
        <f t="shared" si="49"/>
        <v>7.5</v>
      </c>
      <c r="H158" s="7">
        <f t="shared" si="50"/>
        <v>2.0060328575276141</v>
      </c>
      <c r="I158" s="7">
        <f t="shared" si="63"/>
        <v>182.62873442421358</v>
      </c>
      <c r="J158" s="7">
        <f t="shared" si="64"/>
        <v>-0.88621568241352544</v>
      </c>
      <c r="K158" s="7">
        <f>J158*$K$2</f>
        <v>-458.35075094427538</v>
      </c>
      <c r="L158" s="7">
        <f t="shared" si="51"/>
        <v>27.929812500000004</v>
      </c>
      <c r="M158" s="7">
        <f>($K$2*$G$2*E158)/1000</f>
        <v>10.147464000000001</v>
      </c>
      <c r="N158" s="7">
        <f>(0.5*$K$2*(G158^2))/1000</f>
        <v>14.546250000000002</v>
      </c>
      <c r="O158" s="7">
        <f t="shared" si="52"/>
        <v>0.152730787820203</v>
      </c>
      <c r="P158" s="7">
        <f t="shared" si="53"/>
        <v>0.15155956893708497</v>
      </c>
      <c r="Q158" s="7">
        <f t="shared" si="54"/>
        <v>8.6837236449170216</v>
      </c>
      <c r="R158" s="7">
        <f>($K$2*$G$2*SIN(Q158))</f>
        <v>3425.1045539960332</v>
      </c>
      <c r="S158" s="6">
        <f xml:space="preserve"> ($P$3*($K$2*$G$2))</f>
        <v>304.42392000000007</v>
      </c>
      <c r="T158" s="7">
        <f t="shared" si="55"/>
        <v>3.2991075355517583</v>
      </c>
      <c r="U158" s="7">
        <f t="shared" si="56"/>
        <v>24.743306516638189</v>
      </c>
      <c r="V158" s="24">
        <f t="shared" si="57"/>
        <v>7</v>
      </c>
      <c r="W158" s="24">
        <f t="shared" si="58"/>
        <v>0</v>
      </c>
      <c r="X158" s="24">
        <f t="shared" si="65"/>
        <v>-2044.9005686027388</v>
      </c>
      <c r="Y158" s="25">
        <f t="shared" si="59"/>
        <v>7</v>
      </c>
      <c r="Z158" s="25">
        <f t="shared" si="66"/>
        <v>941.1378387599018</v>
      </c>
      <c r="AA158" s="24">
        <f t="shared" si="60"/>
        <v>2.1217859450068781</v>
      </c>
      <c r="AB158" s="6" cm="1">
        <f t="array" ref="AB158">_xlfn.IFS(AA158&lt;=4,1,AA158&lt;=8,2,AA158&gt;8,3)</f>
        <v>1</v>
      </c>
      <c r="AC158" s="26">
        <f>LOOKUP(AA158,$AP$5:$AP$46,$AQ$5:$AQ$46)</f>
        <v>3500</v>
      </c>
      <c r="AD158" s="6">
        <f>IF(V158&lt;0,1,MATCH(V158,BSFC!$P$21:$AD$21,1))</f>
        <v>7</v>
      </c>
      <c r="AE158" s="6">
        <f>MATCH(AC158,BSFC!$O$22:$O$36,1)</f>
        <v>7</v>
      </c>
      <c r="AF158" s="6" cm="1">
        <f t="array" ref="AF158">INDEX(BSFC!$P$22:$AD$36,AD158,AE158)</f>
        <v>434</v>
      </c>
      <c r="AG158" s="7">
        <f>IF(V158&lt;0,((V158=0)*AF158/760),V158*AF158/760)</f>
        <v>3.9973684210526317</v>
      </c>
      <c r="AH158" s="25">
        <f t="shared" si="61"/>
        <v>1.1103801169590644E-3</v>
      </c>
      <c r="AI158" s="25">
        <f t="shared" si="67"/>
        <v>0.1483109577967357</v>
      </c>
      <c r="AJ158" s="25">
        <f t="shared" si="62"/>
        <v>205.98744138435515</v>
      </c>
      <c r="AK158" s="20"/>
      <c r="AL158" s="20"/>
      <c r="AM158" s="20"/>
      <c r="AN158" s="20"/>
      <c r="AO158" s="20"/>
    </row>
    <row r="159" spans="1:41" x14ac:dyDescent="0.25">
      <c r="A159" s="6">
        <v>53.310569999999998</v>
      </c>
      <c r="B159" s="6">
        <v>-5.9220000000000002E-2</v>
      </c>
      <c r="C159" s="6">
        <v>105</v>
      </c>
      <c r="D159" s="7">
        <f t="shared" si="47"/>
        <v>2003.5253164557023</v>
      </c>
      <c r="E159" s="6">
        <f t="shared" si="48"/>
        <v>4</v>
      </c>
      <c r="F159" s="6">
        <v>20</v>
      </c>
      <c r="G159" s="7">
        <f t="shared" si="49"/>
        <v>5.5555555555555554</v>
      </c>
      <c r="H159" s="7">
        <f t="shared" si="50"/>
        <v>1.9399906235349353</v>
      </c>
      <c r="I159" s="7">
        <f t="shared" si="63"/>
        <v>184.5687250477485</v>
      </c>
      <c r="J159" s="7">
        <f t="shared" si="64"/>
        <v>-1.0022957950700835</v>
      </c>
      <c r="K159" s="7">
        <f>J159*$K$2</f>
        <v>-518.3873852102472</v>
      </c>
      <c r="L159" s="7">
        <f t="shared" si="51"/>
        <v>15.324999999999999</v>
      </c>
      <c r="M159" s="7">
        <f>($K$2*$G$2*E159)/1000</f>
        <v>20.294928000000002</v>
      </c>
      <c r="N159" s="7">
        <f>(0.5*$K$2*(G159^2))/1000</f>
        <v>7.9814814814814818</v>
      </c>
      <c r="O159" s="7">
        <f t="shared" si="52"/>
        <v>7.6365393910101498E-2</v>
      </c>
      <c r="P159" s="7">
        <f t="shared" si="53"/>
        <v>7.6217465157670902E-2</v>
      </c>
      <c r="Q159" s="7">
        <f t="shared" si="54"/>
        <v>4.3669390787199465</v>
      </c>
      <c r="R159" s="7">
        <f>($K$2*$G$2*SIN(Q159))</f>
        <v>-4773.9921601452697</v>
      </c>
      <c r="S159" s="6">
        <f xml:space="preserve"> ($P$3*($K$2*$G$2))</f>
        <v>304.42392000000007</v>
      </c>
      <c r="T159" s="7">
        <f t="shared" si="55"/>
        <v>-4.9726306253555164</v>
      </c>
      <c r="U159" s="7">
        <f t="shared" si="56"/>
        <v>-27.625725696419533</v>
      </c>
      <c r="V159" s="24">
        <f t="shared" si="57"/>
        <v>-27.625725696419533</v>
      </c>
      <c r="W159" s="24">
        <f t="shared" si="58"/>
        <v>-27.625725696419533</v>
      </c>
      <c r="X159" s="24">
        <f t="shared" si="65"/>
        <v>-2072.5262942991585</v>
      </c>
      <c r="Y159" s="25">
        <f t="shared" si="59"/>
        <v>0</v>
      </c>
      <c r="Z159" s="25">
        <f t="shared" si="66"/>
        <v>941.1378387599018</v>
      </c>
      <c r="AA159" s="24">
        <f t="shared" si="60"/>
        <v>5.5555555555555554</v>
      </c>
      <c r="AB159" s="6" cm="1">
        <f t="array" ref="AB159">_xlfn.IFS(AA159&lt;=4,1,AA159&lt;=8,2,AA159&gt;8,3)</f>
        <v>2</v>
      </c>
      <c r="AC159" s="26">
        <f>LOOKUP(AA159,$AP$5:$AP$46,$AQ$5:$AQ$46)</f>
        <v>2000</v>
      </c>
      <c r="AD159" s="6">
        <f>IF(V159&lt;0,1,MATCH(V159,BSFC!$P$21:$AD$21,1))</f>
        <v>1</v>
      </c>
      <c r="AE159" s="6">
        <f>MATCH(AC159,BSFC!$O$22:$O$36,1)</f>
        <v>4</v>
      </c>
      <c r="AF159" s="6" cm="1">
        <f t="array" ref="AF159">INDEX(BSFC!$P$22:$AD$36,AD159,AE159)</f>
        <v>577</v>
      </c>
      <c r="AG159" s="7">
        <f>IF(V159&lt;0,((V159=0)*AF159/760),V159*AF159/760)</f>
        <v>0</v>
      </c>
      <c r="AH159" s="25">
        <f t="shared" si="61"/>
        <v>0</v>
      </c>
      <c r="AI159" s="25">
        <f t="shared" si="67"/>
        <v>0.1483109577967357</v>
      </c>
      <c r="AJ159" s="25">
        <f t="shared" si="62"/>
        <v>205.98744138435515</v>
      </c>
      <c r="AK159" s="20"/>
      <c r="AL159" s="20"/>
      <c r="AM159" s="20"/>
      <c r="AN159" s="20"/>
      <c r="AO159" s="20"/>
    </row>
    <row r="160" spans="1:41" x14ac:dyDescent="0.25">
      <c r="A160" s="6">
        <v>53.310429999999997</v>
      </c>
      <c r="B160" s="6">
        <v>-5.9330000000000001E-2</v>
      </c>
      <c r="C160" s="6">
        <v>106</v>
      </c>
      <c r="D160" s="7">
        <f t="shared" si="47"/>
        <v>2016.6202531645631</v>
      </c>
      <c r="E160" s="6">
        <f t="shared" si="48"/>
        <v>5</v>
      </c>
      <c r="F160" s="6">
        <v>28.6</v>
      </c>
      <c r="G160" s="7">
        <f t="shared" si="49"/>
        <v>7.9444444444444446</v>
      </c>
      <c r="H160" s="7">
        <f t="shared" si="50"/>
        <v>1.5061269058114675</v>
      </c>
      <c r="I160" s="7">
        <f t="shared" si="63"/>
        <v>186.07485195355997</v>
      </c>
      <c r="J160" s="7">
        <f t="shared" si="64"/>
        <v>1.5861139454260029</v>
      </c>
      <c r="K160" s="7">
        <f>J160*$K$2</f>
        <v>820.33813257432882</v>
      </c>
      <c r="L160" s="7">
        <f t="shared" si="51"/>
        <v>31.338092500000002</v>
      </c>
      <c r="M160" s="7">
        <f>($K$2*$G$2*E160)/1000</f>
        <v>25.368660000000002</v>
      </c>
      <c r="N160" s="7">
        <f>(0.5*$K$2*(G160^2))/1000</f>
        <v>16.321331481481483</v>
      </c>
      <c r="O160" s="7">
        <f t="shared" si="52"/>
        <v>0</v>
      </c>
      <c r="P160" s="7">
        <f t="shared" si="53"/>
        <v>0</v>
      </c>
      <c r="Q160" s="7">
        <f t="shared" si="54"/>
        <v>0</v>
      </c>
      <c r="R160" s="7">
        <f>($K$2*$G$2*SIN(Q160))</f>
        <v>0</v>
      </c>
      <c r="S160" s="6">
        <f xml:space="preserve"> ($P$3*($K$2*$G$2))</f>
        <v>304.42392000000007</v>
      </c>
      <c r="T160" s="7">
        <f t="shared" si="55"/>
        <v>1.1561001450743289</v>
      </c>
      <c r="U160" s="7">
        <f t="shared" si="56"/>
        <v>9.1845733747571678</v>
      </c>
      <c r="V160" s="24">
        <f t="shared" si="57"/>
        <v>9.1845733747571678</v>
      </c>
      <c r="W160" s="24">
        <f t="shared" si="58"/>
        <v>0</v>
      </c>
      <c r="X160" s="24">
        <f t="shared" si="65"/>
        <v>-2072.5262942991585</v>
      </c>
      <c r="Y160" s="25">
        <f t="shared" si="59"/>
        <v>9.1845733747571678</v>
      </c>
      <c r="Z160" s="25">
        <f t="shared" si="66"/>
        <v>950.32241213465898</v>
      </c>
      <c r="AA160" s="24">
        <f t="shared" si="60"/>
        <v>7.9444444444444438</v>
      </c>
      <c r="AB160" s="6" cm="1">
        <f t="array" ref="AB160">_xlfn.IFS(AA160&lt;=4,1,AA160&lt;=8,2,AA160&gt;8,3)</f>
        <v>2</v>
      </c>
      <c r="AC160" s="26">
        <f>LOOKUP(AA160,$AP$5:$AP$46,$AQ$5:$AQ$46)</f>
        <v>5500</v>
      </c>
      <c r="AD160" s="6">
        <f>IF(V160&lt;0,1,MATCH(V160,BSFC!$P$21:$AD$21,1))</f>
        <v>8</v>
      </c>
      <c r="AE160" s="6">
        <f>MATCH(AC160,BSFC!$O$22:$O$36,1)</f>
        <v>11</v>
      </c>
      <c r="AF160" s="6" cm="1">
        <f t="array" ref="AF160">INDEX(BSFC!$P$22:$AD$36,AD160,AE160)</f>
        <v>394</v>
      </c>
      <c r="AG160" s="7">
        <f>IF(V160&lt;0,((V160=0)*AF160/760),V160*AF160/760)</f>
        <v>4.7614761969135841</v>
      </c>
      <c r="AH160" s="25">
        <f t="shared" si="61"/>
        <v>1.3226322769204399E-3</v>
      </c>
      <c r="AI160" s="25">
        <f t="shared" si="67"/>
        <v>0.14963359007365615</v>
      </c>
      <c r="AJ160" s="25">
        <f t="shared" si="62"/>
        <v>207.82443065785577</v>
      </c>
      <c r="AK160" s="20"/>
      <c r="AL160" s="20"/>
      <c r="AM160" s="20"/>
      <c r="AN160" s="20"/>
      <c r="AO160" s="20"/>
    </row>
    <row r="161" spans="1:41" x14ac:dyDescent="0.25">
      <c r="A161" s="6">
        <v>53.310420000000001</v>
      </c>
      <c r="B161" s="6">
        <v>-5.9330000000000001E-2</v>
      </c>
      <c r="C161" s="6">
        <v>106</v>
      </c>
      <c r="D161" s="7">
        <f t="shared" si="47"/>
        <v>2029.7151898734239</v>
      </c>
      <c r="E161" s="6">
        <f t="shared" si="48"/>
        <v>5</v>
      </c>
      <c r="F161" s="6">
        <v>34</v>
      </c>
      <c r="G161" s="7">
        <f t="shared" si="49"/>
        <v>9.4444444444444446</v>
      </c>
      <c r="H161" s="7">
        <f t="shared" si="50"/>
        <v>1.3094936708860814</v>
      </c>
      <c r="I161" s="7">
        <f t="shared" si="63"/>
        <v>187.38434562444604</v>
      </c>
      <c r="J161" s="7">
        <f t="shared" si="64"/>
        <v>1.1454809086515276</v>
      </c>
      <c r="K161" s="7">
        <f>J161*$K$2</f>
        <v>592.44272595457016</v>
      </c>
      <c r="L161" s="7">
        <f t="shared" si="51"/>
        <v>44.289250000000003</v>
      </c>
      <c r="M161" s="7">
        <f>($K$2*$G$2*E161)/1000</f>
        <v>25.368660000000002</v>
      </c>
      <c r="N161" s="7">
        <f>(0.5*$K$2*(G161^2))/1000</f>
        <v>23.066481481481485</v>
      </c>
      <c r="O161" s="7">
        <f t="shared" si="52"/>
        <v>0</v>
      </c>
      <c r="P161" s="7">
        <f t="shared" si="53"/>
        <v>0</v>
      </c>
      <c r="Q161" s="7">
        <f t="shared" si="54"/>
        <v>0</v>
      </c>
      <c r="R161" s="7">
        <f>($K$2*$G$2*SIN(Q161))</f>
        <v>0</v>
      </c>
      <c r="S161" s="6">
        <f xml:space="preserve"> ($P$3*($K$2*$G$2))</f>
        <v>304.42392000000007</v>
      </c>
      <c r="T161" s="7">
        <f t="shared" si="55"/>
        <v>0.94115589595457028</v>
      </c>
      <c r="U161" s="7">
        <f t="shared" si="56"/>
        <v>8.8886945729042743</v>
      </c>
      <c r="V161" s="24">
        <f t="shared" si="57"/>
        <v>8.8886945729042743</v>
      </c>
      <c r="W161" s="24">
        <f t="shared" si="58"/>
        <v>0</v>
      </c>
      <c r="X161" s="24">
        <f t="shared" si="65"/>
        <v>-2072.5262942991585</v>
      </c>
      <c r="Y161" s="25">
        <f t="shared" si="59"/>
        <v>8.8886945729042743</v>
      </c>
      <c r="Z161" s="25">
        <f t="shared" si="66"/>
        <v>959.2111067075632</v>
      </c>
      <c r="AA161" s="24">
        <f t="shared" si="60"/>
        <v>9.4444444444444446</v>
      </c>
      <c r="AB161" s="6" cm="1">
        <f t="array" ref="AB161">_xlfn.IFS(AA161&lt;=4,1,AA161&lt;=8,2,AA161&gt;8,3)</f>
        <v>3</v>
      </c>
      <c r="AC161" s="26">
        <f>LOOKUP(AA161,$AP$5:$AP$46,$AQ$5:$AQ$46)</f>
        <v>1333</v>
      </c>
      <c r="AD161" s="6">
        <f>IF(V161&lt;0,1,MATCH(V161,BSFC!$P$21:$AD$21,1))</f>
        <v>8</v>
      </c>
      <c r="AE161" s="6">
        <f>MATCH(AC161,BSFC!$O$22:$O$36,1)</f>
        <v>2</v>
      </c>
      <c r="AF161" s="6" cm="1">
        <f t="array" ref="AF161">INDEX(BSFC!$P$22:$AD$36,AD161,AE161)</f>
        <v>534</v>
      </c>
      <c r="AG161" s="7">
        <f>IF(V161&lt;0,((V161=0)*AF161/760),V161*AF161/760)</f>
        <v>6.2454775025406351</v>
      </c>
      <c r="AH161" s="25">
        <f t="shared" si="61"/>
        <v>1.734854861816843E-3</v>
      </c>
      <c r="AI161" s="25">
        <f t="shared" si="67"/>
        <v>0.151368444935473</v>
      </c>
      <c r="AJ161" s="25">
        <f t="shared" si="62"/>
        <v>210.23395129926806</v>
      </c>
      <c r="AK161" s="20"/>
      <c r="AL161" s="20"/>
      <c r="AM161" s="20"/>
      <c r="AN161" s="20"/>
      <c r="AO161" s="20"/>
    </row>
    <row r="162" spans="1:41" x14ac:dyDescent="0.25">
      <c r="A162" s="6">
        <v>53.310279999999999</v>
      </c>
      <c r="B162" s="6">
        <v>-5.9450000000000003E-2</v>
      </c>
      <c r="C162" s="6">
        <v>106</v>
      </c>
      <c r="D162" s="7">
        <f t="shared" si="47"/>
        <v>2042.8101265822847</v>
      </c>
      <c r="E162" s="6">
        <f t="shared" si="48"/>
        <v>5</v>
      </c>
      <c r="F162" s="6">
        <v>38</v>
      </c>
      <c r="G162" s="7">
        <f t="shared" si="49"/>
        <v>10.555555555555555</v>
      </c>
      <c r="H162" s="7">
        <f t="shared" si="50"/>
        <v>1.1934625861240029</v>
      </c>
      <c r="I162" s="7">
        <f t="shared" si="63"/>
        <v>188.57780821057005</v>
      </c>
      <c r="J162" s="7">
        <f t="shared" si="64"/>
        <v>0.93099785785463607</v>
      </c>
      <c r="K162" s="7">
        <f>J162*$K$2</f>
        <v>481.51209208241784</v>
      </c>
      <c r="L162" s="7">
        <f t="shared" si="51"/>
        <v>55.323250000000002</v>
      </c>
      <c r="M162" s="7">
        <f>($K$2*$G$2*E162)/1000</f>
        <v>25.368660000000002</v>
      </c>
      <c r="N162" s="7">
        <f>(0.5*$K$2*(G162^2))/1000</f>
        <v>28.813148148148148</v>
      </c>
      <c r="O162" s="7">
        <f t="shared" si="52"/>
        <v>0</v>
      </c>
      <c r="P162" s="7">
        <f t="shared" si="53"/>
        <v>0</v>
      </c>
      <c r="Q162" s="7">
        <f t="shared" si="54"/>
        <v>0</v>
      </c>
      <c r="R162" s="7">
        <f>($K$2*$G$2*SIN(Q162))</f>
        <v>0</v>
      </c>
      <c r="S162" s="6">
        <f xml:space="preserve"> ($P$3*($K$2*$G$2))</f>
        <v>304.42392000000007</v>
      </c>
      <c r="T162" s="7">
        <f t="shared" si="55"/>
        <v>0.84125926208241797</v>
      </c>
      <c r="U162" s="7">
        <f t="shared" si="56"/>
        <v>8.8799588775366338</v>
      </c>
      <c r="V162" s="24">
        <f t="shared" si="57"/>
        <v>8.8799588775366338</v>
      </c>
      <c r="W162" s="24">
        <f t="shared" si="58"/>
        <v>0</v>
      </c>
      <c r="X162" s="24">
        <f t="shared" si="65"/>
        <v>-2072.5262942991585</v>
      </c>
      <c r="Y162" s="25">
        <f t="shared" si="59"/>
        <v>8.8799588775366338</v>
      </c>
      <c r="Z162" s="25">
        <f t="shared" si="66"/>
        <v>968.09106558509984</v>
      </c>
      <c r="AA162" s="24">
        <f t="shared" si="60"/>
        <v>10.555555555555555</v>
      </c>
      <c r="AB162" s="6" cm="1">
        <f t="array" ref="AB162">_xlfn.IFS(AA162&lt;=4,1,AA162&lt;=8,2,AA162&gt;8,3)</f>
        <v>3</v>
      </c>
      <c r="AC162" s="26">
        <f>LOOKUP(AA162,$AP$5:$AP$46,$AQ$5:$AQ$46)</f>
        <v>2333</v>
      </c>
      <c r="AD162" s="6">
        <f>IF(V162&lt;0,1,MATCH(V162,BSFC!$P$21:$AD$21,1))</f>
        <v>8</v>
      </c>
      <c r="AE162" s="6">
        <f>MATCH(AC162,BSFC!$O$22:$O$36,1)</f>
        <v>4</v>
      </c>
      <c r="AF162" s="6" cm="1">
        <f t="array" ref="AF162">INDEX(BSFC!$P$22:$AD$36,AD162,AE162)</f>
        <v>484</v>
      </c>
      <c r="AG162" s="7">
        <f>IF(V162&lt;0,((V162=0)*AF162/760),V162*AF162/760)</f>
        <v>5.6551317062206978</v>
      </c>
      <c r="AH162" s="25">
        <f t="shared" si="61"/>
        <v>1.5708699183946382E-3</v>
      </c>
      <c r="AI162" s="25">
        <f t="shared" si="67"/>
        <v>0.15293931485386764</v>
      </c>
      <c r="AJ162" s="25">
        <f t="shared" si="62"/>
        <v>212.41571507481615</v>
      </c>
      <c r="AK162" s="20"/>
      <c r="AL162" s="20"/>
      <c r="AM162" s="20"/>
      <c r="AN162" s="20"/>
      <c r="AO162" s="20"/>
    </row>
    <row r="163" spans="1:41" x14ac:dyDescent="0.25">
      <c r="A163" s="6">
        <v>53.310130000000001</v>
      </c>
      <c r="B163" s="6">
        <v>-5.9560000000000002E-2</v>
      </c>
      <c r="C163" s="6">
        <v>106</v>
      </c>
      <c r="D163" s="7">
        <f t="shared" si="47"/>
        <v>2055.9050632911453</v>
      </c>
      <c r="E163" s="6">
        <f t="shared" si="48"/>
        <v>5</v>
      </c>
      <c r="F163" s="6">
        <v>41</v>
      </c>
      <c r="G163" s="7">
        <f t="shared" si="49"/>
        <v>11.388888888888889</v>
      </c>
      <c r="H163" s="7">
        <f t="shared" si="50"/>
        <v>1.1497993207780026</v>
      </c>
      <c r="I163" s="7">
        <f t="shared" si="63"/>
        <v>189.72760753134807</v>
      </c>
      <c r="J163" s="7">
        <f t="shared" si="64"/>
        <v>0.72476415516531723</v>
      </c>
      <c r="K163" s="7">
        <f>J163*$K$2</f>
        <v>374.84802105150209</v>
      </c>
      <c r="L163" s="7">
        <f t="shared" si="51"/>
        <v>64.403312500000013</v>
      </c>
      <c r="M163" s="7">
        <f>($K$2*$G$2*E163)/1000</f>
        <v>25.368660000000002</v>
      </c>
      <c r="N163" s="7">
        <f>(0.5*$K$2*(G163^2))/1000</f>
        <v>33.542175925925932</v>
      </c>
      <c r="O163" s="7">
        <f t="shared" si="52"/>
        <v>0</v>
      </c>
      <c r="P163" s="7">
        <f t="shared" si="53"/>
        <v>0</v>
      </c>
      <c r="Q163" s="7">
        <f t="shared" si="54"/>
        <v>0</v>
      </c>
      <c r="R163" s="7">
        <f>($K$2*$G$2*SIN(Q163))</f>
        <v>0</v>
      </c>
      <c r="S163" s="6">
        <f xml:space="preserve"> ($P$3*($K$2*$G$2))</f>
        <v>304.42392000000007</v>
      </c>
      <c r="T163" s="7">
        <f t="shared" si="55"/>
        <v>0.74367525355150221</v>
      </c>
      <c r="U163" s="7">
        <f t="shared" si="56"/>
        <v>8.4696348321143304</v>
      </c>
      <c r="V163" s="24">
        <f t="shared" si="57"/>
        <v>8.4696348321143304</v>
      </c>
      <c r="W163" s="24">
        <f t="shared" si="58"/>
        <v>0</v>
      </c>
      <c r="X163" s="24">
        <f t="shared" si="65"/>
        <v>-2072.5262942991585</v>
      </c>
      <c r="Y163" s="25">
        <f t="shared" si="59"/>
        <v>8.4696348321143304</v>
      </c>
      <c r="Z163" s="25">
        <f t="shared" si="66"/>
        <v>976.56070041721421</v>
      </c>
      <c r="AA163" s="24">
        <f t="shared" si="60"/>
        <v>11.388888888888889</v>
      </c>
      <c r="AB163" s="6" cm="1">
        <f t="array" ref="AB163">_xlfn.IFS(AA163&lt;=4,1,AA163&lt;=8,2,AA163&gt;8,3)</f>
        <v>3</v>
      </c>
      <c r="AC163" s="26">
        <f>LOOKUP(AA163,$AP$5:$AP$46,$AQ$5:$AQ$46)</f>
        <v>3332.9</v>
      </c>
      <c r="AD163" s="6">
        <f>IF(V163&lt;0,1,MATCH(V163,BSFC!$P$21:$AD$21,1))</f>
        <v>8</v>
      </c>
      <c r="AE163" s="6">
        <f>MATCH(AC163,BSFC!$O$22:$O$36,1)</f>
        <v>6</v>
      </c>
      <c r="AF163" s="6" cm="1">
        <f t="array" ref="AF163">INDEX(BSFC!$P$22:$AD$36,AD163,AE163)</f>
        <v>443</v>
      </c>
      <c r="AG163" s="7">
        <f>IF(V163&lt;0,((V163=0)*AF163/760),V163*AF163/760)</f>
        <v>4.9369055666140111</v>
      </c>
      <c r="AH163" s="25">
        <f t="shared" si="61"/>
        <v>1.3713626573927809E-3</v>
      </c>
      <c r="AI163" s="25">
        <f t="shared" si="67"/>
        <v>0.15431067751126043</v>
      </c>
      <c r="AJ163" s="25">
        <f t="shared" si="62"/>
        <v>214.32038543230615</v>
      </c>
      <c r="AK163" s="20"/>
      <c r="AL163" s="20"/>
      <c r="AM163" s="20"/>
      <c r="AN163" s="20"/>
      <c r="AO163" s="20"/>
    </row>
    <row r="164" spans="1:41" x14ac:dyDescent="0.25">
      <c r="A164" s="6">
        <v>53.30997</v>
      </c>
      <c r="B164" s="6">
        <v>-5.9659999999999998E-2</v>
      </c>
      <c r="C164" s="6">
        <v>106</v>
      </c>
      <c r="D164" s="7">
        <f t="shared" si="47"/>
        <v>2069.0000000000059</v>
      </c>
      <c r="E164" s="6">
        <f t="shared" si="48"/>
        <v>5</v>
      </c>
      <c r="F164" s="6">
        <v>41</v>
      </c>
      <c r="G164" s="7">
        <f t="shared" si="49"/>
        <v>11.388888888888889</v>
      </c>
      <c r="H164" s="7">
        <v>1.64</v>
      </c>
      <c r="I164" s="7">
        <f t="shared" si="63"/>
        <v>191.36760753134806</v>
      </c>
      <c r="J164" s="7">
        <f t="shared" si="64"/>
        <v>0</v>
      </c>
      <c r="K164" s="7">
        <f>J164*$K$2</f>
        <v>0</v>
      </c>
      <c r="L164" s="7">
        <f t="shared" si="51"/>
        <v>64.403312500000013</v>
      </c>
      <c r="M164" s="7">
        <f>($K$2*$G$2*E164)/1000</f>
        <v>25.368660000000002</v>
      </c>
      <c r="N164" s="7">
        <f>(0.5*$K$2*(G164^2))/1000</f>
        <v>33.542175925925932</v>
      </c>
      <c r="O164" s="7">
        <f t="shared" si="52"/>
        <v>-0.38182696955050749</v>
      </c>
      <c r="P164" s="7">
        <f t="shared" si="53"/>
        <v>-0.36474248385830815</v>
      </c>
      <c r="Q164" s="7">
        <f t="shared" si="54"/>
        <v>-20.898204934199612</v>
      </c>
      <c r="R164" s="7">
        <f>($K$2*$G$2*SIN(Q164))</f>
        <v>-4505.3951804553253</v>
      </c>
      <c r="S164" s="6">
        <f xml:space="preserve"> ($P$3*($K$2*$G$2))</f>
        <v>304.42392000000007</v>
      </c>
      <c r="T164" s="7">
        <f t="shared" si="55"/>
        <v>-4.1365679479553252</v>
      </c>
      <c r="U164" s="7">
        <f t="shared" si="56"/>
        <v>-47.110912740602316</v>
      </c>
      <c r="V164" s="24">
        <f t="shared" si="57"/>
        <v>-47.110912740602316</v>
      </c>
      <c r="W164" s="24">
        <f t="shared" si="58"/>
        <v>-47.110912740602316</v>
      </c>
      <c r="X164" s="24">
        <f t="shared" si="65"/>
        <v>-2119.6372070397611</v>
      </c>
      <c r="Y164" s="25">
        <f t="shared" si="59"/>
        <v>0</v>
      </c>
      <c r="Z164" s="25">
        <f t="shared" si="66"/>
        <v>976.56070041721421</v>
      </c>
      <c r="AA164" s="24">
        <f t="shared" si="60"/>
        <v>11.388888888888889</v>
      </c>
      <c r="AB164" s="6" cm="1">
        <f t="array" ref="AB164">_xlfn.IFS(AA164&lt;=4,1,AA164&lt;=8,2,AA164&gt;8,3)</f>
        <v>3</v>
      </c>
      <c r="AC164" s="26">
        <f>LOOKUP(AA164,$AP$5:$AP$46,$AQ$5:$AQ$46)</f>
        <v>3332.9</v>
      </c>
      <c r="AD164" s="6">
        <f>IF(V164&lt;0,1,MATCH(V164,BSFC!$P$21:$AD$21,1))</f>
        <v>1</v>
      </c>
      <c r="AE164" s="6">
        <f>MATCH(AC164,BSFC!$O$22:$O$36,1)</f>
        <v>6</v>
      </c>
      <c r="AF164" s="6" cm="1">
        <f t="array" ref="AF164">INDEX(BSFC!$P$22:$AD$36,AD164,AE164)</f>
        <v>557</v>
      </c>
      <c r="AG164" s="7">
        <f>IF(V164&lt;0,((V164=0)*AF164/760),V164*AF164/760)</f>
        <v>0</v>
      </c>
      <c r="AH164" s="25">
        <f t="shared" si="61"/>
        <v>0</v>
      </c>
      <c r="AI164" s="25">
        <f t="shared" si="67"/>
        <v>0.15431067751126043</v>
      </c>
      <c r="AJ164" s="25">
        <f t="shared" si="62"/>
        <v>214.32038543230615</v>
      </c>
      <c r="AK164" s="20"/>
      <c r="AL164" s="20"/>
      <c r="AM164" s="20"/>
      <c r="AN164" s="20"/>
      <c r="AO164" s="20"/>
    </row>
    <row r="165" spans="1:41" x14ac:dyDescent="0.25">
      <c r="H165" s="3"/>
      <c r="I165" s="3"/>
      <c r="AD165" s="12"/>
      <c r="AE165" s="12"/>
    </row>
    <row r="166" spans="1:41" x14ac:dyDescent="0.25">
      <c r="AD166" s="12"/>
      <c r="AE166" s="12"/>
    </row>
    <row r="167" spans="1:41" x14ac:dyDescent="0.25">
      <c r="AD167" s="12"/>
      <c r="AE167" s="12"/>
    </row>
    <row r="168" spans="1:41" x14ac:dyDescent="0.25">
      <c r="AD168" s="12"/>
      <c r="AE168" s="12"/>
    </row>
    <row r="169" spans="1:41" x14ac:dyDescent="0.25">
      <c r="AD169" s="12"/>
      <c r="AE169" s="12"/>
    </row>
    <row r="170" spans="1:41" x14ac:dyDescent="0.25">
      <c r="AD170" s="12"/>
      <c r="AE170" s="12"/>
    </row>
    <row r="171" spans="1:41" x14ac:dyDescent="0.25">
      <c r="AD171" s="12"/>
      <c r="AE171" s="12"/>
    </row>
    <row r="172" spans="1:41" x14ac:dyDescent="0.25">
      <c r="AD172" s="12"/>
      <c r="AE172" s="12"/>
    </row>
    <row r="173" spans="1:41" x14ac:dyDescent="0.25">
      <c r="AD173" s="12"/>
      <c r="AE173" s="12"/>
    </row>
    <row r="174" spans="1:41" x14ac:dyDescent="0.25">
      <c r="AD174" s="12"/>
      <c r="AE174" s="12"/>
    </row>
    <row r="175" spans="1:41" x14ac:dyDescent="0.25">
      <c r="AD175" s="12"/>
      <c r="AE175" s="12"/>
    </row>
    <row r="176" spans="1:41" x14ac:dyDescent="0.25">
      <c r="AD176" s="12"/>
      <c r="AE176" s="12"/>
    </row>
    <row r="177" spans="30:31" x14ac:dyDescent="0.25">
      <c r="AD177" s="12"/>
      <c r="AE177" s="12"/>
    </row>
    <row r="178" spans="30:31" x14ac:dyDescent="0.25">
      <c r="AD178" s="12"/>
      <c r="AE178" s="12"/>
    </row>
    <row r="179" spans="30:31" x14ac:dyDescent="0.25">
      <c r="AD179" s="12"/>
      <c r="AE179" s="12"/>
    </row>
    <row r="180" spans="30:31" x14ac:dyDescent="0.25">
      <c r="AD180" s="12"/>
      <c r="AE180" s="12"/>
    </row>
    <row r="181" spans="30:31" x14ac:dyDescent="0.25">
      <c r="AD181" s="12"/>
      <c r="AE181" s="12"/>
    </row>
    <row r="182" spans="30:31" x14ac:dyDescent="0.25">
      <c r="AD182" s="12"/>
      <c r="AE182" s="12"/>
    </row>
    <row r="183" spans="30:31" x14ac:dyDescent="0.25">
      <c r="AD183" s="12"/>
      <c r="AE183" s="12"/>
    </row>
    <row r="184" spans="30:31" x14ac:dyDescent="0.25">
      <c r="AD184" s="12"/>
      <c r="AE184" s="12"/>
    </row>
    <row r="185" spans="30:31" x14ac:dyDescent="0.25">
      <c r="AD185" s="12"/>
      <c r="AE185" s="12"/>
    </row>
    <row r="186" spans="30:31" x14ac:dyDescent="0.25">
      <c r="AD186" s="12"/>
      <c r="AE186" s="12"/>
    </row>
    <row r="187" spans="30:31" x14ac:dyDescent="0.25">
      <c r="AD187" s="12"/>
      <c r="AE187" s="12"/>
    </row>
    <row r="188" spans="30:31" x14ac:dyDescent="0.25">
      <c r="AD188" s="12"/>
      <c r="AE188" s="12"/>
    </row>
    <row r="189" spans="30:31" x14ac:dyDescent="0.25">
      <c r="AD189" s="12"/>
      <c r="AE189" s="12"/>
    </row>
    <row r="190" spans="30:31" x14ac:dyDescent="0.25">
      <c r="AD190" s="12"/>
      <c r="AE190" s="12"/>
    </row>
    <row r="191" spans="30:31" x14ac:dyDescent="0.25">
      <c r="AD191" s="12"/>
      <c r="AE191" s="12"/>
    </row>
    <row r="192" spans="30:31" x14ac:dyDescent="0.25">
      <c r="AD192" s="12"/>
      <c r="AE192" s="12"/>
    </row>
    <row r="193" spans="30:31" x14ac:dyDescent="0.25">
      <c r="AD193" s="12"/>
      <c r="AE193" s="12"/>
    </row>
    <row r="194" spans="30:31" x14ac:dyDescent="0.25">
      <c r="AD194" s="12"/>
      <c r="AE194" s="12"/>
    </row>
    <row r="195" spans="30:31" x14ac:dyDescent="0.25">
      <c r="AD195" s="12"/>
      <c r="AE195" s="12"/>
    </row>
    <row r="196" spans="30:31" x14ac:dyDescent="0.25">
      <c r="AD196" s="12"/>
      <c r="AE196" s="12"/>
    </row>
    <row r="197" spans="30:31" x14ac:dyDescent="0.25">
      <c r="AD197" s="12"/>
      <c r="AE197" s="12"/>
    </row>
    <row r="198" spans="30:31" x14ac:dyDescent="0.25">
      <c r="AD198" s="12"/>
      <c r="AE198" s="12"/>
    </row>
    <row r="199" spans="30:31" x14ac:dyDescent="0.25">
      <c r="AD199" s="12"/>
      <c r="AE199" s="12"/>
    </row>
    <row r="200" spans="30:31" x14ac:dyDescent="0.25">
      <c r="AD200" s="12"/>
      <c r="AE200" s="12"/>
    </row>
    <row r="201" spans="30:31" x14ac:dyDescent="0.25">
      <c r="AD201" s="12"/>
      <c r="AE201" s="12"/>
    </row>
    <row r="202" spans="30:31" x14ac:dyDescent="0.25">
      <c r="AD202" s="12"/>
      <c r="AE202" s="12"/>
    </row>
    <row r="203" spans="30:31" x14ac:dyDescent="0.25">
      <c r="AD203" s="12"/>
      <c r="AE203" s="12"/>
    </row>
    <row r="204" spans="30:31" x14ac:dyDescent="0.25">
      <c r="AD204" s="12"/>
      <c r="AE204" s="12"/>
    </row>
    <row r="205" spans="30:31" x14ac:dyDescent="0.25">
      <c r="AD205" s="12"/>
      <c r="AE205" s="12"/>
    </row>
    <row r="206" spans="30:31" x14ac:dyDescent="0.25">
      <c r="AD206" s="12"/>
      <c r="AE206" s="12"/>
    </row>
    <row r="207" spans="30:31" x14ac:dyDescent="0.25">
      <c r="AD207" s="12"/>
      <c r="AE207" s="12"/>
    </row>
    <row r="208" spans="30:31" x14ac:dyDescent="0.25">
      <c r="AD208" s="12"/>
      <c r="AE208" s="12"/>
    </row>
    <row r="209" spans="30:31" x14ac:dyDescent="0.25">
      <c r="AD209" s="12"/>
      <c r="AE209" s="12"/>
    </row>
    <row r="210" spans="30:31" x14ac:dyDescent="0.25">
      <c r="AD210" s="12"/>
      <c r="AE210" s="12"/>
    </row>
    <row r="211" spans="30:31" x14ac:dyDescent="0.25">
      <c r="AD211" s="12"/>
      <c r="AE211" s="12"/>
    </row>
    <row r="212" spans="30:31" x14ac:dyDescent="0.25">
      <c r="AD212" s="12"/>
      <c r="AE212" s="12"/>
    </row>
    <row r="213" spans="30:31" x14ac:dyDescent="0.25">
      <c r="AD213" s="12"/>
      <c r="AE213" s="12"/>
    </row>
    <row r="214" spans="30:31" x14ac:dyDescent="0.25">
      <c r="AD214" s="12"/>
      <c r="AE214" s="12"/>
    </row>
    <row r="215" spans="30:31" x14ac:dyDescent="0.25">
      <c r="AD215" s="12"/>
      <c r="AE215" s="12"/>
    </row>
    <row r="216" spans="30:31" x14ac:dyDescent="0.25">
      <c r="AD216" s="12"/>
      <c r="AE216" s="12"/>
    </row>
    <row r="217" spans="30:31" x14ac:dyDescent="0.25">
      <c r="AD217" s="12"/>
      <c r="AE217" s="12"/>
    </row>
    <row r="218" spans="30:31" x14ac:dyDescent="0.25">
      <c r="AD218" s="12"/>
      <c r="AE218" s="12"/>
    </row>
    <row r="219" spans="30:31" x14ac:dyDescent="0.25">
      <c r="AD219" s="12"/>
      <c r="AE219" s="12"/>
    </row>
    <row r="220" spans="30:31" x14ac:dyDescent="0.25">
      <c r="AD220" s="12"/>
      <c r="AE220" s="12"/>
    </row>
    <row r="221" spans="30:31" x14ac:dyDescent="0.25">
      <c r="AD221" s="12"/>
      <c r="AE221" s="12"/>
    </row>
    <row r="222" spans="30:31" x14ac:dyDescent="0.25">
      <c r="AD222" s="12"/>
      <c r="AE222" s="12"/>
    </row>
    <row r="223" spans="30:31" x14ac:dyDescent="0.25">
      <c r="AD223" s="12"/>
      <c r="AE223" s="12"/>
    </row>
    <row r="224" spans="30:31" x14ac:dyDescent="0.25">
      <c r="AD224" s="12"/>
      <c r="AE224" s="12"/>
    </row>
    <row r="225" spans="30:31" x14ac:dyDescent="0.25">
      <c r="AD225" s="12"/>
      <c r="AE225" s="12"/>
    </row>
    <row r="226" spans="30:31" x14ac:dyDescent="0.25">
      <c r="AD226" s="12"/>
      <c r="AE226" s="12"/>
    </row>
    <row r="227" spans="30:31" x14ac:dyDescent="0.25">
      <c r="AD227" s="12"/>
      <c r="AE227" s="12"/>
    </row>
    <row r="228" spans="30:31" x14ac:dyDescent="0.25">
      <c r="AD228" s="12"/>
      <c r="AE228" s="12"/>
    </row>
    <row r="229" spans="30:31" x14ac:dyDescent="0.25">
      <c r="AD229" s="12"/>
      <c r="AE229" s="12"/>
    </row>
    <row r="230" spans="30:31" x14ac:dyDescent="0.25">
      <c r="AD230" s="12"/>
      <c r="AE230" s="12"/>
    </row>
    <row r="231" spans="30:31" x14ac:dyDescent="0.25">
      <c r="AD231" s="12"/>
      <c r="AE231" s="12"/>
    </row>
    <row r="232" spans="30:31" x14ac:dyDescent="0.25">
      <c r="AD232" s="12"/>
      <c r="AE232" s="12"/>
    </row>
    <row r="233" spans="30:31" x14ac:dyDescent="0.25">
      <c r="AD233" s="12"/>
      <c r="AE233" s="12"/>
    </row>
    <row r="234" spans="30:31" x14ac:dyDescent="0.25">
      <c r="AD234" s="12"/>
      <c r="AE234" s="12"/>
    </row>
    <row r="235" spans="30:31" x14ac:dyDescent="0.25">
      <c r="AD235" s="12"/>
      <c r="AE235" s="12"/>
    </row>
    <row r="236" spans="30:31" x14ac:dyDescent="0.25">
      <c r="AD236" s="12"/>
      <c r="AE236" s="12"/>
    </row>
    <row r="237" spans="30:31" x14ac:dyDescent="0.25">
      <c r="AD237" s="12"/>
      <c r="AE237" s="12"/>
    </row>
    <row r="238" spans="30:31" x14ac:dyDescent="0.25">
      <c r="AD238" s="12"/>
      <c r="AE238" s="12"/>
    </row>
    <row r="239" spans="30:31" x14ac:dyDescent="0.25">
      <c r="AD239" s="12"/>
      <c r="AE239" s="12"/>
    </row>
    <row r="240" spans="30:31" x14ac:dyDescent="0.25">
      <c r="AD240" s="12"/>
      <c r="AE240" s="12"/>
    </row>
    <row r="241" spans="30:31" x14ac:dyDescent="0.25">
      <c r="AD241" s="12"/>
      <c r="AE241" s="12"/>
    </row>
    <row r="242" spans="30:31" x14ac:dyDescent="0.25">
      <c r="AD242" s="12"/>
      <c r="AE242" s="12"/>
    </row>
    <row r="243" spans="30:31" x14ac:dyDescent="0.25">
      <c r="AD243" s="12"/>
      <c r="AE243" s="12"/>
    </row>
    <row r="244" spans="30:31" x14ac:dyDescent="0.25">
      <c r="AD244" s="12"/>
      <c r="AE244" s="12"/>
    </row>
    <row r="245" spans="30:31" x14ac:dyDescent="0.25">
      <c r="AD245" s="12"/>
      <c r="AE245" s="12"/>
    </row>
    <row r="246" spans="30:31" x14ac:dyDescent="0.25">
      <c r="AD246" s="12"/>
      <c r="AE246" s="12"/>
    </row>
    <row r="247" spans="30:31" x14ac:dyDescent="0.25">
      <c r="AD247" s="12"/>
      <c r="AE247" s="12"/>
    </row>
    <row r="248" spans="30:31" x14ac:dyDescent="0.25">
      <c r="AD248" s="12"/>
      <c r="AE248" s="12"/>
    </row>
    <row r="249" spans="30:31" x14ac:dyDescent="0.25">
      <c r="AD249" s="12"/>
      <c r="AE249" s="12"/>
    </row>
    <row r="250" spans="30:31" x14ac:dyDescent="0.25">
      <c r="AD250" s="12"/>
      <c r="AE250" s="12"/>
    </row>
    <row r="251" spans="30:31" x14ac:dyDescent="0.25">
      <c r="AD251" s="12"/>
      <c r="AE251" s="12"/>
    </row>
    <row r="252" spans="30:31" x14ac:dyDescent="0.25">
      <c r="AD252" s="12"/>
      <c r="AE252" s="12"/>
    </row>
    <row r="253" spans="30:31" x14ac:dyDescent="0.25">
      <c r="AD253" s="12"/>
      <c r="AE253" s="12"/>
    </row>
    <row r="254" spans="30:31" x14ac:dyDescent="0.25">
      <c r="AD254" s="12"/>
      <c r="AE254" s="12"/>
    </row>
    <row r="255" spans="30:31" x14ac:dyDescent="0.25">
      <c r="AD255" s="12"/>
      <c r="AE255" s="12"/>
    </row>
    <row r="256" spans="30:31" x14ac:dyDescent="0.25">
      <c r="AD256" s="12"/>
      <c r="AE256" s="12"/>
    </row>
    <row r="257" spans="30:31" x14ac:dyDescent="0.25">
      <c r="AD257" s="12"/>
      <c r="AE257" s="12"/>
    </row>
    <row r="258" spans="30:31" x14ac:dyDescent="0.25">
      <c r="AD258" s="12"/>
      <c r="AE258" s="12"/>
    </row>
    <row r="259" spans="30:31" x14ac:dyDescent="0.25">
      <c r="AD259" s="12"/>
      <c r="AE259" s="12"/>
    </row>
    <row r="260" spans="30:31" x14ac:dyDescent="0.25">
      <c r="AD260" s="12"/>
      <c r="AE260" s="12"/>
    </row>
    <row r="261" spans="30:31" x14ac:dyDescent="0.25">
      <c r="AD261" s="12"/>
      <c r="AE261" s="12"/>
    </row>
    <row r="262" spans="30:31" x14ac:dyDescent="0.25">
      <c r="AD262" s="12"/>
      <c r="AE262" s="12"/>
    </row>
    <row r="263" spans="30:31" x14ac:dyDescent="0.25">
      <c r="AD263" s="12"/>
      <c r="AE263" s="12"/>
    </row>
    <row r="264" spans="30:31" x14ac:dyDescent="0.25">
      <c r="AD264" s="12"/>
      <c r="AE264" s="12"/>
    </row>
    <row r="265" spans="30:31" x14ac:dyDescent="0.25">
      <c r="AD265" s="12"/>
      <c r="AE265" s="12"/>
    </row>
    <row r="266" spans="30:31" x14ac:dyDescent="0.25">
      <c r="AD266" s="12"/>
      <c r="AE266" s="12"/>
    </row>
    <row r="267" spans="30:31" x14ac:dyDescent="0.25">
      <c r="AD267" s="12"/>
      <c r="AE267" s="12"/>
    </row>
    <row r="268" spans="30:31" x14ac:dyDescent="0.25">
      <c r="AD268" s="12"/>
      <c r="AE268" s="12"/>
    </row>
    <row r="269" spans="30:31" x14ac:dyDescent="0.25">
      <c r="AD269" s="12"/>
      <c r="AE269" s="12"/>
    </row>
    <row r="270" spans="30:31" x14ac:dyDescent="0.25">
      <c r="AD270" s="12"/>
      <c r="AE270" s="12"/>
    </row>
    <row r="271" spans="30:31" x14ac:dyDescent="0.25">
      <c r="AD271" s="12"/>
      <c r="AE271" s="12"/>
    </row>
    <row r="272" spans="30:31" x14ac:dyDescent="0.25">
      <c r="AD272" s="12"/>
      <c r="AE272" s="12"/>
    </row>
    <row r="273" spans="30:31" x14ac:dyDescent="0.25">
      <c r="AD273" s="12"/>
      <c r="AE273" s="12"/>
    </row>
    <row r="274" spans="30:31" x14ac:dyDescent="0.25">
      <c r="AD274" s="12"/>
      <c r="AE274" s="12"/>
    </row>
    <row r="275" spans="30:31" x14ac:dyDescent="0.25">
      <c r="AD275" s="12"/>
      <c r="AE275" s="12"/>
    </row>
    <row r="276" spans="30:31" x14ac:dyDescent="0.25">
      <c r="AD276" s="12"/>
      <c r="AE276" s="12"/>
    </row>
    <row r="277" spans="30:31" x14ac:dyDescent="0.25">
      <c r="AD277" s="12"/>
      <c r="AE277" s="12"/>
    </row>
    <row r="278" spans="30:31" x14ac:dyDescent="0.25">
      <c r="AD278" s="12"/>
      <c r="AE278" s="12"/>
    </row>
    <row r="279" spans="30:31" x14ac:dyDescent="0.25">
      <c r="AD279" s="12"/>
      <c r="AE279" s="12"/>
    </row>
    <row r="280" spans="30:31" x14ac:dyDescent="0.25">
      <c r="AD280" s="12"/>
      <c r="AE280" s="12"/>
    </row>
    <row r="281" spans="30:31" x14ac:dyDescent="0.25">
      <c r="AD281" s="12"/>
      <c r="AE281" s="12"/>
    </row>
    <row r="282" spans="30:31" x14ac:dyDescent="0.25">
      <c r="AD282" s="12"/>
      <c r="AE282" s="12"/>
    </row>
    <row r="283" spans="30:31" x14ac:dyDescent="0.25">
      <c r="AD283" s="12"/>
      <c r="AE283" s="12"/>
    </row>
    <row r="284" spans="30:31" x14ac:dyDescent="0.25">
      <c r="AD284" s="12"/>
      <c r="AE284" s="12"/>
    </row>
    <row r="285" spans="30:31" x14ac:dyDescent="0.25">
      <c r="AD285" s="12"/>
      <c r="AE285" s="12"/>
    </row>
    <row r="286" spans="30:31" x14ac:dyDescent="0.25">
      <c r="AD286" s="12"/>
      <c r="AE286" s="12"/>
    </row>
    <row r="287" spans="30:31" x14ac:dyDescent="0.25">
      <c r="AD287" s="12"/>
      <c r="AE287" s="12"/>
    </row>
    <row r="288" spans="30:31" x14ac:dyDescent="0.25">
      <c r="AD288" s="12"/>
      <c r="AE288" s="12"/>
    </row>
    <row r="289" spans="30:31" x14ac:dyDescent="0.25">
      <c r="AD289" s="12"/>
      <c r="AE289" s="12"/>
    </row>
    <row r="290" spans="30:31" x14ac:dyDescent="0.25">
      <c r="AD290" s="12"/>
      <c r="AE290" s="12"/>
    </row>
    <row r="291" spans="30:31" x14ac:dyDescent="0.25">
      <c r="AD291" s="12"/>
      <c r="AE291" s="12"/>
    </row>
    <row r="292" spans="30:31" x14ac:dyDescent="0.25">
      <c r="AD292" s="12"/>
      <c r="AE292" s="12"/>
    </row>
    <row r="293" spans="30:31" x14ac:dyDescent="0.25">
      <c r="AD293" s="12"/>
      <c r="AE293" s="12"/>
    </row>
    <row r="294" spans="30:31" x14ac:dyDescent="0.25">
      <c r="AD294" s="12"/>
      <c r="AE294" s="12"/>
    </row>
    <row r="295" spans="30:31" x14ac:dyDescent="0.25">
      <c r="AD295" s="12"/>
      <c r="AE295" s="12"/>
    </row>
    <row r="296" spans="30:31" x14ac:dyDescent="0.25">
      <c r="AD296" s="12"/>
      <c r="AE296" s="12"/>
    </row>
    <row r="297" spans="30:31" x14ac:dyDescent="0.25">
      <c r="AD297" s="12"/>
      <c r="AE297" s="12"/>
    </row>
    <row r="298" spans="30:31" x14ac:dyDescent="0.25">
      <c r="AD298" s="12"/>
      <c r="AE298" s="12"/>
    </row>
    <row r="299" spans="30:31" x14ac:dyDescent="0.25">
      <c r="AD299" s="12"/>
      <c r="AE299" s="12"/>
    </row>
    <row r="300" spans="30:31" x14ac:dyDescent="0.25">
      <c r="AD300" s="12"/>
      <c r="AE300" s="12"/>
    </row>
    <row r="301" spans="30:31" x14ac:dyDescent="0.25">
      <c r="AD301" s="12"/>
      <c r="AE301" s="12"/>
    </row>
    <row r="302" spans="30:31" x14ac:dyDescent="0.25">
      <c r="AD302" s="12"/>
      <c r="AE302" s="12"/>
    </row>
    <row r="303" spans="30:31" x14ac:dyDescent="0.25">
      <c r="AD303" s="12"/>
      <c r="AE303" s="12"/>
    </row>
    <row r="304" spans="30:31" x14ac:dyDescent="0.25">
      <c r="AD304" s="12"/>
      <c r="AE304" s="12"/>
    </row>
    <row r="305" spans="30:31" x14ac:dyDescent="0.25">
      <c r="AD305" s="12"/>
      <c r="AE305" s="12"/>
    </row>
    <row r="306" spans="30:31" x14ac:dyDescent="0.25">
      <c r="AD306" s="12"/>
      <c r="AE306" s="12"/>
    </row>
    <row r="307" spans="30:31" x14ac:dyDescent="0.25">
      <c r="AD307" s="12"/>
      <c r="AE307" s="12"/>
    </row>
    <row r="308" spans="30:31" x14ac:dyDescent="0.25">
      <c r="AD308" s="12"/>
      <c r="AE308" s="12"/>
    </row>
    <row r="309" spans="30:31" x14ac:dyDescent="0.25">
      <c r="AD309" s="12"/>
      <c r="AE309" s="12"/>
    </row>
    <row r="310" spans="30:31" x14ac:dyDescent="0.25">
      <c r="AD310" s="12"/>
      <c r="AE310" s="12"/>
    </row>
    <row r="311" spans="30:31" x14ac:dyDescent="0.25">
      <c r="AD311" s="12"/>
      <c r="AE311" s="12"/>
    </row>
    <row r="312" spans="30:31" x14ac:dyDescent="0.25">
      <c r="AD312" s="12"/>
      <c r="AE312" s="12"/>
    </row>
    <row r="313" spans="30:31" x14ac:dyDescent="0.25">
      <c r="AD313" s="12"/>
      <c r="AE313" s="12"/>
    </row>
    <row r="314" spans="30:31" x14ac:dyDescent="0.25">
      <c r="AD314" s="12"/>
      <c r="AE314" s="12"/>
    </row>
    <row r="315" spans="30:31" x14ac:dyDescent="0.25">
      <c r="AD315" s="12"/>
      <c r="AE315" s="12"/>
    </row>
    <row r="316" spans="30:31" x14ac:dyDescent="0.25">
      <c r="AD316" s="12"/>
      <c r="AE316" s="12"/>
    </row>
    <row r="317" spans="30:31" x14ac:dyDescent="0.25">
      <c r="AD317" s="12"/>
      <c r="AE317" s="12"/>
    </row>
    <row r="318" spans="30:31" x14ac:dyDescent="0.25">
      <c r="AD318" s="12"/>
      <c r="AE318" s="12"/>
    </row>
    <row r="319" spans="30:31" x14ac:dyDescent="0.25">
      <c r="AD319" s="12"/>
      <c r="AE319" s="12"/>
    </row>
    <row r="320" spans="30:31" x14ac:dyDescent="0.25">
      <c r="AD320" s="12"/>
      <c r="AE320" s="12"/>
    </row>
    <row r="321" spans="30:31" x14ac:dyDescent="0.25">
      <c r="AD321" s="12"/>
      <c r="AE321" s="12"/>
    </row>
    <row r="322" spans="30:31" x14ac:dyDescent="0.25">
      <c r="AD322" s="12"/>
      <c r="AE322" s="12"/>
    </row>
    <row r="323" spans="30:31" x14ac:dyDescent="0.25">
      <c r="AD323" s="12"/>
      <c r="AE323" s="12"/>
    </row>
    <row r="324" spans="30:31" x14ac:dyDescent="0.25">
      <c r="AD324" s="12"/>
      <c r="AE324" s="12"/>
    </row>
    <row r="325" spans="30:31" x14ac:dyDescent="0.25">
      <c r="AD325" s="12"/>
      <c r="AE325" s="12"/>
    </row>
    <row r="326" spans="30:31" x14ac:dyDescent="0.25">
      <c r="AD326" s="12"/>
      <c r="AE326" s="12"/>
    </row>
    <row r="327" spans="30:31" x14ac:dyDescent="0.25">
      <c r="AD327" s="12"/>
      <c r="AE327" s="12"/>
    </row>
    <row r="328" spans="30:31" x14ac:dyDescent="0.25">
      <c r="AD328" s="12"/>
      <c r="AE328" s="12"/>
    </row>
    <row r="329" spans="30:31" x14ac:dyDescent="0.25">
      <c r="AD329" s="12"/>
      <c r="AE329" s="12"/>
    </row>
    <row r="330" spans="30:31" x14ac:dyDescent="0.25">
      <c r="AD330" s="12"/>
      <c r="AE330" s="12"/>
    </row>
    <row r="331" spans="30:31" x14ac:dyDescent="0.25">
      <c r="AD331" s="12"/>
      <c r="AE331" s="12"/>
    </row>
    <row r="332" spans="30:31" x14ac:dyDescent="0.25">
      <c r="AD332" s="12"/>
      <c r="AE332" s="12"/>
    </row>
    <row r="333" spans="30:31" x14ac:dyDescent="0.25">
      <c r="AD333" s="12"/>
      <c r="AE333" s="12"/>
    </row>
    <row r="334" spans="30:31" x14ac:dyDescent="0.25">
      <c r="AD334" s="12"/>
      <c r="AE334" s="12"/>
    </row>
    <row r="335" spans="30:31" x14ac:dyDescent="0.25">
      <c r="AD335" s="12"/>
      <c r="AE335" s="12"/>
    </row>
    <row r="336" spans="30:31" x14ac:dyDescent="0.25">
      <c r="AD336" s="12"/>
      <c r="AE336" s="12"/>
    </row>
    <row r="337" spans="30:31" x14ac:dyDescent="0.25">
      <c r="AD337" s="12"/>
      <c r="AE337" s="12"/>
    </row>
    <row r="338" spans="30:31" x14ac:dyDescent="0.25">
      <c r="AD338" s="12"/>
      <c r="AE338" s="12"/>
    </row>
    <row r="339" spans="30:31" x14ac:dyDescent="0.25">
      <c r="AD339" s="12"/>
      <c r="AE339" s="12"/>
    </row>
    <row r="340" spans="30:31" x14ac:dyDescent="0.25">
      <c r="AD340" s="12"/>
      <c r="AE340" s="12"/>
    </row>
    <row r="341" spans="30:31" x14ac:dyDescent="0.25">
      <c r="AD341" s="12"/>
      <c r="AE341" s="12"/>
    </row>
    <row r="342" spans="30:31" x14ac:dyDescent="0.25">
      <c r="AD342" s="12"/>
      <c r="AE342" s="12"/>
    </row>
    <row r="343" spans="30:31" x14ac:dyDescent="0.25">
      <c r="AD343" s="12"/>
      <c r="AE343" s="12"/>
    </row>
    <row r="344" spans="30:31" x14ac:dyDescent="0.25">
      <c r="AD344" s="12"/>
      <c r="AE344" s="12"/>
    </row>
    <row r="345" spans="30:31" x14ac:dyDescent="0.25">
      <c r="AD345" s="12"/>
      <c r="AE345" s="12"/>
    </row>
    <row r="346" spans="30:31" x14ac:dyDescent="0.25">
      <c r="AD346" s="12"/>
      <c r="AE346" s="12"/>
    </row>
    <row r="347" spans="30:31" x14ac:dyDescent="0.25">
      <c r="AD347" s="12"/>
      <c r="AE347" s="12"/>
    </row>
    <row r="348" spans="30:31" x14ac:dyDescent="0.25">
      <c r="AD348" s="12"/>
      <c r="AE348" s="12"/>
    </row>
    <row r="349" spans="30:31" x14ac:dyDescent="0.25">
      <c r="AD349" s="12"/>
      <c r="AE349" s="12"/>
    </row>
    <row r="350" spans="30:31" x14ac:dyDescent="0.25">
      <c r="AD350" s="12"/>
      <c r="AE350" s="12"/>
    </row>
    <row r="351" spans="30:31" x14ac:dyDescent="0.25">
      <c r="AD351" s="12"/>
      <c r="AE351" s="12"/>
    </row>
    <row r="352" spans="30:31" x14ac:dyDescent="0.25">
      <c r="AD352" s="12"/>
      <c r="AE352" s="12"/>
    </row>
    <row r="353" spans="30:31" x14ac:dyDescent="0.25">
      <c r="AD353" s="12"/>
      <c r="AE353" s="12"/>
    </row>
    <row r="354" spans="30:31" x14ac:dyDescent="0.25">
      <c r="AD354" s="12"/>
      <c r="AE354" s="12"/>
    </row>
    <row r="355" spans="30:31" x14ac:dyDescent="0.25">
      <c r="AD355" s="12"/>
      <c r="AE355" s="12"/>
    </row>
    <row r="356" spans="30:31" x14ac:dyDescent="0.25">
      <c r="AD356" s="12"/>
      <c r="AE356" s="12"/>
    </row>
    <row r="357" spans="30:31" x14ac:dyDescent="0.25">
      <c r="AD357" s="12"/>
      <c r="AE357" s="12"/>
    </row>
    <row r="358" spans="30:31" x14ac:dyDescent="0.25">
      <c r="AD358" s="12"/>
      <c r="AE358" s="12"/>
    </row>
    <row r="359" spans="30:31" x14ac:dyDescent="0.25">
      <c r="AD359" s="12"/>
      <c r="AE359" s="12"/>
    </row>
    <row r="360" spans="30:31" x14ac:dyDescent="0.25">
      <c r="AD360" s="12"/>
      <c r="AE360" s="12"/>
    </row>
    <row r="361" spans="30:31" x14ac:dyDescent="0.25">
      <c r="AD361" s="12"/>
      <c r="AE361" s="12"/>
    </row>
    <row r="362" spans="30:31" x14ac:dyDescent="0.25">
      <c r="AD362" s="12"/>
      <c r="AE362" s="12"/>
    </row>
    <row r="363" spans="30:31" x14ac:dyDescent="0.25">
      <c r="AD363" s="12"/>
      <c r="AE363" s="12"/>
    </row>
    <row r="364" spans="30:31" x14ac:dyDescent="0.25">
      <c r="AD364" s="12"/>
      <c r="AE364" s="12"/>
    </row>
    <row r="365" spans="30:31" x14ac:dyDescent="0.25">
      <c r="AD365" s="12"/>
      <c r="AE365" s="12"/>
    </row>
    <row r="366" spans="30:31" x14ac:dyDescent="0.25">
      <c r="AD366" s="12"/>
      <c r="AE366" s="12"/>
    </row>
    <row r="367" spans="30:31" x14ac:dyDescent="0.25">
      <c r="AD367" s="12"/>
      <c r="AE367" s="12"/>
    </row>
    <row r="368" spans="30:31" x14ac:dyDescent="0.25">
      <c r="AD368" s="12"/>
      <c r="AE368" s="12"/>
    </row>
    <row r="369" spans="30:31" x14ac:dyDescent="0.25">
      <c r="AD369" s="12"/>
      <c r="AE369" s="12"/>
    </row>
    <row r="370" spans="30:31" x14ac:dyDescent="0.25">
      <c r="AD370" s="12"/>
      <c r="AE370" s="12"/>
    </row>
    <row r="371" spans="30:31" x14ac:dyDescent="0.25">
      <c r="AD371" s="12"/>
      <c r="AE371" s="12"/>
    </row>
    <row r="372" spans="30:31" x14ac:dyDescent="0.25">
      <c r="AD372" s="12"/>
      <c r="AE372" s="12"/>
    </row>
    <row r="373" spans="30:31" x14ac:dyDescent="0.25">
      <c r="AD373" s="12"/>
      <c r="AE373" s="12"/>
    </row>
    <row r="374" spans="30:31" x14ac:dyDescent="0.25">
      <c r="AD374" s="12"/>
      <c r="AE374" s="12"/>
    </row>
    <row r="375" spans="30:31" x14ac:dyDescent="0.25">
      <c r="AD375" s="12"/>
      <c r="AE375" s="12"/>
    </row>
    <row r="376" spans="30:31" x14ac:dyDescent="0.25">
      <c r="AD376" s="12"/>
      <c r="AE376" s="12"/>
    </row>
    <row r="377" spans="30:31" x14ac:dyDescent="0.25">
      <c r="AD377" s="12"/>
      <c r="AE377" s="12"/>
    </row>
    <row r="378" spans="30:31" x14ac:dyDescent="0.25">
      <c r="AD378" s="12"/>
      <c r="AE378" s="12"/>
    </row>
    <row r="379" spans="30:31" x14ac:dyDescent="0.25">
      <c r="AD379" s="12"/>
      <c r="AE379" s="12"/>
    </row>
    <row r="380" spans="30:31" x14ac:dyDescent="0.25">
      <c r="AD380" s="12"/>
      <c r="AE380" s="12"/>
    </row>
    <row r="381" spans="30:31" x14ac:dyDescent="0.25">
      <c r="AD381" s="12"/>
      <c r="AE381" s="12"/>
    </row>
    <row r="382" spans="30:31" x14ac:dyDescent="0.25">
      <c r="AD382" s="12"/>
      <c r="AE382" s="12"/>
    </row>
    <row r="383" spans="30:31" x14ac:dyDescent="0.25">
      <c r="AD383" s="12"/>
      <c r="AE383" s="12"/>
    </row>
    <row r="384" spans="30:31" x14ac:dyDescent="0.25">
      <c r="AD384" s="12"/>
      <c r="AE384" s="12"/>
    </row>
    <row r="385" spans="30:31" x14ac:dyDescent="0.25">
      <c r="AD385" s="12"/>
      <c r="AE385" s="12"/>
    </row>
    <row r="386" spans="30:31" x14ac:dyDescent="0.25">
      <c r="AD386" s="12"/>
      <c r="AE386" s="12"/>
    </row>
    <row r="387" spans="30:31" x14ac:dyDescent="0.25">
      <c r="AD387" s="12"/>
      <c r="AE387" s="12"/>
    </row>
    <row r="388" spans="30:31" x14ac:dyDescent="0.25">
      <c r="AD388" s="12"/>
      <c r="AE388" s="12"/>
    </row>
    <row r="389" spans="30:31" x14ac:dyDescent="0.25">
      <c r="AD389" s="12"/>
      <c r="AE389" s="12"/>
    </row>
    <row r="390" spans="30:31" x14ac:dyDescent="0.25">
      <c r="AD390" s="12"/>
      <c r="AE390" s="12"/>
    </row>
    <row r="391" spans="30:31" x14ac:dyDescent="0.25">
      <c r="AD391" s="12"/>
      <c r="AE391" s="12"/>
    </row>
    <row r="392" spans="30:31" x14ac:dyDescent="0.25">
      <c r="AD392" s="12"/>
      <c r="AE392" s="12"/>
    </row>
    <row r="393" spans="30:31" x14ac:dyDescent="0.25">
      <c r="AD393" s="12"/>
      <c r="AE393" s="12"/>
    </row>
    <row r="394" spans="30:31" x14ac:dyDescent="0.25">
      <c r="AD394" s="12"/>
      <c r="AE394" s="12"/>
    </row>
    <row r="395" spans="30:31" x14ac:dyDescent="0.25">
      <c r="AD395" s="12"/>
      <c r="AE395" s="12"/>
    </row>
    <row r="396" spans="30:31" x14ac:dyDescent="0.25">
      <c r="AD396" s="12"/>
      <c r="AE396" s="12"/>
    </row>
    <row r="397" spans="30:31" x14ac:dyDescent="0.25">
      <c r="AD397" s="12"/>
      <c r="AE397" s="12"/>
    </row>
    <row r="398" spans="30:31" x14ac:dyDescent="0.25">
      <c r="AD398" s="12"/>
      <c r="AE398" s="12"/>
    </row>
    <row r="399" spans="30:31" x14ac:dyDescent="0.25">
      <c r="AD399" s="12"/>
      <c r="AE399" s="12"/>
    </row>
    <row r="400" spans="30:31" x14ac:dyDescent="0.25">
      <c r="AD400" s="12"/>
      <c r="AE400" s="12"/>
    </row>
    <row r="401" spans="30:31" x14ac:dyDescent="0.25">
      <c r="AD401" s="12"/>
      <c r="AE401" s="12"/>
    </row>
    <row r="402" spans="30:31" x14ac:dyDescent="0.25">
      <c r="AD402" s="12"/>
      <c r="AE402" s="12"/>
    </row>
    <row r="403" spans="30:31" x14ac:dyDescent="0.25">
      <c r="AD403" s="12"/>
      <c r="AE403" s="12"/>
    </row>
    <row r="404" spans="30:31" x14ac:dyDescent="0.25">
      <c r="AD404" s="12"/>
      <c r="AE404" s="12"/>
    </row>
    <row r="405" spans="30:31" x14ac:dyDescent="0.25">
      <c r="AD405" s="12"/>
      <c r="AE405" s="12"/>
    </row>
    <row r="406" spans="30:31" x14ac:dyDescent="0.25">
      <c r="AD406" s="12"/>
      <c r="AE406" s="12"/>
    </row>
    <row r="407" spans="30:31" x14ac:dyDescent="0.25">
      <c r="AD407" s="12"/>
      <c r="AE407" s="12"/>
    </row>
    <row r="408" spans="30:31" x14ac:dyDescent="0.25">
      <c r="AD408" s="12"/>
      <c r="AE408" s="12"/>
    </row>
    <row r="409" spans="30:31" x14ac:dyDescent="0.25">
      <c r="AD409" s="12"/>
      <c r="AE409" s="12"/>
    </row>
    <row r="410" spans="30:31" x14ac:dyDescent="0.25">
      <c r="AD410" s="12"/>
      <c r="AE410" s="12"/>
    </row>
    <row r="411" spans="30:31" x14ac:dyDescent="0.25">
      <c r="AD411" s="12"/>
      <c r="AE411" s="12"/>
    </row>
    <row r="412" spans="30:31" x14ac:dyDescent="0.25">
      <c r="AD412" s="12"/>
      <c r="AE412" s="12"/>
    </row>
    <row r="413" spans="30:31" x14ac:dyDescent="0.25">
      <c r="AD413" s="12"/>
      <c r="AE413" s="12"/>
    </row>
    <row r="414" spans="30:31" x14ac:dyDescent="0.25">
      <c r="AD414" s="12"/>
      <c r="AE414" s="12"/>
    </row>
    <row r="415" spans="30:31" x14ac:dyDescent="0.25">
      <c r="AD415" s="12"/>
      <c r="AE415" s="12"/>
    </row>
    <row r="416" spans="30:31" x14ac:dyDescent="0.25">
      <c r="AD416" s="12"/>
      <c r="AE416" s="12"/>
    </row>
    <row r="417" spans="30:31" x14ac:dyDescent="0.25">
      <c r="AD417" s="12"/>
      <c r="AE417" s="12"/>
    </row>
    <row r="418" spans="30:31" x14ac:dyDescent="0.25">
      <c r="AD418" s="12"/>
      <c r="AE418" s="12"/>
    </row>
    <row r="419" spans="30:31" x14ac:dyDescent="0.25">
      <c r="AD419" s="12"/>
      <c r="AE419" s="12"/>
    </row>
    <row r="420" spans="30:31" x14ac:dyDescent="0.25">
      <c r="AD420" s="12"/>
      <c r="AE420" s="12"/>
    </row>
    <row r="421" spans="30:31" x14ac:dyDescent="0.25">
      <c r="AD421" s="12"/>
      <c r="AE421" s="12"/>
    </row>
    <row r="422" spans="30:31" x14ac:dyDescent="0.25">
      <c r="AD422" s="12"/>
      <c r="AE422" s="12"/>
    </row>
    <row r="423" spans="30:31" x14ac:dyDescent="0.25">
      <c r="AD423" s="12"/>
      <c r="AE423" s="12"/>
    </row>
    <row r="424" spans="30:31" x14ac:dyDescent="0.25">
      <c r="AD424" s="12"/>
      <c r="AE424" s="12"/>
    </row>
    <row r="425" spans="30:31" x14ac:dyDescent="0.25">
      <c r="AD425" s="12"/>
      <c r="AE425" s="12"/>
    </row>
    <row r="426" spans="30:31" x14ac:dyDescent="0.25">
      <c r="AD426" s="12"/>
      <c r="AE426" s="12"/>
    </row>
    <row r="427" spans="30:31" x14ac:dyDescent="0.25">
      <c r="AD427" s="12"/>
      <c r="AE427" s="12"/>
    </row>
    <row r="428" spans="30:31" x14ac:dyDescent="0.25">
      <c r="AD428" s="12"/>
      <c r="AE428" s="12"/>
    </row>
    <row r="429" spans="30:31" x14ac:dyDescent="0.25">
      <c r="AD429" s="12"/>
      <c r="AE429" s="12"/>
    </row>
    <row r="430" spans="30:31" x14ac:dyDescent="0.25">
      <c r="AD430" s="12"/>
      <c r="AE430" s="12"/>
    </row>
    <row r="431" spans="30:31" x14ac:dyDescent="0.25">
      <c r="AD431" s="12"/>
      <c r="AE431" s="12"/>
    </row>
    <row r="432" spans="30:31" x14ac:dyDescent="0.25">
      <c r="AD432" s="12"/>
      <c r="AE432" s="12"/>
    </row>
    <row r="433" spans="30:31" x14ac:dyDescent="0.25">
      <c r="AD433" s="12"/>
      <c r="AE433" s="12"/>
    </row>
    <row r="434" spans="30:31" x14ac:dyDescent="0.25">
      <c r="AD434" s="12"/>
      <c r="AE434" s="12"/>
    </row>
    <row r="435" spans="30:31" x14ac:dyDescent="0.25">
      <c r="AD435" s="12"/>
      <c r="AE435" s="12"/>
    </row>
    <row r="436" spans="30:31" x14ac:dyDescent="0.25">
      <c r="AD436" s="12"/>
      <c r="AE436" s="12"/>
    </row>
    <row r="437" spans="30:31" x14ac:dyDescent="0.25">
      <c r="AD437" s="12"/>
      <c r="AE437" s="12"/>
    </row>
    <row r="438" spans="30:31" x14ac:dyDescent="0.25">
      <c r="AD438" s="12"/>
      <c r="AE438" s="12"/>
    </row>
    <row r="439" spans="30:31" x14ac:dyDescent="0.25">
      <c r="AD439" s="12"/>
      <c r="AE439" s="12"/>
    </row>
    <row r="440" spans="30:31" x14ac:dyDescent="0.25">
      <c r="AD440" s="12"/>
      <c r="AE440" s="12"/>
    </row>
    <row r="441" spans="30:31" x14ac:dyDescent="0.25">
      <c r="AD441" s="12"/>
      <c r="AE441" s="12"/>
    </row>
    <row r="442" spans="30:31" x14ac:dyDescent="0.25">
      <c r="AD442" s="12"/>
      <c r="AE442" s="12"/>
    </row>
    <row r="443" spans="30:31" x14ac:dyDescent="0.25">
      <c r="AD443" s="12"/>
      <c r="AE443" s="12"/>
    </row>
    <row r="444" spans="30:31" x14ac:dyDescent="0.25">
      <c r="AD444" s="12"/>
      <c r="AE444" s="12"/>
    </row>
    <row r="445" spans="30:31" x14ac:dyDescent="0.25">
      <c r="AD445" s="12"/>
      <c r="AE445" s="12"/>
    </row>
    <row r="446" spans="30:31" x14ac:dyDescent="0.25">
      <c r="AD446" s="12"/>
      <c r="AE446" s="12"/>
    </row>
    <row r="447" spans="30:31" x14ac:dyDescent="0.25">
      <c r="AD447" s="12"/>
      <c r="AE447" s="12"/>
    </row>
    <row r="448" spans="30:31" x14ac:dyDescent="0.25">
      <c r="AD448" s="12"/>
      <c r="AE448" s="12"/>
    </row>
    <row r="449" spans="30:31" x14ac:dyDescent="0.25">
      <c r="AD449" s="12"/>
      <c r="AE449" s="12"/>
    </row>
    <row r="450" spans="30:31" x14ac:dyDescent="0.25">
      <c r="AD450" s="12"/>
      <c r="AE450" s="12"/>
    </row>
    <row r="451" spans="30:31" x14ac:dyDescent="0.25">
      <c r="AD451" s="12"/>
      <c r="AE451" s="12"/>
    </row>
    <row r="452" spans="30:31" x14ac:dyDescent="0.25">
      <c r="AD452" s="12"/>
      <c r="AE452" s="12"/>
    </row>
    <row r="453" spans="30:31" x14ac:dyDescent="0.25">
      <c r="AD453" s="12"/>
      <c r="AE453" s="12"/>
    </row>
    <row r="454" spans="30:31" x14ac:dyDescent="0.25">
      <c r="AD454" s="12"/>
      <c r="AE454" s="12"/>
    </row>
    <row r="455" spans="30:31" x14ac:dyDescent="0.25">
      <c r="AD455" s="12"/>
      <c r="AE455" s="12"/>
    </row>
    <row r="456" spans="30:31" x14ac:dyDescent="0.25">
      <c r="AD456" s="12"/>
      <c r="AE456" s="12"/>
    </row>
    <row r="457" spans="30:31" x14ac:dyDescent="0.25">
      <c r="AD457" s="12"/>
      <c r="AE457" s="12"/>
    </row>
    <row r="458" spans="30:31" x14ac:dyDescent="0.25">
      <c r="AD458" s="12"/>
      <c r="AE458" s="12"/>
    </row>
    <row r="459" spans="30:31" x14ac:dyDescent="0.25">
      <c r="AD459" s="12"/>
      <c r="AE459" s="12"/>
    </row>
    <row r="460" spans="30:31" x14ac:dyDescent="0.25">
      <c r="AD460" s="12"/>
      <c r="AE460" s="12"/>
    </row>
    <row r="461" spans="30:31" x14ac:dyDescent="0.25">
      <c r="AD461" s="12"/>
      <c r="AE461" s="12"/>
    </row>
    <row r="462" spans="30:31" x14ac:dyDescent="0.25">
      <c r="AD462" s="12"/>
      <c r="AE462" s="12"/>
    </row>
    <row r="463" spans="30:31" x14ac:dyDescent="0.25">
      <c r="AD463" s="12"/>
      <c r="AE463" s="12"/>
    </row>
    <row r="464" spans="30:31" x14ac:dyDescent="0.25">
      <c r="AD464" s="12"/>
      <c r="AE464" s="12"/>
    </row>
    <row r="465" spans="30:31" x14ac:dyDescent="0.25">
      <c r="AD465" s="12"/>
      <c r="AE465" s="12"/>
    </row>
    <row r="466" spans="30:31" x14ac:dyDescent="0.25">
      <c r="AD466" s="12"/>
      <c r="AE466" s="12"/>
    </row>
    <row r="467" spans="30:31" x14ac:dyDescent="0.25">
      <c r="AD467" s="12"/>
      <c r="AE467" s="12"/>
    </row>
    <row r="468" spans="30:31" x14ac:dyDescent="0.25">
      <c r="AD468" s="12"/>
      <c r="AE468" s="12"/>
    </row>
    <row r="469" spans="30:31" x14ac:dyDescent="0.25">
      <c r="AD469" s="12"/>
      <c r="AE469" s="12"/>
    </row>
    <row r="470" spans="30:31" x14ac:dyDescent="0.25">
      <c r="AD470" s="12"/>
      <c r="AE470" s="12"/>
    </row>
    <row r="471" spans="30:31" x14ac:dyDescent="0.25">
      <c r="AD471" s="12"/>
      <c r="AE471" s="12"/>
    </row>
    <row r="472" spans="30:31" x14ac:dyDescent="0.25">
      <c r="AD472" s="12"/>
      <c r="AE472" s="12"/>
    </row>
    <row r="473" spans="30:31" x14ac:dyDescent="0.25">
      <c r="AD473" s="12"/>
      <c r="AE473" s="12"/>
    </row>
    <row r="474" spans="30:31" x14ac:dyDescent="0.25">
      <c r="AD474" s="12"/>
      <c r="AE474" s="12"/>
    </row>
    <row r="475" spans="30:31" x14ac:dyDescent="0.25">
      <c r="AD475" s="12"/>
      <c r="AE475" s="12"/>
    </row>
    <row r="476" spans="30:31" x14ac:dyDescent="0.25">
      <c r="AD476" s="12"/>
      <c r="AE476" s="12"/>
    </row>
    <row r="477" spans="30:31" x14ac:dyDescent="0.25">
      <c r="AD477" s="12"/>
      <c r="AE477" s="12"/>
    </row>
    <row r="478" spans="30:31" x14ac:dyDescent="0.25">
      <c r="AD478" s="12"/>
      <c r="AE478" s="12"/>
    </row>
    <row r="479" spans="30:31" x14ac:dyDescent="0.25">
      <c r="AD479" s="12"/>
      <c r="AE479" s="12"/>
    </row>
    <row r="480" spans="30:31" x14ac:dyDescent="0.25">
      <c r="AD480" s="12"/>
      <c r="AE480" s="12"/>
    </row>
  </sheetData>
  <mergeCells count="7">
    <mergeCell ref="AM84:AN84"/>
    <mergeCell ref="A2:C2"/>
    <mergeCell ref="AA1:AC1"/>
    <mergeCell ref="AE1:AG1"/>
    <mergeCell ref="P1:R1"/>
    <mergeCell ref="T1:V1"/>
    <mergeCell ref="A1:C1"/>
  </mergeCells>
  <pageMargins left="0.75" right="0.75" top="1" bottom="1" header="0.5" footer="0.5"/>
  <pageSetup paperSize="9" scale="10" firstPageNumber="0" fitToWidth="0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29F3-F488-40E3-865D-D21E7943824E}">
  <dimension ref="I1:AD39"/>
  <sheetViews>
    <sheetView zoomScale="70" zoomScaleNormal="70" workbookViewId="0">
      <selection activeCell="AJ31" sqref="AJ31"/>
    </sheetView>
  </sheetViews>
  <sheetFormatPr defaultRowHeight="13.2" x14ac:dyDescent="0.25"/>
  <cols>
    <col min="16" max="16" width="11.21875" bestFit="1" customWidth="1"/>
    <col min="17" max="17" width="11.5546875" bestFit="1" customWidth="1"/>
  </cols>
  <sheetData>
    <row r="1" spans="15:30" x14ac:dyDescent="0.25">
      <c r="O1" s="16" t="s">
        <v>41</v>
      </c>
      <c r="P1" s="21" t="s">
        <v>37</v>
      </c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</row>
    <row r="2" spans="15:30" x14ac:dyDescent="0.25">
      <c r="O2" s="16" t="s">
        <v>36</v>
      </c>
      <c r="P2" s="16">
        <v>5</v>
      </c>
      <c r="Q2" s="16">
        <v>7</v>
      </c>
      <c r="R2" s="16">
        <v>8</v>
      </c>
      <c r="S2" s="16">
        <v>10</v>
      </c>
      <c r="T2" s="16">
        <v>13</v>
      </c>
      <c r="U2" s="16">
        <v>15</v>
      </c>
      <c r="V2" s="16">
        <v>17</v>
      </c>
      <c r="W2" s="16">
        <v>19</v>
      </c>
      <c r="X2" s="16">
        <v>20</v>
      </c>
      <c r="Y2" s="16">
        <v>21</v>
      </c>
      <c r="Z2" s="16">
        <v>22</v>
      </c>
      <c r="AA2" s="16">
        <v>21</v>
      </c>
      <c r="AB2" s="16">
        <v>20</v>
      </c>
      <c r="AC2" s="16">
        <v>18</v>
      </c>
      <c r="AD2" s="16">
        <v>16</v>
      </c>
    </row>
    <row r="3" spans="15:30" x14ac:dyDescent="0.25">
      <c r="O3" s="16">
        <v>500</v>
      </c>
      <c r="P3" s="15">
        <v>350</v>
      </c>
      <c r="Q3" s="15">
        <v>345</v>
      </c>
      <c r="R3" s="15">
        <v>334</v>
      </c>
      <c r="S3" s="15">
        <v>327</v>
      </c>
      <c r="T3" s="15">
        <v>316</v>
      </c>
      <c r="U3" s="15">
        <v>307</v>
      </c>
      <c r="V3" s="15">
        <v>294</v>
      </c>
      <c r="W3" s="15">
        <v>280</v>
      </c>
      <c r="X3" s="15">
        <v>267</v>
      </c>
      <c r="Y3" s="15">
        <v>250</v>
      </c>
      <c r="Z3" s="15">
        <v>236</v>
      </c>
      <c r="AA3" s="15">
        <v>213</v>
      </c>
      <c r="AB3" s="15">
        <v>200</v>
      </c>
      <c r="AC3" s="15">
        <v>175</v>
      </c>
      <c r="AD3" s="15">
        <v>181</v>
      </c>
    </row>
    <row r="4" spans="15:30" x14ac:dyDescent="0.25">
      <c r="O4" s="16">
        <v>1000</v>
      </c>
      <c r="P4" s="15">
        <v>350</v>
      </c>
      <c r="Q4" s="15">
        <v>345</v>
      </c>
      <c r="R4" s="15">
        <v>330</v>
      </c>
      <c r="S4" s="15">
        <v>325</v>
      </c>
      <c r="T4" s="15">
        <v>315</v>
      </c>
      <c r="U4" s="15">
        <v>300</v>
      </c>
      <c r="V4" s="15">
        <v>271</v>
      </c>
      <c r="W4" s="15">
        <v>265</v>
      </c>
      <c r="X4" s="15">
        <v>255</v>
      </c>
      <c r="Y4" s="15">
        <v>239</v>
      </c>
      <c r="Z4" s="15">
        <v>228</v>
      </c>
      <c r="AA4" s="15">
        <v>213</v>
      </c>
      <c r="AB4" s="15">
        <v>200</v>
      </c>
      <c r="AC4" s="15">
        <v>175</v>
      </c>
      <c r="AD4" s="15">
        <v>175</v>
      </c>
    </row>
    <row r="5" spans="15:30" x14ac:dyDescent="0.25">
      <c r="O5" s="16">
        <v>1500</v>
      </c>
      <c r="P5" s="15">
        <v>350</v>
      </c>
      <c r="Q5" s="15">
        <v>338</v>
      </c>
      <c r="R5" s="15">
        <v>318</v>
      </c>
      <c r="S5" s="15">
        <v>314</v>
      </c>
      <c r="T5" s="15">
        <v>298</v>
      </c>
      <c r="U5" s="15">
        <v>288</v>
      </c>
      <c r="V5" s="15">
        <v>249</v>
      </c>
      <c r="W5" s="15">
        <v>237</v>
      </c>
      <c r="X5" s="15">
        <v>230</v>
      </c>
      <c r="Y5" s="15">
        <v>221</v>
      </c>
      <c r="Z5" s="15">
        <v>210</v>
      </c>
      <c r="AA5" s="15">
        <v>209</v>
      </c>
      <c r="AB5" s="15">
        <v>200</v>
      </c>
      <c r="AC5" s="15">
        <v>175</v>
      </c>
      <c r="AD5" s="15">
        <v>175</v>
      </c>
    </row>
    <row r="6" spans="15:30" x14ac:dyDescent="0.25">
      <c r="O6" s="16">
        <v>2000</v>
      </c>
      <c r="P6" s="15">
        <v>315</v>
      </c>
      <c r="Q6" s="15">
        <v>313</v>
      </c>
      <c r="R6" s="15">
        <v>313</v>
      </c>
      <c r="S6" s="15">
        <v>300</v>
      </c>
      <c r="T6" s="15">
        <v>282</v>
      </c>
      <c r="U6" s="15">
        <v>276</v>
      </c>
      <c r="V6" s="15">
        <v>225</v>
      </c>
      <c r="W6" s="15">
        <v>216</v>
      </c>
      <c r="X6" s="15">
        <v>210</v>
      </c>
      <c r="Y6" s="15">
        <v>204</v>
      </c>
      <c r="Z6" s="15">
        <v>198</v>
      </c>
      <c r="AA6" s="15">
        <v>201</v>
      </c>
      <c r="AB6" s="15">
        <v>195</v>
      </c>
      <c r="AC6" s="15">
        <v>175</v>
      </c>
      <c r="AD6" s="15">
        <v>175</v>
      </c>
    </row>
    <row r="7" spans="15:30" x14ac:dyDescent="0.25">
      <c r="O7" s="16">
        <v>2500</v>
      </c>
      <c r="P7" s="15">
        <v>300</v>
      </c>
      <c r="Q7" s="15">
        <v>298</v>
      </c>
      <c r="R7" s="15">
        <v>302</v>
      </c>
      <c r="S7" s="15">
        <v>284</v>
      </c>
      <c r="T7" s="15">
        <v>267</v>
      </c>
      <c r="U7" s="15">
        <v>251</v>
      </c>
      <c r="V7" s="15">
        <v>207</v>
      </c>
      <c r="W7" s="15">
        <v>201</v>
      </c>
      <c r="X7" s="15">
        <v>196</v>
      </c>
      <c r="Y7" s="15">
        <v>193</v>
      </c>
      <c r="Z7" s="15">
        <v>189</v>
      </c>
      <c r="AA7" s="15">
        <v>190</v>
      </c>
      <c r="AB7" s="15">
        <v>192</v>
      </c>
      <c r="AC7" s="15">
        <v>173</v>
      </c>
      <c r="AD7" s="15">
        <v>175</v>
      </c>
    </row>
    <row r="8" spans="15:30" x14ac:dyDescent="0.25">
      <c r="O8" s="16">
        <v>3000</v>
      </c>
      <c r="P8" s="15">
        <v>292</v>
      </c>
      <c r="Q8" s="15">
        <v>296</v>
      </c>
      <c r="R8" s="15">
        <v>281</v>
      </c>
      <c r="S8" s="15">
        <v>269</v>
      </c>
      <c r="T8" s="15">
        <v>254</v>
      </c>
      <c r="U8" s="15">
        <v>224</v>
      </c>
      <c r="V8" s="15">
        <v>196</v>
      </c>
      <c r="W8" s="15">
        <v>189</v>
      </c>
      <c r="X8" s="15">
        <v>183</v>
      </c>
      <c r="Y8" s="15">
        <v>179</v>
      </c>
      <c r="Z8" s="15">
        <v>174</v>
      </c>
      <c r="AA8" s="15">
        <v>183</v>
      </c>
      <c r="AB8" s="15">
        <v>188</v>
      </c>
      <c r="AC8" s="15">
        <v>170</v>
      </c>
      <c r="AD8" s="15">
        <v>175</v>
      </c>
    </row>
    <row r="9" spans="15:30" x14ac:dyDescent="0.25">
      <c r="O9" s="16">
        <v>3500</v>
      </c>
      <c r="P9" s="15">
        <v>290</v>
      </c>
      <c r="Q9" s="15">
        <v>288</v>
      </c>
      <c r="R9" s="15">
        <v>265</v>
      </c>
      <c r="S9" s="15">
        <v>248</v>
      </c>
      <c r="T9" s="15">
        <v>231</v>
      </c>
      <c r="U9" s="15">
        <v>203</v>
      </c>
      <c r="V9" s="15">
        <v>184</v>
      </c>
      <c r="W9" s="15">
        <v>178</v>
      </c>
      <c r="X9" s="15">
        <v>174</v>
      </c>
      <c r="Y9" s="15">
        <v>156</v>
      </c>
      <c r="Z9" s="15">
        <v>153</v>
      </c>
      <c r="AA9" s="15">
        <v>163</v>
      </c>
      <c r="AB9" s="15">
        <v>183</v>
      </c>
      <c r="AC9" s="15">
        <v>168</v>
      </c>
      <c r="AD9" s="15">
        <v>175</v>
      </c>
    </row>
    <row r="10" spans="15:30" x14ac:dyDescent="0.25">
      <c r="O10" s="16">
        <v>4000</v>
      </c>
      <c r="P10" s="15">
        <v>283</v>
      </c>
      <c r="Q10" s="15">
        <v>284</v>
      </c>
      <c r="R10" s="15">
        <v>257</v>
      </c>
      <c r="S10" s="15">
        <v>234</v>
      </c>
      <c r="T10" s="15">
        <v>222</v>
      </c>
      <c r="U10" s="15">
        <v>193</v>
      </c>
      <c r="V10" s="15">
        <v>177</v>
      </c>
      <c r="W10" s="15">
        <v>169</v>
      </c>
      <c r="X10" s="15">
        <v>151</v>
      </c>
      <c r="Y10" s="15">
        <v>144</v>
      </c>
      <c r="Z10" s="15">
        <v>144</v>
      </c>
      <c r="AA10" s="15">
        <v>151</v>
      </c>
      <c r="AB10" s="15">
        <v>179</v>
      </c>
      <c r="AC10" s="15">
        <v>167</v>
      </c>
      <c r="AD10" s="15">
        <v>175</v>
      </c>
    </row>
    <row r="11" spans="15:30" x14ac:dyDescent="0.25">
      <c r="O11" s="16">
        <v>4500</v>
      </c>
      <c r="P11" s="15">
        <v>274</v>
      </c>
      <c r="Q11" s="15">
        <v>280</v>
      </c>
      <c r="R11" s="15">
        <v>253</v>
      </c>
      <c r="S11" s="15">
        <v>220</v>
      </c>
      <c r="T11" s="15">
        <v>202</v>
      </c>
      <c r="U11" s="15">
        <v>184</v>
      </c>
      <c r="V11" s="15">
        <v>175</v>
      </c>
      <c r="W11" s="15">
        <v>168</v>
      </c>
      <c r="X11" s="15">
        <v>152</v>
      </c>
      <c r="Y11" s="15">
        <v>144</v>
      </c>
      <c r="Z11" s="15">
        <v>144</v>
      </c>
      <c r="AA11" s="15">
        <v>144</v>
      </c>
      <c r="AB11" s="15">
        <v>173</v>
      </c>
      <c r="AC11" s="15">
        <v>166</v>
      </c>
      <c r="AD11" s="15">
        <v>175</v>
      </c>
    </row>
    <row r="12" spans="15:30" x14ac:dyDescent="0.25">
      <c r="O12" s="16">
        <v>5000</v>
      </c>
      <c r="P12" s="15">
        <v>240</v>
      </c>
      <c r="Q12" s="15">
        <v>238</v>
      </c>
      <c r="R12" s="15">
        <v>236</v>
      </c>
      <c r="S12" s="15">
        <v>234</v>
      </c>
      <c r="T12" s="15">
        <v>191</v>
      </c>
      <c r="U12" s="15">
        <v>182</v>
      </c>
      <c r="V12" s="15">
        <v>176</v>
      </c>
      <c r="W12" s="15">
        <v>169</v>
      </c>
      <c r="X12" s="15">
        <v>165</v>
      </c>
      <c r="Y12" s="15">
        <v>144</v>
      </c>
      <c r="Z12" s="15">
        <v>144</v>
      </c>
      <c r="AA12" s="15">
        <v>144</v>
      </c>
      <c r="AB12" s="15">
        <v>170</v>
      </c>
      <c r="AC12" s="15">
        <v>167</v>
      </c>
      <c r="AD12" s="15">
        <v>175</v>
      </c>
    </row>
    <row r="13" spans="15:30" x14ac:dyDescent="0.25">
      <c r="O13" s="16">
        <v>5500</v>
      </c>
      <c r="P13" s="15">
        <v>281</v>
      </c>
      <c r="Q13" s="15">
        <v>275</v>
      </c>
      <c r="R13" s="15">
        <v>264</v>
      </c>
      <c r="S13" s="15">
        <v>243</v>
      </c>
      <c r="T13" s="15">
        <v>216</v>
      </c>
      <c r="U13" s="15">
        <v>199</v>
      </c>
      <c r="V13" s="15">
        <v>188</v>
      </c>
      <c r="W13" s="15">
        <v>181</v>
      </c>
      <c r="X13" s="15">
        <v>172</v>
      </c>
      <c r="Y13" s="15">
        <v>144</v>
      </c>
      <c r="Z13" s="15">
        <v>144</v>
      </c>
      <c r="AA13" s="15">
        <v>165</v>
      </c>
      <c r="AB13" s="15">
        <v>170</v>
      </c>
      <c r="AC13" s="15">
        <v>169</v>
      </c>
      <c r="AD13" s="15">
        <v>175</v>
      </c>
    </row>
    <row r="14" spans="15:30" x14ac:dyDescent="0.25">
      <c r="O14" s="16">
        <v>6000</v>
      </c>
      <c r="P14" s="15">
        <v>312</v>
      </c>
      <c r="Q14" s="15">
        <v>316</v>
      </c>
      <c r="R14" s="15">
        <v>311</v>
      </c>
      <c r="S14" s="15">
        <v>273</v>
      </c>
      <c r="T14" s="15">
        <v>243</v>
      </c>
      <c r="U14" s="15">
        <v>215</v>
      </c>
      <c r="V14" s="15">
        <v>205</v>
      </c>
      <c r="W14" s="15">
        <v>192</v>
      </c>
      <c r="X14" s="15">
        <v>183</v>
      </c>
      <c r="Y14" s="15">
        <v>171</v>
      </c>
      <c r="Z14" s="15">
        <v>165</v>
      </c>
      <c r="AA14" s="15">
        <v>168</v>
      </c>
      <c r="AB14" s="15">
        <v>173</v>
      </c>
      <c r="AC14" s="15">
        <v>170</v>
      </c>
      <c r="AD14" s="15">
        <v>175</v>
      </c>
    </row>
    <row r="15" spans="15:30" x14ac:dyDescent="0.25">
      <c r="O15" s="16">
        <v>6500</v>
      </c>
      <c r="P15" s="15">
        <v>360</v>
      </c>
      <c r="Q15" s="15">
        <v>358</v>
      </c>
      <c r="R15" s="15">
        <v>337</v>
      </c>
      <c r="S15" s="15">
        <v>304</v>
      </c>
      <c r="T15" s="15">
        <v>287</v>
      </c>
      <c r="U15" s="15">
        <v>242</v>
      </c>
      <c r="V15" s="15">
        <v>223</v>
      </c>
      <c r="W15" s="15">
        <v>211</v>
      </c>
      <c r="X15" s="15">
        <v>205</v>
      </c>
      <c r="Y15" s="15">
        <v>196</v>
      </c>
      <c r="Z15" s="15">
        <v>173</v>
      </c>
      <c r="AA15" s="15">
        <v>176</v>
      </c>
      <c r="AB15" s="15">
        <v>176</v>
      </c>
      <c r="AC15" s="15">
        <v>172</v>
      </c>
      <c r="AD15" s="15">
        <v>175</v>
      </c>
    </row>
    <row r="16" spans="15:30" x14ac:dyDescent="0.25">
      <c r="O16" s="16">
        <v>7000</v>
      </c>
      <c r="P16" s="15">
        <v>390</v>
      </c>
      <c r="Q16" s="15">
        <v>380</v>
      </c>
      <c r="R16" s="15">
        <v>358</v>
      </c>
      <c r="S16" s="15">
        <v>329</v>
      </c>
      <c r="T16" s="15">
        <v>301</v>
      </c>
      <c r="U16" s="15">
        <v>265</v>
      </c>
      <c r="V16" s="15">
        <v>241</v>
      </c>
      <c r="W16" s="15">
        <v>238</v>
      </c>
      <c r="X16" s="15">
        <v>230</v>
      </c>
      <c r="Y16" s="15">
        <v>221</v>
      </c>
      <c r="Z16" s="15">
        <v>200</v>
      </c>
      <c r="AA16" s="15">
        <v>180</v>
      </c>
      <c r="AB16" s="15">
        <v>182</v>
      </c>
      <c r="AC16" s="15">
        <v>174</v>
      </c>
      <c r="AD16" s="15">
        <v>175</v>
      </c>
    </row>
    <row r="17" spans="9:30" x14ac:dyDescent="0.25">
      <c r="O17" s="16">
        <v>7500</v>
      </c>
      <c r="P17" s="15">
        <v>390</v>
      </c>
      <c r="Q17" s="15">
        <v>382</v>
      </c>
      <c r="R17" s="15">
        <v>365</v>
      </c>
      <c r="S17" s="15">
        <v>341</v>
      </c>
      <c r="T17" s="15">
        <v>324</v>
      </c>
      <c r="U17" s="15">
        <v>280</v>
      </c>
      <c r="V17" s="15">
        <v>262</v>
      </c>
      <c r="W17" s="15">
        <v>246</v>
      </c>
      <c r="X17" s="15">
        <v>234</v>
      </c>
      <c r="Y17" s="15">
        <v>221</v>
      </c>
      <c r="Z17" s="15">
        <v>200</v>
      </c>
      <c r="AA17" s="15">
        <v>187</v>
      </c>
      <c r="AB17" s="15">
        <v>175</v>
      </c>
      <c r="AC17" s="15">
        <v>175</v>
      </c>
      <c r="AD17" s="15">
        <v>175</v>
      </c>
    </row>
    <row r="20" spans="9:30" x14ac:dyDescent="0.25">
      <c r="O20" s="17" t="s">
        <v>41</v>
      </c>
      <c r="P20" s="21" t="s">
        <v>49</v>
      </c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9:30" x14ac:dyDescent="0.25">
      <c r="O21" s="17" t="s">
        <v>36</v>
      </c>
      <c r="P21" s="17">
        <v>0</v>
      </c>
      <c r="Q21" s="17">
        <v>0.7</v>
      </c>
      <c r="R21" s="17">
        <v>1.3</v>
      </c>
      <c r="S21" s="17">
        <v>2.1</v>
      </c>
      <c r="T21" s="17">
        <v>3.4</v>
      </c>
      <c r="U21" s="17">
        <v>4.7</v>
      </c>
      <c r="V21" s="17">
        <v>6.2</v>
      </c>
      <c r="W21" s="17">
        <v>8</v>
      </c>
      <c r="X21" s="17">
        <v>9.4</v>
      </c>
      <c r="Y21" s="17">
        <v>11</v>
      </c>
      <c r="Z21" s="17">
        <v>12.7</v>
      </c>
      <c r="AA21" s="17">
        <v>13.2</v>
      </c>
      <c r="AB21" s="17">
        <v>13.6</v>
      </c>
      <c r="AC21" s="17">
        <v>13.2</v>
      </c>
      <c r="AD21" s="17">
        <v>12.6</v>
      </c>
    </row>
    <row r="22" spans="9:30" x14ac:dyDescent="0.25">
      <c r="O22" s="17">
        <v>500</v>
      </c>
      <c r="P22" s="15">
        <f>P3+250</f>
        <v>600</v>
      </c>
      <c r="Q22" s="15">
        <f t="shared" ref="Q22:AD22" si="0">Q3+250</f>
        <v>595</v>
      </c>
      <c r="R22" s="15">
        <f t="shared" si="0"/>
        <v>584</v>
      </c>
      <c r="S22" s="15">
        <f t="shared" si="0"/>
        <v>577</v>
      </c>
      <c r="T22" s="15">
        <f t="shared" si="0"/>
        <v>566</v>
      </c>
      <c r="U22" s="15">
        <f t="shared" si="0"/>
        <v>557</v>
      </c>
      <c r="V22" s="15">
        <f t="shared" si="0"/>
        <v>544</v>
      </c>
      <c r="W22" s="15">
        <f t="shared" si="0"/>
        <v>530</v>
      </c>
      <c r="X22" s="15">
        <f t="shared" si="0"/>
        <v>517</v>
      </c>
      <c r="Y22" s="15">
        <f t="shared" si="0"/>
        <v>500</v>
      </c>
      <c r="Z22" s="15">
        <f t="shared" si="0"/>
        <v>486</v>
      </c>
      <c r="AA22" s="15">
        <f t="shared" si="0"/>
        <v>463</v>
      </c>
      <c r="AB22" s="15">
        <f t="shared" si="0"/>
        <v>450</v>
      </c>
      <c r="AC22" s="15">
        <f t="shared" si="0"/>
        <v>425</v>
      </c>
      <c r="AD22" s="15">
        <f t="shared" si="0"/>
        <v>431</v>
      </c>
    </row>
    <row r="23" spans="9:30" x14ac:dyDescent="0.25">
      <c r="O23" s="17">
        <v>1000</v>
      </c>
      <c r="P23" s="15">
        <f t="shared" ref="P23:AD36" si="1">P4+250</f>
        <v>600</v>
      </c>
      <c r="Q23" s="15">
        <f t="shared" si="1"/>
        <v>595</v>
      </c>
      <c r="R23" s="15">
        <f t="shared" si="1"/>
        <v>580</v>
      </c>
      <c r="S23" s="15">
        <f t="shared" si="1"/>
        <v>575</v>
      </c>
      <c r="T23" s="15">
        <f t="shared" si="1"/>
        <v>565</v>
      </c>
      <c r="U23" s="15">
        <f t="shared" si="1"/>
        <v>550</v>
      </c>
      <c r="V23" s="15">
        <f t="shared" si="1"/>
        <v>521</v>
      </c>
      <c r="W23" s="15">
        <f t="shared" si="1"/>
        <v>515</v>
      </c>
      <c r="X23" s="15">
        <f t="shared" si="1"/>
        <v>505</v>
      </c>
      <c r="Y23" s="15">
        <f t="shared" si="1"/>
        <v>489</v>
      </c>
      <c r="Z23" s="15">
        <f t="shared" si="1"/>
        <v>478</v>
      </c>
      <c r="AA23" s="15">
        <f t="shared" si="1"/>
        <v>463</v>
      </c>
      <c r="AB23" s="15">
        <f t="shared" si="1"/>
        <v>450</v>
      </c>
      <c r="AC23" s="15">
        <f t="shared" si="1"/>
        <v>425</v>
      </c>
      <c r="AD23" s="15">
        <f t="shared" si="1"/>
        <v>425</v>
      </c>
    </row>
    <row r="24" spans="9:30" x14ac:dyDescent="0.25">
      <c r="I24" s="13" t="s">
        <v>36</v>
      </c>
      <c r="J24" s="13" t="s">
        <v>39</v>
      </c>
      <c r="K24" s="13" t="s">
        <v>38</v>
      </c>
      <c r="L24" s="13" t="s">
        <v>40</v>
      </c>
      <c r="O24" s="17">
        <v>1500</v>
      </c>
      <c r="P24" s="15">
        <f t="shared" si="1"/>
        <v>600</v>
      </c>
      <c r="Q24" s="15">
        <f t="shared" si="1"/>
        <v>588</v>
      </c>
      <c r="R24" s="15">
        <f t="shared" si="1"/>
        <v>568</v>
      </c>
      <c r="S24" s="15">
        <f t="shared" si="1"/>
        <v>564</v>
      </c>
      <c r="T24" s="15">
        <f t="shared" si="1"/>
        <v>548</v>
      </c>
      <c r="U24" s="15">
        <f t="shared" si="1"/>
        <v>538</v>
      </c>
      <c r="V24" s="15">
        <f t="shared" si="1"/>
        <v>499</v>
      </c>
      <c r="W24" s="15">
        <f t="shared" si="1"/>
        <v>487</v>
      </c>
      <c r="X24" s="15">
        <f t="shared" si="1"/>
        <v>480</v>
      </c>
      <c r="Y24" s="15">
        <f t="shared" si="1"/>
        <v>471</v>
      </c>
      <c r="Z24" s="15">
        <f t="shared" si="1"/>
        <v>460</v>
      </c>
      <c r="AA24" s="15">
        <f t="shared" si="1"/>
        <v>459</v>
      </c>
      <c r="AB24" s="15">
        <f t="shared" si="1"/>
        <v>450</v>
      </c>
      <c r="AC24" s="15">
        <f t="shared" si="1"/>
        <v>425</v>
      </c>
      <c r="AD24" s="15">
        <f t="shared" si="1"/>
        <v>425</v>
      </c>
    </row>
    <row r="25" spans="9:30" x14ac:dyDescent="0.25">
      <c r="I25" s="13">
        <v>500</v>
      </c>
      <c r="J25" s="13">
        <v>5</v>
      </c>
      <c r="K25" s="14">
        <f t="shared" ref="K25:K36" si="2">(J25*I25)/7127</f>
        <v>0.35077872877788691</v>
      </c>
      <c r="L25" s="14">
        <f>K25/1.341</f>
        <v>0.26157996180304766</v>
      </c>
      <c r="O25" s="17">
        <v>2000</v>
      </c>
      <c r="P25" s="15">
        <f t="shared" si="1"/>
        <v>565</v>
      </c>
      <c r="Q25" s="15">
        <f t="shared" si="1"/>
        <v>563</v>
      </c>
      <c r="R25" s="15">
        <f t="shared" si="1"/>
        <v>563</v>
      </c>
      <c r="S25" s="15">
        <f t="shared" si="1"/>
        <v>550</v>
      </c>
      <c r="T25" s="15">
        <f t="shared" si="1"/>
        <v>532</v>
      </c>
      <c r="U25" s="15">
        <f t="shared" si="1"/>
        <v>526</v>
      </c>
      <c r="V25" s="15">
        <f t="shared" si="1"/>
        <v>475</v>
      </c>
      <c r="W25" s="15">
        <f t="shared" si="1"/>
        <v>466</v>
      </c>
      <c r="X25" s="15">
        <f t="shared" si="1"/>
        <v>460</v>
      </c>
      <c r="Y25" s="15">
        <f t="shared" si="1"/>
        <v>454</v>
      </c>
      <c r="Z25" s="15">
        <f t="shared" si="1"/>
        <v>448</v>
      </c>
      <c r="AA25" s="15">
        <f t="shared" si="1"/>
        <v>451</v>
      </c>
      <c r="AB25" s="15">
        <f t="shared" si="1"/>
        <v>445</v>
      </c>
      <c r="AC25" s="15">
        <f t="shared" si="1"/>
        <v>425</v>
      </c>
      <c r="AD25" s="15">
        <f t="shared" si="1"/>
        <v>425</v>
      </c>
    </row>
    <row r="26" spans="9:30" x14ac:dyDescent="0.25">
      <c r="I26" s="13">
        <v>1000</v>
      </c>
      <c r="J26" s="13">
        <v>7</v>
      </c>
      <c r="K26" s="14">
        <f t="shared" si="2"/>
        <v>0.98218044057808329</v>
      </c>
      <c r="L26" s="14">
        <f t="shared" ref="L26:L39" si="3">K26/1.341</f>
        <v>0.73242389304853339</v>
      </c>
      <c r="O26" s="17">
        <v>2500</v>
      </c>
      <c r="P26" s="15">
        <f t="shared" si="1"/>
        <v>550</v>
      </c>
      <c r="Q26" s="15">
        <f t="shared" si="1"/>
        <v>548</v>
      </c>
      <c r="R26" s="15">
        <f t="shared" si="1"/>
        <v>552</v>
      </c>
      <c r="S26" s="15">
        <f t="shared" si="1"/>
        <v>534</v>
      </c>
      <c r="T26" s="15">
        <f t="shared" si="1"/>
        <v>517</v>
      </c>
      <c r="U26" s="15">
        <f t="shared" si="1"/>
        <v>501</v>
      </c>
      <c r="V26" s="15">
        <f t="shared" si="1"/>
        <v>457</v>
      </c>
      <c r="W26" s="15">
        <f t="shared" si="1"/>
        <v>451</v>
      </c>
      <c r="X26" s="15">
        <f t="shared" si="1"/>
        <v>446</v>
      </c>
      <c r="Y26" s="15">
        <f t="shared" si="1"/>
        <v>443</v>
      </c>
      <c r="Z26" s="15">
        <f t="shared" si="1"/>
        <v>439</v>
      </c>
      <c r="AA26" s="15">
        <f t="shared" si="1"/>
        <v>440</v>
      </c>
      <c r="AB26" s="15">
        <f t="shared" si="1"/>
        <v>442</v>
      </c>
      <c r="AC26" s="15">
        <f t="shared" si="1"/>
        <v>423</v>
      </c>
      <c r="AD26" s="15">
        <f t="shared" si="1"/>
        <v>425</v>
      </c>
    </row>
    <row r="27" spans="9:30" x14ac:dyDescent="0.25">
      <c r="I27" s="13">
        <v>1500</v>
      </c>
      <c r="J27" s="13">
        <v>8</v>
      </c>
      <c r="K27" s="14">
        <f t="shared" si="2"/>
        <v>1.6837378981338571</v>
      </c>
      <c r="L27" s="14">
        <f t="shared" si="3"/>
        <v>1.2555838166546287</v>
      </c>
      <c r="O27" s="17">
        <v>3000</v>
      </c>
      <c r="P27" s="15">
        <f t="shared" si="1"/>
        <v>542</v>
      </c>
      <c r="Q27" s="15">
        <f t="shared" si="1"/>
        <v>546</v>
      </c>
      <c r="R27" s="15">
        <f t="shared" si="1"/>
        <v>531</v>
      </c>
      <c r="S27" s="15">
        <f t="shared" si="1"/>
        <v>519</v>
      </c>
      <c r="T27" s="15">
        <f t="shared" si="1"/>
        <v>504</v>
      </c>
      <c r="U27" s="15">
        <f t="shared" si="1"/>
        <v>474</v>
      </c>
      <c r="V27" s="15">
        <f t="shared" si="1"/>
        <v>446</v>
      </c>
      <c r="W27" s="15">
        <f t="shared" si="1"/>
        <v>439</v>
      </c>
      <c r="X27" s="15">
        <f t="shared" si="1"/>
        <v>433</v>
      </c>
      <c r="Y27" s="15">
        <f t="shared" si="1"/>
        <v>429</v>
      </c>
      <c r="Z27" s="15">
        <f t="shared" si="1"/>
        <v>424</v>
      </c>
      <c r="AA27" s="15">
        <f t="shared" si="1"/>
        <v>433</v>
      </c>
      <c r="AB27" s="15">
        <f t="shared" si="1"/>
        <v>438</v>
      </c>
      <c r="AC27" s="15">
        <f t="shared" si="1"/>
        <v>420</v>
      </c>
      <c r="AD27" s="15">
        <f t="shared" si="1"/>
        <v>425</v>
      </c>
    </row>
    <row r="28" spans="9:30" x14ac:dyDescent="0.25">
      <c r="I28" s="13">
        <v>2000</v>
      </c>
      <c r="J28" s="13">
        <v>10</v>
      </c>
      <c r="K28" s="14">
        <f t="shared" si="2"/>
        <v>2.8062298302230952</v>
      </c>
      <c r="L28" s="14">
        <f t="shared" si="3"/>
        <v>2.0926396944243812</v>
      </c>
      <c r="O28" s="17">
        <v>3500</v>
      </c>
      <c r="P28" s="15">
        <f t="shared" si="1"/>
        <v>540</v>
      </c>
      <c r="Q28" s="15">
        <f t="shared" si="1"/>
        <v>538</v>
      </c>
      <c r="R28" s="15">
        <f t="shared" si="1"/>
        <v>515</v>
      </c>
      <c r="S28" s="15">
        <f t="shared" si="1"/>
        <v>498</v>
      </c>
      <c r="T28" s="15">
        <f t="shared" si="1"/>
        <v>481</v>
      </c>
      <c r="U28" s="15">
        <f t="shared" si="1"/>
        <v>453</v>
      </c>
      <c r="V28" s="15">
        <f t="shared" si="1"/>
        <v>434</v>
      </c>
      <c r="W28" s="15">
        <f t="shared" si="1"/>
        <v>428</v>
      </c>
      <c r="X28" s="15">
        <f t="shared" si="1"/>
        <v>424</v>
      </c>
      <c r="Y28" s="15">
        <f t="shared" si="1"/>
        <v>406</v>
      </c>
      <c r="Z28" s="15">
        <f t="shared" si="1"/>
        <v>403</v>
      </c>
      <c r="AA28" s="15">
        <f t="shared" si="1"/>
        <v>413</v>
      </c>
      <c r="AB28" s="15">
        <f t="shared" si="1"/>
        <v>433</v>
      </c>
      <c r="AC28" s="15">
        <f t="shared" si="1"/>
        <v>418</v>
      </c>
      <c r="AD28" s="15">
        <f t="shared" si="1"/>
        <v>425</v>
      </c>
    </row>
    <row r="29" spans="9:30" x14ac:dyDescent="0.25">
      <c r="I29" s="13">
        <v>2500</v>
      </c>
      <c r="J29" s="13">
        <v>13</v>
      </c>
      <c r="K29" s="14">
        <f t="shared" si="2"/>
        <v>4.5601234741125296</v>
      </c>
      <c r="L29" s="14">
        <f t="shared" si="3"/>
        <v>3.4005395034396195</v>
      </c>
      <c r="O29" s="17">
        <v>4000</v>
      </c>
      <c r="P29" s="15">
        <f t="shared" si="1"/>
        <v>533</v>
      </c>
      <c r="Q29" s="15">
        <f t="shared" si="1"/>
        <v>534</v>
      </c>
      <c r="R29" s="15">
        <f t="shared" si="1"/>
        <v>507</v>
      </c>
      <c r="S29" s="15">
        <f t="shared" si="1"/>
        <v>484</v>
      </c>
      <c r="T29" s="15">
        <f t="shared" si="1"/>
        <v>472</v>
      </c>
      <c r="U29" s="15">
        <f t="shared" si="1"/>
        <v>443</v>
      </c>
      <c r="V29" s="15">
        <f t="shared" si="1"/>
        <v>427</v>
      </c>
      <c r="W29" s="15">
        <f t="shared" si="1"/>
        <v>419</v>
      </c>
      <c r="X29" s="15">
        <f t="shared" si="1"/>
        <v>401</v>
      </c>
      <c r="Y29" s="15">
        <f t="shared" si="1"/>
        <v>394</v>
      </c>
      <c r="Z29" s="15">
        <f t="shared" si="1"/>
        <v>394</v>
      </c>
      <c r="AA29" s="15">
        <f t="shared" si="1"/>
        <v>401</v>
      </c>
      <c r="AB29" s="15">
        <f t="shared" si="1"/>
        <v>429</v>
      </c>
      <c r="AC29" s="15">
        <f t="shared" si="1"/>
        <v>417</v>
      </c>
      <c r="AD29" s="15">
        <f t="shared" si="1"/>
        <v>425</v>
      </c>
    </row>
    <row r="30" spans="9:30" x14ac:dyDescent="0.25">
      <c r="I30" s="13">
        <v>3000</v>
      </c>
      <c r="J30" s="13">
        <v>15</v>
      </c>
      <c r="K30" s="14">
        <f t="shared" si="2"/>
        <v>6.3140171180019644</v>
      </c>
      <c r="L30" s="14">
        <f t="shared" si="3"/>
        <v>4.7084393124548578</v>
      </c>
      <c r="O30" s="17">
        <v>4500</v>
      </c>
      <c r="P30" s="15">
        <f t="shared" si="1"/>
        <v>524</v>
      </c>
      <c r="Q30" s="15">
        <f t="shared" si="1"/>
        <v>530</v>
      </c>
      <c r="R30" s="15">
        <f t="shared" si="1"/>
        <v>503</v>
      </c>
      <c r="S30" s="15">
        <f t="shared" si="1"/>
        <v>470</v>
      </c>
      <c r="T30" s="15">
        <f t="shared" si="1"/>
        <v>452</v>
      </c>
      <c r="U30" s="15">
        <f t="shared" si="1"/>
        <v>434</v>
      </c>
      <c r="V30" s="15">
        <f t="shared" si="1"/>
        <v>425</v>
      </c>
      <c r="W30" s="15">
        <f t="shared" si="1"/>
        <v>418</v>
      </c>
      <c r="X30" s="15">
        <f t="shared" si="1"/>
        <v>402</v>
      </c>
      <c r="Y30" s="15">
        <f t="shared" si="1"/>
        <v>394</v>
      </c>
      <c r="Z30" s="15">
        <f t="shared" si="1"/>
        <v>394</v>
      </c>
      <c r="AA30" s="15">
        <f t="shared" si="1"/>
        <v>394</v>
      </c>
      <c r="AB30" s="15">
        <f t="shared" si="1"/>
        <v>423</v>
      </c>
      <c r="AC30" s="15">
        <f t="shared" si="1"/>
        <v>416</v>
      </c>
      <c r="AD30" s="15">
        <f t="shared" si="1"/>
        <v>425</v>
      </c>
    </row>
    <row r="31" spans="9:30" x14ac:dyDescent="0.25">
      <c r="I31" s="13">
        <v>3500</v>
      </c>
      <c r="J31" s="13">
        <v>17</v>
      </c>
      <c r="K31" s="14">
        <f t="shared" si="2"/>
        <v>8.3485337449137091</v>
      </c>
      <c r="L31" s="14">
        <f t="shared" si="3"/>
        <v>6.2256030909125348</v>
      </c>
      <c r="O31" s="17">
        <v>5000</v>
      </c>
      <c r="P31" s="15">
        <f t="shared" si="1"/>
        <v>490</v>
      </c>
      <c r="Q31" s="15">
        <f t="shared" si="1"/>
        <v>488</v>
      </c>
      <c r="R31" s="15">
        <f t="shared" si="1"/>
        <v>486</v>
      </c>
      <c r="S31" s="15">
        <f t="shared" si="1"/>
        <v>484</v>
      </c>
      <c r="T31" s="15">
        <f t="shared" si="1"/>
        <v>441</v>
      </c>
      <c r="U31" s="15">
        <f t="shared" si="1"/>
        <v>432</v>
      </c>
      <c r="V31" s="15">
        <f t="shared" si="1"/>
        <v>426</v>
      </c>
      <c r="W31" s="15">
        <f t="shared" si="1"/>
        <v>419</v>
      </c>
      <c r="X31" s="15">
        <f t="shared" si="1"/>
        <v>415</v>
      </c>
      <c r="Y31" s="15">
        <f t="shared" si="1"/>
        <v>394</v>
      </c>
      <c r="Z31" s="15">
        <f t="shared" si="1"/>
        <v>394</v>
      </c>
      <c r="AA31" s="15">
        <f t="shared" si="1"/>
        <v>394</v>
      </c>
      <c r="AB31" s="15">
        <f t="shared" si="1"/>
        <v>420</v>
      </c>
      <c r="AC31" s="15">
        <f t="shared" si="1"/>
        <v>417</v>
      </c>
      <c r="AD31" s="15">
        <f t="shared" si="1"/>
        <v>425</v>
      </c>
    </row>
    <row r="32" spans="9:30" x14ac:dyDescent="0.25">
      <c r="I32" s="13">
        <v>4000</v>
      </c>
      <c r="J32" s="13">
        <v>19</v>
      </c>
      <c r="K32" s="14">
        <f t="shared" si="2"/>
        <v>10.663673354847763</v>
      </c>
      <c r="L32" s="14">
        <f t="shared" si="3"/>
        <v>7.9520308388126493</v>
      </c>
      <c r="O32" s="17">
        <v>5500</v>
      </c>
      <c r="P32" s="15">
        <f t="shared" si="1"/>
        <v>531</v>
      </c>
      <c r="Q32" s="15">
        <f t="shared" si="1"/>
        <v>525</v>
      </c>
      <c r="R32" s="15">
        <f t="shared" si="1"/>
        <v>514</v>
      </c>
      <c r="S32" s="15">
        <f t="shared" si="1"/>
        <v>493</v>
      </c>
      <c r="T32" s="15">
        <f t="shared" si="1"/>
        <v>466</v>
      </c>
      <c r="U32" s="15">
        <f t="shared" si="1"/>
        <v>449</v>
      </c>
      <c r="V32" s="15">
        <f t="shared" si="1"/>
        <v>438</v>
      </c>
      <c r="W32" s="15">
        <f t="shared" si="1"/>
        <v>431</v>
      </c>
      <c r="X32" s="15">
        <f t="shared" si="1"/>
        <v>422</v>
      </c>
      <c r="Y32" s="15">
        <f t="shared" si="1"/>
        <v>394</v>
      </c>
      <c r="Z32" s="15">
        <f t="shared" si="1"/>
        <v>394</v>
      </c>
      <c r="AA32" s="15">
        <f t="shared" si="1"/>
        <v>415</v>
      </c>
      <c r="AB32" s="15">
        <f t="shared" si="1"/>
        <v>420</v>
      </c>
      <c r="AC32" s="15">
        <f t="shared" si="1"/>
        <v>419</v>
      </c>
      <c r="AD32" s="15">
        <f t="shared" si="1"/>
        <v>425</v>
      </c>
    </row>
    <row r="33" spans="9:30" x14ac:dyDescent="0.25">
      <c r="I33" s="13">
        <v>4500</v>
      </c>
      <c r="J33" s="13">
        <v>20</v>
      </c>
      <c r="K33" s="14">
        <f t="shared" si="2"/>
        <v>12.628034236003929</v>
      </c>
      <c r="L33" s="14">
        <f t="shared" si="3"/>
        <v>9.4168786249097156</v>
      </c>
      <c r="O33" s="17">
        <v>6000</v>
      </c>
      <c r="P33" s="15">
        <f t="shared" si="1"/>
        <v>562</v>
      </c>
      <c r="Q33" s="15">
        <f t="shared" si="1"/>
        <v>566</v>
      </c>
      <c r="R33" s="15">
        <f t="shared" si="1"/>
        <v>561</v>
      </c>
      <c r="S33" s="15">
        <f t="shared" si="1"/>
        <v>523</v>
      </c>
      <c r="T33" s="15">
        <f t="shared" si="1"/>
        <v>493</v>
      </c>
      <c r="U33" s="15">
        <f t="shared" si="1"/>
        <v>465</v>
      </c>
      <c r="V33" s="15">
        <f t="shared" si="1"/>
        <v>455</v>
      </c>
      <c r="W33" s="15">
        <f t="shared" si="1"/>
        <v>442</v>
      </c>
      <c r="X33" s="15">
        <f t="shared" si="1"/>
        <v>433</v>
      </c>
      <c r="Y33" s="15">
        <f t="shared" si="1"/>
        <v>421</v>
      </c>
      <c r="Z33" s="15">
        <f t="shared" si="1"/>
        <v>415</v>
      </c>
      <c r="AA33" s="15">
        <f t="shared" si="1"/>
        <v>418</v>
      </c>
      <c r="AB33" s="15">
        <f t="shared" si="1"/>
        <v>423</v>
      </c>
      <c r="AC33" s="15">
        <f t="shared" si="1"/>
        <v>420</v>
      </c>
      <c r="AD33" s="15">
        <f t="shared" si="1"/>
        <v>425</v>
      </c>
    </row>
    <row r="34" spans="9:30" x14ac:dyDescent="0.25">
      <c r="I34" s="13">
        <v>5000</v>
      </c>
      <c r="J34" s="13">
        <v>21</v>
      </c>
      <c r="K34" s="14">
        <f t="shared" si="2"/>
        <v>14.732706608671251</v>
      </c>
      <c r="L34" s="14">
        <f t="shared" si="3"/>
        <v>10.986358395728002</v>
      </c>
      <c r="O34" s="17">
        <v>6500</v>
      </c>
      <c r="P34" s="15">
        <f t="shared" si="1"/>
        <v>610</v>
      </c>
      <c r="Q34" s="15">
        <f t="shared" si="1"/>
        <v>608</v>
      </c>
      <c r="R34" s="15">
        <f t="shared" si="1"/>
        <v>587</v>
      </c>
      <c r="S34" s="15">
        <f t="shared" si="1"/>
        <v>554</v>
      </c>
      <c r="T34" s="15">
        <f t="shared" si="1"/>
        <v>537</v>
      </c>
      <c r="U34" s="15">
        <f t="shared" si="1"/>
        <v>492</v>
      </c>
      <c r="V34" s="15">
        <f t="shared" si="1"/>
        <v>473</v>
      </c>
      <c r="W34" s="15">
        <f t="shared" si="1"/>
        <v>461</v>
      </c>
      <c r="X34" s="15">
        <f t="shared" si="1"/>
        <v>455</v>
      </c>
      <c r="Y34" s="15">
        <f t="shared" si="1"/>
        <v>446</v>
      </c>
      <c r="Z34" s="15">
        <f t="shared" si="1"/>
        <v>423</v>
      </c>
      <c r="AA34" s="15">
        <f t="shared" si="1"/>
        <v>426</v>
      </c>
      <c r="AB34" s="15">
        <f t="shared" si="1"/>
        <v>426</v>
      </c>
      <c r="AC34" s="15">
        <f t="shared" si="1"/>
        <v>422</v>
      </c>
      <c r="AD34" s="15">
        <f t="shared" si="1"/>
        <v>425</v>
      </c>
    </row>
    <row r="35" spans="9:30" x14ac:dyDescent="0.25">
      <c r="I35" s="13">
        <v>5500</v>
      </c>
      <c r="J35" s="13">
        <v>22</v>
      </c>
      <c r="K35" s="14">
        <f t="shared" si="2"/>
        <v>16.977690472849726</v>
      </c>
      <c r="L35" s="14">
        <f t="shared" si="3"/>
        <v>12.660470151267507</v>
      </c>
      <c r="O35" s="17">
        <v>7000</v>
      </c>
      <c r="P35" s="15">
        <f t="shared" si="1"/>
        <v>640</v>
      </c>
      <c r="Q35" s="15">
        <f t="shared" si="1"/>
        <v>630</v>
      </c>
      <c r="R35" s="15">
        <f t="shared" si="1"/>
        <v>608</v>
      </c>
      <c r="S35" s="15">
        <f t="shared" si="1"/>
        <v>579</v>
      </c>
      <c r="T35" s="15">
        <f t="shared" si="1"/>
        <v>551</v>
      </c>
      <c r="U35" s="15">
        <f t="shared" si="1"/>
        <v>515</v>
      </c>
      <c r="V35" s="15">
        <f t="shared" si="1"/>
        <v>491</v>
      </c>
      <c r="W35" s="15">
        <f t="shared" si="1"/>
        <v>488</v>
      </c>
      <c r="X35" s="15">
        <f t="shared" si="1"/>
        <v>480</v>
      </c>
      <c r="Y35" s="15">
        <f t="shared" si="1"/>
        <v>471</v>
      </c>
      <c r="Z35" s="15">
        <f t="shared" si="1"/>
        <v>450</v>
      </c>
      <c r="AA35" s="15">
        <f t="shared" si="1"/>
        <v>430</v>
      </c>
      <c r="AB35" s="15">
        <f t="shared" si="1"/>
        <v>432</v>
      </c>
      <c r="AC35" s="15">
        <f t="shared" si="1"/>
        <v>424</v>
      </c>
      <c r="AD35" s="15">
        <f t="shared" si="1"/>
        <v>425</v>
      </c>
    </row>
    <row r="36" spans="9:30" x14ac:dyDescent="0.25">
      <c r="I36" s="13">
        <v>6000</v>
      </c>
      <c r="J36" s="13">
        <v>21</v>
      </c>
      <c r="K36" s="14">
        <f t="shared" si="2"/>
        <v>17.679247930405499</v>
      </c>
      <c r="L36" s="14">
        <f t="shared" si="3"/>
        <v>13.183630074873602</v>
      </c>
      <c r="O36" s="17">
        <v>7500</v>
      </c>
      <c r="P36" s="15">
        <f t="shared" si="1"/>
        <v>640</v>
      </c>
      <c r="Q36" s="15">
        <f t="shared" si="1"/>
        <v>632</v>
      </c>
      <c r="R36" s="15">
        <f t="shared" si="1"/>
        <v>615</v>
      </c>
      <c r="S36" s="15">
        <f t="shared" si="1"/>
        <v>591</v>
      </c>
      <c r="T36" s="15">
        <f t="shared" si="1"/>
        <v>574</v>
      </c>
      <c r="U36" s="15">
        <f t="shared" si="1"/>
        <v>530</v>
      </c>
      <c r="V36" s="15">
        <f t="shared" si="1"/>
        <v>512</v>
      </c>
      <c r="W36" s="15">
        <f t="shared" si="1"/>
        <v>496</v>
      </c>
      <c r="X36" s="15">
        <f t="shared" si="1"/>
        <v>484</v>
      </c>
      <c r="Y36" s="15">
        <f t="shared" si="1"/>
        <v>471</v>
      </c>
      <c r="Z36" s="15">
        <f t="shared" si="1"/>
        <v>450</v>
      </c>
      <c r="AA36" s="15">
        <f t="shared" si="1"/>
        <v>437</v>
      </c>
      <c r="AB36" s="15">
        <f t="shared" si="1"/>
        <v>425</v>
      </c>
      <c r="AC36" s="15">
        <f t="shared" si="1"/>
        <v>425</v>
      </c>
      <c r="AD36" s="15">
        <f t="shared" si="1"/>
        <v>425</v>
      </c>
    </row>
    <row r="37" spans="9:30" x14ac:dyDescent="0.25">
      <c r="I37" s="13">
        <v>6500</v>
      </c>
      <c r="J37" s="13">
        <v>20</v>
      </c>
      <c r="K37" s="14">
        <f>(J37*I37)/7127</f>
        <v>18.240493896450118</v>
      </c>
      <c r="L37" s="14">
        <f t="shared" si="3"/>
        <v>13.602158013758478</v>
      </c>
    </row>
    <row r="38" spans="9:30" x14ac:dyDescent="0.25">
      <c r="I38" s="13">
        <v>7000</v>
      </c>
      <c r="J38" s="13">
        <v>18</v>
      </c>
      <c r="K38" s="14">
        <f t="shared" ref="K38:K39" si="4">(J38*I38)/7127</f>
        <v>17.679247930405499</v>
      </c>
      <c r="L38" s="14">
        <f t="shared" si="3"/>
        <v>13.183630074873602</v>
      </c>
    </row>
    <row r="39" spans="9:30" x14ac:dyDescent="0.25">
      <c r="I39" s="13">
        <v>7500</v>
      </c>
      <c r="J39" s="13">
        <v>16</v>
      </c>
      <c r="K39" s="14">
        <f t="shared" si="4"/>
        <v>16.837378981338571</v>
      </c>
      <c r="L39" s="14">
        <f t="shared" si="3"/>
        <v>12.555838166546287</v>
      </c>
    </row>
  </sheetData>
  <mergeCells count="2">
    <mergeCell ref="P1:AD1"/>
    <mergeCell ref="P20:AD20"/>
  </mergeCells>
  <conditionalFormatting sqref="P3:AD17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22:AD3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50F8F-FF57-4F54-9661-91389D7BFA7E}">
  <dimension ref="A1"/>
  <sheetViews>
    <sheetView zoomScale="60" zoomScaleNormal="60" workbookViewId="0">
      <selection activeCell="Y21" sqref="Y21"/>
    </sheetView>
  </sheetViews>
  <sheetFormatPr defaultRowHeight="13.2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33C4-793B-492D-ABF7-CFF588DD5497}">
  <dimension ref="A1"/>
  <sheetViews>
    <sheetView zoomScale="102" zoomScaleNormal="102" workbookViewId="0">
      <selection activeCell="P18" sqref="P18"/>
    </sheetView>
  </sheetViews>
  <sheetFormatPr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BSFC</vt:lpstr>
      <vt:lpstr>Graphs</vt:lpstr>
      <vt:lpstr>Track 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Parry</dc:creator>
  <cp:lastModifiedBy>Chris Parry</cp:lastModifiedBy>
  <dcterms:created xsi:type="dcterms:W3CDTF">2021-11-12T14:26:39Z</dcterms:created>
  <dcterms:modified xsi:type="dcterms:W3CDTF">2021-11-30T07:46:53Z</dcterms:modified>
</cp:coreProperties>
</file>